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pfc_edu/"/>
    </mc:Choice>
  </mc:AlternateContent>
  <xr:revisionPtr revIDLastSave="0" documentId="10_ncr:8100000_{95C47E97-9FC5-6F4C-B699-5FFC4419028F}" xr6:coauthVersionLast="33" xr6:coauthVersionMax="33" xr10:uidLastSave="{00000000-0000-0000-0000-000000000000}"/>
  <bookViews>
    <workbookView xWindow="0" yWindow="460" windowWidth="33600" windowHeight="20540" activeTab="2" xr2:uid="{00000000-000D-0000-FFFF-FFFF00000000}"/>
  </bookViews>
  <sheets>
    <sheet name="rack_bom02" sheetId="1" r:id="rId1"/>
    <sheet name="Copy of rack_bom02" sheetId="2" r:id="rId2"/>
    <sheet name="pfc_edu" sheetId="3" r:id="rId3"/>
  </sheets>
  <calcPr calcId="162913"/>
</workbook>
</file>

<file path=xl/calcChain.xml><?xml version="1.0" encoding="utf-8"?>
<calcChain xmlns="http://schemas.openxmlformats.org/spreadsheetml/2006/main">
  <c r="E16" i="3" l="1"/>
  <c r="H9" i="3"/>
  <c r="E9" i="3"/>
  <c r="H8" i="3"/>
  <c r="E8" i="3"/>
  <c r="H7" i="3"/>
  <c r="E7" i="3"/>
  <c r="H6" i="3"/>
  <c r="E6" i="3"/>
  <c r="H5" i="3"/>
  <c r="E5" i="3"/>
  <c r="J4" i="3"/>
  <c r="H4" i="3"/>
  <c r="E4" i="3"/>
  <c r="J3" i="3"/>
  <c r="H3" i="3"/>
  <c r="E3" i="3"/>
  <c r="J2" i="3"/>
  <c r="H2" i="3"/>
  <c r="E2" i="3"/>
  <c r="A26" i="2"/>
  <c r="J25" i="2"/>
  <c r="D25" i="2"/>
  <c r="L24" i="2"/>
  <c r="J24" i="2"/>
  <c r="G24" i="2"/>
  <c r="L23" i="2"/>
  <c r="J23" i="2"/>
  <c r="G23" i="2"/>
  <c r="D23" i="2"/>
  <c r="J22" i="2"/>
  <c r="G22" i="2"/>
  <c r="D22" i="2"/>
  <c r="G21" i="2"/>
  <c r="D21" i="2"/>
  <c r="J20" i="2"/>
  <c r="G20" i="2"/>
  <c r="D20" i="2"/>
  <c r="J19" i="2"/>
  <c r="G19" i="2"/>
  <c r="D19" i="2"/>
  <c r="L18" i="2"/>
  <c r="J18" i="2"/>
  <c r="G18" i="2"/>
  <c r="D18" i="2"/>
  <c r="M17" i="2"/>
  <c r="L17" i="2"/>
  <c r="J17" i="2"/>
  <c r="G17" i="2"/>
  <c r="D17" i="2"/>
  <c r="M16" i="2"/>
  <c r="L16" i="2"/>
  <c r="G16" i="2"/>
  <c r="D16" i="2"/>
  <c r="L15" i="2"/>
  <c r="J15" i="2"/>
  <c r="G15" i="2"/>
  <c r="D15" i="2"/>
  <c r="L14" i="2"/>
  <c r="J14" i="2"/>
  <c r="G14" i="2"/>
  <c r="D14" i="2"/>
  <c r="L13" i="2"/>
  <c r="J13" i="2"/>
  <c r="G13" i="2"/>
  <c r="D13" i="2"/>
  <c r="J12" i="2"/>
  <c r="G12" i="2"/>
  <c r="D12" i="2"/>
  <c r="J11" i="2"/>
  <c r="G11" i="2"/>
  <c r="D11" i="2"/>
  <c r="L10" i="2"/>
  <c r="J10" i="2"/>
  <c r="G10" i="2"/>
  <c r="D10" i="2"/>
  <c r="L9" i="2"/>
  <c r="J9" i="2"/>
  <c r="G9" i="2"/>
  <c r="D9" i="2"/>
  <c r="L8" i="2"/>
  <c r="J8" i="2"/>
  <c r="G8" i="2"/>
  <c r="D8" i="2"/>
  <c r="L7" i="2"/>
  <c r="G7" i="2"/>
  <c r="D7" i="2"/>
  <c r="L6" i="2"/>
  <c r="J6" i="2"/>
  <c r="G6" i="2"/>
  <c r="D6" i="2"/>
  <c r="L5" i="2"/>
  <c r="G5" i="2"/>
  <c r="D5" i="2"/>
  <c r="L4" i="2"/>
  <c r="J4" i="2"/>
  <c r="G4" i="2"/>
  <c r="D4" i="2"/>
  <c r="L3" i="2"/>
  <c r="J3" i="2"/>
  <c r="G3" i="2"/>
  <c r="D3" i="2"/>
  <c r="L2" i="2"/>
  <c r="G2" i="2"/>
  <c r="D2" i="2"/>
  <c r="R228" i="1"/>
  <c r="S228" i="1" s="1"/>
  <c r="O228" i="1"/>
  <c r="N228" i="1"/>
  <c r="K228" i="1"/>
  <c r="G228" i="1"/>
  <c r="S227" i="1"/>
  <c r="R227" i="1"/>
  <c r="O227" i="1"/>
  <c r="N227" i="1"/>
  <c r="K227" i="1"/>
  <c r="G227" i="1"/>
  <c r="R226" i="1"/>
  <c r="S226" i="1" s="1"/>
  <c r="O226" i="1"/>
  <c r="N226" i="1"/>
  <c r="K226" i="1"/>
  <c r="G226" i="1"/>
  <c r="S223" i="1"/>
  <c r="R223" i="1"/>
  <c r="O223" i="1"/>
  <c r="N223" i="1"/>
  <c r="K223" i="1"/>
  <c r="S222" i="1"/>
  <c r="R222" i="1"/>
  <c r="O222" i="1"/>
  <c r="N222" i="1"/>
  <c r="K222" i="1"/>
  <c r="R221" i="1"/>
  <c r="S221" i="1" s="1"/>
  <c r="O221" i="1"/>
  <c r="N221" i="1"/>
  <c r="K221" i="1"/>
  <c r="S220" i="1"/>
  <c r="R220" i="1"/>
  <c r="O220" i="1"/>
  <c r="N220" i="1"/>
  <c r="K220" i="1"/>
  <c r="S219" i="1"/>
  <c r="R219" i="1"/>
  <c r="O219" i="1"/>
  <c r="N219" i="1"/>
  <c r="K219" i="1"/>
  <c r="S218" i="1"/>
  <c r="R218" i="1"/>
  <c r="O218" i="1"/>
  <c r="N218" i="1"/>
  <c r="K218" i="1"/>
  <c r="R217" i="1"/>
  <c r="S217" i="1" s="1"/>
  <c r="O217" i="1"/>
  <c r="N217" i="1"/>
  <c r="L217" i="1"/>
  <c r="K217" i="1"/>
  <c r="S216" i="1"/>
  <c r="R216" i="1"/>
  <c r="O216" i="1"/>
  <c r="N216" i="1"/>
  <c r="K216" i="1"/>
  <c r="S215" i="1"/>
  <c r="R215" i="1"/>
  <c r="O215" i="1"/>
  <c r="N215" i="1"/>
  <c r="K215" i="1"/>
  <c r="R214" i="1"/>
  <c r="S214" i="1" s="1"/>
  <c r="O214" i="1"/>
  <c r="N214" i="1"/>
  <c r="K214" i="1"/>
  <c r="S213" i="1"/>
  <c r="R213" i="1"/>
  <c r="O213" i="1"/>
  <c r="N213" i="1"/>
  <c r="K213" i="1"/>
  <c r="S212" i="1"/>
  <c r="R212" i="1"/>
  <c r="O212" i="1"/>
  <c r="N212" i="1"/>
  <c r="K212" i="1"/>
  <c r="S211" i="1"/>
  <c r="R211" i="1"/>
  <c r="N211" i="1"/>
  <c r="O210" i="1"/>
  <c r="N210" i="1"/>
  <c r="H210" i="1"/>
  <c r="R210" i="1" s="1"/>
  <c r="S210" i="1" s="1"/>
  <c r="O209" i="1"/>
  <c r="N209" i="1"/>
  <c r="H209" i="1"/>
  <c r="R209" i="1" s="1"/>
  <c r="S209" i="1" s="1"/>
  <c r="R208" i="1"/>
  <c r="S208" i="1" s="1"/>
  <c r="O208" i="1"/>
  <c r="N208" i="1"/>
  <c r="H208" i="1"/>
  <c r="O207" i="1"/>
  <c r="K207" i="1"/>
  <c r="H207" i="1"/>
  <c r="R207" i="1" s="1"/>
  <c r="S207" i="1" s="1"/>
  <c r="O206" i="1"/>
  <c r="N206" i="1"/>
  <c r="K206" i="1"/>
  <c r="H206" i="1"/>
  <c r="R206" i="1" s="1"/>
  <c r="S206" i="1" s="1"/>
  <c r="O205" i="1"/>
  <c r="K205" i="1"/>
  <c r="H205" i="1"/>
  <c r="R205" i="1" s="1"/>
  <c r="S205" i="1" s="1"/>
  <c r="O204" i="1"/>
  <c r="N204" i="1"/>
  <c r="K204" i="1"/>
  <c r="H204" i="1"/>
  <c r="R204" i="1" s="1"/>
  <c r="S204" i="1" s="1"/>
  <c r="O203" i="1"/>
  <c r="K203" i="1"/>
  <c r="H203" i="1"/>
  <c r="R203" i="1" s="1"/>
  <c r="S203" i="1" s="1"/>
  <c r="R202" i="1"/>
  <c r="S202" i="1" s="1"/>
  <c r="O202" i="1"/>
  <c r="N202" i="1"/>
  <c r="K202" i="1"/>
  <c r="R201" i="1"/>
  <c r="S201" i="1" s="1"/>
  <c r="O201" i="1"/>
  <c r="N201" i="1"/>
  <c r="K201" i="1"/>
  <c r="S200" i="1"/>
  <c r="R200" i="1"/>
  <c r="O200" i="1"/>
  <c r="N200" i="1"/>
  <c r="K200" i="1"/>
  <c r="S197" i="1"/>
  <c r="R197" i="1"/>
  <c r="O197" i="1"/>
  <c r="N197" i="1"/>
  <c r="S196" i="1"/>
  <c r="R196" i="1"/>
  <c r="N196" i="1"/>
  <c r="S195" i="1"/>
  <c r="R195" i="1"/>
  <c r="O195" i="1"/>
  <c r="N195" i="1"/>
  <c r="K195" i="1"/>
  <c r="J195" i="1"/>
  <c r="R194" i="1"/>
  <c r="S194" i="1" s="1"/>
  <c r="N194" i="1"/>
  <c r="S193" i="1"/>
  <c r="R193" i="1"/>
  <c r="O193" i="1"/>
  <c r="N193" i="1"/>
  <c r="S190" i="1"/>
  <c r="R190" i="1"/>
  <c r="O190" i="1"/>
  <c r="N190" i="1"/>
  <c r="K190" i="1"/>
  <c r="R189" i="1"/>
  <c r="S189" i="1" s="1"/>
  <c r="O189" i="1"/>
  <c r="N189" i="1"/>
  <c r="K189" i="1"/>
  <c r="R188" i="1"/>
  <c r="S188" i="1" s="1"/>
  <c r="O188" i="1"/>
  <c r="N188" i="1"/>
  <c r="K188" i="1"/>
  <c r="S187" i="1"/>
  <c r="R187" i="1"/>
  <c r="O187" i="1"/>
  <c r="N187" i="1"/>
  <c r="S184" i="1"/>
  <c r="R184" i="1"/>
  <c r="O184" i="1"/>
  <c r="N184" i="1"/>
  <c r="S183" i="1"/>
  <c r="R183" i="1"/>
  <c r="N183" i="1"/>
  <c r="R182" i="1"/>
  <c r="S182" i="1" s="1"/>
  <c r="N182" i="1"/>
  <c r="R181" i="1"/>
  <c r="S181" i="1" s="1"/>
  <c r="O181" i="1"/>
  <c r="N181" i="1"/>
  <c r="K181" i="1"/>
  <c r="F181" i="1"/>
  <c r="G181" i="1" s="1"/>
  <c r="S178" i="1"/>
  <c r="R178" i="1"/>
  <c r="O178" i="1"/>
  <c r="N178" i="1"/>
  <c r="S177" i="1"/>
  <c r="R177" i="1"/>
  <c r="N177" i="1"/>
  <c r="K177" i="1"/>
  <c r="S176" i="1"/>
  <c r="R176" i="1"/>
  <c r="O176" i="1"/>
  <c r="N176" i="1"/>
  <c r="S173" i="1"/>
  <c r="R173" i="1"/>
  <c r="O173" i="1"/>
  <c r="N173" i="1"/>
  <c r="G173" i="1"/>
  <c r="R172" i="1"/>
  <c r="S172" i="1" s="1"/>
  <c r="N172" i="1"/>
  <c r="S171" i="1"/>
  <c r="R171" i="1"/>
  <c r="O171" i="1"/>
  <c r="N171" i="1"/>
  <c r="K171" i="1"/>
  <c r="G171" i="1"/>
  <c r="R170" i="1"/>
  <c r="S170" i="1" s="1"/>
  <c r="N170" i="1"/>
  <c r="R169" i="1"/>
  <c r="S169" i="1" s="1"/>
  <c r="O169" i="1"/>
  <c r="N169" i="1"/>
  <c r="K169" i="1"/>
  <c r="G169" i="1"/>
  <c r="S168" i="1"/>
  <c r="R168" i="1"/>
  <c r="O168" i="1"/>
  <c r="N168" i="1"/>
  <c r="K168" i="1"/>
  <c r="G168" i="1"/>
  <c r="R167" i="1"/>
  <c r="S167" i="1" s="1"/>
  <c r="O167" i="1"/>
  <c r="N167" i="1"/>
  <c r="K167" i="1"/>
  <c r="G167" i="1"/>
  <c r="S163" i="1"/>
  <c r="R163" i="1"/>
  <c r="O163" i="1"/>
  <c r="N163" i="1"/>
  <c r="K163" i="1"/>
  <c r="G163" i="1"/>
  <c r="R162" i="1"/>
  <c r="S162" i="1" s="1"/>
  <c r="O162" i="1"/>
  <c r="N162" i="1"/>
  <c r="K162" i="1"/>
  <c r="G162" i="1"/>
  <c r="S161" i="1"/>
  <c r="R161" i="1"/>
  <c r="O161" i="1"/>
  <c r="N161" i="1"/>
  <c r="K161" i="1"/>
  <c r="G161" i="1"/>
  <c r="S158" i="1"/>
  <c r="R158" i="1"/>
  <c r="O158" i="1"/>
  <c r="N158" i="1"/>
  <c r="K158" i="1"/>
  <c r="F158" i="1"/>
  <c r="G158" i="1" s="1"/>
  <c r="O157" i="1"/>
  <c r="N157" i="1"/>
  <c r="K157" i="1"/>
  <c r="H157" i="1"/>
  <c r="R157" i="1" s="1"/>
  <c r="S157" i="1" s="1"/>
  <c r="G157" i="1"/>
  <c r="S156" i="1"/>
  <c r="R156" i="1"/>
  <c r="O156" i="1"/>
  <c r="N156" i="1"/>
  <c r="K156" i="1"/>
  <c r="G156" i="1"/>
  <c r="S155" i="1"/>
  <c r="R155" i="1"/>
  <c r="O155" i="1"/>
  <c r="N155" i="1"/>
  <c r="K155" i="1"/>
  <c r="G155" i="1"/>
  <c r="S154" i="1"/>
  <c r="R154" i="1"/>
  <c r="N154" i="1"/>
  <c r="K154" i="1"/>
  <c r="S153" i="1"/>
  <c r="R153" i="1"/>
  <c r="O153" i="1"/>
  <c r="N153" i="1"/>
  <c r="K153" i="1"/>
  <c r="G153" i="1"/>
  <c r="S152" i="1"/>
  <c r="R152" i="1"/>
  <c r="N152" i="1"/>
  <c r="K152" i="1"/>
  <c r="S151" i="1"/>
  <c r="R151" i="1"/>
  <c r="N151" i="1"/>
  <c r="K151" i="1"/>
  <c r="G151" i="1"/>
  <c r="R150" i="1"/>
  <c r="S150" i="1" s="1"/>
  <c r="O150" i="1"/>
  <c r="N150" i="1"/>
  <c r="K150" i="1"/>
  <c r="G150" i="1"/>
  <c r="R149" i="1"/>
  <c r="S149" i="1" s="1"/>
  <c r="O149" i="1"/>
  <c r="N149" i="1"/>
  <c r="K149" i="1"/>
  <c r="G149" i="1"/>
  <c r="O148" i="1"/>
  <c r="K148" i="1"/>
  <c r="H148" i="1"/>
  <c r="N148" i="1" s="1"/>
  <c r="G148" i="1"/>
  <c r="S147" i="1"/>
  <c r="R147" i="1"/>
  <c r="O147" i="1"/>
  <c r="N147" i="1"/>
  <c r="K147" i="1"/>
  <c r="O146" i="1"/>
  <c r="K146" i="1"/>
  <c r="H146" i="1"/>
  <c r="N146" i="1" s="1"/>
  <c r="G146" i="1"/>
  <c r="S145" i="1"/>
  <c r="R145" i="1"/>
  <c r="O145" i="1"/>
  <c r="N145" i="1"/>
  <c r="K145" i="1"/>
  <c r="G145" i="1"/>
  <c r="S142" i="1"/>
  <c r="R142" i="1"/>
  <c r="O142" i="1"/>
  <c r="N142" i="1"/>
  <c r="K142" i="1"/>
  <c r="F142" i="1"/>
  <c r="G142" i="1" s="1"/>
  <c r="R141" i="1"/>
  <c r="S141" i="1" s="1"/>
  <c r="O141" i="1"/>
  <c r="N141" i="1"/>
  <c r="K141" i="1"/>
  <c r="G141" i="1"/>
  <c r="R140" i="1"/>
  <c r="S140" i="1" s="1"/>
  <c r="O140" i="1"/>
  <c r="N140" i="1"/>
  <c r="K140" i="1"/>
  <c r="G140" i="1"/>
  <c r="R139" i="1"/>
  <c r="S139" i="1" s="1"/>
  <c r="O139" i="1"/>
  <c r="N139" i="1"/>
  <c r="K139" i="1"/>
  <c r="S138" i="1"/>
  <c r="R138" i="1"/>
  <c r="O138" i="1"/>
  <c r="N138" i="1"/>
  <c r="K138" i="1"/>
  <c r="G138" i="1"/>
  <c r="N136" i="1"/>
  <c r="N135" i="1"/>
  <c r="N134" i="1"/>
  <c r="N133" i="1"/>
  <c r="N132" i="1"/>
  <c r="N131" i="1"/>
  <c r="S130" i="1"/>
  <c r="R130" i="1"/>
  <c r="N130" i="1"/>
  <c r="K130" i="1"/>
  <c r="S129" i="1"/>
  <c r="R129" i="1"/>
  <c r="N129" i="1"/>
  <c r="K129" i="1"/>
  <c r="S128" i="1"/>
  <c r="R128" i="1"/>
  <c r="S127" i="1"/>
  <c r="R127" i="1"/>
  <c r="N127" i="1"/>
  <c r="K127" i="1"/>
  <c r="S126" i="1"/>
  <c r="R126" i="1"/>
  <c r="N126" i="1"/>
  <c r="K126" i="1"/>
  <c r="S125" i="1"/>
  <c r="R125" i="1"/>
  <c r="N125" i="1"/>
  <c r="K125" i="1"/>
  <c r="S124" i="1"/>
  <c r="R124" i="1"/>
  <c r="O124" i="1"/>
  <c r="N124" i="1"/>
  <c r="K124" i="1"/>
  <c r="R123" i="1"/>
  <c r="S123" i="1" s="1"/>
  <c r="O123" i="1"/>
  <c r="N123" i="1"/>
  <c r="R122" i="1"/>
  <c r="S122" i="1" s="1"/>
  <c r="O122" i="1"/>
  <c r="N122" i="1"/>
  <c r="K122" i="1"/>
  <c r="S121" i="1"/>
  <c r="R121" i="1"/>
  <c r="O121" i="1"/>
  <c r="N121" i="1"/>
  <c r="K121" i="1"/>
  <c r="R120" i="1"/>
  <c r="S120" i="1" s="1"/>
  <c r="O120" i="1"/>
  <c r="N120" i="1"/>
  <c r="K120" i="1"/>
  <c r="S119" i="1"/>
  <c r="R119" i="1"/>
  <c r="O119" i="1"/>
  <c r="N119" i="1"/>
  <c r="K119" i="1"/>
  <c r="R118" i="1"/>
  <c r="S118" i="1" s="1"/>
  <c r="O118" i="1"/>
  <c r="N118" i="1"/>
  <c r="K118" i="1"/>
  <c r="S117" i="1"/>
  <c r="R117" i="1"/>
  <c r="O117" i="1"/>
  <c r="N117" i="1"/>
  <c r="K117" i="1"/>
  <c r="R116" i="1"/>
  <c r="S116" i="1" s="1"/>
  <c r="O116" i="1"/>
  <c r="N116" i="1"/>
  <c r="K116" i="1"/>
  <c r="S115" i="1"/>
  <c r="R115" i="1"/>
  <c r="O115" i="1"/>
  <c r="N115" i="1"/>
  <c r="K115" i="1"/>
  <c r="R114" i="1"/>
  <c r="S114" i="1" s="1"/>
  <c r="O114" i="1"/>
  <c r="N114" i="1"/>
  <c r="K114" i="1"/>
  <c r="S113" i="1"/>
  <c r="R113" i="1"/>
  <c r="O113" i="1"/>
  <c r="N113" i="1"/>
  <c r="K113" i="1"/>
  <c r="R112" i="1"/>
  <c r="S112" i="1" s="1"/>
  <c r="O112" i="1"/>
  <c r="N112" i="1"/>
  <c r="K112" i="1"/>
  <c r="S111" i="1"/>
  <c r="R111" i="1"/>
  <c r="O111" i="1"/>
  <c r="N111" i="1"/>
  <c r="K111" i="1"/>
  <c r="R110" i="1"/>
  <c r="S110" i="1" s="1"/>
  <c r="O110" i="1"/>
  <c r="N110" i="1"/>
  <c r="K110" i="1"/>
  <c r="S109" i="1"/>
  <c r="R109" i="1"/>
  <c r="O109" i="1"/>
  <c r="N109" i="1"/>
  <c r="K109" i="1"/>
  <c r="R108" i="1"/>
  <c r="S108" i="1" s="1"/>
  <c r="O108" i="1"/>
  <c r="N108" i="1"/>
  <c r="K108" i="1"/>
  <c r="S107" i="1"/>
  <c r="R107" i="1"/>
  <c r="O107" i="1"/>
  <c r="N107" i="1"/>
  <c r="K107" i="1"/>
  <c r="R106" i="1"/>
  <c r="S106" i="1" s="1"/>
  <c r="O106" i="1"/>
  <c r="N106" i="1"/>
  <c r="K106" i="1"/>
  <c r="S105" i="1"/>
  <c r="R105" i="1"/>
  <c r="O105" i="1"/>
  <c r="N105" i="1"/>
  <c r="K105" i="1"/>
  <c r="R104" i="1"/>
  <c r="S104" i="1" s="1"/>
  <c r="O104" i="1"/>
  <c r="N104" i="1"/>
  <c r="K104" i="1"/>
  <c r="S103" i="1"/>
  <c r="R103" i="1"/>
  <c r="O103" i="1"/>
  <c r="N103" i="1"/>
  <c r="K103" i="1"/>
  <c r="R102" i="1"/>
  <c r="S102" i="1" s="1"/>
  <c r="O102" i="1"/>
  <c r="N102" i="1"/>
  <c r="K102" i="1"/>
  <c r="S101" i="1"/>
  <c r="R101" i="1"/>
  <c r="O101" i="1"/>
  <c r="N101" i="1"/>
  <c r="K101" i="1"/>
  <c r="R100" i="1"/>
  <c r="S100" i="1" s="1"/>
  <c r="O100" i="1"/>
  <c r="N100" i="1"/>
  <c r="K100" i="1"/>
  <c r="S99" i="1"/>
  <c r="R99" i="1"/>
  <c r="O99" i="1"/>
  <c r="N99" i="1"/>
  <c r="K99" i="1"/>
  <c r="R98" i="1"/>
  <c r="S98" i="1" s="1"/>
  <c r="O98" i="1"/>
  <c r="N98" i="1"/>
  <c r="K98" i="1"/>
  <c r="S97" i="1"/>
  <c r="R97" i="1"/>
  <c r="O97" i="1"/>
  <c r="N97" i="1"/>
  <c r="K97" i="1"/>
  <c r="R96" i="1"/>
  <c r="S96" i="1" s="1"/>
  <c r="O96" i="1"/>
  <c r="N96" i="1"/>
  <c r="K96" i="1"/>
  <c r="S95" i="1"/>
  <c r="R95" i="1"/>
  <c r="O95" i="1"/>
  <c r="N95" i="1"/>
  <c r="K95" i="1"/>
  <c r="R94" i="1"/>
  <c r="S94" i="1" s="1"/>
  <c r="O94" i="1"/>
  <c r="N94" i="1"/>
  <c r="K94" i="1"/>
  <c r="S93" i="1"/>
  <c r="R93" i="1"/>
  <c r="O93" i="1"/>
  <c r="N93" i="1"/>
  <c r="K93" i="1"/>
  <c r="R92" i="1"/>
  <c r="S92" i="1" s="1"/>
  <c r="O92" i="1"/>
  <c r="N92" i="1"/>
  <c r="K92" i="1"/>
  <c r="O91" i="1"/>
  <c r="K91" i="1"/>
  <c r="G91" i="1"/>
  <c r="H91" i="1" s="1"/>
  <c r="O90" i="1"/>
  <c r="K90" i="1"/>
  <c r="H90" i="1"/>
  <c r="N90" i="1" s="1"/>
  <c r="G90" i="1"/>
  <c r="O89" i="1"/>
  <c r="K89" i="1"/>
  <c r="G89" i="1"/>
  <c r="H89" i="1" s="1"/>
  <c r="O88" i="1"/>
  <c r="N88" i="1"/>
  <c r="K88" i="1"/>
  <c r="H88" i="1"/>
  <c r="R88" i="1" s="1"/>
  <c r="S88" i="1" s="1"/>
  <c r="G88" i="1"/>
  <c r="O87" i="1"/>
  <c r="K87" i="1"/>
  <c r="G87" i="1"/>
  <c r="H87" i="1" s="1"/>
  <c r="R86" i="1"/>
  <c r="S86" i="1" s="1"/>
  <c r="O86" i="1"/>
  <c r="N86" i="1"/>
  <c r="K86" i="1"/>
  <c r="G86" i="1"/>
  <c r="R85" i="1"/>
  <c r="S85" i="1" s="1"/>
  <c r="O85" i="1"/>
  <c r="N85" i="1"/>
  <c r="K85" i="1"/>
  <c r="G85" i="1"/>
  <c r="O84" i="1"/>
  <c r="K84" i="1"/>
  <c r="H84" i="1"/>
  <c r="N84" i="1" s="1"/>
  <c r="R83" i="1"/>
  <c r="S83" i="1" s="1"/>
  <c r="O83" i="1"/>
  <c r="N83" i="1"/>
  <c r="K83" i="1"/>
  <c r="G83" i="1"/>
  <c r="R82" i="1"/>
  <c r="S82" i="1" s="1"/>
  <c r="O82" i="1"/>
  <c r="N82" i="1"/>
  <c r="K82" i="1"/>
  <c r="G82" i="1"/>
  <c r="R81" i="1"/>
  <c r="S81" i="1" s="1"/>
  <c r="O81" i="1"/>
  <c r="N81" i="1"/>
  <c r="K81" i="1"/>
  <c r="G81" i="1"/>
  <c r="R80" i="1"/>
  <c r="S80" i="1" s="1"/>
  <c r="O80" i="1"/>
  <c r="N80" i="1"/>
  <c r="K80" i="1"/>
  <c r="G80" i="1"/>
  <c r="O79" i="1"/>
  <c r="N79" i="1"/>
  <c r="K79" i="1"/>
  <c r="H79" i="1"/>
  <c r="R79" i="1" s="1"/>
  <c r="S79" i="1" s="1"/>
  <c r="G79" i="1"/>
  <c r="O78" i="1"/>
  <c r="K78" i="1"/>
  <c r="G78" i="1"/>
  <c r="H78" i="1" s="1"/>
  <c r="O77" i="1"/>
  <c r="K77" i="1"/>
  <c r="H77" i="1"/>
  <c r="N77" i="1" s="1"/>
  <c r="G77" i="1"/>
  <c r="S76" i="1"/>
  <c r="R76" i="1"/>
  <c r="O76" i="1"/>
  <c r="N76" i="1"/>
  <c r="K76" i="1"/>
  <c r="G76" i="1"/>
  <c r="S75" i="1"/>
  <c r="R75" i="1"/>
  <c r="O75" i="1"/>
  <c r="N75" i="1"/>
  <c r="K75" i="1"/>
  <c r="G75" i="1"/>
  <c r="O74" i="1"/>
  <c r="K74" i="1"/>
  <c r="G74" i="1"/>
  <c r="H74" i="1" s="1"/>
  <c r="O73" i="1"/>
  <c r="N73" i="1"/>
  <c r="K73" i="1"/>
  <c r="H73" i="1"/>
  <c r="R73" i="1" s="1"/>
  <c r="S73" i="1" s="1"/>
  <c r="G73" i="1"/>
  <c r="S72" i="1"/>
  <c r="R72" i="1"/>
  <c r="O72" i="1"/>
  <c r="N72" i="1"/>
  <c r="K72" i="1"/>
  <c r="O71" i="1"/>
  <c r="N71" i="1"/>
  <c r="K71" i="1"/>
  <c r="H71" i="1"/>
  <c r="R71" i="1" s="1"/>
  <c r="S71" i="1" s="1"/>
  <c r="O70" i="1"/>
  <c r="K70" i="1"/>
  <c r="H70" i="1"/>
  <c r="N70" i="1" s="1"/>
  <c r="G70" i="1"/>
  <c r="S69" i="1"/>
  <c r="R69" i="1"/>
  <c r="O69" i="1"/>
  <c r="N69" i="1"/>
  <c r="K69" i="1"/>
  <c r="R68" i="1"/>
  <c r="S68" i="1" s="1"/>
  <c r="O68" i="1"/>
  <c r="N68" i="1"/>
  <c r="K68" i="1"/>
  <c r="S67" i="1"/>
  <c r="R67" i="1"/>
  <c r="O67" i="1"/>
  <c r="N67" i="1"/>
  <c r="K67" i="1"/>
  <c r="R66" i="1"/>
  <c r="S66" i="1" s="1"/>
  <c r="O66" i="1"/>
  <c r="N66" i="1"/>
  <c r="K66" i="1"/>
  <c r="G66" i="1"/>
  <c r="R65" i="1"/>
  <c r="S65" i="1" s="1"/>
  <c r="O65" i="1"/>
  <c r="N65" i="1"/>
  <c r="K65" i="1"/>
  <c r="S64" i="1"/>
  <c r="R64" i="1"/>
  <c r="N64" i="1"/>
  <c r="K64" i="1"/>
  <c r="S63" i="1"/>
  <c r="R63" i="1"/>
  <c r="N63" i="1"/>
  <c r="K63" i="1"/>
  <c r="S62" i="1"/>
  <c r="R62" i="1"/>
  <c r="O62" i="1"/>
  <c r="N62" i="1"/>
  <c r="K62" i="1"/>
  <c r="R61" i="1"/>
  <c r="S61" i="1" s="1"/>
  <c r="O61" i="1"/>
  <c r="N61" i="1"/>
  <c r="K61" i="1"/>
  <c r="G61" i="1"/>
  <c r="R60" i="1"/>
  <c r="S60" i="1" s="1"/>
  <c r="O60" i="1"/>
  <c r="N60" i="1"/>
  <c r="K60" i="1"/>
  <c r="S59" i="1"/>
  <c r="R59" i="1"/>
  <c r="N59" i="1"/>
  <c r="R58" i="1"/>
  <c r="S58" i="1" s="1"/>
  <c r="O58" i="1"/>
  <c r="N58" i="1"/>
  <c r="K58" i="1"/>
  <c r="J58" i="1"/>
  <c r="G58" i="1"/>
  <c r="N57" i="1"/>
  <c r="K57" i="1"/>
  <c r="H57" i="1"/>
  <c r="R57" i="1" s="1"/>
  <c r="S57" i="1" s="1"/>
  <c r="G57" i="1"/>
  <c r="S56" i="1"/>
  <c r="R56" i="1"/>
  <c r="O56" i="1"/>
  <c r="N56" i="1"/>
  <c r="K56" i="1"/>
  <c r="R55" i="1"/>
  <c r="S55" i="1" s="1"/>
  <c r="O55" i="1"/>
  <c r="N55" i="1"/>
  <c r="K55" i="1"/>
  <c r="S54" i="1"/>
  <c r="R54" i="1"/>
  <c r="O54" i="1"/>
  <c r="N54" i="1"/>
  <c r="K54" i="1"/>
  <c r="R53" i="1"/>
  <c r="S53" i="1" s="1"/>
  <c r="O53" i="1"/>
  <c r="N53" i="1"/>
  <c r="K53" i="1"/>
  <c r="S52" i="1"/>
  <c r="R52" i="1"/>
  <c r="O52" i="1"/>
  <c r="N52" i="1"/>
  <c r="K52" i="1"/>
  <c r="R51" i="1"/>
  <c r="S51" i="1" s="1"/>
  <c r="O51" i="1"/>
  <c r="N51" i="1"/>
  <c r="K51" i="1"/>
  <c r="S50" i="1"/>
  <c r="R50" i="1"/>
  <c r="O50" i="1"/>
  <c r="N50" i="1"/>
  <c r="K50" i="1"/>
  <c r="R49" i="1"/>
  <c r="S49" i="1" s="1"/>
  <c r="O49" i="1"/>
  <c r="N49" i="1"/>
  <c r="K49" i="1"/>
  <c r="S48" i="1"/>
  <c r="R48" i="1"/>
  <c r="O48" i="1"/>
  <c r="N48" i="1"/>
  <c r="K48" i="1"/>
  <c r="R47" i="1"/>
  <c r="S47" i="1" s="1"/>
  <c r="O47" i="1"/>
  <c r="N47" i="1"/>
  <c r="R46" i="1"/>
  <c r="S46" i="1" s="1"/>
  <c r="R45" i="1"/>
  <c r="S45" i="1" s="1"/>
  <c r="O45" i="1"/>
  <c r="N45" i="1"/>
  <c r="K45" i="1"/>
  <c r="G45" i="1"/>
  <c r="R44" i="1"/>
  <c r="S44" i="1" s="1"/>
  <c r="O44" i="1"/>
  <c r="N44" i="1"/>
  <c r="K44" i="1"/>
  <c r="G44" i="1"/>
  <c r="R43" i="1"/>
  <c r="S43" i="1" s="1"/>
  <c r="O43" i="1"/>
  <c r="N43" i="1"/>
  <c r="K43" i="1"/>
  <c r="G43" i="1"/>
  <c r="R42" i="1"/>
  <c r="S42" i="1" s="1"/>
  <c r="O42" i="1"/>
  <c r="N42" i="1"/>
  <c r="K42" i="1"/>
  <c r="G42" i="1"/>
  <c r="R41" i="1"/>
  <c r="S41" i="1" s="1"/>
  <c r="O41" i="1"/>
  <c r="N41" i="1"/>
  <c r="K41" i="1"/>
  <c r="G41" i="1"/>
  <c r="R40" i="1"/>
  <c r="S40" i="1" s="1"/>
  <c r="O40" i="1"/>
  <c r="N40" i="1"/>
  <c r="K40" i="1"/>
  <c r="G40" i="1"/>
  <c r="R39" i="1"/>
  <c r="S39" i="1" s="1"/>
  <c r="O39" i="1"/>
  <c r="N39" i="1"/>
  <c r="K39" i="1"/>
  <c r="G39" i="1"/>
  <c r="R38" i="1"/>
  <c r="S38" i="1" s="1"/>
  <c r="O38" i="1"/>
  <c r="N38" i="1"/>
  <c r="K38" i="1"/>
  <c r="R37" i="1"/>
  <c r="S37" i="1" s="1"/>
  <c r="N37" i="1"/>
  <c r="K37" i="1"/>
  <c r="R36" i="1"/>
  <c r="S36" i="1" s="1"/>
  <c r="N36" i="1"/>
  <c r="K36" i="1"/>
  <c r="R35" i="1"/>
  <c r="S35" i="1" s="1"/>
  <c r="N35" i="1"/>
  <c r="K35" i="1"/>
  <c r="R34" i="1"/>
  <c r="S34" i="1" s="1"/>
  <c r="O34" i="1"/>
  <c r="N34" i="1"/>
  <c r="R33" i="1"/>
  <c r="S33" i="1" s="1"/>
  <c r="O33" i="1"/>
  <c r="N33" i="1"/>
  <c r="R32" i="1"/>
  <c r="S32" i="1" s="1"/>
  <c r="O32" i="1"/>
  <c r="N32" i="1"/>
  <c r="K32" i="1"/>
  <c r="R31" i="1"/>
  <c r="S31" i="1" s="1"/>
  <c r="O31" i="1"/>
  <c r="N31" i="1"/>
  <c r="K31" i="1"/>
  <c r="S30" i="1"/>
  <c r="R30" i="1"/>
  <c r="O30" i="1"/>
  <c r="N30" i="1"/>
  <c r="S29" i="1"/>
  <c r="R29" i="1"/>
  <c r="O29" i="1"/>
  <c r="N29" i="1"/>
  <c r="K29" i="1"/>
  <c r="R28" i="1"/>
  <c r="S28" i="1" s="1"/>
  <c r="O28" i="1"/>
  <c r="N28" i="1"/>
  <c r="K28" i="1"/>
  <c r="R27" i="1"/>
  <c r="S27" i="1" s="1"/>
  <c r="O27" i="1"/>
  <c r="N27" i="1"/>
  <c r="K27" i="1"/>
  <c r="R26" i="1"/>
  <c r="S26" i="1" s="1"/>
  <c r="O26" i="1"/>
  <c r="N26" i="1"/>
  <c r="K26" i="1"/>
  <c r="S25" i="1"/>
  <c r="R25" i="1"/>
  <c r="O25" i="1"/>
  <c r="N25" i="1"/>
  <c r="K25" i="1"/>
  <c r="R24" i="1"/>
  <c r="S24" i="1" s="1"/>
  <c r="O24" i="1"/>
  <c r="N24" i="1"/>
  <c r="R23" i="1"/>
  <c r="S23" i="1" s="1"/>
  <c r="O23" i="1"/>
  <c r="N23" i="1"/>
  <c r="R22" i="1"/>
  <c r="S22" i="1" s="1"/>
  <c r="O22" i="1"/>
  <c r="N22" i="1"/>
  <c r="R21" i="1"/>
  <c r="S21" i="1" s="1"/>
  <c r="N21" i="1"/>
  <c r="K21" i="1"/>
  <c r="R20" i="1"/>
  <c r="S20" i="1" s="1"/>
  <c r="N20" i="1"/>
  <c r="K20" i="1"/>
  <c r="R19" i="1"/>
  <c r="S19" i="1" s="1"/>
  <c r="O19" i="1"/>
  <c r="N19" i="1"/>
  <c r="K19" i="1"/>
  <c r="R18" i="1"/>
  <c r="S18" i="1" s="1"/>
  <c r="O18" i="1"/>
  <c r="N18" i="1"/>
  <c r="K18" i="1"/>
  <c r="R17" i="1"/>
  <c r="S17" i="1" s="1"/>
  <c r="O17" i="1"/>
  <c r="N17" i="1"/>
  <c r="K17" i="1"/>
  <c r="S16" i="1"/>
  <c r="R16" i="1"/>
  <c r="O16" i="1"/>
  <c r="N16" i="1"/>
  <c r="K16" i="1"/>
  <c r="R15" i="1"/>
  <c r="S15" i="1" s="1"/>
  <c r="O15" i="1"/>
  <c r="N15" i="1"/>
  <c r="K15" i="1"/>
  <c r="R14" i="1"/>
  <c r="S14" i="1" s="1"/>
  <c r="N14" i="1"/>
  <c r="K14" i="1"/>
  <c r="R13" i="1"/>
  <c r="S13" i="1" s="1"/>
  <c r="O13" i="1"/>
  <c r="N13" i="1"/>
  <c r="K13" i="1"/>
  <c r="R12" i="1"/>
  <c r="S12" i="1" s="1"/>
  <c r="O12" i="1"/>
  <c r="N12" i="1"/>
  <c r="K12" i="1"/>
  <c r="S11" i="1"/>
  <c r="R11" i="1"/>
  <c r="O11" i="1"/>
  <c r="N11" i="1"/>
  <c r="K11" i="1"/>
  <c r="R10" i="1"/>
  <c r="S10" i="1" s="1"/>
  <c r="O10" i="1"/>
  <c r="N10" i="1"/>
  <c r="K10" i="1"/>
  <c r="R9" i="1"/>
  <c r="S9" i="1" s="1"/>
  <c r="O9" i="1"/>
  <c r="N9" i="1"/>
  <c r="K9" i="1"/>
  <c r="R8" i="1"/>
  <c r="S8" i="1" s="1"/>
  <c r="N8" i="1"/>
  <c r="K8" i="1"/>
  <c r="R7" i="1"/>
  <c r="S7" i="1" s="1"/>
  <c r="O7" i="1"/>
  <c r="N7" i="1"/>
  <c r="K7" i="1"/>
  <c r="S6" i="1"/>
  <c r="R6" i="1"/>
  <c r="O6" i="1"/>
  <c r="N6" i="1"/>
  <c r="K6" i="1"/>
  <c r="G6" i="1"/>
  <c r="R5" i="1"/>
  <c r="S5" i="1" s="1"/>
  <c r="O5" i="1"/>
  <c r="N5" i="1"/>
  <c r="R4" i="1"/>
  <c r="S4" i="1" s="1"/>
  <c r="O4" i="1"/>
  <c r="N4" i="1"/>
  <c r="R3" i="1"/>
  <c r="S3" i="1" s="1"/>
  <c r="O3" i="1"/>
  <c r="N3" i="1"/>
  <c r="K3" i="1"/>
  <c r="R2" i="1"/>
  <c r="S2" i="1" s="1"/>
  <c r="O2" i="1"/>
  <c r="N2" i="1"/>
  <c r="K2" i="1"/>
  <c r="N78" i="1" l="1"/>
  <c r="R78" i="1"/>
  <c r="S78" i="1" s="1"/>
  <c r="N91" i="1"/>
  <c r="R91" i="1"/>
  <c r="S91" i="1" s="1"/>
  <c r="R74" i="1"/>
  <c r="S74" i="1" s="1"/>
  <c r="N74" i="1"/>
  <c r="N87" i="1"/>
  <c r="R87" i="1"/>
  <c r="S87" i="1" s="1"/>
  <c r="R89" i="1"/>
  <c r="S89" i="1" s="1"/>
  <c r="N89" i="1"/>
  <c r="N230" i="1"/>
  <c r="R146" i="1"/>
  <c r="S146" i="1" s="1"/>
  <c r="R148" i="1"/>
  <c r="S148" i="1" s="1"/>
  <c r="N203" i="1"/>
  <c r="N205" i="1"/>
  <c r="N207" i="1"/>
  <c r="R70" i="1"/>
  <c r="S70" i="1" s="1"/>
  <c r="S230" i="1" s="1"/>
  <c r="R77" i="1"/>
  <c r="S77" i="1" s="1"/>
  <c r="R84" i="1"/>
  <c r="S84" i="1" s="1"/>
  <c r="R90" i="1"/>
  <c r="S90" i="1" s="1"/>
</calcChain>
</file>

<file path=xl/sharedStrings.xml><?xml version="1.0" encoding="utf-8"?>
<sst xmlns="http://schemas.openxmlformats.org/spreadsheetml/2006/main" count="1736" uniqueCount="586">
  <si>
    <t>Part</t>
  </si>
  <si>
    <t>Country of Origin</t>
  </si>
  <si>
    <t>Assembly Quantity</t>
  </si>
  <si>
    <t>For 13</t>
  </si>
  <si>
    <t>In Stock</t>
  </si>
  <si>
    <t>Manufacturer</t>
  </si>
  <si>
    <t>Box</t>
  </si>
  <si>
    <t>Supplier</t>
  </si>
  <si>
    <t>Part Number</t>
  </si>
  <si>
    <t>Assembly Category</t>
  </si>
  <si>
    <t>Package Quantity</t>
  </si>
  <si>
    <t>Packages to Order</t>
  </si>
  <si>
    <t>Unit Cost</t>
  </si>
  <si>
    <t>Total Quantity</t>
  </si>
  <si>
    <t>Total Cost</t>
  </si>
  <si>
    <t>Unit Weight (lbs)</t>
  </si>
  <si>
    <t>Total Weight (lbs)</t>
  </si>
  <si>
    <t>Description</t>
  </si>
  <si>
    <t>1/2" NPT male-male Venturi injector</t>
  </si>
  <si>
    <t>4' x 8 x 1/4" Komatex™ sheet</t>
  </si>
  <si>
    <t>Status</t>
  </si>
  <si>
    <t>Order Receipt</t>
  </si>
  <si>
    <t>Receipt Line</t>
  </si>
  <si>
    <t>Total Weight (kg)</t>
  </si>
  <si>
    <t>NETGEAR 8­-Port Gigabit Ethernet Unmanaged Switch</t>
  </si>
  <si>
    <t>communciations box 01</t>
  </si>
  <si>
    <t>Kommerling USA</t>
  </si>
  <si>
    <t>Communications</t>
  </si>
  <si>
    <t>China</t>
  </si>
  <si>
    <t>to be invoiced</t>
  </si>
  <si>
    <t>Netgear</t>
  </si>
  <si>
    <t>no</t>
  </si>
  <si>
    <t>KingSo</t>
  </si>
  <si>
    <t>GS308</t>
  </si>
  <si>
    <t>KINGSOKIJOP6559</t>
  </si>
  <si>
    <t>24" x 48" hydroponic grow tray</t>
  </si>
  <si>
    <t>4' x 8' x 1/8" Komatex™ sheet</t>
  </si>
  <si>
    <t>2' x 3' x 1/8" polycarbonate sheet</t>
  </si>
  <si>
    <t>United States</t>
  </si>
  <si>
    <t>not listed</t>
  </si>
  <si>
    <t>Botanicare</t>
  </si>
  <si>
    <t>8574K265</t>
  </si>
  <si>
    <t>2' x 3' x 3/8" neoprene sheet</t>
  </si>
  <si>
    <t>1/2" PVC 90, both female ends slip</t>
  </si>
  <si>
    <t>NETGEAR 8­Port Gigabit Smart Managed Pro Switch, PoE/PoE+</t>
  </si>
  <si>
    <t>8647K25</t>
  </si>
  <si>
    <t>Onsrud 65-000 1/16" super-o endmill</t>
  </si>
  <si>
    <t>Onsrud</t>
  </si>
  <si>
    <t>65-000</t>
  </si>
  <si>
    <t>GS108Tv2</t>
  </si>
  <si>
    <t>Atlas Scientific RO sensor</t>
  </si>
  <si>
    <t>pending</t>
  </si>
  <si>
    <t>Atlas Scientific</t>
  </si>
  <si>
    <t>B00CJIBMIK</t>
  </si>
  <si>
    <t>ENV-40-ORP</t>
  </si>
  <si>
    <t>Atlas Scientific EC sensor</t>
  </si>
  <si>
    <t>1/2" FNPT x FNPT x FNPT tee</t>
  </si>
  <si>
    <t>1/2" PVC tee, slip on sides, threaded center</t>
  </si>
  <si>
    <t>Lasco</t>
  </si>
  <si>
    <t>15 amp regular recepticles</t>
  </si>
  <si>
    <t>misc box 01</t>
  </si>
  <si>
    <t>AC Electrical</t>
  </si>
  <si>
    <t>Hubbell</t>
  </si>
  <si>
    <t>Delande</t>
  </si>
  <si>
    <t>ENV-40-EC-K0.1</t>
  </si>
  <si>
    <t>22FL01</t>
  </si>
  <si>
    <t>Atlas Scientific pH sensor</t>
  </si>
  <si>
    <t>RR15W</t>
  </si>
  <si>
    <t>ENV-40-pH</t>
  </si>
  <si>
    <t>reservoir tray</t>
  </si>
  <si>
    <t>OpenAg, MIT Media Lab</t>
  </si>
  <si>
    <t>LED</t>
  </si>
  <si>
    <t>PCB</t>
  </si>
  <si>
    <t>fan</t>
  </si>
  <si>
    <t>heat sink</t>
  </si>
  <si>
    <t>15 amp GFCI recepticles</t>
  </si>
  <si>
    <t>electrical box 04</t>
  </si>
  <si>
    <t>1/2" MNPT x sock adapter</t>
  </si>
  <si>
    <t>power supply</t>
  </si>
  <si>
    <t>GFTWRST15W</t>
  </si>
  <si>
    <t>Beagle Bone Black</t>
  </si>
  <si>
    <t>GHI Electronics</t>
  </si>
  <si>
    <t>1/2" PVC plug for capping fill-side irrigation line</t>
  </si>
  <si>
    <t>weatherproof duplex receptacle flip cover</t>
  </si>
  <si>
    <t>electrical box 01</t>
  </si>
  <si>
    <t>India</t>
  </si>
  <si>
    <t>Bell</t>
  </si>
  <si>
    <t>22FJ19</t>
  </si>
  <si>
    <t>BBB01-SC-505-ND</t>
  </si>
  <si>
    <t>USB camera</t>
  </si>
  <si>
    <t>air stone</t>
  </si>
  <si>
    <t>5180-2</t>
  </si>
  <si>
    <t>1/2" NPT f-f corner_thr01</t>
  </si>
  <si>
    <t>air pump</t>
  </si>
  <si>
    <t>water pump</t>
  </si>
  <si>
    <t>22FJ74</t>
  </si>
  <si>
    <t>Adapter for connecting hose to pump outlet</t>
  </si>
  <si>
    <t>Pass &amp; Seymour/Legrand 15 Amp 125-Volt Industrial-Grade Plug</t>
  </si>
  <si>
    <t>Mexico</t>
  </si>
  <si>
    <t>Leviton</t>
  </si>
  <si>
    <t>1/2" NPT union</t>
  </si>
  <si>
    <t>589538</t>
  </si>
  <si>
    <t>22FM79</t>
  </si>
  <si>
    <t>1/2" PVC elbow, slip on sides, threaded center</t>
  </si>
  <si>
    <t>cable glands</t>
  </si>
  <si>
    <t>3/4" 90 threaded street elbow</t>
  </si>
  <si>
    <t>69915K57</t>
  </si>
  <si>
    <t>yes</t>
  </si>
  <si>
    <t>2018-03-18_McMaster</t>
  </si>
  <si>
    <t>1/2" 2-hole clamp (25 pack)</t>
  </si>
  <si>
    <t>electrical box 03</t>
  </si>
  <si>
    <t>DC Electrical</t>
  </si>
  <si>
    <t>22FJ82</t>
  </si>
  <si>
    <t>generic</t>
  </si>
  <si>
    <t>R5133736M</t>
  </si>
  <si>
    <t>PVC Union, FNPT x FNPT, 3/4" NPT, Sch 40</t>
  </si>
  <si>
    <t>Angled through-wall, push-to-connect fittings for easy removal/install of plastic trays</t>
  </si>
  <si>
    <t>1/2" conduit body LL</t>
  </si>
  <si>
    <t>Carlon</t>
  </si>
  <si>
    <t>22FM80</t>
  </si>
  <si>
    <t>E984D-CTN</t>
  </si>
  <si>
    <t>PVC Union, FNPT x FNPT, 3/4" NPT, Sch 80</t>
  </si>
  <si>
    <t>GF Pipe Systems</t>
  </si>
  <si>
    <t>One straight through-wall, push-to-connect fitting for reservoir-to-pump connection</t>
  </si>
  <si>
    <t>1/2" conduit body LR</t>
  </si>
  <si>
    <t>11W267</t>
  </si>
  <si>
    <t>1/2" FPT x 1/2" FPT x 12"L braided sink line</t>
  </si>
  <si>
    <t>Brass Craft</t>
  </si>
  <si>
    <t>B3-12A F</t>
  </si>
  <si>
    <t>1/2" FPT x 1/2" FPT x 16"L braided sink line</t>
  </si>
  <si>
    <t>1 3/4" #8 screws for fastening superklips to rack</t>
  </si>
  <si>
    <t>1/2" conduit body tee</t>
  </si>
  <si>
    <t>B3-16A F</t>
  </si>
  <si>
    <t>1/2" MPT x 3/4" hose spigot</t>
  </si>
  <si>
    <t>Everbilt</t>
  </si>
  <si>
    <t>243496</t>
  </si>
  <si>
    <t>galvanized l-bracket</t>
  </si>
  <si>
    <t>Simpson Strong Tie</t>
  </si>
  <si>
    <t>E983D-CTN</t>
  </si>
  <si>
    <t>A21Z</t>
  </si>
  <si>
    <t>Green Monster plant cart</t>
  </si>
  <si>
    <t>#8 flange nuts for fastening superklips to rack</t>
  </si>
  <si>
    <t>Matco</t>
  </si>
  <si>
    <t>1/2 in. CPVC CTS Slip x MPT Male Adapter</t>
  </si>
  <si>
    <t>22-777</t>
  </si>
  <si>
    <t>1/2" NPT gasket</t>
  </si>
  <si>
    <t>4061T163</t>
  </si>
  <si>
    <t>O-ring between angled push to connect fittings and plastic trays for water-tight seal</t>
  </si>
  <si>
    <t>plastic handy box covers</t>
  </si>
  <si>
    <t>1/2" NPT nylon nut</t>
  </si>
  <si>
    <t>HB1BL</t>
  </si>
  <si>
    <t>Opaque, firm vinyl tubing for pvc-to-quick connects on trays</t>
  </si>
  <si>
    <t>4 oz. purple primer and pvc cement – handy pack</t>
  </si>
  <si>
    <t>Oatey</t>
  </si>
  <si>
    <t>3185K112</t>
  </si>
  <si>
    <t>NPT nuts for fastening all through-wall fittings</t>
  </si>
  <si>
    <t>orange wire nuts, 30 pack</t>
  </si>
  <si>
    <t>Commercial Electric</t>
  </si>
  <si>
    <t>Little Giant circulation pump</t>
  </si>
  <si>
    <t>Franklin Electric</t>
  </si>
  <si>
    <t>Adapter connecting valves to threaded PVC corners and tees</t>
  </si>
  <si>
    <t>14 guage solid wire, green, 500'</t>
  </si>
  <si>
    <t>9930K63</t>
  </si>
  <si>
    <t>Southwire</t>
  </si>
  <si>
    <t>1/2" MPT x 1/2" MPT nipple</t>
  </si>
  <si>
    <t>Green Leaf</t>
  </si>
  <si>
    <t>1/2" PVC straight, female slip to female threaded adapter</t>
  </si>
  <si>
    <t>14 guage solid wire, white, 500'</t>
  </si>
  <si>
    <t>1/2" MPT x 3/4" GHT hose adapter, plastic</t>
  </si>
  <si>
    <t>1/2" PVC backflow check valve for preventing backflow at two points in system</t>
  </si>
  <si>
    <t>14 guage solid wire, black, 500'</t>
  </si>
  <si>
    <t>1/2" NPT male x 3/4" NPT reducer nipple</t>
  </si>
  <si>
    <t>Extension cable for connecting pump to ceiling</t>
  </si>
  <si>
    <t>1-gang 12 cu. in. electrical handy box</t>
  </si>
  <si>
    <t>3/4" MPT x 1/2" MPT adapter</t>
  </si>
  <si>
    <t>B112HB</t>
  </si>
  <si>
    <t>External, continuous duty cycle pump</t>
  </si>
  <si>
    <t>1/2" conduit lock nut (6 pack)</t>
  </si>
  <si>
    <t>Parker</t>
  </si>
  <si>
    <t>Rigid</t>
  </si>
  <si>
    <t>16(26)SBC Wht Tffn 600V stranded wire (500ft)</t>
  </si>
  <si>
    <t>Canada</t>
  </si>
  <si>
    <t>Nexans</t>
  </si>
  <si>
    <t>3/4" MPT x 3/4" MPT nipple</t>
  </si>
  <si>
    <t>1/2" sch 40 PVC pipe, 18" length</t>
  </si>
  <si>
    <t>16(26)SBC Grn Tffn 600V stranded wire (500ft)</t>
  </si>
  <si>
    <t>3/4" NPT m - 3/4" hose m adapter, plastic</t>
  </si>
  <si>
    <t>16(26)SBC Blk Tffn 600V stranded wire (500ft)</t>
  </si>
  <si>
    <t>4" corner braces</t>
  </si>
  <si>
    <t>266-734</t>
  </si>
  <si>
    <t>05726484</t>
  </si>
  <si>
    <t>4" heavy duty corner braces</t>
  </si>
  <si>
    <t>Dosatron mixing tank</t>
  </si>
  <si>
    <t>831-301</t>
  </si>
  <si>
    <t>10" x 6" x 6" register box</t>
  </si>
  <si>
    <t>hvac box 01</t>
  </si>
  <si>
    <t>HVAC</t>
  </si>
  <si>
    <t>Master Flow</t>
  </si>
  <si>
    <t>Dosatron</t>
  </si>
  <si>
    <t>MC34</t>
  </si>
  <si>
    <t>RBF8X4X6</t>
  </si>
  <si>
    <t>6" 90deg round adjustable elbow</t>
  </si>
  <si>
    <t>B90E6</t>
  </si>
  <si>
    <t>6" x 2' round metal duct pipe</t>
  </si>
  <si>
    <t>BCP6X24</t>
  </si>
  <si>
    <t>6" x 40' duct socks</t>
  </si>
  <si>
    <t>THB Services</t>
  </si>
  <si>
    <t>custom</t>
  </si>
  <si>
    <t>24" x 30" galvanized sheet stock</t>
  </si>
  <si>
    <t>Home Depot</t>
  </si>
  <si>
    <t>GFS24X361P</t>
  </si>
  <si>
    <t>25x16x1 hepa filter</t>
  </si>
  <si>
    <t>Honeywell</t>
  </si>
  <si>
    <t>90701</t>
  </si>
  <si>
    <t>dynatite wire rope 80'</t>
  </si>
  <si>
    <t>pending receipt</t>
  </si>
  <si>
    <t>Dynatite</t>
  </si>
  <si>
    <t>dynatite cable lock</t>
  </si>
  <si>
    <t>36" zip ties (10 pack)</t>
  </si>
  <si>
    <t>Thailand</t>
  </si>
  <si>
    <t>GT-920HD(10)</t>
  </si>
  <si>
    <t>galvanized hanger strap 3/4" x 25'</t>
  </si>
  <si>
    <t>33530</t>
  </si>
  <si>
    <t>16 in. x 8 in. x 4 ft. half section trunk duct</t>
  </si>
  <si>
    <t>loose</t>
  </si>
  <si>
    <t>RD16X8X48</t>
  </si>
  <si>
    <t>3/4" Dosatron y-filter kit</t>
  </si>
  <si>
    <t>Irrigation</t>
  </si>
  <si>
    <t>France</t>
  </si>
  <si>
    <t>AKF5AP11KIT-A</t>
  </si>
  <si>
    <t>3/4" slip tees</t>
  </si>
  <si>
    <t>irrigation box 01</t>
  </si>
  <si>
    <t>4880K42</t>
  </si>
  <si>
    <t>3/4" slip, thread tees</t>
  </si>
  <si>
    <t>4880K393</t>
  </si>
  <si>
    <t>3/4" slip 90's</t>
  </si>
  <si>
    <t>4880K22</t>
  </si>
  <si>
    <t>3/4" slip quick disconnects</t>
  </si>
  <si>
    <t>4880K302</t>
  </si>
  <si>
    <t>3/4" ball valves, threaded</t>
  </si>
  <si>
    <t>irrigation box 02</t>
  </si>
  <si>
    <t>4876K12</t>
  </si>
  <si>
    <t>3/4" thr male to slip female adapter</t>
  </si>
  <si>
    <t>4880K62</t>
  </si>
  <si>
    <t>1" two hole straps (50 pack)</t>
  </si>
  <si>
    <t>Minerallac Company</t>
  </si>
  <si>
    <t>McMaster Carr</t>
  </si>
  <si>
    <t>250M</t>
  </si>
  <si>
    <t>1.25" two hole straps</t>
  </si>
  <si>
    <t>Empire Industries</t>
  </si>
  <si>
    <t>Salem Plumbing Supply</t>
  </si>
  <si>
    <t>231CT0125</t>
  </si>
  <si>
    <t>1/2 in. x 3/4 in. Schedule 40 PVC Reducing Male Adapter</t>
  </si>
  <si>
    <t>Irrigation box 02</t>
  </si>
  <si>
    <t>Dura</t>
  </si>
  <si>
    <t>C436-074</t>
  </si>
  <si>
    <t>1/2 in. x 3/4 in. Schedule 40 PVC Reducing Female Adapter</t>
  </si>
  <si>
    <t>U435-074</t>
  </si>
  <si>
    <t>3/4" x 1/2" reducer coupling</t>
  </si>
  <si>
    <t>Charlotte Pipe</t>
  </si>
  <si>
    <t>PVC 02100 3400HD</t>
  </si>
  <si>
    <t>3/4" x 1/2" reducer bushing</t>
  </si>
  <si>
    <t>C437-101</t>
  </si>
  <si>
    <t>1/2" slip x MIPT male adapter</t>
  </si>
  <si>
    <t>C436-005</t>
  </si>
  <si>
    <t>3/4" male adapter</t>
  </si>
  <si>
    <t>C436-007</t>
  </si>
  <si>
    <t>1-1/4 in. x 48 in. Zinc-Plated Punched Angle</t>
  </si>
  <si>
    <t>Halex 1/2 in. Electrical Metalic Tube (EMT) Set-Screw Connectors (50-pack)</t>
  </si>
  <si>
    <t>irrigation box 2</t>
  </si>
  <si>
    <t>Halex</t>
  </si>
  <si>
    <t>62705B</t>
  </si>
  <si>
    <t>12" rafter square</t>
  </si>
  <si>
    <t>Tools</t>
  </si>
  <si>
    <t>Empire</t>
  </si>
  <si>
    <t>3/4" ball valves, slip</t>
  </si>
  <si>
    <t>NDS</t>
  </si>
  <si>
    <t>3TFE2</t>
  </si>
  <si>
    <t>GC 3/4" solenoid valves</t>
  </si>
  <si>
    <t>Irrigation box 01</t>
  </si>
  <si>
    <t>S211GF16NPEG5</t>
  </si>
  <si>
    <t>3/4" to 3/4" slip unions</t>
  </si>
  <si>
    <t>pending discussion</t>
  </si>
  <si>
    <t>1 1/16" socket wrench (six point)</t>
  </si>
  <si>
    <t>tool box 01</t>
  </si>
  <si>
    <t>5545A291</t>
  </si>
  <si>
    <t>3/4" MPT x 3/4" MPT nipple, plastic</t>
  </si>
  <si>
    <t>Irrigation Box 01</t>
  </si>
  <si>
    <t>4882K14</t>
  </si>
  <si>
    <t>compact keyboard</t>
  </si>
  <si>
    <t>iKKEGOL</t>
  </si>
  <si>
    <t>B00LL4QQ7U</t>
  </si>
  <si>
    <t>OpenAg shelf insert</t>
  </si>
  <si>
    <t>Rack</t>
  </si>
  <si>
    <t>Veranda HP</t>
  </si>
  <si>
    <t>100173664200</t>
  </si>
  <si>
    <t>display swivel bar mounting bracket</t>
  </si>
  <si>
    <t>XD2471-S</t>
  </si>
  <si>
    <t>LED computer monitor</t>
  </si>
  <si>
    <t>Spectre</t>
  </si>
  <si>
    <t>E165W-1600HC</t>
  </si>
  <si>
    <t>3/4" x 6' female-female hoses</t>
  </si>
  <si>
    <t>Homewerks Worldwide</t>
  </si>
  <si>
    <t>1001784247</t>
  </si>
  <si>
    <t>3/4" check valve, 11gpm</t>
  </si>
  <si>
    <t>CV34-11GPM</t>
  </si>
  <si>
    <t>3/4" Dosatron pressure regulator</t>
  </si>
  <si>
    <t>Caleffi</t>
  </si>
  <si>
    <t>PR34</t>
  </si>
  <si>
    <t>3/4" Dosatron inline mixing chamber</t>
  </si>
  <si>
    <t>1/2" pipe standoffs</t>
  </si>
  <si>
    <t>rack box 01</t>
  </si>
  <si>
    <t>Switzerland</t>
  </si>
  <si>
    <t>Caddy</t>
  </si>
  <si>
    <t>1RUZ6</t>
  </si>
  <si>
    <t>1/2" NPT f-f corner_slip</t>
  </si>
  <si>
    <t>4880K21</t>
  </si>
  <si>
    <t>1/2" NPT f-f tee_thr_loose</t>
  </si>
  <si>
    <t>4880K392</t>
  </si>
  <si>
    <t>1/2" PVC bulkhead tank fitting</t>
  </si>
  <si>
    <t>Hayward</t>
  </si>
  <si>
    <t>36895K161</t>
  </si>
  <si>
    <t>1/2" NPT f - 3/4" hose m adapter, brass</t>
  </si>
  <si>
    <t>Taiwan</t>
  </si>
  <si>
    <t>Westward</t>
  </si>
  <si>
    <t>4KG83</t>
  </si>
  <si>
    <t>3/4" NPT m - 3/4" hose m adapter, brass</t>
  </si>
  <si>
    <t>73605T51</t>
  </si>
  <si>
    <t>1/2" NPT f-f-f side outlet elbow</t>
  </si>
  <si>
    <t>744500</t>
  </si>
  <si>
    <t>1/2" NPT m to 3/4" hose spigot</t>
  </si>
  <si>
    <t>1/2" NPT m pipe to 1/2" f push-to-connect bulkhead corner adapter</t>
  </si>
  <si>
    <t>England</t>
  </si>
  <si>
    <t>51055K56</t>
  </si>
  <si>
    <t>1/2" NPT_bulkhead straight</t>
  </si>
  <si>
    <t>5562K151</t>
  </si>
  <si>
    <t>HRD-008-175-BTN-SS box (50 pack)</t>
  </si>
  <si>
    <t>92949A205</t>
  </si>
  <si>
    <t>HRD-008-flng-nut (100 pack)</t>
  </si>
  <si>
    <t>93776A381</t>
  </si>
  <si>
    <t>1/2" vinyl tubing</t>
  </si>
  <si>
    <t>5112K56</t>
  </si>
  <si>
    <t>1/2" NPT nut</t>
  </si>
  <si>
    <t>1/2" NPT nipple, brass</t>
  </si>
  <si>
    <t>4830K171</t>
  </si>
  <si>
    <t>1/2" NPT_f-f adapter</t>
  </si>
  <si>
    <t>4880K81</t>
  </si>
  <si>
    <t>3' extension cable</t>
  </si>
  <si>
    <t>9581T14</t>
  </si>
  <si>
    <t>1/2" push-to-connect Y fitting</t>
  </si>
  <si>
    <t>51055K418</t>
  </si>
  <si>
    <t>80 Mesh Mini T-Line Strainer</t>
  </si>
  <si>
    <t>Banjo</t>
  </si>
  <si>
    <t>3ELW8</t>
  </si>
  <si>
    <t>1/2" NPT in line water filter insert</t>
  </si>
  <si>
    <t>3DUF5</t>
  </si>
  <si>
    <t>rack box 03, misc box 03</t>
  </si>
  <si>
    <t>minirester water hammer arrester, AA size</t>
  </si>
  <si>
    <t>Sioux Chef</t>
  </si>
  <si>
    <t>990446</t>
  </si>
  <si>
    <t>#7 1/2 in. Slotted Hex-Head Sheet Metal Screw (1000 pack)</t>
  </si>
  <si>
    <t>Japan</t>
  </si>
  <si>
    <t>Malco</t>
  </si>
  <si>
    <t>#8 x 1/2" self-tap screws</t>
  </si>
  <si>
    <t>Buildex Teks</t>
  </si>
  <si>
    <t>#8 x 3/4" self-tapping screws</t>
  </si>
  <si>
    <t>silicone sealant</t>
  </si>
  <si>
    <t>DAP</t>
  </si>
  <si>
    <t>Husky 4 peice pliers set</t>
  </si>
  <si>
    <t>Husky</t>
  </si>
  <si>
    <t xml:space="preserve">Klein tools 11 in 1 screwdriver </t>
  </si>
  <si>
    <t>Klein Tools</t>
  </si>
  <si>
    <t>32500-12cs-sen</t>
  </si>
  <si>
    <t>Inkzall jobsite markers 4 pack</t>
  </si>
  <si>
    <t>Milwaukee</t>
  </si>
  <si>
    <t>48-22-3106</t>
  </si>
  <si>
    <t>Rotozip 2-1/2 in. Aluminum Oxide Direct Drive Plastic and Metal Rotary Blade (5 pack)</t>
  </si>
  <si>
    <t>Rotozip</t>
  </si>
  <si>
    <t>dd-pm5</t>
  </si>
  <si>
    <t>Rotozip 2-1/2 in. Aluminum Oxide Direct Drive Plastic and Metal Rotary Blade</t>
  </si>
  <si>
    <t>impact magentic nut drivers 3pack, 5/16"</t>
  </si>
  <si>
    <t>49-66-4523</t>
  </si>
  <si>
    <t>impact magentic nut drivers 3pack, 1/4"</t>
  </si>
  <si>
    <t>49-66-4522</t>
  </si>
  <si>
    <t>Stanley quick change retractable knife (2-pack)</t>
  </si>
  <si>
    <t>Stanley</t>
  </si>
  <si>
    <t>stht10274</t>
  </si>
  <si>
    <t>Husky Heavy-Duty 0.024 in. Utility Blades (10-Pack)</t>
  </si>
  <si>
    <t>1000 040 984</t>
  </si>
  <si>
    <t>7/8" shockwave thin hole saw</t>
  </si>
  <si>
    <t>49-56-9810</t>
  </si>
  <si>
    <t>manual ranging digital multimeter</t>
  </si>
  <si>
    <t>1001 418 355</t>
  </si>
  <si>
    <t xml:space="preserve">15 pack round pencils </t>
  </si>
  <si>
    <t>C.H. Hanson</t>
  </si>
  <si>
    <t>9" high leverage multi purpose pliers</t>
  </si>
  <si>
    <t>1000 020 313</t>
  </si>
  <si>
    <t>powerlock tape measure</t>
  </si>
  <si>
    <t>5.5 Amp Corded 1/4 in. RotoSaw Spiral Saw Tool Kit with 5 Accessories</t>
  </si>
  <si>
    <t>ss355-10</t>
  </si>
  <si>
    <t>DD1 direct drive attachment (for rotosaw)</t>
  </si>
  <si>
    <t>DD1-10</t>
  </si>
  <si>
    <t>12" double speed adjustable wrench</t>
  </si>
  <si>
    <t>860 075</t>
  </si>
  <si>
    <t>10" double speed adjustable wrench</t>
  </si>
  <si>
    <t>GFCI outlet tester</t>
  </si>
  <si>
    <t>double jaw wire stripper / crimper</t>
  </si>
  <si>
    <t>1001 249 254</t>
  </si>
  <si>
    <t>straight-cut aviation snips</t>
  </si>
  <si>
    <t>Wiss</t>
  </si>
  <si>
    <t>m3rs</t>
  </si>
  <si>
    <t>PVC inserts for mating plastic trays to shelves</t>
  </si>
  <si>
    <t>Milwaukee M12 12-Volt Lithium-Ion Cordless Hammer Drill/Impact Driver Combo Kit</t>
  </si>
  <si>
    <t>misc box 03</t>
  </si>
  <si>
    <t>2497-22</t>
  </si>
  <si>
    <t>Milwaukee Shockwave Impact Duty Driver Bit Set (50-Piece)</t>
  </si>
  <si>
    <t>48-89-4630</t>
  </si>
  <si>
    <t>Adapter for connecting hose to all PVC inlets and outlets</t>
  </si>
  <si>
    <t>Milwaukee Titanium Shockwave Drill Bit Kit (15-Piece)</t>
  </si>
  <si>
    <t>48-32-4024</t>
  </si>
  <si>
    <t>8" garden cable tie tube – camouflage (200 pack)</t>
  </si>
  <si>
    <t>11" zip ties</t>
  </si>
  <si>
    <t>Catamount</t>
  </si>
  <si>
    <t>295-682</t>
  </si>
  <si>
    <t>4" zip ties</t>
  </si>
  <si>
    <t>Hose for connecting pump inlet and outlet to PVC irrigation</t>
  </si>
  <si>
    <t>24" structo-cast level</t>
  </si>
  <si>
    <t>Johnson Level &amp; Tool</t>
  </si>
  <si>
    <t>5 pack teflon tape</t>
  </si>
  <si>
    <t>Generic</t>
  </si>
  <si>
    <t>general purpose duct tape, silver</t>
  </si>
  <si>
    <t>Duck Tape</t>
  </si>
  <si>
    <t>heavy duty gorilla tape</t>
  </si>
  <si>
    <t>Gorilla</t>
  </si>
  <si>
    <t>1 1/16" sockets</t>
  </si>
  <si>
    <t>soft tubing cutter</t>
  </si>
  <si>
    <t>48-22-4202</t>
  </si>
  <si>
    <t>10oz caulking gun</t>
  </si>
  <si>
    <t>HDX</t>
  </si>
  <si>
    <t>HD109</t>
  </si>
  <si>
    <t>Datashark</t>
  </si>
  <si>
    <t>tool box 02</t>
  </si>
  <si>
    <t>3in Neoprene Shield</t>
  </si>
  <si>
    <t>tool box 2</t>
  </si>
  <si>
    <t>Fernco</t>
  </si>
  <si>
    <t>Screwdriver Set (6-Pieces)</t>
  </si>
  <si>
    <t>Sioux Chief 3/4</t>
  </si>
  <si>
    <t>Sioux Chief</t>
  </si>
  <si>
    <t>1-1/4 in PCV Ratcheting Cutter</t>
  </si>
  <si>
    <t>3 in PVC DWV Fitting</t>
  </si>
  <si>
    <t>irrigation outlet subassembly (17)</t>
  </si>
  <si>
    <t>1/2" NPT m pipe to 1/2" f push-to-connect adapter</t>
  </si>
  <si>
    <t>miscellaneous box 02</t>
  </si>
  <si>
    <t>Singapore</t>
  </si>
  <si>
    <t>51235K119</t>
  </si>
  <si>
    <t>1/2" NPT f-f tee_thr_assembled</t>
  </si>
  <si>
    <t>1/2" NPT f-f corner_thr02</t>
  </si>
  <si>
    <t>4880K321</t>
  </si>
  <si>
    <t>1/2" x 35' PVC pipe</t>
  </si>
  <si>
    <t>48925K11</t>
  </si>
  <si>
    <t>irrigation intake assembly (16)</t>
  </si>
  <si>
    <t>1/2" NPT threaded plug</t>
  </si>
  <si>
    <t>48335K154</t>
  </si>
  <si>
    <t>1/2" NPT f-f ball valve</t>
  </si>
  <si>
    <t>Italy</t>
  </si>
  <si>
    <t>434646</t>
  </si>
  <si>
    <t>1/2" NPT m pipe to 1/2" f push-to-connect backflow prevention adapter</t>
  </si>
  <si>
    <t>1866T41</t>
  </si>
  <si>
    <t>1/2" street elbow</t>
  </si>
  <si>
    <t>4880K621</t>
  </si>
  <si>
    <t>stainless 1/2" NPT nipple</t>
  </si>
  <si>
    <t>1/2" MPT x 3/4" MGHT brass adapter</t>
  </si>
  <si>
    <t>73605T87</t>
  </si>
  <si>
    <t>1/2" NPT backflow preventer</t>
  </si>
  <si>
    <t>46835K52</t>
  </si>
  <si>
    <t>1/2" x 16' PVC pipe</t>
  </si>
  <si>
    <t>WATERBOT MANIFOLD ASSEMBLY (2)</t>
  </si>
  <si>
    <t>3/4" PVC pipe, 3'</t>
  </si>
  <si>
    <t>DOSATRON UNIT ASSEMBLY (4)</t>
  </si>
  <si>
    <t>3/4" thr/thr union</t>
  </si>
  <si>
    <t>3/4" x 2' PVC pipe</t>
  </si>
  <si>
    <t>57570</t>
  </si>
  <si>
    <t>2018-03-12_Home Depot</t>
  </si>
  <si>
    <t>Dosatron D14MZ2 unit</t>
  </si>
  <si>
    <t>D14MZ2VFII</t>
  </si>
  <si>
    <t>CABLE TRAY ASSEMBLY (12)</t>
  </si>
  <si>
    <t>10’ cable tray section with ends and cover</t>
  </si>
  <si>
    <t>Consigli</t>
  </si>
  <si>
    <t>metal 2 1/8" deep metal handy box (25 pack)</t>
  </si>
  <si>
    <t>Raco</t>
  </si>
  <si>
    <t>2018-03-06_Home Depot</t>
  </si>
  <si>
    <t>2.5 x 24" EMT sleeve</t>
  </si>
  <si>
    <t>PIPE &amp; RAIL STOCK</t>
  </si>
  <si>
    <t>1/2" x 10' PVC pipe</t>
  </si>
  <si>
    <t>1/2" x 10' conduit pipe</t>
  </si>
  <si>
    <t>JM Eagle</t>
  </si>
  <si>
    <t>2018-02-28_Home Depot</t>
  </si>
  <si>
    <t>3/4" x 10' PVC pipe</t>
  </si>
  <si>
    <t>4' DIN rail</t>
  </si>
  <si>
    <t>Ball valves for balancing pump-side water inputs to trays</t>
  </si>
  <si>
    <t>MURRAY BOX ASSEMBLIES (2)</t>
  </si>
  <si>
    <t>1-1/2" deep switch box w/plaster ears, 1/2" KO</t>
  </si>
  <si>
    <t>murray box 01, murray box 02</t>
  </si>
  <si>
    <t>Murray 100 Amp 20-Space 40-Circuit Main Breaker Load Center</t>
  </si>
  <si>
    <t>Murray</t>
  </si>
  <si>
    <t>LC2040B1100</t>
  </si>
  <si>
    <t>Murray 125 Amp 20-Space 40-Circuit Main Lug Load Center</t>
  </si>
  <si>
    <t>LC2040L1125</t>
  </si>
  <si>
    <t>GEIST BOX ASSEMBLY (2)</t>
  </si>
  <si>
    <t>wall-mount enclosure</t>
  </si>
  <si>
    <t>electrical box 01, 02</t>
  </si>
  <si>
    <t>Pentair</t>
  </si>
  <si>
    <t>CSD36248</t>
  </si>
  <si>
    <t>Geist PDU</t>
  </si>
  <si>
    <t>Geist</t>
  </si>
  <si>
    <t>Graybar</t>
  </si>
  <si>
    <t>16062Q</t>
  </si>
  <si>
    <t>2016-11-15_Graybar</t>
  </si>
  <si>
    <t>DIN rail utility box, 125V, 20A</t>
  </si>
  <si>
    <t>DRUB20</t>
  </si>
  <si>
    <t>1/2" NPT m to 3/4" f hose for connecting system to waterbot and drainage</t>
  </si>
  <si>
    <t>36" finger channel</t>
  </si>
  <si>
    <t>2018-02-20_Delande</t>
  </si>
  <si>
    <t>LED Light Fixture V1 (16)</t>
  </si>
  <si>
    <t>GE LED, red</t>
  </si>
  <si>
    <t>light panel boxes</t>
  </si>
  <si>
    <t>Light Panel</t>
  </si>
  <si>
    <t>Hungary</t>
  </si>
  <si>
    <t>GE</t>
  </si>
  <si>
    <t>93043208</t>
  </si>
  <si>
    <t>GE LED, blue</t>
  </si>
  <si>
    <t>93043209</t>
  </si>
  <si>
    <t>GE LED, white</t>
  </si>
  <si>
    <t>93043210</t>
  </si>
  <si>
    <t>ESTO 1" aluminum bar, 51.5" length</t>
  </si>
  <si>
    <t>Esto</t>
  </si>
  <si>
    <t>109150-AB</t>
  </si>
  <si>
    <t>ESTO 1" aluminum bar, 20" length</t>
  </si>
  <si>
    <t>ESTO 1" elbow</t>
  </si>
  <si>
    <t>521100-BX</t>
  </si>
  <si>
    <t>ESTO 1" tees</t>
  </si>
  <si>
    <t>532100-BX</t>
  </si>
  <si>
    <t>ELP 2.1mm Wide Angle 5MP Hd Camera</t>
  </si>
  <si>
    <t>ELP</t>
  </si>
  <si>
    <t>ELP-USB500W02M-L21</t>
  </si>
  <si>
    <t>custom 1/8" aluminum sheet, strap</t>
  </si>
  <si>
    <t>Incodema</t>
  </si>
  <si>
    <t>HortLED</t>
  </si>
  <si>
    <t>82632-HLS</t>
  </si>
  <si>
    <t>custom 1/8" aluminum strap, left</t>
  </si>
  <si>
    <t>custom 1/8" aluminum strap, right</t>
  </si>
  <si>
    <t>OpenAg light panel cable</t>
  </si>
  <si>
    <t>driver board boxes</t>
  </si>
  <si>
    <t>HortLED, GE</t>
  </si>
  <si>
    <t>wago 222­415 lever nut connectors</t>
  </si>
  <si>
    <t>Driver Boards</t>
  </si>
  <si>
    <t>Wago</t>
  </si>
  <si>
    <t>222-415</t>
  </si>
  <si>
    <t>6061 aluminum sheet, 1/8" x 24" x 24"</t>
  </si>
  <si>
    <t>89015K48</t>
  </si>
  <si>
    <t>80/20 framing, 2" x 1" x 8'</t>
  </si>
  <si>
    <t>80/20</t>
  </si>
  <si>
    <t>47065T107</t>
  </si>
  <si>
    <t>plastic submersible chord grips</t>
  </si>
  <si>
    <t>7310K23</t>
  </si>
  <si>
    <t>clear cast acryclic sheet, 24" x 24" x 1/4"</t>
  </si>
  <si>
    <t>8560K357</t>
  </si>
  <si>
    <t>80/20 framing, end-feed fasteners</t>
  </si>
  <si>
    <t>100k ohm potentiometer</t>
  </si>
  <si>
    <t>Vishay</t>
  </si>
  <si>
    <t>72-P16NP104MAB15</t>
  </si>
  <si>
    <t>HLG-600H-12B LED power supplies</t>
  </si>
  <si>
    <t>Mean Well</t>
  </si>
  <si>
    <t>HLG-600H-12B</t>
  </si>
  <si>
    <t>Standard Circular Connector 6+PE MALE</t>
  </si>
  <si>
    <t>523-C01630C00610012</t>
  </si>
  <si>
    <t>125V 13A AC power chords</t>
  </si>
  <si>
    <t>562-311022-01</t>
  </si>
  <si>
    <t>22" x 22" x 4" corrugated boxes</t>
  </si>
  <si>
    <t>U-Line</t>
  </si>
  <si>
    <t>S-12606</t>
  </si>
  <si>
    <t>economy bubble roll 24" x 375' x 5/16"</t>
  </si>
  <si>
    <t>S-6684P</t>
  </si>
  <si>
    <t>Mini Rack-to-Wall Connection Assembly (16)</t>
  </si>
  <si>
    <t>miscellaneous box 06</t>
  </si>
  <si>
    <t>Total 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</si>
</sst>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8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4"/>
      <name val="Arial"/>
    </font>
    <font>
      <b/>
      <sz val="16"/>
      <name val="Arial"/>
    </font>
    <font>
      <sz val="16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2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left"/>
    </xf>
    <xf numFmtId="0" fontId="1" fillId="3" borderId="0" xfId="0" applyFont="1" applyFill="1" applyAlignment="1"/>
    <xf numFmtId="0" fontId="1" fillId="4" borderId="0" xfId="0" applyFont="1" applyFill="1" applyAlignment="1"/>
    <xf numFmtId="2" fontId="1" fillId="3" borderId="0" xfId="0" applyNumberFormat="1" applyFont="1" applyFill="1" applyAlignment="1">
      <alignment horizontal="left"/>
    </xf>
    <xf numFmtId="1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2" fillId="4" borderId="0" xfId="0" applyFont="1" applyFill="1" applyAlignment="1"/>
    <xf numFmtId="164" fontId="3" fillId="3" borderId="0" xfId="0" applyNumberFormat="1" applyFont="1" applyFill="1" applyAlignment="1"/>
    <xf numFmtId="49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/>
    <xf numFmtId="164" fontId="1" fillId="3" borderId="0" xfId="0" applyNumberFormat="1" applyFont="1" applyFill="1" applyAlignment="1"/>
    <xf numFmtId="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/>
    <xf numFmtId="0" fontId="1" fillId="3" borderId="0" xfId="0" applyFont="1" applyFill="1"/>
    <xf numFmtId="0" fontId="1" fillId="5" borderId="0" xfId="0" applyFont="1" applyFill="1" applyAlignment="1"/>
    <xf numFmtId="4" fontId="4" fillId="4" borderId="0" xfId="0" applyNumberFormat="1" applyFont="1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4" fontId="1" fillId="4" borderId="0" xfId="0" applyNumberFormat="1" applyFont="1" applyFill="1" applyAlignment="1"/>
    <xf numFmtId="1" fontId="1" fillId="5" borderId="0" xfId="0" applyNumberFormat="1" applyFont="1" applyFill="1" applyAlignment="1">
      <alignment horizontal="right"/>
    </xf>
    <xf numFmtId="4" fontId="1" fillId="4" borderId="0" xfId="0" applyNumberFormat="1" applyFont="1" applyFill="1" applyAlignment="1"/>
    <xf numFmtId="4" fontId="1" fillId="4" borderId="0" xfId="0" applyNumberFormat="1" applyFont="1" applyFill="1" applyAlignment="1">
      <alignment horizontal="right"/>
    </xf>
    <xf numFmtId="1" fontId="1" fillId="4" borderId="0" xfId="0" applyNumberFormat="1" applyFont="1" applyFill="1" applyAlignment="1"/>
    <xf numFmtId="0" fontId="5" fillId="4" borderId="0" xfId="0" applyFont="1" applyFill="1" applyAlignment="1"/>
    <xf numFmtId="2" fontId="5" fillId="4" borderId="0" xfId="0" applyNumberFormat="1" applyFont="1" applyFill="1" applyAlignment="1"/>
    <xf numFmtId="1" fontId="5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/>
    <xf numFmtId="164" fontId="7" fillId="5" borderId="0" xfId="0" applyNumberFormat="1" applyFont="1" applyFill="1" applyAlignment="1"/>
    <xf numFmtId="49" fontId="5" fillId="4" borderId="0" xfId="0" applyNumberFormat="1" applyFont="1" applyFill="1" applyAlignment="1">
      <alignment horizontal="right"/>
    </xf>
    <xf numFmtId="49" fontId="1" fillId="5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4" fontId="8" fillId="4" borderId="0" xfId="0" applyNumberFormat="1" applyFont="1" applyFill="1" applyAlignment="1"/>
    <xf numFmtId="4" fontId="1" fillId="5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1" fillId="5" borderId="0" xfId="0" applyFont="1" applyFill="1"/>
    <xf numFmtId="0" fontId="9" fillId="3" borderId="0" xfId="0" applyFont="1" applyFill="1" applyAlignment="1"/>
    <xf numFmtId="164" fontId="5" fillId="4" borderId="0" xfId="0" applyNumberFormat="1" applyFont="1" applyFill="1" applyAlignment="1"/>
    <xf numFmtId="0" fontId="10" fillId="3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>
      <alignment horizontal="right"/>
    </xf>
    <xf numFmtId="164" fontId="1" fillId="4" borderId="0" xfId="0" applyNumberFormat="1" applyFont="1" applyFill="1" applyAlignment="1"/>
    <xf numFmtId="164" fontId="1" fillId="3" borderId="0" xfId="0" applyNumberFormat="1" applyFont="1" applyFill="1" applyAlignment="1"/>
    <xf numFmtId="4" fontId="1" fillId="3" borderId="0" xfId="0" applyNumberFormat="1" applyFont="1" applyFill="1" applyAlignment="1"/>
    <xf numFmtId="1" fontId="1" fillId="4" borderId="0" xfId="0" applyNumberFormat="1" applyFont="1" applyFill="1" applyAlignment="1">
      <alignment horizontal="right"/>
    </xf>
    <xf numFmtId="1" fontId="1" fillId="3" borderId="0" xfId="0" applyNumberFormat="1" applyFont="1" applyFill="1" applyAlignment="1"/>
    <xf numFmtId="0" fontId="11" fillId="3" borderId="0" xfId="0" applyFont="1" applyFill="1" applyAlignment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12" fillId="3" borderId="0" xfId="0" applyFont="1" applyFill="1"/>
    <xf numFmtId="0" fontId="9" fillId="3" borderId="0" xfId="0" applyFont="1" applyFill="1" applyAlignment="1">
      <alignment horizontal="right"/>
    </xf>
    <xf numFmtId="0" fontId="1" fillId="6" borderId="0" xfId="0" applyFont="1" applyFill="1" applyAlignment="1"/>
    <xf numFmtId="2" fontId="1" fillId="6" borderId="0" xfId="0" applyNumberFormat="1" applyFont="1" applyFill="1" applyAlignment="1">
      <alignment horizontal="left"/>
    </xf>
    <xf numFmtId="1" fontId="1" fillId="6" borderId="0" xfId="0" applyNumberFormat="1" applyFont="1" applyFill="1" applyAlignment="1">
      <alignment horizontal="right"/>
    </xf>
    <xf numFmtId="4" fontId="13" fillId="4" borderId="0" xfId="0" applyNumberFormat="1" applyFont="1" applyFill="1" applyAlignment="1">
      <alignment horizontal="left"/>
    </xf>
    <xf numFmtId="164" fontId="14" fillId="6" borderId="0" xfId="0" applyNumberFormat="1" applyFont="1" applyFill="1" applyAlignme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/>
    <xf numFmtId="4" fontId="1" fillId="6" borderId="0" xfId="0" applyNumberFormat="1" applyFont="1" applyFill="1" applyAlignment="1">
      <alignment horizontal="right"/>
    </xf>
    <xf numFmtId="0" fontId="1" fillId="6" borderId="0" xfId="0" applyFont="1" applyFill="1"/>
    <xf numFmtId="4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15" fillId="6" borderId="0" xfId="0" applyFont="1" applyFill="1"/>
    <xf numFmtId="0" fontId="9" fillId="6" borderId="0" xfId="0" applyFont="1" applyFill="1" applyAlignment="1"/>
    <xf numFmtId="0" fontId="16" fillId="6" borderId="0" xfId="0" applyFont="1" applyFill="1" applyAlignme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 applyAlignment="1"/>
    <xf numFmtId="4" fontId="1" fillId="6" borderId="0" xfId="0" applyNumberFormat="1" applyFont="1" applyFill="1" applyAlignment="1"/>
    <xf numFmtId="4" fontId="1" fillId="6" borderId="0" xfId="0" applyNumberFormat="1" applyFont="1" applyFill="1" applyAlignment="1"/>
    <xf numFmtId="1" fontId="1" fillId="6" borderId="0" xfId="0" applyNumberFormat="1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left"/>
    </xf>
    <xf numFmtId="0" fontId="17" fillId="7" borderId="0" xfId="0" applyFont="1" applyFill="1" applyAlignment="1"/>
    <xf numFmtId="0" fontId="1" fillId="7" borderId="0" xfId="0" applyFont="1" applyFill="1" applyAlignment="1">
      <alignment horizontal="right"/>
    </xf>
    <xf numFmtId="164" fontId="1" fillId="7" borderId="0" xfId="0" applyNumberFormat="1" applyFont="1" applyFill="1" applyAlignment="1"/>
    <xf numFmtId="164" fontId="1" fillId="7" borderId="0" xfId="0" applyNumberFormat="1" applyFont="1" applyFill="1" applyAlignment="1"/>
    <xf numFmtId="4" fontId="1" fillId="7" borderId="0" xfId="0" applyNumberFormat="1" applyFont="1" applyFill="1" applyAlignment="1"/>
    <xf numFmtId="4" fontId="1" fillId="7" borderId="0" xfId="0" applyNumberFormat="1" applyFont="1" applyFill="1" applyAlignment="1"/>
    <xf numFmtId="1" fontId="1" fillId="7" borderId="0" xfId="0" applyNumberFormat="1" applyFont="1" applyFill="1" applyAlignment="1"/>
    <xf numFmtId="0" fontId="1" fillId="8" borderId="0" xfId="0" applyFont="1" applyFill="1" applyAlignment="1"/>
    <xf numFmtId="2" fontId="1" fillId="8" borderId="0" xfId="0" applyNumberFormat="1" applyFont="1" applyFill="1" applyAlignment="1">
      <alignment horizontal="left"/>
    </xf>
    <xf numFmtId="1" fontId="1" fillId="8" borderId="0" xfId="0" applyNumberFormat="1" applyFont="1" applyFill="1" applyAlignment="1">
      <alignment horizontal="right"/>
    </xf>
    <xf numFmtId="164" fontId="18" fillId="8" borderId="0" xfId="0" applyNumberFormat="1" applyFont="1" applyFill="1" applyAlignment="1"/>
    <xf numFmtId="49" fontId="1" fillId="8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4" fontId="1" fillId="8" borderId="0" xfId="0" applyNumberFormat="1" applyFont="1" applyFill="1" applyAlignment="1">
      <alignment horizontal="right"/>
    </xf>
    <xf numFmtId="0" fontId="1" fillId="8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164" fontId="1" fillId="5" borderId="0" xfId="0" applyNumberFormat="1" applyFont="1" applyFill="1" applyAlignment="1"/>
    <xf numFmtId="4" fontId="1" fillId="5" borderId="0" xfId="0" applyNumberFormat="1" applyFont="1" applyFill="1" applyAlignment="1"/>
    <xf numFmtId="4" fontId="1" fillId="5" borderId="0" xfId="0" applyNumberFormat="1" applyFont="1" applyFill="1" applyAlignment="1"/>
    <xf numFmtId="1" fontId="1" fillId="5" borderId="0" xfId="0" applyNumberFormat="1" applyFont="1" applyFill="1" applyAlignment="1"/>
    <xf numFmtId="0" fontId="19" fillId="5" borderId="0" xfId="0" applyFont="1" applyFill="1" applyAlignment="1"/>
    <xf numFmtId="164" fontId="1" fillId="5" borderId="0" xfId="0" applyNumberFormat="1" applyFont="1" applyFill="1" applyAlignment="1"/>
    <xf numFmtId="0" fontId="20" fillId="4" borderId="0" xfId="0" applyFont="1" applyFill="1" applyAlignment="1"/>
    <xf numFmtId="164" fontId="1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right"/>
    </xf>
    <xf numFmtId="164" fontId="21" fillId="4" borderId="0" xfId="0" applyNumberFormat="1" applyFont="1" applyFill="1" applyAlignment="1">
      <alignment horizontal="left"/>
    </xf>
    <xf numFmtId="164" fontId="13" fillId="4" borderId="0" xfId="0" applyNumberFormat="1" applyFont="1" applyFill="1" applyAlignment="1">
      <alignment horizontal="left"/>
    </xf>
    <xf numFmtId="164" fontId="22" fillId="4" borderId="0" xfId="0" applyNumberFormat="1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2" fontId="1" fillId="4" borderId="0" xfId="0" applyNumberFormat="1" applyFont="1" applyFill="1" applyAlignment="1"/>
    <xf numFmtId="164" fontId="23" fillId="4" borderId="0" xfId="0" applyNumberFormat="1" applyFont="1" applyFill="1" applyAlignment="1"/>
    <xf numFmtId="49" fontId="1" fillId="4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164" fontId="24" fillId="4" borderId="0" xfId="0" applyNumberFormat="1" applyFont="1" applyFill="1" applyAlignment="1"/>
    <xf numFmtId="0" fontId="13" fillId="4" borderId="0" xfId="0" applyFont="1" applyFill="1" applyAlignment="1">
      <alignment horizontal="left"/>
    </xf>
    <xf numFmtId="0" fontId="24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64" fontId="9" fillId="0" borderId="0" xfId="0" applyNumberFormat="1" applyFont="1" applyAlignment="1"/>
    <xf numFmtId="0" fontId="25" fillId="7" borderId="0" xfId="0" applyFont="1" applyFill="1" applyAlignment="1"/>
    <xf numFmtId="0" fontId="25" fillId="7" borderId="0" xfId="0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3" borderId="0" xfId="0" applyNumberFormat="1" applyFont="1" applyFill="1" applyAlignment="1"/>
    <xf numFmtId="0" fontId="25" fillId="9" borderId="0" xfId="0" applyFont="1" applyFill="1" applyAlignment="1"/>
    <xf numFmtId="0" fontId="1" fillId="9" borderId="0" xfId="0" applyFont="1" applyFill="1" applyAlignment="1"/>
    <xf numFmtId="0" fontId="1" fillId="9" borderId="0" xfId="0" applyFont="1" applyFill="1" applyAlignment="1">
      <alignment horizontal="right"/>
    </xf>
    <xf numFmtId="0" fontId="26" fillId="9" borderId="0" xfId="0" applyFont="1" applyFill="1" applyAlignment="1">
      <alignment horizontal="right"/>
    </xf>
    <xf numFmtId="0" fontId="27" fillId="9" borderId="0" xfId="0" applyFont="1" applyFill="1" applyAlignment="1"/>
    <xf numFmtId="1" fontId="28" fillId="4" borderId="0" xfId="0" applyNumberFormat="1" applyFont="1" applyFill="1" applyAlignment="1">
      <alignment horizontal="left"/>
    </xf>
    <xf numFmtId="1" fontId="13" fillId="4" borderId="0" xfId="0" applyNumberFormat="1" applyFont="1" applyFill="1" applyAlignment="1">
      <alignment horizontal="left"/>
    </xf>
    <xf numFmtId="0" fontId="25" fillId="5" borderId="0" xfId="0" applyFont="1" applyFill="1" applyAlignment="1"/>
    <xf numFmtId="0" fontId="25" fillId="5" borderId="0" xfId="0" applyFont="1" applyFill="1" applyAlignment="1">
      <alignment horizontal="right"/>
    </xf>
    <xf numFmtId="0" fontId="29" fillId="4" borderId="0" xfId="0" applyFont="1" applyFill="1" applyAlignment="1"/>
    <xf numFmtId="0" fontId="5" fillId="4" borderId="0" xfId="0" applyFont="1" applyFill="1" applyAlignment="1">
      <alignment horizontal="right"/>
    </xf>
    <xf numFmtId="0" fontId="26" fillId="4" borderId="0" xfId="0" applyFont="1" applyFill="1" applyAlignment="1">
      <alignment horizontal="right"/>
    </xf>
    <xf numFmtId="0" fontId="27" fillId="4" borderId="0" xfId="0" applyFont="1" applyFill="1" applyAlignment="1"/>
    <xf numFmtId="0" fontId="26" fillId="7" borderId="0" xfId="0" applyFont="1" applyFill="1" applyAlignment="1">
      <alignment horizontal="right"/>
    </xf>
    <xf numFmtId="0" fontId="27" fillId="7" borderId="0" xfId="0" applyFont="1" applyFill="1" applyAlignment="1"/>
    <xf numFmtId="0" fontId="30" fillId="6" borderId="0" xfId="0" applyFont="1" applyFill="1" applyAlignment="1"/>
    <xf numFmtId="0" fontId="26" fillId="6" borderId="0" xfId="0" applyFont="1" applyFill="1" applyAlignment="1">
      <alignment horizontal="right"/>
    </xf>
    <xf numFmtId="0" fontId="27" fillId="6" borderId="0" xfId="0" applyFont="1" applyFill="1" applyAlignment="1"/>
    <xf numFmtId="2" fontId="5" fillId="4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0" fontId="30" fillId="2" borderId="0" xfId="0" applyFont="1" applyFill="1" applyAlignment="1"/>
    <xf numFmtId="0" fontId="1" fillId="2" borderId="0" xfId="0" applyFont="1" applyFill="1" applyAlignment="1"/>
    <xf numFmtId="0" fontId="26" fillId="2" borderId="0" xfId="0" applyFont="1" applyFill="1" applyAlignment="1">
      <alignment horizontal="right"/>
    </xf>
    <xf numFmtId="0" fontId="27" fillId="2" borderId="0" xfId="0" applyFont="1" applyFill="1" applyAlignment="1"/>
    <xf numFmtId="0" fontId="31" fillId="4" borderId="0" xfId="0" applyFont="1" applyFill="1" applyAlignment="1"/>
    <xf numFmtId="0" fontId="31" fillId="4" borderId="0" xfId="0" applyFont="1" applyFill="1" applyAlignment="1">
      <alignment horizontal="right"/>
    </xf>
    <xf numFmtId="0" fontId="32" fillId="4" borderId="0" xfId="0" applyFont="1" applyFill="1" applyAlignment="1"/>
    <xf numFmtId="164" fontId="31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0" fillId="10" borderId="0" xfId="0" applyFont="1" applyFill="1" applyAlignment="1"/>
    <xf numFmtId="0" fontId="1" fillId="10" borderId="0" xfId="0" applyFont="1" applyFill="1" applyAlignment="1"/>
    <xf numFmtId="0" fontId="1" fillId="10" borderId="0" xfId="0" applyFont="1" applyFill="1" applyAlignment="1">
      <alignment horizontal="right"/>
    </xf>
    <xf numFmtId="0" fontId="26" fillId="10" borderId="0" xfId="0" applyFont="1" applyFill="1" applyAlignment="1">
      <alignment horizontal="right"/>
    </xf>
    <xf numFmtId="0" fontId="27" fillId="10" borderId="0" xfId="0" applyFont="1" applyFill="1" applyAlignment="1"/>
    <xf numFmtId="0" fontId="30" fillId="11" borderId="0" xfId="0" applyFont="1" applyFill="1" applyAlignment="1"/>
    <xf numFmtId="0" fontId="1" fillId="11" borderId="0" xfId="0" applyFont="1" applyFill="1" applyAlignment="1"/>
    <xf numFmtId="0" fontId="1" fillId="11" borderId="0" xfId="0" applyFont="1" applyFill="1" applyAlignment="1">
      <alignment horizontal="left"/>
    </xf>
    <xf numFmtId="0" fontId="1" fillId="11" borderId="0" xfId="0" applyFont="1" applyFill="1" applyAlignment="1">
      <alignment horizontal="right"/>
    </xf>
    <xf numFmtId="0" fontId="27" fillId="11" borderId="0" xfId="0" applyFont="1" applyFill="1" applyAlignment="1"/>
    <xf numFmtId="0" fontId="33" fillId="0" borderId="0" xfId="0" applyFont="1" applyAlignment="1"/>
    <xf numFmtId="0" fontId="34" fillId="4" borderId="0" xfId="0" applyFont="1" applyFill="1" applyAlignment="1"/>
    <xf numFmtId="0" fontId="30" fillId="9" borderId="0" xfId="0" applyFont="1" applyFill="1" applyAlignment="1"/>
    <xf numFmtId="0" fontId="35" fillId="4" borderId="0" xfId="0" applyFont="1" applyFill="1" applyAlignment="1">
      <alignment horizontal="right"/>
    </xf>
    <xf numFmtId="0" fontId="30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 applyAlignment="1">
      <alignment horizontal="right"/>
    </xf>
    <xf numFmtId="0" fontId="26" fillId="12" borderId="0" xfId="0" applyFont="1" applyFill="1" applyAlignment="1">
      <alignment horizontal="right"/>
    </xf>
    <xf numFmtId="0" fontId="27" fillId="12" borderId="0" xfId="0" applyFont="1" applyFill="1" applyAlignment="1"/>
    <xf numFmtId="0" fontId="26" fillId="4" borderId="0" xfId="0" applyFont="1" applyFill="1" applyAlignment="1"/>
    <xf numFmtId="164" fontId="26" fillId="4" borderId="0" xfId="0" applyNumberFormat="1" applyFont="1" applyFill="1" applyAlignment="1"/>
    <xf numFmtId="4" fontId="26" fillId="4" borderId="0" xfId="0" applyNumberFormat="1" applyFont="1" applyFill="1" applyAlignment="1"/>
    <xf numFmtId="0" fontId="36" fillId="2" borderId="0" xfId="0" applyFont="1" applyFill="1" applyAlignment="1">
      <alignment horizontal="left"/>
    </xf>
    <xf numFmtId="2" fontId="36" fillId="2" borderId="0" xfId="0" applyNumberFormat="1" applyFont="1" applyFill="1" applyAlignment="1">
      <alignment horizontal="left"/>
    </xf>
    <xf numFmtId="0" fontId="36" fillId="2" borderId="0" xfId="0" applyFont="1" applyFill="1" applyAlignment="1">
      <alignment horizontal="right"/>
    </xf>
    <xf numFmtId="164" fontId="36" fillId="2" borderId="0" xfId="0" applyNumberFormat="1" applyFont="1" applyFill="1" applyAlignment="1">
      <alignment horizontal="right"/>
    </xf>
    <xf numFmtId="0" fontId="37" fillId="0" borderId="0" xfId="0" applyFont="1" applyAlignment="1"/>
    <xf numFmtId="0" fontId="3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2w5JTaV_39b3ogaH3V-LvoiqyG423aV" TargetMode="External"/><Relationship Id="rId3" Type="http://schemas.openxmlformats.org/officeDocument/2006/relationships/hyperlink" Target="https://drive.google.com/open?id=1Ija8ten-uBkgL4YfKY4h_EAj42SOqpip" TargetMode="External"/><Relationship Id="rId7" Type="http://schemas.openxmlformats.org/officeDocument/2006/relationships/hyperlink" Target="https://drive.google.com/open?id=1Xmlvgi5msNfPEk2NaL-o6GE_ULKhbuQW" TargetMode="External"/><Relationship Id="rId2" Type="http://schemas.openxmlformats.org/officeDocument/2006/relationships/hyperlink" Target="https://drive.google.com/open?id=1Xmlvgi5msNfPEk2NaL-o6GE_ULKhbuQW" TargetMode="External"/><Relationship Id="rId1" Type="http://schemas.openxmlformats.org/officeDocument/2006/relationships/hyperlink" Target="https://www.homedepot.com/p/3-4-in-x-10-ft-PVC-Class-200-Plain-End-Pipe-57570/100168741" TargetMode="External"/><Relationship Id="rId6" Type="http://schemas.openxmlformats.org/officeDocument/2006/relationships/hyperlink" Target="https://www.homedepot.com/p/3-4-in-x-10-ft-PVC-Class-200-Plain-End-Pipe-57570/100168741" TargetMode="External"/><Relationship Id="rId5" Type="http://schemas.openxmlformats.org/officeDocument/2006/relationships/hyperlink" Target="https://drive.google.com/open?id=1owY_kiJiJxGl5-eklDgu3PBIKRSLRAGR" TargetMode="External"/><Relationship Id="rId4" Type="http://schemas.openxmlformats.org/officeDocument/2006/relationships/hyperlink" Target="https://www.homedepot.com/p/1-2-in-x-10-ft-PVC-Schedule-40-Conduit-67447/100122861" TargetMode="External"/><Relationship Id="rId9" Type="http://schemas.openxmlformats.org/officeDocument/2006/relationships/hyperlink" Target="https://drive.google.com/open?id=1gxLCC8-3UHEwNDlfL4m6PhAMUVkcVX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23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5.33203125" customWidth="1"/>
    <col min="2" max="2" width="32.5" customWidth="1"/>
    <col min="3" max="3" width="18" customWidth="1"/>
    <col min="4" max="4" width="16.1640625" customWidth="1"/>
    <col min="5" max="5" width="18.6640625" hidden="1" customWidth="1"/>
    <col min="6" max="6" width="16.5" hidden="1" customWidth="1"/>
    <col min="7" max="7" width="19.5" hidden="1" customWidth="1"/>
    <col min="8" max="8" width="16.83203125" customWidth="1"/>
    <col min="9" max="9" width="19.5" customWidth="1"/>
    <col min="10" max="10" width="23.1640625" customWidth="1"/>
    <col min="11" max="11" width="23.5" customWidth="1"/>
    <col min="12" max="12" width="18.33203125" customWidth="1"/>
    <col min="13" max="13" width="12.5" customWidth="1"/>
    <col min="14" max="14" width="17.1640625" customWidth="1"/>
    <col min="15" max="15" width="30" customWidth="1"/>
    <col min="16" max="16" width="12.33203125" customWidth="1"/>
    <col min="17" max="19" width="16.5" customWidth="1"/>
    <col min="20" max="20" width="82.1640625" hidden="1" customWidth="1"/>
  </cols>
  <sheetData>
    <row r="1" spans="1:20" ht="24.75" customHeight="1" x14ac:dyDescent="0.15">
      <c r="A1" s="1" t="s">
        <v>0</v>
      </c>
      <c r="B1" s="1" t="s">
        <v>6</v>
      </c>
      <c r="C1" s="1" t="s">
        <v>9</v>
      </c>
      <c r="D1" s="2" t="s">
        <v>1</v>
      </c>
      <c r="E1" s="2" t="s">
        <v>2</v>
      </c>
      <c r="F1" s="2" t="s">
        <v>10</v>
      </c>
      <c r="G1" s="2" t="s">
        <v>11</v>
      </c>
      <c r="H1" s="5" t="s">
        <v>13</v>
      </c>
      <c r="I1" s="1" t="s">
        <v>20</v>
      </c>
      <c r="J1" s="1" t="s">
        <v>5</v>
      </c>
      <c r="K1" s="1" t="s">
        <v>7</v>
      </c>
      <c r="L1" s="3" t="s">
        <v>8</v>
      </c>
      <c r="M1" s="4" t="s">
        <v>12</v>
      </c>
      <c r="N1" s="1" t="s">
        <v>14</v>
      </c>
      <c r="O1" s="1" t="s">
        <v>21</v>
      </c>
      <c r="P1" s="3" t="s">
        <v>22</v>
      </c>
      <c r="Q1" s="1" t="s">
        <v>15</v>
      </c>
      <c r="R1" s="1" t="s">
        <v>16</v>
      </c>
      <c r="S1" s="1" t="s">
        <v>23</v>
      </c>
      <c r="T1" s="1" t="s">
        <v>17</v>
      </c>
    </row>
    <row r="2" spans="1:20" ht="13" x14ac:dyDescent="0.15">
      <c r="A2" s="7" t="s">
        <v>24</v>
      </c>
      <c r="B2" s="7" t="s">
        <v>25</v>
      </c>
      <c r="C2" s="7" t="s">
        <v>27</v>
      </c>
      <c r="D2" s="10" t="s">
        <v>28</v>
      </c>
      <c r="E2" s="7">
        <v>6</v>
      </c>
      <c r="F2" s="7">
        <v>1</v>
      </c>
      <c r="G2" s="11"/>
      <c r="H2" s="7">
        <v>6</v>
      </c>
      <c r="I2" s="7" t="s">
        <v>29</v>
      </c>
      <c r="J2" s="7" t="s">
        <v>30</v>
      </c>
      <c r="K2" s="12" t="str">
        <f>HYPERLINK("https://www.amazon.com/gp/product/B00KFD0SEA/ref=oh_aui_search_detailpage?ie=UTF8&amp;psc=1","Amazon")</f>
        <v>Amazon</v>
      </c>
      <c r="L2" s="15" t="s">
        <v>33</v>
      </c>
      <c r="M2" s="17">
        <v>21.18</v>
      </c>
      <c r="N2" s="20">
        <f t="shared" ref="N2:N45" si="0">M2*H2</f>
        <v>127.08</v>
      </c>
      <c r="O2" s="23" t="str">
        <f t="shared" ref="O2:O3" si="1">HYPERLINK("https://drive.google.com/open?id=1I4zoB22LVPfvXjMcqDDHYoq3KV1jfg8u","2018-03-07_Amazon")</f>
        <v>2018-03-07_Amazon</v>
      </c>
      <c r="P2" s="15">
        <v>2</v>
      </c>
      <c r="Q2" s="25">
        <v>1.63</v>
      </c>
      <c r="R2" s="27">
        <f t="shared" ref="R2:R130" si="2">Q2*H2</f>
        <v>9.7799999999999994</v>
      </c>
      <c r="S2" s="28">
        <f t="shared" ref="S2:S130" si="3">R2*0.453592</f>
        <v>4.43612976</v>
      </c>
      <c r="T2" s="29" t="s">
        <v>43</v>
      </c>
    </row>
    <row r="3" spans="1:20" ht="13" x14ac:dyDescent="0.15">
      <c r="A3" s="30" t="s">
        <v>44</v>
      </c>
      <c r="B3" s="30" t="s">
        <v>25</v>
      </c>
      <c r="C3" s="30" t="s">
        <v>27</v>
      </c>
      <c r="D3" s="31" t="s">
        <v>28</v>
      </c>
      <c r="E3" s="32">
        <v>2</v>
      </c>
      <c r="F3" s="32">
        <v>1</v>
      </c>
      <c r="G3" s="31"/>
      <c r="H3" s="32">
        <v>2</v>
      </c>
      <c r="I3" s="30" t="s">
        <v>29</v>
      </c>
      <c r="J3" s="30" t="s">
        <v>30</v>
      </c>
      <c r="K3" s="33" t="str">
        <f>HYPERLINK("https://www.amazon.com/gp/product/B003KP8VSK/ref=oh_aui_search_detailpage?ie=UTF8&amp;psc=1","Amazon")</f>
        <v>Amazon</v>
      </c>
      <c r="L3" s="35" t="s">
        <v>49</v>
      </c>
      <c r="M3" s="37">
        <v>65</v>
      </c>
      <c r="N3" s="37">
        <f t="shared" si="0"/>
        <v>130</v>
      </c>
      <c r="O3" s="39" t="str">
        <f t="shared" si="1"/>
        <v>2018-03-07_Amazon</v>
      </c>
      <c r="P3" s="32">
        <v>3</v>
      </c>
      <c r="Q3" s="41">
        <v>1.23</v>
      </c>
      <c r="R3" s="41">
        <f t="shared" si="2"/>
        <v>2.46</v>
      </c>
      <c r="S3" s="41">
        <f t="shared" si="3"/>
        <v>1.1158363199999999</v>
      </c>
      <c r="T3" s="44" t="s">
        <v>57</v>
      </c>
    </row>
    <row r="4" spans="1:20" ht="13" x14ac:dyDescent="0.15">
      <c r="A4" s="7" t="s">
        <v>59</v>
      </c>
      <c r="B4" s="7" t="s">
        <v>60</v>
      </c>
      <c r="C4" s="7" t="s">
        <v>61</v>
      </c>
      <c r="D4" s="10" t="s">
        <v>28</v>
      </c>
      <c r="E4" s="7">
        <v>50</v>
      </c>
      <c r="F4" s="7">
        <v>1</v>
      </c>
      <c r="G4" s="11"/>
      <c r="H4" s="7">
        <v>70</v>
      </c>
      <c r="I4" s="7" t="s">
        <v>29</v>
      </c>
      <c r="J4" s="7" t="s">
        <v>62</v>
      </c>
      <c r="K4" s="46" t="s">
        <v>63</v>
      </c>
      <c r="L4" s="15" t="s">
        <v>67</v>
      </c>
      <c r="M4" s="48">
        <v>0.41</v>
      </c>
      <c r="N4" s="20">
        <f t="shared" si="0"/>
        <v>28.7</v>
      </c>
      <c r="O4" s="23" t="str">
        <f t="shared" ref="O4:O5" si="4">HYPERLINK("https://drive.google.com/open?id=1-KoE5bV9Q8We-Q3-P8_aoIQ4eX0_aTn_","2018-03-12_Delande")</f>
        <v>2018-03-12_Delande</v>
      </c>
      <c r="P4" s="51">
        <v>1</v>
      </c>
      <c r="Q4" s="25">
        <v>0.13</v>
      </c>
      <c r="R4" s="27">
        <f t="shared" si="2"/>
        <v>9.1</v>
      </c>
      <c r="S4" s="28">
        <f t="shared" si="3"/>
        <v>4.1276871999999996</v>
      </c>
      <c r="T4" s="20" t="s">
        <v>57</v>
      </c>
    </row>
    <row r="5" spans="1:20" ht="13" x14ac:dyDescent="0.15">
      <c r="A5" s="7" t="s">
        <v>75</v>
      </c>
      <c r="B5" s="7" t="s">
        <v>76</v>
      </c>
      <c r="C5" s="7" t="s">
        <v>61</v>
      </c>
      <c r="D5" s="10" t="s">
        <v>28</v>
      </c>
      <c r="E5" s="7">
        <v>70</v>
      </c>
      <c r="F5" s="7">
        <v>1</v>
      </c>
      <c r="G5" s="7"/>
      <c r="H5" s="7">
        <v>70</v>
      </c>
      <c r="I5" s="7" t="s">
        <v>29</v>
      </c>
      <c r="J5" s="7" t="s">
        <v>62</v>
      </c>
      <c r="K5" s="46" t="s">
        <v>63</v>
      </c>
      <c r="L5" s="15" t="s">
        <v>79</v>
      </c>
      <c r="M5" s="48">
        <v>13.8</v>
      </c>
      <c r="N5" s="20">
        <f t="shared" si="0"/>
        <v>966</v>
      </c>
      <c r="O5" s="23" t="str">
        <f t="shared" si="4"/>
        <v>2018-03-12_Delande</v>
      </c>
      <c r="P5" s="51">
        <v>2</v>
      </c>
      <c r="Q5" s="25">
        <v>0.13</v>
      </c>
      <c r="R5" s="27">
        <f t="shared" si="2"/>
        <v>9.1</v>
      </c>
      <c r="S5" s="28">
        <f t="shared" si="3"/>
        <v>4.1276871999999996</v>
      </c>
      <c r="T5" s="20" t="s">
        <v>82</v>
      </c>
    </row>
    <row r="6" spans="1:20" ht="13" x14ac:dyDescent="0.15">
      <c r="A6" s="7" t="s">
        <v>83</v>
      </c>
      <c r="B6" s="7" t="s">
        <v>84</v>
      </c>
      <c r="C6" s="7" t="s">
        <v>61</v>
      </c>
      <c r="D6" s="10" t="s">
        <v>85</v>
      </c>
      <c r="E6" s="7">
        <v>40</v>
      </c>
      <c r="F6" s="7">
        <v>1</v>
      </c>
      <c r="G6" s="7">
        <f>E6*F6</f>
        <v>40</v>
      </c>
      <c r="H6" s="7">
        <v>65</v>
      </c>
      <c r="I6" s="7" t="s">
        <v>29</v>
      </c>
      <c r="J6" s="7" t="s">
        <v>86</v>
      </c>
      <c r="K6" s="12" t="str">
        <f>HYPERLINK("https://www.homedepot.com/p/BELL-1-Gang-Weatherproof-Horizontal-Mount-Flip-Lid-Device-Cover-5180-2/203597084","Home Depot")</f>
        <v>Home Depot</v>
      </c>
      <c r="L6" s="15" t="s">
        <v>91</v>
      </c>
      <c r="M6" s="48">
        <v>2.94</v>
      </c>
      <c r="N6" s="20">
        <f t="shared" si="0"/>
        <v>191.1</v>
      </c>
      <c r="O6" s="23" t="str">
        <f t="shared" ref="O6:O7" si="5">HYPERLINK("https://drive.google.com/open?id=17IqpUXyyo9ehB7LzKleJrZ_W3GChc_U7","2018-03-01_Home Depot01")</f>
        <v>2018-03-01_Home Depot01</v>
      </c>
      <c r="P6" s="51">
        <v>2</v>
      </c>
      <c r="Q6" s="25">
        <v>1.0900000000000001</v>
      </c>
      <c r="R6" s="27">
        <f t="shared" si="2"/>
        <v>70.850000000000009</v>
      </c>
      <c r="S6" s="28">
        <f t="shared" si="3"/>
        <v>32.136993200000006</v>
      </c>
      <c r="T6" s="20" t="s">
        <v>96</v>
      </c>
    </row>
    <row r="7" spans="1:20" ht="13" x14ac:dyDescent="0.15">
      <c r="A7" s="7" t="s">
        <v>97</v>
      </c>
      <c r="B7" s="7" t="s">
        <v>84</v>
      </c>
      <c r="C7" s="7" t="s">
        <v>61</v>
      </c>
      <c r="D7" s="10" t="s">
        <v>98</v>
      </c>
      <c r="E7" s="7">
        <v>68</v>
      </c>
      <c r="F7" s="7">
        <v>1</v>
      </c>
      <c r="G7" s="7">
        <v>68</v>
      </c>
      <c r="H7" s="7">
        <v>68</v>
      </c>
      <c r="I7" s="7" t="s">
        <v>29</v>
      </c>
      <c r="J7" s="7" t="s">
        <v>99</v>
      </c>
      <c r="K7" s="12" t="str">
        <f>HYPERLINK("https://www.homedepot.com/p/Leviton-15-Amp-Python-Straight-Blade-Plug-Yellow-R50-05256-BVY/205326578","Home Depot")</f>
        <v>Home Depot</v>
      </c>
      <c r="L7" s="15" t="s">
        <v>101</v>
      </c>
      <c r="M7" s="48">
        <v>4.9800000000000004</v>
      </c>
      <c r="N7" s="20">
        <f t="shared" si="0"/>
        <v>338.64000000000004</v>
      </c>
      <c r="O7" s="23" t="str">
        <f t="shared" si="5"/>
        <v>2018-03-01_Home Depot01</v>
      </c>
      <c r="P7" s="51">
        <v>3</v>
      </c>
      <c r="Q7" s="25">
        <v>0.19</v>
      </c>
      <c r="R7" s="27">
        <f t="shared" si="2"/>
        <v>12.92</v>
      </c>
      <c r="S7" s="28">
        <f t="shared" si="3"/>
        <v>5.8604086400000002</v>
      </c>
      <c r="T7" s="20" t="s">
        <v>103</v>
      </c>
    </row>
    <row r="8" spans="1:20" ht="13" x14ac:dyDescent="0.15">
      <c r="A8" s="7" t="s">
        <v>104</v>
      </c>
      <c r="B8" s="7" t="s">
        <v>76</v>
      </c>
      <c r="C8" s="7" t="s">
        <v>27</v>
      </c>
      <c r="D8" s="10" t="s">
        <v>51</v>
      </c>
      <c r="E8" s="7"/>
      <c r="F8" s="7"/>
      <c r="G8" s="7"/>
      <c r="H8" s="7">
        <v>10</v>
      </c>
      <c r="I8" s="7" t="s">
        <v>29</v>
      </c>
      <c r="J8" s="7" t="s">
        <v>39</v>
      </c>
      <c r="K8" s="12" t="str">
        <f>HYPERLINK("https://www.mcmaster.com/#69915k57/=1ca811l","McMaster Carr")</f>
        <v>McMaster Carr</v>
      </c>
      <c r="L8" s="15" t="s">
        <v>106</v>
      </c>
      <c r="M8" s="48">
        <v>3.46</v>
      </c>
      <c r="N8" s="20">
        <f t="shared" si="0"/>
        <v>34.6</v>
      </c>
      <c r="O8" s="61" t="s">
        <v>108</v>
      </c>
      <c r="P8" s="51">
        <v>1</v>
      </c>
      <c r="Q8" s="25">
        <v>0.05</v>
      </c>
      <c r="R8" s="27">
        <f t="shared" si="2"/>
        <v>0.5</v>
      </c>
      <c r="S8" s="28">
        <f t="shared" si="3"/>
        <v>0.226796</v>
      </c>
      <c r="T8" s="20"/>
    </row>
    <row r="9" spans="1:20" ht="13" x14ac:dyDescent="0.15">
      <c r="A9" s="7" t="s">
        <v>109</v>
      </c>
      <c r="B9" s="7" t="s">
        <v>110</v>
      </c>
      <c r="C9" s="7" t="s">
        <v>111</v>
      </c>
      <c r="D9" s="10" t="s">
        <v>51</v>
      </c>
      <c r="E9" s="7">
        <v>1</v>
      </c>
      <c r="F9" s="7">
        <v>1</v>
      </c>
      <c r="G9" s="7"/>
      <c r="H9" s="7">
        <v>1</v>
      </c>
      <c r="I9" s="7" t="s">
        <v>29</v>
      </c>
      <c r="J9" s="7" t="s">
        <v>113</v>
      </c>
      <c r="K9" s="12" t="str">
        <f>HYPERLINK("https://www.homedepot.com/p/1-2-in-2-Hole-Clamp-25-Pack-R5133736M/202043270","Home Depot")</f>
        <v>Home Depot</v>
      </c>
      <c r="L9" s="15" t="s">
        <v>114</v>
      </c>
      <c r="M9" s="48">
        <v>3.22</v>
      </c>
      <c r="N9" s="20">
        <f t="shared" si="0"/>
        <v>3.22</v>
      </c>
      <c r="O9" s="23" t="str">
        <f t="shared" ref="O9:O10" si="6">HYPERLINK("https://drive.google.com/open?id=1owY_kiJiJxGl5-eklDgu3PBIKRSLRAGR","2018-02-28_Home Depot")</f>
        <v>2018-02-28_Home Depot</v>
      </c>
      <c r="P9" s="51">
        <v>36</v>
      </c>
      <c r="Q9" s="25">
        <v>0.15</v>
      </c>
      <c r="R9" s="27">
        <f t="shared" si="2"/>
        <v>0.15</v>
      </c>
      <c r="S9" s="28">
        <f t="shared" si="3"/>
        <v>6.8038799999999997E-2</v>
      </c>
      <c r="T9" s="20" t="s">
        <v>116</v>
      </c>
    </row>
    <row r="10" spans="1:20" ht="13" x14ac:dyDescent="0.15">
      <c r="A10" s="7" t="s">
        <v>117</v>
      </c>
      <c r="B10" s="7" t="s">
        <v>110</v>
      </c>
      <c r="C10" s="7" t="s">
        <v>111</v>
      </c>
      <c r="D10" s="10" t="s">
        <v>38</v>
      </c>
      <c r="E10" s="7">
        <v>5</v>
      </c>
      <c r="F10" s="7">
        <v>1</v>
      </c>
      <c r="G10" s="7"/>
      <c r="H10" s="7">
        <v>5</v>
      </c>
      <c r="I10" s="7" t="s">
        <v>29</v>
      </c>
      <c r="J10" s="7" t="s">
        <v>118</v>
      </c>
      <c r="K10" s="12" t="str">
        <f>HYPERLINK("https://www.homedepot.com/p/Carlon-1-2-in-PVC-Type-LL-Conduit-Body-E984D-CTN/100130009","Home Depot")</f>
        <v>Home Depot</v>
      </c>
      <c r="L10" s="15" t="s">
        <v>120</v>
      </c>
      <c r="M10" s="48">
        <v>2.68</v>
      </c>
      <c r="N10" s="20">
        <f t="shared" si="0"/>
        <v>13.4</v>
      </c>
      <c r="O10" s="23" t="str">
        <f t="shared" si="6"/>
        <v>2018-02-28_Home Depot</v>
      </c>
      <c r="P10" s="51">
        <v>33</v>
      </c>
      <c r="Q10" s="25">
        <v>0.17499999999999999</v>
      </c>
      <c r="R10" s="27">
        <f t="shared" si="2"/>
        <v>0.875</v>
      </c>
      <c r="S10" s="28">
        <f t="shared" si="3"/>
        <v>0.396893</v>
      </c>
      <c r="T10" s="20" t="s">
        <v>123</v>
      </c>
    </row>
    <row r="11" spans="1:20" ht="13" x14ac:dyDescent="0.15">
      <c r="A11" s="7" t="s">
        <v>124</v>
      </c>
      <c r="B11" s="7" t="s">
        <v>110</v>
      </c>
      <c r="C11" s="7" t="s">
        <v>111</v>
      </c>
      <c r="D11" s="10" t="s">
        <v>38</v>
      </c>
      <c r="E11" s="7">
        <v>5</v>
      </c>
      <c r="F11" s="7">
        <v>1</v>
      </c>
      <c r="G11" s="7"/>
      <c r="H11" s="7">
        <v>5</v>
      </c>
      <c r="I11" s="7" t="s">
        <v>29</v>
      </c>
      <c r="J11" s="7" t="s">
        <v>118</v>
      </c>
      <c r="K11" s="12" t="str">
        <f>HYPERLINK("https://www.homedepot.com/p/1-2-in-LR-Conduit-Body-R5133650/202043273?MERCH=REC-_-PIPHorizontal1_rr-_-202205907-_-202043273-_-N","Home Depot")</f>
        <v>Home Depot</v>
      </c>
      <c r="L11" s="15">
        <v>876964</v>
      </c>
      <c r="M11" s="48">
        <v>2.68</v>
      </c>
      <c r="N11" s="20">
        <f t="shared" si="0"/>
        <v>13.4</v>
      </c>
      <c r="O11" s="23" t="str">
        <f>HYPERLINK("https://drive.google.com/open?id=14jY_nE7LfMRpPZjHB_kOhUsxuLknYtEz","2018-03-01_Home Depot02")</f>
        <v>2018-03-01_Home Depot02</v>
      </c>
      <c r="P11" s="51">
        <v>12</v>
      </c>
      <c r="Q11" s="25">
        <v>0.2</v>
      </c>
      <c r="R11" s="27">
        <f t="shared" si="2"/>
        <v>1</v>
      </c>
      <c r="S11" s="28">
        <f t="shared" si="3"/>
        <v>0.453592</v>
      </c>
      <c r="T11" s="20" t="s">
        <v>130</v>
      </c>
    </row>
    <row r="12" spans="1:20" ht="13" x14ac:dyDescent="0.15">
      <c r="A12" s="7" t="s">
        <v>131</v>
      </c>
      <c r="B12" s="7" t="s">
        <v>110</v>
      </c>
      <c r="C12" s="7" t="s">
        <v>111</v>
      </c>
      <c r="D12" s="10" t="s">
        <v>38</v>
      </c>
      <c r="E12" s="7">
        <v>10</v>
      </c>
      <c r="F12" s="7">
        <v>1</v>
      </c>
      <c r="G12" s="7"/>
      <c r="H12" s="7">
        <v>10</v>
      </c>
      <c r="I12" s="7" t="s">
        <v>29</v>
      </c>
      <c r="J12" s="7" t="s">
        <v>118</v>
      </c>
      <c r="K12" s="12" t="e">
        <f>HYPERLINK("https://www.homedepot.com/p/Carlon-1-2-in-PVC-Type-T-Conduit-Body-E983D-CTN/100404033?keyword=1%2F2%22+pvc+type-t+conduit+body&amp;semanticToken=21040+++%3E++++st%3A%7B1%2F2%22+pvc+type-t+conduit+body%7D%3Ast++cn%3A%7Bnull%7D++conduit+%7Bproduct%7Dpvc+%7B5109"&amp;"95%7D+pvc+%7B544960%7D+T_LINEAR_DIMENSION+%7B545035%7D+T_LINEAR_DIMENSION+%7B545838%7D+pvc+%7B568189%7D+T_LINEAR_DIMENSION+%7BproductName_nostem%7D+body+%7BproductName_nostem%7D+pvc+%7BproductName_nostem%7D+0.5+%7B544611%7D+0.5+%7B544579%7D+0.5+%7B544609%"&amp;"7D++type-t+%7Brest%7D+","Home Depot")</f>
        <v>#VALUE!</v>
      </c>
      <c r="L12" s="15" t="s">
        <v>138</v>
      </c>
      <c r="M12" s="48">
        <v>2.68</v>
      </c>
      <c r="N12" s="20">
        <f t="shared" si="0"/>
        <v>26.8</v>
      </c>
      <c r="O12" s="23" t="str">
        <f>HYPERLINK("https://drive.google.com/open?id=17IqpUXyyo9ehB7LzKleJrZ_W3GChc_U7","2018-03-01_Home Depot01")</f>
        <v>2018-03-01_Home Depot01</v>
      </c>
      <c r="P12" s="51">
        <v>5</v>
      </c>
      <c r="Q12" s="25">
        <v>0.28160000000000002</v>
      </c>
      <c r="R12" s="27">
        <f t="shared" si="2"/>
        <v>2.8160000000000003</v>
      </c>
      <c r="S12" s="28">
        <f t="shared" si="3"/>
        <v>1.2773150720000002</v>
      </c>
      <c r="T12" s="20" t="s">
        <v>141</v>
      </c>
    </row>
    <row r="13" spans="1:20" ht="13" x14ac:dyDescent="0.15">
      <c r="A13" s="7" t="s">
        <v>143</v>
      </c>
      <c r="B13" s="7" t="s">
        <v>110</v>
      </c>
      <c r="C13" s="7" t="s">
        <v>111</v>
      </c>
      <c r="D13" s="10" t="s">
        <v>38</v>
      </c>
      <c r="E13" s="7">
        <v>30</v>
      </c>
      <c r="F13" s="7">
        <v>1</v>
      </c>
      <c r="G13" s="7"/>
      <c r="H13" s="7">
        <v>30</v>
      </c>
      <c r="I13" s="7" t="s">
        <v>29</v>
      </c>
      <c r="J13" s="7" t="s">
        <v>118</v>
      </c>
      <c r="K13" s="12" t="str">
        <f>HYPERLINK("https://www.homedepot.com/p/Carlon-1-2-in-PVC-Male-Terminal-Adapter-E943D-CTN/100404041","Home Depot")</f>
        <v>Home Depot</v>
      </c>
      <c r="L13" s="15">
        <v>187739</v>
      </c>
      <c r="M13" s="48">
        <v>0.31</v>
      </c>
      <c r="N13" s="20">
        <f t="shared" si="0"/>
        <v>9.3000000000000007</v>
      </c>
      <c r="O13" s="23" t="str">
        <f>HYPERLINK("https://drive.google.com/open?id=1owY_kiJiJxGl5-eklDgu3PBIKRSLRAGR","2018-02-28_Home Depot")</f>
        <v>2018-02-28_Home Depot</v>
      </c>
      <c r="P13" s="51">
        <v>13</v>
      </c>
      <c r="Q13" s="25">
        <v>2.3E-2</v>
      </c>
      <c r="R13" s="27">
        <f t="shared" si="2"/>
        <v>0.69</v>
      </c>
      <c r="S13" s="28">
        <f t="shared" si="3"/>
        <v>0.31297847999999995</v>
      </c>
      <c r="T13" s="20" t="s">
        <v>147</v>
      </c>
    </row>
    <row r="14" spans="1:20" ht="13" x14ac:dyDescent="0.15">
      <c r="A14" s="7" t="s">
        <v>148</v>
      </c>
      <c r="B14" s="7" t="s">
        <v>110</v>
      </c>
      <c r="C14" s="7" t="s">
        <v>111</v>
      </c>
      <c r="D14" s="10" t="s">
        <v>38</v>
      </c>
      <c r="E14" s="7">
        <v>4</v>
      </c>
      <c r="F14" s="7">
        <v>1</v>
      </c>
      <c r="G14" s="7"/>
      <c r="H14" s="7">
        <v>4</v>
      </c>
      <c r="I14" s="7" t="s">
        <v>29</v>
      </c>
      <c r="J14" s="7" t="s">
        <v>118</v>
      </c>
      <c r="K14" s="12" t="str">
        <f>HYPERLINK("https://www.homedepot.com/p/1-Gang-Blank-Handy-Box-Cover-HB1BL/202077375","Home Depot")</f>
        <v>Home Depot</v>
      </c>
      <c r="L14" s="15" t="s">
        <v>150</v>
      </c>
      <c r="M14" s="48">
        <v>0.66</v>
      </c>
      <c r="N14" s="20">
        <f t="shared" si="0"/>
        <v>2.64</v>
      </c>
      <c r="O14" s="61" t="s">
        <v>51</v>
      </c>
      <c r="P14" s="51"/>
      <c r="Q14" s="25">
        <v>0.05</v>
      </c>
      <c r="R14" s="27">
        <f t="shared" si="2"/>
        <v>0.2</v>
      </c>
      <c r="S14" s="28">
        <f t="shared" si="3"/>
        <v>9.0718400000000005E-2</v>
      </c>
      <c r="T14" s="20" t="s">
        <v>151</v>
      </c>
    </row>
    <row r="15" spans="1:20" ht="13" x14ac:dyDescent="0.15">
      <c r="A15" s="7" t="s">
        <v>152</v>
      </c>
      <c r="B15" s="7" t="s">
        <v>110</v>
      </c>
      <c r="C15" s="7" t="s">
        <v>111</v>
      </c>
      <c r="D15" s="10" t="s">
        <v>38</v>
      </c>
      <c r="E15" s="7">
        <v>3</v>
      </c>
      <c r="F15" s="7">
        <v>1</v>
      </c>
      <c r="G15" s="7"/>
      <c r="H15" s="7">
        <v>3</v>
      </c>
      <c r="I15" s="7" t="s">
        <v>29</v>
      </c>
      <c r="J15" s="7" t="s">
        <v>153</v>
      </c>
      <c r="K15" s="12" t="str">
        <f>HYPERLINK("https://www.homedepot.com/p/8-oz-PVC-Handy-Pack-Purple-Primer-and-Solvent-Cement-302483/100151579","Home Depot")</f>
        <v>Home Depot</v>
      </c>
      <c r="L15" s="15">
        <v>699603</v>
      </c>
      <c r="M15" s="48">
        <v>8.39</v>
      </c>
      <c r="N15" s="20">
        <f t="shared" si="0"/>
        <v>25.17</v>
      </c>
      <c r="O15" s="23" t="str">
        <f>HYPERLINK("https://drive.google.com/open?id=14jY_nE7LfMRpPZjHB_kOhUsxuLknYtEz","2018-03-01_Home Depot02")</f>
        <v>2018-03-01_Home Depot02</v>
      </c>
      <c r="P15" s="51"/>
      <c r="Q15" s="25">
        <v>2.5</v>
      </c>
      <c r="R15" s="27">
        <f t="shared" si="2"/>
        <v>7.5</v>
      </c>
      <c r="S15" s="28">
        <f t="shared" si="3"/>
        <v>3.4019399999999997</v>
      </c>
      <c r="T15" s="20" t="s">
        <v>155</v>
      </c>
    </row>
    <row r="16" spans="1:20" ht="13" x14ac:dyDescent="0.15">
      <c r="A16" s="7" t="s">
        <v>156</v>
      </c>
      <c r="B16" s="7" t="s">
        <v>110</v>
      </c>
      <c r="C16" s="7" t="s">
        <v>111</v>
      </c>
      <c r="D16" s="10" t="s">
        <v>28</v>
      </c>
      <c r="E16" s="7">
        <v>4</v>
      </c>
      <c r="F16" s="7">
        <v>1</v>
      </c>
      <c r="G16" s="7">
        <v>4</v>
      </c>
      <c r="H16" s="7">
        <v>4</v>
      </c>
      <c r="I16" s="7" t="s">
        <v>29</v>
      </c>
      <c r="J16" s="7" t="s">
        <v>157</v>
      </c>
      <c r="K16" s="12" t="str">
        <f>HYPERLINK("https://www.homedepot.com/p/Commercial-Electric-Wire-Connectors-Orange-30-Pack-775122/202894254","Home Depot")</f>
        <v>Home Depot</v>
      </c>
      <c r="L16" s="15">
        <v>775122</v>
      </c>
      <c r="M16" s="48">
        <v>2.58</v>
      </c>
      <c r="N16" s="20">
        <f t="shared" si="0"/>
        <v>10.32</v>
      </c>
      <c r="O16" s="23" t="str">
        <f t="shared" ref="O16:O19" si="7">HYPERLINK("https://drive.google.com/open?id=1owY_kiJiJxGl5-eklDgu3PBIKRSLRAGR","2018-02-28_Home Depot")</f>
        <v>2018-02-28_Home Depot</v>
      </c>
      <c r="P16" s="51">
        <v>34</v>
      </c>
      <c r="Q16" s="25">
        <v>0.06</v>
      </c>
      <c r="R16" s="27">
        <f t="shared" si="2"/>
        <v>0.24</v>
      </c>
      <c r="S16" s="28">
        <f t="shared" si="3"/>
        <v>0.10886208</v>
      </c>
      <c r="T16" s="20" t="s">
        <v>160</v>
      </c>
    </row>
    <row r="17" spans="1:20" ht="13" x14ac:dyDescent="0.15">
      <c r="A17" s="7" t="s">
        <v>161</v>
      </c>
      <c r="B17" s="7" t="s">
        <v>110</v>
      </c>
      <c r="C17" s="7" t="s">
        <v>61</v>
      </c>
      <c r="D17" s="10" t="s">
        <v>38</v>
      </c>
      <c r="E17" s="7">
        <v>1</v>
      </c>
      <c r="F17" s="7">
        <v>1</v>
      </c>
      <c r="G17" s="7">
        <v>1</v>
      </c>
      <c r="H17" s="7">
        <v>1</v>
      </c>
      <c r="I17" s="7" t="s">
        <v>29</v>
      </c>
      <c r="J17" s="7" t="s">
        <v>163</v>
      </c>
      <c r="K17" s="12" t="str">
        <f>HYPERLINK("https://www.homedepot.com/p/Southwire-500-ft-14-Green-Solid-CU-THHN-Wire-11583258/203401602","Home Depot")</f>
        <v>Home Depot</v>
      </c>
      <c r="L17" s="15">
        <v>11583258</v>
      </c>
      <c r="M17" s="48">
        <v>42.93</v>
      </c>
      <c r="N17" s="20">
        <f t="shared" si="0"/>
        <v>42.93</v>
      </c>
      <c r="O17" s="23" t="str">
        <f t="shared" si="7"/>
        <v>2018-02-28_Home Depot</v>
      </c>
      <c r="P17" s="51">
        <v>17</v>
      </c>
      <c r="Q17" s="25">
        <v>15.2</v>
      </c>
      <c r="R17" s="27">
        <f t="shared" si="2"/>
        <v>15.2</v>
      </c>
      <c r="S17" s="28">
        <f t="shared" si="3"/>
        <v>6.8945983999999996</v>
      </c>
      <c r="T17" s="20" t="s">
        <v>166</v>
      </c>
    </row>
    <row r="18" spans="1:20" ht="13" x14ac:dyDescent="0.15">
      <c r="A18" s="7" t="s">
        <v>167</v>
      </c>
      <c r="B18" s="7" t="s">
        <v>110</v>
      </c>
      <c r="C18" s="7" t="s">
        <v>61</v>
      </c>
      <c r="D18" s="10" t="s">
        <v>38</v>
      </c>
      <c r="E18" s="7">
        <v>1</v>
      </c>
      <c r="F18" s="7">
        <v>1</v>
      </c>
      <c r="G18" s="7">
        <v>1</v>
      </c>
      <c r="H18" s="7">
        <v>2</v>
      </c>
      <c r="I18" s="7" t="s">
        <v>29</v>
      </c>
      <c r="J18" s="7" t="s">
        <v>163</v>
      </c>
      <c r="K18" s="12" t="str">
        <f>HYPERLINK("https://www.homedepot.com/p/Southwire-500-ft-14-White-Solid-CU-THHN-Wire-11580858/203401597","Home Depot")</f>
        <v>Home Depot</v>
      </c>
      <c r="L18" s="15">
        <v>11580858</v>
      </c>
      <c r="M18" s="48">
        <v>42.93</v>
      </c>
      <c r="N18" s="20">
        <f t="shared" si="0"/>
        <v>85.86</v>
      </c>
      <c r="O18" s="23" t="str">
        <f t="shared" si="7"/>
        <v>2018-02-28_Home Depot</v>
      </c>
      <c r="P18" s="51">
        <v>38</v>
      </c>
      <c r="Q18" s="25">
        <v>15.2</v>
      </c>
      <c r="R18" s="27">
        <f t="shared" si="2"/>
        <v>30.4</v>
      </c>
      <c r="S18" s="28">
        <f t="shared" si="3"/>
        <v>13.789196799999999</v>
      </c>
      <c r="T18" s="20" t="s">
        <v>169</v>
      </c>
    </row>
    <row r="19" spans="1:20" ht="13" x14ac:dyDescent="0.15">
      <c r="A19" s="7" t="s">
        <v>170</v>
      </c>
      <c r="B19" s="7" t="s">
        <v>110</v>
      </c>
      <c r="C19" s="7" t="s">
        <v>61</v>
      </c>
      <c r="D19" s="10" t="s">
        <v>38</v>
      </c>
      <c r="E19" s="7">
        <v>1</v>
      </c>
      <c r="F19" s="7">
        <v>1</v>
      </c>
      <c r="G19" s="7">
        <v>1</v>
      </c>
      <c r="H19" s="7">
        <v>2</v>
      </c>
      <c r="I19" s="7" t="s">
        <v>29</v>
      </c>
      <c r="J19" s="7" t="s">
        <v>163</v>
      </c>
      <c r="K19" s="12" t="str">
        <f>HYPERLINK("https://www.homedepot.com/p/Southwire-500-ft-14-Black-Solid-CU-THHN-Wire-11579058/203401579?MERCH=REC-_-PIPHorizontal2_rr-_-203401602-_-203401579-_-N","Home Depot")</f>
        <v>Home Depot</v>
      </c>
      <c r="L19" s="15">
        <v>11579058</v>
      </c>
      <c r="M19" s="48">
        <v>42.93</v>
      </c>
      <c r="N19" s="20">
        <f t="shared" si="0"/>
        <v>85.86</v>
      </c>
      <c r="O19" s="23" t="str">
        <f t="shared" si="7"/>
        <v>2018-02-28_Home Depot</v>
      </c>
      <c r="P19" s="51">
        <v>39</v>
      </c>
      <c r="Q19" s="25">
        <v>15.2</v>
      </c>
      <c r="R19" s="27">
        <f t="shared" si="2"/>
        <v>30.4</v>
      </c>
      <c r="S19" s="28">
        <f t="shared" si="3"/>
        <v>13.789196799999999</v>
      </c>
      <c r="T19" s="20" t="s">
        <v>172</v>
      </c>
    </row>
    <row r="20" spans="1:20" ht="13" x14ac:dyDescent="0.15">
      <c r="A20" s="7" t="s">
        <v>173</v>
      </c>
      <c r="B20" s="7" t="s">
        <v>110</v>
      </c>
      <c r="C20" s="7" t="s">
        <v>61</v>
      </c>
      <c r="D20" s="10" t="s">
        <v>38</v>
      </c>
      <c r="E20" s="7">
        <v>6</v>
      </c>
      <c r="F20" s="7">
        <v>1</v>
      </c>
      <c r="G20" s="7"/>
      <c r="H20" s="7">
        <v>6</v>
      </c>
      <c r="I20" s="7" t="s">
        <v>29</v>
      </c>
      <c r="J20" s="7" t="s">
        <v>118</v>
      </c>
      <c r="K20" s="12" t="str">
        <f>HYPERLINK("https://www.homedepot.com/p/1-Gang-12-cu-in-Electrical-Handy-Box-B112HBR/202077374","Home Depot")</f>
        <v>Home Depot</v>
      </c>
      <c r="L20" s="15" t="s">
        <v>175</v>
      </c>
      <c r="M20" s="48">
        <v>0.91</v>
      </c>
      <c r="N20" s="20">
        <f t="shared" si="0"/>
        <v>5.46</v>
      </c>
      <c r="O20" s="61" t="s">
        <v>51</v>
      </c>
      <c r="P20" s="51" t="s">
        <v>51</v>
      </c>
      <c r="Q20" s="25">
        <v>0.25</v>
      </c>
      <c r="R20" s="27">
        <f t="shared" si="2"/>
        <v>1.5</v>
      </c>
      <c r="S20" s="28">
        <f t="shared" si="3"/>
        <v>0.68038799999999999</v>
      </c>
      <c r="T20" s="20" t="s">
        <v>176</v>
      </c>
    </row>
    <row r="21" spans="1:20" ht="13" x14ac:dyDescent="0.15">
      <c r="A21" s="7" t="s">
        <v>177</v>
      </c>
      <c r="B21" s="7" t="s">
        <v>110</v>
      </c>
      <c r="C21" s="7" t="s">
        <v>111</v>
      </c>
      <c r="D21" s="10" t="s">
        <v>85</v>
      </c>
      <c r="E21" s="7"/>
      <c r="F21" s="7"/>
      <c r="G21" s="7"/>
      <c r="H21" s="7">
        <v>1</v>
      </c>
      <c r="I21" s="7" t="s">
        <v>29</v>
      </c>
      <c r="J21" s="7" t="s">
        <v>179</v>
      </c>
      <c r="K21" s="12" t="str">
        <f>HYPERLINK("https://www.homedepot.com/p/1-2-in-Rigid-Conduit-Locknut-20-Pack-26191/100186613","Home Depot")</f>
        <v>Home Depot</v>
      </c>
      <c r="L21" s="15">
        <v>26191</v>
      </c>
      <c r="M21" s="48">
        <v>3.21</v>
      </c>
      <c r="N21" s="20">
        <f t="shared" si="0"/>
        <v>3.21</v>
      </c>
      <c r="O21" s="61" t="s">
        <v>51</v>
      </c>
      <c r="P21" s="51"/>
      <c r="Q21" s="25">
        <v>0.05</v>
      </c>
      <c r="R21" s="27">
        <f t="shared" si="2"/>
        <v>0.05</v>
      </c>
      <c r="S21" s="28">
        <f t="shared" si="3"/>
        <v>2.2679600000000001E-2</v>
      </c>
      <c r="T21" s="20"/>
    </row>
    <row r="22" spans="1:20" ht="13" x14ac:dyDescent="0.15">
      <c r="A22" s="7" t="s">
        <v>180</v>
      </c>
      <c r="B22" s="7" t="s">
        <v>76</v>
      </c>
      <c r="C22" s="7" t="s">
        <v>111</v>
      </c>
      <c r="D22" s="10" t="s">
        <v>181</v>
      </c>
      <c r="E22" s="7">
        <v>1</v>
      </c>
      <c r="F22" s="7">
        <v>1</v>
      </c>
      <c r="G22" s="7">
        <v>500</v>
      </c>
      <c r="H22" s="7">
        <v>1</v>
      </c>
      <c r="I22" s="7" t="s">
        <v>29</v>
      </c>
      <c r="J22" s="7" t="s">
        <v>182</v>
      </c>
      <c r="K22" s="46" t="s">
        <v>63</v>
      </c>
      <c r="L22" s="15">
        <v>661010</v>
      </c>
      <c r="M22" s="48">
        <v>27.26</v>
      </c>
      <c r="N22" s="20">
        <f t="shared" si="0"/>
        <v>27.26</v>
      </c>
      <c r="O22" s="23" t="str">
        <f t="shared" ref="O22:O24" si="8">HYPERLINK("https://drive.google.com/open?id=1InOMRhLJ-Dusb4IXOcgVbyV8ovKD6m55","2018-03-01_Delande")</f>
        <v>2018-03-01_Delande</v>
      </c>
      <c r="P22" s="51">
        <v>2</v>
      </c>
      <c r="Q22" s="25">
        <v>14</v>
      </c>
      <c r="R22" s="27">
        <f t="shared" si="2"/>
        <v>14</v>
      </c>
      <c r="S22" s="28">
        <f t="shared" si="3"/>
        <v>6.3502879999999999</v>
      </c>
      <c r="T22" s="20" t="s">
        <v>184</v>
      </c>
    </row>
    <row r="23" spans="1:20" ht="13" x14ac:dyDescent="0.15">
      <c r="A23" s="7" t="s">
        <v>185</v>
      </c>
      <c r="B23" s="7" t="s">
        <v>76</v>
      </c>
      <c r="C23" s="7" t="s">
        <v>111</v>
      </c>
      <c r="D23" s="10" t="s">
        <v>181</v>
      </c>
      <c r="E23" s="7">
        <v>1</v>
      </c>
      <c r="F23" s="7">
        <v>1</v>
      </c>
      <c r="G23" s="7">
        <v>500</v>
      </c>
      <c r="H23" s="7">
        <v>1</v>
      </c>
      <c r="I23" s="7" t="s">
        <v>29</v>
      </c>
      <c r="J23" s="7" t="s">
        <v>182</v>
      </c>
      <c r="K23" s="46" t="s">
        <v>63</v>
      </c>
      <c r="L23" s="15">
        <v>6610108</v>
      </c>
      <c r="M23" s="48">
        <v>27.26</v>
      </c>
      <c r="N23" s="20">
        <f t="shared" si="0"/>
        <v>27.26</v>
      </c>
      <c r="O23" s="23" t="str">
        <f t="shared" si="8"/>
        <v>2018-03-01_Delande</v>
      </c>
      <c r="P23" s="51">
        <v>3</v>
      </c>
      <c r="Q23" s="25">
        <v>14</v>
      </c>
      <c r="R23" s="27">
        <f t="shared" si="2"/>
        <v>14</v>
      </c>
      <c r="S23" s="28">
        <f t="shared" si="3"/>
        <v>6.3502879999999999</v>
      </c>
      <c r="T23" s="20"/>
    </row>
    <row r="24" spans="1:20" ht="13" x14ac:dyDescent="0.15">
      <c r="A24" s="7" t="s">
        <v>187</v>
      </c>
      <c r="B24" s="7" t="s">
        <v>76</v>
      </c>
      <c r="C24" s="7" t="s">
        <v>111</v>
      </c>
      <c r="D24" s="10" t="s">
        <v>181</v>
      </c>
      <c r="E24" s="7">
        <v>1</v>
      </c>
      <c r="F24" s="7">
        <v>1</v>
      </c>
      <c r="G24" s="7">
        <v>500</v>
      </c>
      <c r="H24" s="7">
        <v>1</v>
      </c>
      <c r="I24" s="7" t="s">
        <v>29</v>
      </c>
      <c r="J24" s="7" t="s">
        <v>182</v>
      </c>
      <c r="K24" s="46" t="s">
        <v>63</v>
      </c>
      <c r="L24" s="15">
        <v>66101016</v>
      </c>
      <c r="M24" s="48">
        <v>27.26</v>
      </c>
      <c r="N24" s="20">
        <f t="shared" si="0"/>
        <v>27.26</v>
      </c>
      <c r="O24" s="23" t="str">
        <f t="shared" si="8"/>
        <v>2018-03-01_Delande</v>
      </c>
      <c r="P24" s="51">
        <v>1</v>
      </c>
      <c r="Q24" s="25">
        <v>14</v>
      </c>
      <c r="R24" s="27">
        <f t="shared" si="2"/>
        <v>14</v>
      </c>
      <c r="S24" s="28">
        <f t="shared" si="3"/>
        <v>6.3502879999999999</v>
      </c>
      <c r="T24" s="20"/>
    </row>
    <row r="25" spans="1:20" ht="13" x14ac:dyDescent="0.15">
      <c r="A25" s="7" t="s">
        <v>188</v>
      </c>
      <c r="B25" s="7" t="s">
        <v>76</v>
      </c>
      <c r="C25" s="7" t="s">
        <v>61</v>
      </c>
      <c r="D25" s="10" t="s">
        <v>28</v>
      </c>
      <c r="E25" s="7">
        <v>2</v>
      </c>
      <c r="F25" s="7">
        <v>2</v>
      </c>
      <c r="G25" s="7">
        <v>2</v>
      </c>
      <c r="H25" s="7">
        <v>2</v>
      </c>
      <c r="I25" s="7" t="s">
        <v>29</v>
      </c>
      <c r="J25" s="7" t="s">
        <v>134</v>
      </c>
      <c r="K25" s="12" t="str">
        <f>HYPERLINK("https://www.homedepot.com/p/Everbilt-4-in-Stainless-Steel-Corner-Braces-4-Pack-14559/203339962","Home Depot")</f>
        <v>Home Depot</v>
      </c>
      <c r="L25" s="15" t="s">
        <v>189</v>
      </c>
      <c r="M25" s="48">
        <v>14.27</v>
      </c>
      <c r="N25" s="20">
        <f t="shared" si="0"/>
        <v>28.54</v>
      </c>
      <c r="O25" s="23" t="str">
        <f t="shared" ref="O25:O26" si="9">HYPERLINK("https://drive.google.com/open?id=14jY_nE7LfMRpPZjHB_kOhUsxuLknYtEz","2018-03-01_Home Depot02")</f>
        <v>2018-03-01_Home Depot02</v>
      </c>
      <c r="P25" s="51">
        <v>11</v>
      </c>
      <c r="Q25" s="25">
        <v>0.81</v>
      </c>
      <c r="R25" s="27">
        <f t="shared" si="2"/>
        <v>1.62</v>
      </c>
      <c r="S25" s="28">
        <f t="shared" si="3"/>
        <v>0.73481904000000009</v>
      </c>
      <c r="T25" s="20"/>
    </row>
    <row r="26" spans="1:20" ht="13" x14ac:dyDescent="0.15">
      <c r="A26" s="7" t="s">
        <v>191</v>
      </c>
      <c r="B26" s="7" t="s">
        <v>76</v>
      </c>
      <c r="C26" s="7" t="s">
        <v>61</v>
      </c>
      <c r="D26" s="10" t="s">
        <v>28</v>
      </c>
      <c r="E26" s="7">
        <v>2</v>
      </c>
      <c r="F26" s="7">
        <v>2</v>
      </c>
      <c r="G26" s="7">
        <v>2</v>
      </c>
      <c r="H26" s="7">
        <v>2</v>
      </c>
      <c r="I26" s="7" t="s">
        <v>29</v>
      </c>
      <c r="J26" s="7" t="s">
        <v>134</v>
      </c>
      <c r="K26" s="12" t="str">
        <f>HYPERLINK("https://www.homedepot.com/p/Everbilt-4-in-Zinc-Plated-Heavy-Duty-Corner-Brace-2-Pack-15446/202034277","Home Depot")</f>
        <v>Home Depot</v>
      </c>
      <c r="L26" s="15" t="s">
        <v>193</v>
      </c>
      <c r="M26" s="48">
        <v>6.47</v>
      </c>
      <c r="N26" s="20">
        <f t="shared" si="0"/>
        <v>12.94</v>
      </c>
      <c r="O26" s="23" t="str">
        <f t="shared" si="9"/>
        <v>2018-03-01_Home Depot02</v>
      </c>
      <c r="P26" s="51">
        <v>15</v>
      </c>
      <c r="Q26" s="25">
        <v>0.81</v>
      </c>
      <c r="R26" s="27">
        <f t="shared" si="2"/>
        <v>1.62</v>
      </c>
      <c r="S26" s="28">
        <f t="shared" si="3"/>
        <v>0.73481904000000009</v>
      </c>
      <c r="T26" s="20"/>
    </row>
    <row r="27" spans="1:20" ht="13" x14ac:dyDescent="0.15">
      <c r="A27" s="7" t="s">
        <v>194</v>
      </c>
      <c r="B27" s="7" t="s">
        <v>195</v>
      </c>
      <c r="C27" s="7" t="s">
        <v>196</v>
      </c>
      <c r="D27" s="10" t="s">
        <v>38</v>
      </c>
      <c r="E27" s="7">
        <v>2</v>
      </c>
      <c r="F27" s="7">
        <v>1</v>
      </c>
      <c r="G27" s="7"/>
      <c r="H27" s="7">
        <v>2</v>
      </c>
      <c r="I27" s="7" t="s">
        <v>29</v>
      </c>
      <c r="J27" s="7" t="s">
        <v>197</v>
      </c>
      <c r="K27" s="12" t="str">
        <f>HYPERLINK("https://www.homedepot.com/p/10-in-x-6-in-to-6-in-90-Degree-Register-Box-90RB10X6X6/100148865","Home Depot")</f>
        <v>Home Depot</v>
      </c>
      <c r="L27" s="15" t="s">
        <v>200</v>
      </c>
      <c r="M27" s="48">
        <v>7.85</v>
      </c>
      <c r="N27" s="20">
        <f t="shared" si="0"/>
        <v>15.7</v>
      </c>
      <c r="O27" s="23" t="str">
        <f t="shared" ref="O27:O29" si="10">HYPERLINK("https://drive.google.com/open?id=1owY_kiJiJxGl5-eklDgu3PBIKRSLRAGR","2018-02-28_Home Depot")</f>
        <v>2018-02-28_Home Depot</v>
      </c>
      <c r="P27" s="51">
        <v>25</v>
      </c>
      <c r="Q27" s="25">
        <v>1.75</v>
      </c>
      <c r="R27" s="27">
        <f t="shared" si="2"/>
        <v>3.5</v>
      </c>
      <c r="S27" s="28">
        <f t="shared" si="3"/>
        <v>1.587572</v>
      </c>
      <c r="T27" s="20"/>
    </row>
    <row r="28" spans="1:20" ht="13" x14ac:dyDescent="0.15">
      <c r="A28" s="7" t="s">
        <v>201</v>
      </c>
      <c r="B28" s="7" t="s">
        <v>195</v>
      </c>
      <c r="C28" s="7" t="s">
        <v>196</v>
      </c>
      <c r="D28" s="10" t="s">
        <v>38</v>
      </c>
      <c r="E28" s="7">
        <v>4</v>
      </c>
      <c r="F28" s="7">
        <v>1</v>
      </c>
      <c r="G28" s="7"/>
      <c r="H28" s="7">
        <v>4</v>
      </c>
      <c r="I28" s="7" t="s">
        <v>29</v>
      </c>
      <c r="J28" s="7" t="s">
        <v>197</v>
      </c>
      <c r="K28" s="12" t="str">
        <f>HYPERLINK("https://www.homedepot.com/p/6-in-90-Degree-Round-Adjustable-Elbow-B90E6/100062966","Home Depot")</f>
        <v>Home Depot</v>
      </c>
      <c r="L28" s="15" t="s">
        <v>202</v>
      </c>
      <c r="M28" s="48">
        <v>5.55</v>
      </c>
      <c r="N28" s="20">
        <f t="shared" si="0"/>
        <v>22.2</v>
      </c>
      <c r="O28" s="23" t="str">
        <f t="shared" si="10"/>
        <v>2018-02-28_Home Depot</v>
      </c>
      <c r="P28" s="51">
        <v>26</v>
      </c>
      <c r="Q28" s="25">
        <v>0.875</v>
      </c>
      <c r="R28" s="27">
        <f t="shared" si="2"/>
        <v>3.5</v>
      </c>
      <c r="S28" s="28">
        <f t="shared" si="3"/>
        <v>1.587572</v>
      </c>
      <c r="T28" s="20"/>
    </row>
    <row r="29" spans="1:20" ht="13" x14ac:dyDescent="0.15">
      <c r="A29" s="7" t="s">
        <v>203</v>
      </c>
      <c r="B29" s="7" t="s">
        <v>195</v>
      </c>
      <c r="C29" s="7" t="s">
        <v>196</v>
      </c>
      <c r="D29" s="10" t="s">
        <v>38</v>
      </c>
      <c r="E29" s="7">
        <v>1</v>
      </c>
      <c r="F29" s="7">
        <v>1</v>
      </c>
      <c r="G29" s="7">
        <v>1</v>
      </c>
      <c r="H29" s="7">
        <v>2</v>
      </c>
      <c r="I29" s="7" t="s">
        <v>29</v>
      </c>
      <c r="J29" s="7" t="s">
        <v>197</v>
      </c>
      <c r="K29" s="12" t="str">
        <f>HYPERLINK("https://www.homedepot.com/p/6-in-x-2-ft-Round-Metal-Duct-Pipe-BCP6X24/100172086","Home Depot")</f>
        <v>Home Depot</v>
      </c>
      <c r="L29" s="15" t="s">
        <v>204</v>
      </c>
      <c r="M29" s="48">
        <v>4.0999999999999996</v>
      </c>
      <c r="N29" s="20">
        <f t="shared" si="0"/>
        <v>8.1999999999999993</v>
      </c>
      <c r="O29" s="23" t="str">
        <f t="shared" si="10"/>
        <v>2018-02-28_Home Depot</v>
      </c>
      <c r="P29" s="51">
        <v>4</v>
      </c>
      <c r="Q29" s="25">
        <v>3</v>
      </c>
      <c r="R29" s="27">
        <f t="shared" si="2"/>
        <v>6</v>
      </c>
      <c r="S29" s="28">
        <f t="shared" si="3"/>
        <v>2.721552</v>
      </c>
      <c r="T29" s="20"/>
    </row>
    <row r="30" spans="1:20" ht="13" x14ac:dyDescent="0.15">
      <c r="A30" s="7" t="s">
        <v>205</v>
      </c>
      <c r="B30" s="7" t="s">
        <v>195</v>
      </c>
      <c r="C30" s="7" t="s">
        <v>196</v>
      </c>
      <c r="D30" s="10" t="s">
        <v>38</v>
      </c>
      <c r="E30" s="7">
        <v>2</v>
      </c>
      <c r="F30" s="7">
        <v>1</v>
      </c>
      <c r="G30" s="7"/>
      <c r="H30" s="7">
        <v>2</v>
      </c>
      <c r="I30" s="7" t="s">
        <v>29</v>
      </c>
      <c r="J30" s="7" t="s">
        <v>206</v>
      </c>
      <c r="K30" s="46" t="s">
        <v>206</v>
      </c>
      <c r="L30" s="15" t="s">
        <v>207</v>
      </c>
      <c r="M30" s="48">
        <v>280</v>
      </c>
      <c r="N30" s="20">
        <f t="shared" si="0"/>
        <v>560</v>
      </c>
      <c r="O30" s="23" t="str">
        <f>HYPERLINK("https://drive.google.com/open?id=1dhGLsdLxUAnSw62fIdi5Mn-UtnP7CwEt","2018-04-02_THB Services")</f>
        <v>2018-04-02_THB Services</v>
      </c>
      <c r="P30" s="51">
        <v>1</v>
      </c>
      <c r="Q30" s="25">
        <v>3</v>
      </c>
      <c r="R30" s="27">
        <f t="shared" si="2"/>
        <v>6</v>
      </c>
      <c r="S30" s="28">
        <f t="shared" si="3"/>
        <v>2.721552</v>
      </c>
      <c r="T30" s="20"/>
    </row>
    <row r="31" spans="1:20" ht="13" x14ac:dyDescent="0.15">
      <c r="A31" s="7" t="s">
        <v>208</v>
      </c>
      <c r="B31" s="7" t="s">
        <v>195</v>
      </c>
      <c r="C31" s="7" t="s">
        <v>196</v>
      </c>
      <c r="D31" s="10" t="s">
        <v>38</v>
      </c>
      <c r="E31" s="7">
        <v>1</v>
      </c>
      <c r="F31" s="7">
        <v>1</v>
      </c>
      <c r="G31" s="7"/>
      <c r="H31" s="7">
        <v>1</v>
      </c>
      <c r="I31" s="7" t="s">
        <v>29</v>
      </c>
      <c r="J31" s="7" t="s">
        <v>209</v>
      </c>
      <c r="K31" s="12" t="str">
        <f>HYPERLINK("https://www.homedepot.com/p/Master-Flow-24-in-x-36-in-Galvanized-Steel-Flat-Sheet-GFS24X361P/202191776","Home Depot")</f>
        <v>Home Depot</v>
      </c>
      <c r="L31" s="15" t="s">
        <v>210</v>
      </c>
      <c r="M31" s="48">
        <v>9.5500000000000007</v>
      </c>
      <c r="N31" s="20">
        <f t="shared" si="0"/>
        <v>9.5500000000000007</v>
      </c>
      <c r="O31" s="23" t="str">
        <f t="shared" ref="O31:O32" si="11">HYPERLINK("https://drive.google.com/open?id=1owY_kiJiJxGl5-eklDgu3PBIKRSLRAGR","2018-02-28_Home Depot")</f>
        <v>2018-02-28_Home Depot</v>
      </c>
      <c r="P31" s="51">
        <v>2</v>
      </c>
      <c r="Q31" s="25">
        <v>3.1</v>
      </c>
      <c r="R31" s="27">
        <f t="shared" si="2"/>
        <v>3.1</v>
      </c>
      <c r="S31" s="28">
        <f t="shared" si="3"/>
        <v>1.4061352</v>
      </c>
      <c r="T31" s="20"/>
    </row>
    <row r="32" spans="1:20" ht="13" x14ac:dyDescent="0.15">
      <c r="A32" s="7" t="s">
        <v>211</v>
      </c>
      <c r="B32" s="7" t="s">
        <v>195</v>
      </c>
      <c r="C32" s="7" t="s">
        <v>196</v>
      </c>
      <c r="D32" s="10" t="s">
        <v>38</v>
      </c>
      <c r="E32" s="7">
        <v>1</v>
      </c>
      <c r="F32" s="7">
        <v>1</v>
      </c>
      <c r="G32" s="7">
        <v>1</v>
      </c>
      <c r="H32" s="7">
        <v>1</v>
      </c>
      <c r="I32" s="7" t="s">
        <v>29</v>
      </c>
      <c r="J32" s="7" t="s">
        <v>212</v>
      </c>
      <c r="K32" s="12" t="e">
        <f>HYPERLINK("https://www.homedepot.com/p/Honeywell-16-in-x-25-in-x-1-in-Allergen-Plus-Pleated-FPR-7-Air-Filter-2-Pack-90702I011625/204088262?cm_mmc=Shopping%7cTHD%7cG%7c0%7cG-BASE-PLA-AllProducts%7c&amp;gclid=Cj0KCQiAieTUBRCaARIsAHeLDCQlzQLBv4KHJM5-9EgW4qYunP0R-clZcCKaZED"&amp;"rcO--_4KzmZPw0tAaAiklEALw_wcB&amp;gclsrc=aw.ds&amp;dclid=CJfc9o3oztkCFYm5yAod33cENg","Home Depot")</f>
        <v>#VALUE!</v>
      </c>
      <c r="L32" s="15" t="s">
        <v>213</v>
      </c>
      <c r="M32" s="48">
        <v>17.07</v>
      </c>
      <c r="N32" s="20">
        <f t="shared" si="0"/>
        <v>17.07</v>
      </c>
      <c r="O32" s="23" t="str">
        <f t="shared" si="11"/>
        <v>2018-02-28_Home Depot</v>
      </c>
      <c r="P32" s="51">
        <v>1</v>
      </c>
      <c r="Q32" s="25">
        <v>0.25</v>
      </c>
      <c r="R32" s="27">
        <f t="shared" si="2"/>
        <v>0.25</v>
      </c>
      <c r="S32" s="28">
        <f t="shared" si="3"/>
        <v>0.113398</v>
      </c>
      <c r="T32" s="20"/>
    </row>
    <row r="33" spans="1:20" ht="13" x14ac:dyDescent="0.15">
      <c r="A33" s="7" t="s">
        <v>214</v>
      </c>
      <c r="B33" s="7" t="s">
        <v>195</v>
      </c>
      <c r="C33" s="7" t="s">
        <v>196</v>
      </c>
      <c r="D33" s="10" t="s">
        <v>38</v>
      </c>
      <c r="E33" s="7">
        <v>2</v>
      </c>
      <c r="F33" s="7"/>
      <c r="G33" s="7"/>
      <c r="H33" s="7">
        <v>1</v>
      </c>
      <c r="I33" s="7" t="s">
        <v>215</v>
      </c>
      <c r="J33" s="7" t="s">
        <v>216</v>
      </c>
      <c r="K33" s="46" t="s">
        <v>206</v>
      </c>
      <c r="L33" s="15" t="s">
        <v>39</v>
      </c>
      <c r="M33" s="48">
        <v>20</v>
      </c>
      <c r="N33" s="20">
        <f t="shared" si="0"/>
        <v>20</v>
      </c>
      <c r="O33" s="23" t="str">
        <f t="shared" ref="O33:O34" si="12">HYPERLINK("https://drive.google.com/open?id=1dhGLsdLxUAnSw62fIdi5Mn-UtnP7CwEt","2018-04-02_THB Services")</f>
        <v>2018-04-02_THB Services</v>
      </c>
      <c r="P33" s="51" t="s">
        <v>51</v>
      </c>
      <c r="Q33" s="25">
        <v>4</v>
      </c>
      <c r="R33" s="27">
        <f t="shared" si="2"/>
        <v>4</v>
      </c>
      <c r="S33" s="28">
        <f t="shared" si="3"/>
        <v>1.814368</v>
      </c>
      <c r="T33" s="20"/>
    </row>
    <row r="34" spans="1:20" ht="13" x14ac:dyDescent="0.15">
      <c r="A34" s="7" t="s">
        <v>217</v>
      </c>
      <c r="B34" s="7" t="s">
        <v>195</v>
      </c>
      <c r="C34" s="7" t="s">
        <v>196</v>
      </c>
      <c r="D34" s="10" t="s">
        <v>38</v>
      </c>
      <c r="E34" s="7">
        <v>6</v>
      </c>
      <c r="F34" s="7"/>
      <c r="G34" s="7"/>
      <c r="H34" s="7">
        <v>6</v>
      </c>
      <c r="I34" s="7" t="s">
        <v>215</v>
      </c>
      <c r="J34" s="7" t="s">
        <v>216</v>
      </c>
      <c r="K34" s="46" t="s">
        <v>206</v>
      </c>
      <c r="L34" s="15" t="s">
        <v>39</v>
      </c>
      <c r="M34" s="48">
        <v>2.5</v>
      </c>
      <c r="N34" s="20">
        <f t="shared" si="0"/>
        <v>15</v>
      </c>
      <c r="O34" s="23" t="str">
        <f t="shared" si="12"/>
        <v>2018-04-02_THB Services</v>
      </c>
      <c r="P34" s="51" t="s">
        <v>51</v>
      </c>
      <c r="Q34" s="25">
        <v>2</v>
      </c>
      <c r="R34" s="27">
        <f t="shared" si="2"/>
        <v>12</v>
      </c>
      <c r="S34" s="28">
        <f t="shared" si="3"/>
        <v>5.4431039999999999</v>
      </c>
      <c r="T34" s="20"/>
    </row>
    <row r="35" spans="1:20" ht="13" x14ac:dyDescent="0.15">
      <c r="A35" s="7" t="s">
        <v>218</v>
      </c>
      <c r="B35" s="7" t="s">
        <v>195</v>
      </c>
      <c r="C35" s="7" t="s">
        <v>196</v>
      </c>
      <c r="D35" s="10" t="s">
        <v>219</v>
      </c>
      <c r="E35" s="7">
        <v>1</v>
      </c>
      <c r="F35" s="7">
        <v>10</v>
      </c>
      <c r="G35" s="7"/>
      <c r="H35" s="7">
        <v>1</v>
      </c>
      <c r="I35" s="7" t="s">
        <v>215</v>
      </c>
      <c r="J35" s="7" t="s">
        <v>157</v>
      </c>
      <c r="K35" s="12" t="str">
        <f>HYPERLINK("https://www.homedepot.com/p/Commercial-Electric-36-in-Heavy-Duty-Tie-Natural-10-Pack-GT-920HD-10/203531934","Home Depot")</f>
        <v>Home Depot</v>
      </c>
      <c r="L35" s="15" t="s">
        <v>220</v>
      </c>
      <c r="M35" s="48">
        <v>7.32</v>
      </c>
      <c r="N35" s="20">
        <f t="shared" si="0"/>
        <v>7.32</v>
      </c>
      <c r="O35" s="61" t="s">
        <v>51</v>
      </c>
      <c r="P35" s="51" t="s">
        <v>51</v>
      </c>
      <c r="Q35" s="25">
        <v>0.43</v>
      </c>
      <c r="R35" s="27">
        <f t="shared" si="2"/>
        <v>0.43</v>
      </c>
      <c r="S35" s="28">
        <f t="shared" si="3"/>
        <v>0.19504456000000001</v>
      </c>
      <c r="T35" s="20"/>
    </row>
    <row r="36" spans="1:20" ht="13" x14ac:dyDescent="0.15">
      <c r="A36" s="7" t="s">
        <v>221</v>
      </c>
      <c r="B36" s="7" t="s">
        <v>195</v>
      </c>
      <c r="C36" s="7" t="s">
        <v>196</v>
      </c>
      <c r="D36" s="10" t="s">
        <v>28</v>
      </c>
      <c r="E36" s="7">
        <v>1</v>
      </c>
      <c r="F36" s="7">
        <v>1</v>
      </c>
      <c r="G36" s="7">
        <v>1</v>
      </c>
      <c r="H36" s="7">
        <v>1</v>
      </c>
      <c r="I36" s="7" t="s">
        <v>215</v>
      </c>
      <c r="J36" s="7" t="s">
        <v>153</v>
      </c>
      <c r="K36" s="12" t="str">
        <f>HYPERLINK("https://www.homedepot.com/p/Oatey-3-4-in-x-25-ft-28-Gauge-Galvanized-Hanger-Strap-33530/301505501","Home Depot")</f>
        <v>Home Depot</v>
      </c>
      <c r="L36" s="15" t="s">
        <v>222</v>
      </c>
      <c r="M36" s="48">
        <v>5.25</v>
      </c>
      <c r="N36" s="20">
        <f t="shared" si="0"/>
        <v>5.25</v>
      </c>
      <c r="O36" s="61" t="s">
        <v>51</v>
      </c>
      <c r="P36" s="51" t="s">
        <v>51</v>
      </c>
      <c r="Q36" s="25">
        <v>1.1299999999999999</v>
      </c>
      <c r="R36" s="27">
        <f t="shared" si="2"/>
        <v>1.1299999999999999</v>
      </c>
      <c r="S36" s="28">
        <f t="shared" si="3"/>
        <v>0.5125589599999999</v>
      </c>
      <c r="T36" s="20"/>
    </row>
    <row r="37" spans="1:20" ht="13" x14ac:dyDescent="0.15">
      <c r="A37" s="7" t="s">
        <v>223</v>
      </c>
      <c r="B37" s="7" t="s">
        <v>224</v>
      </c>
      <c r="C37" s="7" t="s">
        <v>196</v>
      </c>
      <c r="D37" s="10" t="s">
        <v>38</v>
      </c>
      <c r="E37" s="7">
        <v>2</v>
      </c>
      <c r="F37" s="7">
        <v>1</v>
      </c>
      <c r="G37" s="7"/>
      <c r="H37" s="7">
        <v>2</v>
      </c>
      <c r="I37" s="7" t="s">
        <v>215</v>
      </c>
      <c r="J37" s="7" t="s">
        <v>197</v>
      </c>
      <c r="K37" s="12" t="str">
        <f>HYPERLINK("https://www.homedepot.com/p/16-in-x-8-in-x-4-ft-Half-Section-Rectangular-Duct-RD16X8X48/100199671","Home Depot")</f>
        <v>Home Depot</v>
      </c>
      <c r="L37" s="15" t="s">
        <v>225</v>
      </c>
      <c r="M37" s="48">
        <v>15.82</v>
      </c>
      <c r="N37" s="20">
        <f t="shared" si="0"/>
        <v>31.64</v>
      </c>
      <c r="O37" s="61" t="s">
        <v>51</v>
      </c>
      <c r="P37" s="51" t="s">
        <v>51</v>
      </c>
      <c r="Q37" s="25">
        <v>3</v>
      </c>
      <c r="R37" s="27">
        <f t="shared" si="2"/>
        <v>6</v>
      </c>
      <c r="S37" s="28">
        <f t="shared" si="3"/>
        <v>2.721552</v>
      </c>
      <c r="T37" s="20"/>
    </row>
    <row r="38" spans="1:20" ht="13" x14ac:dyDescent="0.15">
      <c r="A38" s="7" t="s">
        <v>226</v>
      </c>
      <c r="B38" s="7" t="s">
        <v>60</v>
      </c>
      <c r="C38" s="7" t="s">
        <v>227</v>
      </c>
      <c r="D38" s="10" t="s">
        <v>228</v>
      </c>
      <c r="E38" s="7">
        <v>1</v>
      </c>
      <c r="F38" s="7">
        <v>1</v>
      </c>
      <c r="G38" s="7"/>
      <c r="H38" s="7">
        <v>1</v>
      </c>
      <c r="I38" s="7" t="s">
        <v>29</v>
      </c>
      <c r="J38" s="7" t="s">
        <v>198</v>
      </c>
      <c r="K38" s="12" t="str">
        <f>HYPERLINK("https://www.sunlightsupply.com/shop/product/dosatron-in-line-filter-kit-with-unions-3-4-in-200-mesh-80-micron","Dosatron")</f>
        <v>Dosatron</v>
      </c>
      <c r="L38" s="15" t="s">
        <v>229</v>
      </c>
      <c r="M38" s="48">
        <v>33.72</v>
      </c>
      <c r="N38" s="20">
        <f t="shared" si="0"/>
        <v>33.72</v>
      </c>
      <c r="O38" s="23" t="str">
        <f>HYPERLINK("https://drive.google.com/open?id=19AWsEGNg7ubi5alOtP4Qqq6YBrzVX5Iw","2018-04-02_Dosatron")</f>
        <v>2018-04-02_Dosatron</v>
      </c>
      <c r="P38" s="51">
        <v>6</v>
      </c>
      <c r="Q38" s="25">
        <v>0.8</v>
      </c>
      <c r="R38" s="27">
        <f t="shared" si="2"/>
        <v>0.8</v>
      </c>
      <c r="S38" s="28">
        <f t="shared" si="3"/>
        <v>0.36287360000000002</v>
      </c>
      <c r="T38" s="20"/>
    </row>
    <row r="39" spans="1:20" ht="13" x14ac:dyDescent="0.15">
      <c r="A39" s="7" t="s">
        <v>230</v>
      </c>
      <c r="B39" s="7" t="s">
        <v>231</v>
      </c>
      <c r="C39" s="7" t="s">
        <v>227</v>
      </c>
      <c r="D39" s="10" t="s">
        <v>38</v>
      </c>
      <c r="E39" s="7">
        <v>9</v>
      </c>
      <c r="F39" s="7">
        <v>1</v>
      </c>
      <c r="G39" s="7">
        <f t="shared" ref="G39:G45" si="13">E39*F39</f>
        <v>9</v>
      </c>
      <c r="H39" s="7">
        <v>15</v>
      </c>
      <c r="I39" s="7" t="s">
        <v>29</v>
      </c>
      <c r="J39" s="7" t="s">
        <v>39</v>
      </c>
      <c r="K39" s="12" t="str">
        <f>HYPERLINK("https://www.mcmaster.com/#4880k42/=1bhf9se","McMaster Carr")</f>
        <v>McMaster Carr</v>
      </c>
      <c r="L39" s="15" t="s">
        <v>232</v>
      </c>
      <c r="M39" s="48">
        <v>0.44</v>
      </c>
      <c r="N39" s="20">
        <f t="shared" si="0"/>
        <v>6.6</v>
      </c>
      <c r="O39" s="23" t="str">
        <f t="shared" ref="O39:O44" si="14">HYPERLINK("https://drive.google.com/open?id=17ra1rRj-Z09UoIGz2wMfmF9NRSQNMWKf","2018-02-20_McMaster")</f>
        <v>2018-02-20_McMaster</v>
      </c>
      <c r="P39" s="51">
        <v>23</v>
      </c>
      <c r="Q39" s="25">
        <v>7.0000000000000007E-2</v>
      </c>
      <c r="R39" s="27">
        <f t="shared" si="2"/>
        <v>1.05</v>
      </c>
      <c r="S39" s="28">
        <f t="shared" si="3"/>
        <v>0.47627160000000002</v>
      </c>
      <c r="T39" s="20"/>
    </row>
    <row r="40" spans="1:20" ht="13" x14ac:dyDescent="0.15">
      <c r="A40" s="7" t="s">
        <v>233</v>
      </c>
      <c r="B40" s="7" t="s">
        <v>231</v>
      </c>
      <c r="C40" s="7" t="s">
        <v>227</v>
      </c>
      <c r="D40" s="10" t="s">
        <v>38</v>
      </c>
      <c r="E40" s="7">
        <v>12</v>
      </c>
      <c r="F40" s="7">
        <v>1</v>
      </c>
      <c r="G40" s="7">
        <f t="shared" si="13"/>
        <v>12</v>
      </c>
      <c r="H40" s="7">
        <v>20</v>
      </c>
      <c r="I40" s="7" t="s">
        <v>29</v>
      </c>
      <c r="J40" s="7" t="s">
        <v>39</v>
      </c>
      <c r="K40" s="12" t="str">
        <f>HYPERLINK("https://www.mcmaster.com/#4880k393/=1bhfas2","McMaster Carr")</f>
        <v>McMaster Carr</v>
      </c>
      <c r="L40" s="15" t="s">
        <v>234</v>
      </c>
      <c r="M40" s="48">
        <v>0.78</v>
      </c>
      <c r="N40" s="20">
        <f t="shared" si="0"/>
        <v>15.600000000000001</v>
      </c>
      <c r="O40" s="23" t="str">
        <f t="shared" si="14"/>
        <v>2018-02-20_McMaster</v>
      </c>
      <c r="P40" s="51">
        <v>24</v>
      </c>
      <c r="Q40" s="25">
        <v>7.0000000000000007E-2</v>
      </c>
      <c r="R40" s="27">
        <f t="shared" si="2"/>
        <v>1.4000000000000001</v>
      </c>
      <c r="S40" s="28">
        <f t="shared" si="3"/>
        <v>0.63502880000000006</v>
      </c>
      <c r="T40" s="20"/>
    </row>
    <row r="41" spans="1:20" ht="13" x14ac:dyDescent="0.15">
      <c r="A41" s="7" t="s">
        <v>235</v>
      </c>
      <c r="B41" s="7" t="s">
        <v>231</v>
      </c>
      <c r="C41" s="7" t="s">
        <v>227</v>
      </c>
      <c r="D41" s="10" t="s">
        <v>38</v>
      </c>
      <c r="E41" s="7">
        <v>7</v>
      </c>
      <c r="F41" s="7">
        <v>1</v>
      </c>
      <c r="G41" s="7">
        <f t="shared" si="13"/>
        <v>7</v>
      </c>
      <c r="H41" s="7">
        <v>14</v>
      </c>
      <c r="I41" s="7" t="s">
        <v>29</v>
      </c>
      <c r="J41" s="7" t="s">
        <v>39</v>
      </c>
      <c r="K41" s="12" t="str">
        <f>HYPERLINK("https://www.mcmaster.com/#4880k22/=1bhfb9h","McMaster Carr")</f>
        <v>McMaster Carr</v>
      </c>
      <c r="L41" s="15" t="s">
        <v>236</v>
      </c>
      <c r="M41" s="48">
        <v>0.35</v>
      </c>
      <c r="N41" s="20">
        <f t="shared" si="0"/>
        <v>4.8999999999999995</v>
      </c>
      <c r="O41" s="23" t="str">
        <f t="shared" si="14"/>
        <v>2018-02-20_McMaster</v>
      </c>
      <c r="P41" s="51">
        <v>25</v>
      </c>
      <c r="Q41" s="25">
        <v>4.3999999999999997E-2</v>
      </c>
      <c r="R41" s="27">
        <f t="shared" si="2"/>
        <v>0.61599999999999999</v>
      </c>
      <c r="S41" s="28">
        <f t="shared" si="3"/>
        <v>0.27941267199999997</v>
      </c>
      <c r="T41" s="20"/>
    </row>
    <row r="42" spans="1:20" ht="13" x14ac:dyDescent="0.15">
      <c r="A42" s="7" t="s">
        <v>237</v>
      </c>
      <c r="B42" s="7" t="s">
        <v>231</v>
      </c>
      <c r="C42" s="7" t="s">
        <v>227</v>
      </c>
      <c r="D42" s="10" t="s">
        <v>38</v>
      </c>
      <c r="E42" s="7">
        <v>10</v>
      </c>
      <c r="F42" s="7">
        <v>1</v>
      </c>
      <c r="G42" s="7">
        <f t="shared" si="13"/>
        <v>10</v>
      </c>
      <c r="H42" s="7">
        <v>10</v>
      </c>
      <c r="I42" s="7" t="s">
        <v>29</v>
      </c>
      <c r="J42" s="7" t="s">
        <v>39</v>
      </c>
      <c r="K42" s="12" t="str">
        <f>HYPERLINK("https://www.mcmaster.com/#4880k302/=1bherlq","McMaster Carr")</f>
        <v>McMaster Carr</v>
      </c>
      <c r="L42" s="15" t="s">
        <v>238</v>
      </c>
      <c r="M42" s="48">
        <v>3.4</v>
      </c>
      <c r="N42" s="20">
        <f t="shared" si="0"/>
        <v>34</v>
      </c>
      <c r="O42" s="23" t="str">
        <f t="shared" si="14"/>
        <v>2018-02-20_McMaster</v>
      </c>
      <c r="P42" s="51">
        <v>26</v>
      </c>
      <c r="Q42" s="25">
        <v>0.1</v>
      </c>
      <c r="R42" s="27">
        <f t="shared" si="2"/>
        <v>1</v>
      </c>
      <c r="S42" s="28">
        <f t="shared" si="3"/>
        <v>0.453592</v>
      </c>
      <c r="T42" s="20"/>
    </row>
    <row r="43" spans="1:20" ht="13" x14ac:dyDescent="0.15">
      <c r="A43" s="7" t="s">
        <v>239</v>
      </c>
      <c r="B43" s="7" t="s">
        <v>240</v>
      </c>
      <c r="C43" s="7" t="s">
        <v>227</v>
      </c>
      <c r="D43" s="10" t="s">
        <v>38</v>
      </c>
      <c r="E43" s="7">
        <v>4</v>
      </c>
      <c r="F43" s="7">
        <v>1</v>
      </c>
      <c r="G43" s="7">
        <f t="shared" si="13"/>
        <v>4</v>
      </c>
      <c r="H43" s="7">
        <v>8</v>
      </c>
      <c r="I43" s="7" t="s">
        <v>29</v>
      </c>
      <c r="J43" s="7" t="s">
        <v>39</v>
      </c>
      <c r="K43" s="12" t="str">
        <f>HYPERLINK("https://www.mcmaster.com/#4876k12/=1bhg9f8","McMaster Carr")</f>
        <v>McMaster Carr</v>
      </c>
      <c r="L43" s="15" t="s">
        <v>241</v>
      </c>
      <c r="M43" s="48">
        <v>9.08</v>
      </c>
      <c r="N43" s="20">
        <f t="shared" si="0"/>
        <v>72.64</v>
      </c>
      <c r="O43" s="23" t="str">
        <f t="shared" si="14"/>
        <v>2018-02-20_McMaster</v>
      </c>
      <c r="P43" s="51">
        <v>27</v>
      </c>
      <c r="Q43" s="25">
        <v>0.24</v>
      </c>
      <c r="R43" s="27">
        <f t="shared" si="2"/>
        <v>1.92</v>
      </c>
      <c r="S43" s="28">
        <f t="shared" si="3"/>
        <v>0.87089664</v>
      </c>
      <c r="T43" s="20"/>
    </row>
    <row r="44" spans="1:20" ht="13" x14ac:dyDescent="0.15">
      <c r="A44" s="7" t="s">
        <v>242</v>
      </c>
      <c r="B44" s="7" t="s">
        <v>231</v>
      </c>
      <c r="C44" s="7" t="s">
        <v>227</v>
      </c>
      <c r="D44" s="10" t="s">
        <v>38</v>
      </c>
      <c r="E44" s="7">
        <v>4</v>
      </c>
      <c r="F44" s="7">
        <v>1</v>
      </c>
      <c r="G44" s="7">
        <f t="shared" si="13"/>
        <v>4</v>
      </c>
      <c r="H44" s="7">
        <v>12</v>
      </c>
      <c r="I44" s="7" t="s">
        <v>29</v>
      </c>
      <c r="J44" s="7" t="s">
        <v>39</v>
      </c>
      <c r="K44" s="12" t="str">
        <f>HYPERLINK("https://www.mcmaster.com/#4880k62/=1bhfmkb","McMaster Carr")</f>
        <v>McMaster Carr</v>
      </c>
      <c r="L44" s="15" t="s">
        <v>243</v>
      </c>
      <c r="M44" s="48">
        <v>0.3</v>
      </c>
      <c r="N44" s="20">
        <f t="shared" si="0"/>
        <v>3.5999999999999996</v>
      </c>
      <c r="O44" s="23" t="str">
        <f t="shared" si="14"/>
        <v>2018-02-20_McMaster</v>
      </c>
      <c r="P44" s="51">
        <v>28</v>
      </c>
      <c r="Q44" s="25">
        <v>2.5000000000000001E-2</v>
      </c>
      <c r="R44" s="27">
        <f t="shared" si="2"/>
        <v>0.30000000000000004</v>
      </c>
      <c r="S44" s="28">
        <f t="shared" si="3"/>
        <v>0.13607760000000002</v>
      </c>
      <c r="T44" s="20"/>
    </row>
    <row r="45" spans="1:20" ht="13" x14ac:dyDescent="0.15">
      <c r="A45" s="7" t="s">
        <v>105</v>
      </c>
      <c r="B45" s="7" t="s">
        <v>240</v>
      </c>
      <c r="C45" s="7" t="s">
        <v>227</v>
      </c>
      <c r="D45" s="10" t="s">
        <v>38</v>
      </c>
      <c r="E45" s="7">
        <v>4</v>
      </c>
      <c r="F45" s="7">
        <v>1</v>
      </c>
      <c r="G45" s="7">
        <f t="shared" si="13"/>
        <v>4</v>
      </c>
      <c r="H45" s="7">
        <v>12</v>
      </c>
      <c r="I45" s="7" t="s">
        <v>29</v>
      </c>
      <c r="J45" s="7" t="s">
        <v>58</v>
      </c>
      <c r="K45" s="12" t="str">
        <f>HYPERLINK("https://www.grainger.com/product/LASCO-PVC-Street-Elbow-22FJ98","Grainger")</f>
        <v>Grainger</v>
      </c>
      <c r="L45" s="15" t="s">
        <v>112</v>
      </c>
      <c r="M45" s="48">
        <v>0.97</v>
      </c>
      <c r="N45" s="20">
        <f t="shared" si="0"/>
        <v>11.64</v>
      </c>
      <c r="O45" s="23" t="str">
        <f>HYPERLINK("https://drive.google.com/open?id=1HrpuyXAkEor3K3J4Lcf8I4oPLUc7kJKp","2018-03-01_Grainger")</f>
        <v>2018-03-01_Grainger</v>
      </c>
      <c r="P45" s="51">
        <v>28</v>
      </c>
      <c r="Q45" s="25">
        <v>0.05</v>
      </c>
      <c r="R45" s="27">
        <f t="shared" si="2"/>
        <v>0.60000000000000009</v>
      </c>
      <c r="S45" s="28">
        <f t="shared" si="3"/>
        <v>0.27215520000000004</v>
      </c>
      <c r="T45" s="20"/>
    </row>
    <row r="46" spans="1:20" ht="13" x14ac:dyDescent="0.15">
      <c r="A46" s="7" t="s">
        <v>244</v>
      </c>
      <c r="B46" s="7" t="s">
        <v>231</v>
      </c>
      <c r="C46" s="7" t="s">
        <v>227</v>
      </c>
      <c r="D46" s="10" t="s">
        <v>38</v>
      </c>
      <c r="E46" s="7">
        <v>32</v>
      </c>
      <c r="F46" s="7">
        <v>1</v>
      </c>
      <c r="G46" s="7"/>
      <c r="H46" s="7">
        <v>1</v>
      </c>
      <c r="I46" s="7" t="s">
        <v>29</v>
      </c>
      <c r="J46" s="7" t="s">
        <v>245</v>
      </c>
      <c r="K46" s="46" t="s">
        <v>246</v>
      </c>
      <c r="L46" s="15" t="s">
        <v>247</v>
      </c>
      <c r="M46" s="48">
        <v>5</v>
      </c>
      <c r="N46" s="20"/>
      <c r="O46" s="61" t="s">
        <v>51</v>
      </c>
      <c r="P46" s="51">
        <v>4</v>
      </c>
      <c r="Q46" s="25">
        <v>1.6</v>
      </c>
      <c r="R46" s="27">
        <f t="shared" si="2"/>
        <v>1.6</v>
      </c>
      <c r="S46" s="28">
        <f t="shared" si="3"/>
        <v>0.72574720000000004</v>
      </c>
      <c r="T46" s="20"/>
    </row>
    <row r="47" spans="1:20" ht="13" x14ac:dyDescent="0.15">
      <c r="A47" s="7" t="s">
        <v>248</v>
      </c>
      <c r="B47" s="7" t="s">
        <v>231</v>
      </c>
      <c r="C47" s="7" t="s">
        <v>227</v>
      </c>
      <c r="D47" s="10" t="s">
        <v>38</v>
      </c>
      <c r="E47" s="7">
        <v>86</v>
      </c>
      <c r="F47" s="7">
        <v>1</v>
      </c>
      <c r="G47" s="7"/>
      <c r="H47" s="7">
        <v>50</v>
      </c>
      <c r="I47" s="7" t="s">
        <v>29</v>
      </c>
      <c r="J47" s="7" t="s">
        <v>249</v>
      </c>
      <c r="K47" s="46" t="s">
        <v>250</v>
      </c>
      <c r="L47" s="15" t="s">
        <v>251</v>
      </c>
      <c r="M47" s="48">
        <v>0.19</v>
      </c>
      <c r="N47" s="20">
        <f t="shared" ref="N47:N127" si="15">M47*H47</f>
        <v>9.5</v>
      </c>
      <c r="O47" s="23" t="str">
        <f>HYPERLINK("https://drive.google.com/open?id=1Jzj_rjMABpV-Sn49VF8m4uyWA9aGMPVJ","2017-09-17_SalemPS")</f>
        <v>2017-09-17_SalemPS</v>
      </c>
      <c r="P47" s="51">
        <v>5</v>
      </c>
      <c r="Q47" s="25">
        <v>0.02</v>
      </c>
      <c r="R47" s="27">
        <f t="shared" si="2"/>
        <v>1</v>
      </c>
      <c r="S47" s="28">
        <f t="shared" si="3"/>
        <v>0.453592</v>
      </c>
      <c r="T47" s="20"/>
    </row>
    <row r="48" spans="1:20" ht="13" x14ac:dyDescent="0.15">
      <c r="A48" s="7" t="s">
        <v>252</v>
      </c>
      <c r="B48" s="7" t="s">
        <v>253</v>
      </c>
      <c r="C48" s="7" t="s">
        <v>227</v>
      </c>
      <c r="D48" s="10" t="s">
        <v>51</v>
      </c>
      <c r="E48" s="7">
        <v>5</v>
      </c>
      <c r="F48" s="7">
        <v>1</v>
      </c>
      <c r="G48" s="7"/>
      <c r="H48" s="7">
        <v>5</v>
      </c>
      <c r="I48" s="7" t="s">
        <v>29</v>
      </c>
      <c r="J48" s="7" t="s">
        <v>254</v>
      </c>
      <c r="K48" s="12" t="str">
        <f>HYPERLINK("https://www.homedepot.com/p/DURA-1-2-in-x-3-4-in-Schedule-40-PVC-Reducing-Male-Adapter-C436-074/100346631","Home Depot")</f>
        <v>Home Depot</v>
      </c>
      <c r="L48" s="15" t="s">
        <v>255</v>
      </c>
      <c r="M48" s="48">
        <v>0.91</v>
      </c>
      <c r="N48" s="20">
        <f t="shared" si="15"/>
        <v>4.55</v>
      </c>
      <c r="O48" s="23" t="str">
        <f t="shared" ref="O48:O53" si="16">HYPERLINK("https://drive.google.com/open?id=1mvohkfyS7SAaX1M87zVZj81CASQ2IZcU","2018-02-23_Home Depot")</f>
        <v>2018-02-23_Home Depot</v>
      </c>
      <c r="P48" s="51">
        <v>5</v>
      </c>
      <c r="Q48" s="25">
        <v>0.05</v>
      </c>
      <c r="R48" s="27">
        <f t="shared" si="2"/>
        <v>0.25</v>
      </c>
      <c r="S48" s="28">
        <f t="shared" si="3"/>
        <v>0.113398</v>
      </c>
      <c r="T48" s="20"/>
    </row>
    <row r="49" spans="1:20" ht="13" x14ac:dyDescent="0.15">
      <c r="A49" s="7" t="s">
        <v>256</v>
      </c>
      <c r="B49" s="7" t="s">
        <v>253</v>
      </c>
      <c r="C49" s="7" t="s">
        <v>227</v>
      </c>
      <c r="D49" s="10" t="s">
        <v>51</v>
      </c>
      <c r="E49" s="7">
        <v>11</v>
      </c>
      <c r="F49" s="7">
        <v>11</v>
      </c>
      <c r="G49" s="7"/>
      <c r="H49" s="7">
        <v>11</v>
      </c>
      <c r="I49" s="7" t="s">
        <v>29</v>
      </c>
      <c r="J49" s="7" t="s">
        <v>254</v>
      </c>
      <c r="K49" s="12" t="str">
        <f>HYPERLINK("https://www.homedepot.com/p/DURA-1-2-in-x-3-4-in-Schedule-40-PVC-Reducing-Female-Adapter-U435-074/100344480","Home Depot")</f>
        <v>Home Depot</v>
      </c>
      <c r="L49" s="15" t="s">
        <v>257</v>
      </c>
      <c r="M49" s="48">
        <v>0.84</v>
      </c>
      <c r="N49" s="20">
        <f t="shared" si="15"/>
        <v>9.24</v>
      </c>
      <c r="O49" s="23" t="str">
        <f t="shared" si="16"/>
        <v>2018-02-23_Home Depot</v>
      </c>
      <c r="P49" s="51">
        <v>6</v>
      </c>
      <c r="Q49" s="25">
        <v>0.05</v>
      </c>
      <c r="R49" s="27">
        <f t="shared" si="2"/>
        <v>0.55000000000000004</v>
      </c>
      <c r="S49" s="28">
        <f t="shared" si="3"/>
        <v>0.24947560000000002</v>
      </c>
      <c r="T49" s="20"/>
    </row>
    <row r="50" spans="1:20" ht="13" x14ac:dyDescent="0.15">
      <c r="A50" s="7" t="s">
        <v>258</v>
      </c>
      <c r="B50" s="7" t="s">
        <v>253</v>
      </c>
      <c r="C50" s="7" t="s">
        <v>227</v>
      </c>
      <c r="D50" s="10" t="s">
        <v>51</v>
      </c>
      <c r="E50" s="7">
        <v>10</v>
      </c>
      <c r="F50" s="7">
        <v>10</v>
      </c>
      <c r="G50" s="7"/>
      <c r="H50" s="7">
        <v>10</v>
      </c>
      <c r="I50" s="7" t="s">
        <v>29</v>
      </c>
      <c r="J50" s="7" t="s">
        <v>259</v>
      </c>
      <c r="K50" s="12" t="str">
        <f>HYPERLINK("https://www.homedepot.com/p/Charlotte-Pipe-3-4-in-x-1-2-in-PVC-Sch-40-S-x-S-Reducer-Coupling-PVC-02100-3400HD/203824249","Home Depot")</f>
        <v>Home Depot</v>
      </c>
      <c r="L50" s="15" t="s">
        <v>260</v>
      </c>
      <c r="M50" s="48">
        <v>0.59</v>
      </c>
      <c r="N50" s="20">
        <f t="shared" si="15"/>
        <v>5.8999999999999995</v>
      </c>
      <c r="O50" s="23" t="str">
        <f t="shared" si="16"/>
        <v>2018-02-23_Home Depot</v>
      </c>
      <c r="P50" s="51">
        <v>7</v>
      </c>
      <c r="Q50" s="25">
        <v>0.06</v>
      </c>
      <c r="R50" s="27">
        <f t="shared" si="2"/>
        <v>0.6</v>
      </c>
      <c r="S50" s="28">
        <f t="shared" si="3"/>
        <v>0.27215519999999999</v>
      </c>
      <c r="T50" s="20"/>
    </row>
    <row r="51" spans="1:20" ht="13" x14ac:dyDescent="0.15">
      <c r="A51" s="7" t="s">
        <v>261</v>
      </c>
      <c r="B51" s="7" t="s">
        <v>253</v>
      </c>
      <c r="C51" s="7" t="s">
        <v>227</v>
      </c>
      <c r="D51" s="10" t="s">
        <v>51</v>
      </c>
      <c r="E51" s="7">
        <v>10</v>
      </c>
      <c r="F51" s="7">
        <v>1</v>
      </c>
      <c r="G51" s="7"/>
      <c r="H51" s="7">
        <v>10</v>
      </c>
      <c r="I51" s="7" t="s">
        <v>29</v>
      </c>
      <c r="J51" s="7" t="s">
        <v>254</v>
      </c>
      <c r="K51" s="12" t="str">
        <f>HYPERLINK("https://www.homedepot.com/p/DURA-3-4-in-x-1-2-in-Schedule-40-PVC-Reducer-Bushing-C437-101/202101741","Home Depot")</f>
        <v>Home Depot</v>
      </c>
      <c r="L51" s="15" t="s">
        <v>262</v>
      </c>
      <c r="M51" s="48">
        <v>0.59</v>
      </c>
      <c r="N51" s="20">
        <f t="shared" si="15"/>
        <v>5.8999999999999995</v>
      </c>
      <c r="O51" s="23" t="str">
        <f t="shared" si="16"/>
        <v>2018-02-23_Home Depot</v>
      </c>
      <c r="P51" s="51">
        <v>8</v>
      </c>
      <c r="Q51" s="25">
        <v>0.03</v>
      </c>
      <c r="R51" s="27">
        <f t="shared" si="2"/>
        <v>0.3</v>
      </c>
      <c r="S51" s="28">
        <f t="shared" si="3"/>
        <v>0.13607759999999999</v>
      </c>
      <c r="T51" s="20"/>
    </row>
    <row r="52" spans="1:20" ht="13" x14ac:dyDescent="0.15">
      <c r="A52" s="7" t="s">
        <v>263</v>
      </c>
      <c r="B52" s="7" t="s">
        <v>253</v>
      </c>
      <c r="C52" s="7" t="s">
        <v>227</v>
      </c>
      <c r="D52" s="10" t="s">
        <v>51</v>
      </c>
      <c r="E52" s="7">
        <v>31</v>
      </c>
      <c r="F52" s="7">
        <v>1</v>
      </c>
      <c r="G52" s="7"/>
      <c r="H52" s="7">
        <v>31</v>
      </c>
      <c r="I52" s="7" t="s">
        <v>29</v>
      </c>
      <c r="J52" s="7" t="s">
        <v>254</v>
      </c>
      <c r="K52" s="12" t="str">
        <f>HYPERLINK("https://www.homedepot.com/p/DURA-1-2-in-Slip-x-MIPT-Male-Adapter-C436-005/202101743","Home Depot")</f>
        <v>Home Depot</v>
      </c>
      <c r="L52" s="15" t="s">
        <v>264</v>
      </c>
      <c r="M52" s="48">
        <v>0.49</v>
      </c>
      <c r="N52" s="20">
        <f t="shared" si="15"/>
        <v>15.19</v>
      </c>
      <c r="O52" s="23" t="str">
        <f t="shared" si="16"/>
        <v>2018-02-23_Home Depot</v>
      </c>
      <c r="P52" s="51">
        <v>9</v>
      </c>
      <c r="Q52" s="25">
        <v>0.03</v>
      </c>
      <c r="R52" s="27">
        <f t="shared" si="2"/>
        <v>0.92999999999999994</v>
      </c>
      <c r="S52" s="28">
        <f t="shared" si="3"/>
        <v>0.42184055999999998</v>
      </c>
      <c r="T52" s="20"/>
    </row>
    <row r="53" spans="1:20" ht="13" x14ac:dyDescent="0.15">
      <c r="A53" s="7" t="s">
        <v>265</v>
      </c>
      <c r="B53" s="7" t="s">
        <v>253</v>
      </c>
      <c r="C53" s="7" t="s">
        <v>227</v>
      </c>
      <c r="D53" s="10" t="s">
        <v>51</v>
      </c>
      <c r="E53" s="7">
        <v>5</v>
      </c>
      <c r="F53" s="7">
        <v>1</v>
      </c>
      <c r="G53" s="7"/>
      <c r="H53" s="7">
        <v>5</v>
      </c>
      <c r="I53" s="7" t="s">
        <v>29</v>
      </c>
      <c r="J53" s="7" t="s">
        <v>254</v>
      </c>
      <c r="K53" s="12" t="str">
        <f>HYPERLINK("https://www.homedepot.com/p/DURA-3-4-in-Schedule-40-PVC-Male-Adapter-C436-007/100348150","Home Depot")</f>
        <v>Home Depot</v>
      </c>
      <c r="L53" s="15" t="s">
        <v>266</v>
      </c>
      <c r="M53" s="48">
        <v>0.49</v>
      </c>
      <c r="N53" s="20">
        <f t="shared" si="15"/>
        <v>2.4500000000000002</v>
      </c>
      <c r="O53" s="23" t="str">
        <f t="shared" si="16"/>
        <v>2018-02-23_Home Depot</v>
      </c>
      <c r="P53" s="51">
        <v>10</v>
      </c>
      <c r="Q53" s="25">
        <v>0.05</v>
      </c>
      <c r="R53" s="27">
        <f t="shared" si="2"/>
        <v>0.25</v>
      </c>
      <c r="S53" s="28">
        <f t="shared" si="3"/>
        <v>0.113398</v>
      </c>
      <c r="T53" s="20"/>
    </row>
    <row r="54" spans="1:20" ht="13" x14ac:dyDescent="0.15">
      <c r="A54" s="7" t="s">
        <v>267</v>
      </c>
      <c r="B54" s="7" t="s">
        <v>224</v>
      </c>
      <c r="C54" s="7" t="s">
        <v>196</v>
      </c>
      <c r="D54" s="10" t="s">
        <v>28</v>
      </c>
      <c r="E54" s="7">
        <v>3</v>
      </c>
      <c r="F54" s="7">
        <v>1</v>
      </c>
      <c r="G54" s="7"/>
      <c r="H54" s="7">
        <v>3</v>
      </c>
      <c r="I54" s="7" t="s">
        <v>29</v>
      </c>
      <c r="J54" s="7" t="s">
        <v>134</v>
      </c>
      <c r="K54" s="12" t="str">
        <f>HYPERLINK("https://www.homedepot.com/p/Everbilt-1-1-4-in-x-48-in-Zinc-Plated-Punched-Angle-801337/204225757","Home Depot")</f>
        <v>Home Depot</v>
      </c>
      <c r="L54" s="15">
        <v>801337</v>
      </c>
      <c r="M54" s="48">
        <v>9.48</v>
      </c>
      <c r="N54" s="20">
        <f t="shared" si="15"/>
        <v>28.44</v>
      </c>
      <c r="O54" s="23" t="str">
        <f>HYPERLINK("https://drive.google.com/open?id=1owY_kiJiJxGl5-eklDgu3PBIKRSLRAGR","2018-02-28_Home Depot")</f>
        <v>2018-02-28_Home Depot</v>
      </c>
      <c r="P54" s="51">
        <v>11</v>
      </c>
      <c r="Q54" s="25">
        <v>3.82</v>
      </c>
      <c r="R54" s="27">
        <f t="shared" si="2"/>
        <v>11.459999999999999</v>
      </c>
      <c r="S54" s="28">
        <f t="shared" si="3"/>
        <v>5.1981643199999992</v>
      </c>
      <c r="T54" s="20"/>
    </row>
    <row r="55" spans="1:20" ht="13" x14ac:dyDescent="0.15">
      <c r="A55" s="7" t="s">
        <v>268</v>
      </c>
      <c r="B55" s="7" t="s">
        <v>269</v>
      </c>
      <c r="C55" s="7" t="s">
        <v>61</v>
      </c>
      <c r="D55" s="10" t="s">
        <v>51</v>
      </c>
      <c r="E55" s="7">
        <v>50</v>
      </c>
      <c r="F55" s="7">
        <v>50</v>
      </c>
      <c r="G55" s="7">
        <v>1</v>
      </c>
      <c r="H55" s="7">
        <v>0.34</v>
      </c>
      <c r="I55" s="7" t="s">
        <v>29</v>
      </c>
      <c r="J55" s="7" t="s">
        <v>270</v>
      </c>
      <c r="K55" s="12" t="str">
        <f>HYPERLINK("https://www.homedepot.com/p/Halex-1-2-in-Electrical-Metallic-Tube-EMT-Set-Screw-Connectors-5-Pack-26270/100137321","Home Depot")</f>
        <v>Home Depot</v>
      </c>
      <c r="L55" s="15" t="s">
        <v>271</v>
      </c>
      <c r="M55" s="48">
        <v>10.49</v>
      </c>
      <c r="N55" s="20">
        <f t="shared" si="15"/>
        <v>3.5666000000000002</v>
      </c>
      <c r="O55" s="23" t="str">
        <f>HYPERLINK("https://drive.google.com/open?id=14jY_nE7LfMRpPZjHB_kOhUsxuLknYtEz","2018-03-01_Home Depot02")</f>
        <v>2018-03-01_Home Depot02</v>
      </c>
      <c r="P55" s="51">
        <v>3</v>
      </c>
      <c r="Q55" s="25">
        <v>0.9</v>
      </c>
      <c r="R55" s="27">
        <f t="shared" si="2"/>
        <v>0.30600000000000005</v>
      </c>
      <c r="S55" s="28">
        <f t="shared" si="3"/>
        <v>0.13879915200000001</v>
      </c>
      <c r="T55" s="20"/>
    </row>
    <row r="56" spans="1:20" ht="13" x14ac:dyDescent="0.15">
      <c r="A56" s="7" t="s">
        <v>272</v>
      </c>
      <c r="B56" s="7" t="s">
        <v>60</v>
      </c>
      <c r="C56" s="7" t="s">
        <v>273</v>
      </c>
      <c r="D56" s="10" t="s">
        <v>51</v>
      </c>
      <c r="E56" s="7">
        <v>1</v>
      </c>
      <c r="F56" s="7">
        <v>1</v>
      </c>
      <c r="G56" s="7">
        <v>1</v>
      </c>
      <c r="H56" s="7">
        <v>1</v>
      </c>
      <c r="I56" s="7" t="s">
        <v>29</v>
      </c>
      <c r="J56" s="7" t="s">
        <v>274</v>
      </c>
      <c r="K56" s="12" t="str">
        <f>HYPERLINK("https://www.homedepot.com/p/Empire-12-in-Rafter-Square-396/100142464","Home Depot")</f>
        <v>Home Depot</v>
      </c>
      <c r="L56" s="15">
        <v>396</v>
      </c>
      <c r="M56" s="48">
        <v>7.97</v>
      </c>
      <c r="N56" s="20">
        <f t="shared" si="15"/>
        <v>7.97</v>
      </c>
      <c r="O56" s="23" t="str">
        <f>HYPERLINK("https://drive.google.com/open?id=1Xmlvgi5msNfPEk2NaL-o6GE_ULKhbuQW","2018-03-12_Home Depot")</f>
        <v>2018-03-12_Home Depot</v>
      </c>
      <c r="P56" s="51">
        <v>3</v>
      </c>
      <c r="Q56" s="25">
        <v>1</v>
      </c>
      <c r="R56" s="27">
        <f t="shared" si="2"/>
        <v>1</v>
      </c>
      <c r="S56" s="28">
        <f t="shared" si="3"/>
        <v>0.453592</v>
      </c>
      <c r="T56" s="20"/>
    </row>
    <row r="57" spans="1:20" ht="13" x14ac:dyDescent="0.15">
      <c r="A57" s="7" t="s">
        <v>275</v>
      </c>
      <c r="B57" s="7" t="s">
        <v>60</v>
      </c>
      <c r="C57" s="7" t="s">
        <v>227</v>
      </c>
      <c r="D57" s="10" t="s">
        <v>38</v>
      </c>
      <c r="E57" s="7">
        <v>6</v>
      </c>
      <c r="F57" s="7">
        <v>1</v>
      </c>
      <c r="G57" s="7">
        <f t="shared" ref="G57:G58" si="17">E57*F57</f>
        <v>6</v>
      </c>
      <c r="H57" s="7">
        <f>G57*2</f>
        <v>12</v>
      </c>
      <c r="I57" s="7" t="s">
        <v>215</v>
      </c>
      <c r="J57" s="7" t="s">
        <v>276</v>
      </c>
      <c r="K57" s="12" t="str">
        <f>HYPERLINK("https://www.grainger.com/product/NDS-PVC-Socket-x-Socket-Ball-Valve-3TFE2","Grainger")</f>
        <v>Grainger</v>
      </c>
      <c r="L57" s="15" t="s">
        <v>277</v>
      </c>
      <c r="M57" s="48">
        <v>3.29</v>
      </c>
      <c r="N57" s="20">
        <f t="shared" si="15"/>
        <v>39.480000000000004</v>
      </c>
      <c r="O57" s="61" t="s">
        <v>51</v>
      </c>
      <c r="P57" s="51" t="s">
        <v>51</v>
      </c>
      <c r="Q57" s="25">
        <v>0.2</v>
      </c>
      <c r="R57" s="27">
        <f t="shared" si="2"/>
        <v>2.4000000000000004</v>
      </c>
      <c r="S57" s="28">
        <f t="shared" si="3"/>
        <v>1.0886208000000002</v>
      </c>
      <c r="T57" s="20"/>
    </row>
    <row r="58" spans="1:20" ht="13" x14ac:dyDescent="0.15">
      <c r="A58" s="7" t="s">
        <v>278</v>
      </c>
      <c r="B58" s="7" t="s">
        <v>279</v>
      </c>
      <c r="C58" s="7" t="s">
        <v>227</v>
      </c>
      <c r="D58" s="10" t="s">
        <v>38</v>
      </c>
      <c r="E58" s="7">
        <v>14</v>
      </c>
      <c r="F58" s="7">
        <v>1</v>
      </c>
      <c r="G58" s="7">
        <f t="shared" si="17"/>
        <v>14</v>
      </c>
      <c r="H58" s="7">
        <v>14</v>
      </c>
      <c r="I58" s="7" t="s">
        <v>29</v>
      </c>
      <c r="J58" s="104" t="str">
        <f>HYPERLINK("http://www.gcvalves.com/","GC Valves")</f>
        <v>GC Valves</v>
      </c>
      <c r="K58" s="12" t="str">
        <f>HYPERLINK("http://www.sunburycontrols.com/","Sunberry Controls")</f>
        <v>Sunberry Controls</v>
      </c>
      <c r="L58" s="15" t="s">
        <v>280</v>
      </c>
      <c r="M58" s="48">
        <v>79.58</v>
      </c>
      <c r="N58" s="20">
        <f t="shared" si="15"/>
        <v>1114.1199999999999</v>
      </c>
      <c r="O58" s="23" t="str">
        <f>HYPERLINK("https://drive.google.com/open?id=1NNDV6CljsfpMDxTIqmlT7QF5-iHiVcx5","2018-01-24_Sunberry Controls")</f>
        <v>2018-01-24_Sunberry Controls</v>
      </c>
      <c r="P58" s="51">
        <v>1</v>
      </c>
      <c r="Q58" s="25">
        <v>0.95</v>
      </c>
      <c r="R58" s="27">
        <f t="shared" si="2"/>
        <v>13.299999999999999</v>
      </c>
      <c r="S58" s="28">
        <f t="shared" si="3"/>
        <v>6.0327735999999996</v>
      </c>
      <c r="T58" s="20"/>
    </row>
    <row r="59" spans="1:20" ht="13" x14ac:dyDescent="0.15">
      <c r="A59" s="7" t="s">
        <v>281</v>
      </c>
      <c r="B59" s="7" t="s">
        <v>253</v>
      </c>
      <c r="C59" s="7" t="s">
        <v>227</v>
      </c>
      <c r="D59" s="10" t="s">
        <v>51</v>
      </c>
      <c r="E59" s="7" t="s">
        <v>51</v>
      </c>
      <c r="F59" s="7" t="s">
        <v>51</v>
      </c>
      <c r="G59" s="7" t="s">
        <v>51</v>
      </c>
      <c r="H59" s="7">
        <v>10</v>
      </c>
      <c r="I59" s="7" t="s">
        <v>282</v>
      </c>
      <c r="J59" s="7" t="s">
        <v>51</v>
      </c>
      <c r="K59" s="46" t="s">
        <v>51</v>
      </c>
      <c r="L59" s="15" t="s">
        <v>51</v>
      </c>
      <c r="M59" s="48">
        <v>0.5</v>
      </c>
      <c r="N59" s="20">
        <f t="shared" si="15"/>
        <v>5</v>
      </c>
      <c r="O59" s="61" t="s">
        <v>51</v>
      </c>
      <c r="P59" s="51" t="s">
        <v>51</v>
      </c>
      <c r="Q59" s="25">
        <v>0.05</v>
      </c>
      <c r="R59" s="27">
        <f t="shared" si="2"/>
        <v>0.5</v>
      </c>
      <c r="S59" s="28">
        <f t="shared" si="3"/>
        <v>0.226796</v>
      </c>
      <c r="T59" s="20"/>
    </row>
    <row r="60" spans="1:20" ht="13" x14ac:dyDescent="0.15">
      <c r="A60" s="7" t="s">
        <v>283</v>
      </c>
      <c r="B60" s="7" t="s">
        <v>284</v>
      </c>
      <c r="C60" s="7" t="s">
        <v>273</v>
      </c>
      <c r="D60" s="10" t="s">
        <v>38</v>
      </c>
      <c r="E60" s="7">
        <v>2</v>
      </c>
      <c r="F60" s="7"/>
      <c r="G60" s="7"/>
      <c r="H60" s="7">
        <v>2</v>
      </c>
      <c r="I60" s="7" t="s">
        <v>29</v>
      </c>
      <c r="J60" s="7" t="s">
        <v>51</v>
      </c>
      <c r="K60" s="12" t="str">
        <f>HYPERLINK("https://www.mcmaster.com/#5545a291/=1c96i2w","McMaster Carr")</f>
        <v>McMaster Carr</v>
      </c>
      <c r="L60" s="15" t="s">
        <v>285</v>
      </c>
      <c r="M60" s="48">
        <v>14.17</v>
      </c>
      <c r="N60" s="20">
        <f t="shared" si="15"/>
        <v>28.34</v>
      </c>
      <c r="O60" s="23" t="str">
        <f>HYPERLINK("https://drive.google.com/open?id=1AnenVh7ODtyV0wEiuH5kEc5vtrzEG2cm","2018-03-22_McMaster")</f>
        <v>2018-03-22_McMaster</v>
      </c>
      <c r="P60" s="51">
        <v>1</v>
      </c>
      <c r="Q60" s="25">
        <v>2</v>
      </c>
      <c r="R60" s="27">
        <f t="shared" si="2"/>
        <v>4</v>
      </c>
      <c r="S60" s="28">
        <f t="shared" si="3"/>
        <v>1.814368</v>
      </c>
      <c r="T60" s="20"/>
    </row>
    <row r="61" spans="1:20" ht="13" x14ac:dyDescent="0.15">
      <c r="A61" s="7" t="s">
        <v>286</v>
      </c>
      <c r="B61" s="105" t="s">
        <v>287</v>
      </c>
      <c r="C61" s="105" t="s">
        <v>227</v>
      </c>
      <c r="D61" s="105" t="s">
        <v>51</v>
      </c>
      <c r="E61" s="106">
        <v>20</v>
      </c>
      <c r="F61" s="106">
        <v>1</v>
      </c>
      <c r="G61" s="106">
        <f>E61*F61</f>
        <v>20</v>
      </c>
      <c r="H61" s="29">
        <v>24</v>
      </c>
      <c r="I61" s="17" t="s">
        <v>29</v>
      </c>
      <c r="J61" s="105" t="s">
        <v>51</v>
      </c>
      <c r="K61" s="107" t="str">
        <f>HYPERLINK("https://www.mcmaster.com/#4882k14/=1c96z3y","McMaster Carr")</f>
        <v>McMaster Carr</v>
      </c>
      <c r="L61" s="106" t="s">
        <v>288</v>
      </c>
      <c r="M61" s="106">
        <v>0.74</v>
      </c>
      <c r="N61" s="20">
        <f t="shared" si="15"/>
        <v>17.759999999999998</v>
      </c>
      <c r="O61" s="107" t="str">
        <f>HYPERLINK("https://drive.google.com/open?id=1t8ltyF1qYmZAONF9CwGoGKcYt2j0VInq","2018-04-03_McMaster")</f>
        <v>2018-04-03_McMaster</v>
      </c>
      <c r="P61" s="106">
        <v>1</v>
      </c>
      <c r="Q61" s="25">
        <v>0.05</v>
      </c>
      <c r="R61" s="27">
        <f t="shared" si="2"/>
        <v>1.2000000000000002</v>
      </c>
      <c r="S61" s="28">
        <f t="shared" si="3"/>
        <v>0.54431040000000008</v>
      </c>
      <c r="T61" s="11"/>
    </row>
    <row r="62" spans="1:20" ht="13" x14ac:dyDescent="0.15">
      <c r="A62" s="7" t="s">
        <v>289</v>
      </c>
      <c r="B62" s="105" t="s">
        <v>224</v>
      </c>
      <c r="C62" s="105" t="s">
        <v>27</v>
      </c>
      <c r="D62" s="105" t="s">
        <v>51</v>
      </c>
      <c r="E62" s="106">
        <v>1</v>
      </c>
      <c r="F62" s="106">
        <v>1</v>
      </c>
      <c r="G62" s="106"/>
      <c r="H62" s="29">
        <v>1</v>
      </c>
      <c r="I62" s="17" t="s">
        <v>29</v>
      </c>
      <c r="J62" s="105" t="s">
        <v>290</v>
      </c>
      <c r="K62" s="107" t="str">
        <f>HYPERLINK("https://www.amazon.com/gp/product/B00LL4QQ7U/ref=od_aui_detailpages00?ie=UTF8&amp;psc=1","Amazon")</f>
        <v>Amazon</v>
      </c>
      <c r="L62" s="106" t="s">
        <v>291</v>
      </c>
      <c r="M62" s="106">
        <v>15.97</v>
      </c>
      <c r="N62" s="20">
        <f t="shared" si="15"/>
        <v>15.97</v>
      </c>
      <c r="O62" s="107" t="str">
        <f>HYPERLINK("https://drive.google.com/open?id=1I4zoB22LVPfvXjMcqDDHYoq3KV1jfg8u","2018-03-07_Amazon")</f>
        <v>2018-03-07_Amazon</v>
      </c>
      <c r="P62" s="106">
        <v>1</v>
      </c>
      <c r="Q62" s="25">
        <v>0.64</v>
      </c>
      <c r="R62" s="27">
        <f t="shared" si="2"/>
        <v>0.64</v>
      </c>
      <c r="S62" s="28">
        <f t="shared" si="3"/>
        <v>0.29029887999999998</v>
      </c>
      <c r="T62" s="11"/>
    </row>
    <row r="63" spans="1:20" ht="13" x14ac:dyDescent="0.15">
      <c r="A63" s="7" t="s">
        <v>292</v>
      </c>
      <c r="B63" s="105" t="s">
        <v>224</v>
      </c>
      <c r="C63" s="105" t="s">
        <v>293</v>
      </c>
      <c r="D63" s="105" t="s">
        <v>38</v>
      </c>
      <c r="E63" s="106">
        <v>1</v>
      </c>
      <c r="F63" s="106">
        <v>0.3</v>
      </c>
      <c r="G63" s="106">
        <v>16</v>
      </c>
      <c r="H63" s="29">
        <v>12</v>
      </c>
      <c r="I63" s="17" t="s">
        <v>29</v>
      </c>
      <c r="J63" s="105" t="s">
        <v>294</v>
      </c>
      <c r="K63" s="107" t="str">
        <f>HYPERLINK("http://www.homedepot.com/p/Veranda-3-4-in-x-48-in-x-8-ft-White-Reversible-PVC-Trim-Sheet-H190AWS13/206822526","Home Depot")</f>
        <v>Home Depot</v>
      </c>
      <c r="L63" s="106" t="s">
        <v>295</v>
      </c>
      <c r="M63" s="106">
        <v>14.17</v>
      </c>
      <c r="N63" s="20">
        <f t="shared" si="15"/>
        <v>170.04</v>
      </c>
      <c r="O63" s="108" t="s">
        <v>51</v>
      </c>
      <c r="P63" s="106">
        <v>1</v>
      </c>
      <c r="Q63" s="25">
        <v>24</v>
      </c>
      <c r="R63" s="27">
        <f t="shared" si="2"/>
        <v>288</v>
      </c>
      <c r="S63" s="28">
        <f t="shared" si="3"/>
        <v>130.63449600000001</v>
      </c>
      <c r="T63" s="11"/>
    </row>
    <row r="64" spans="1:20" ht="13" x14ac:dyDescent="0.15">
      <c r="A64" s="7" t="s">
        <v>296</v>
      </c>
      <c r="B64" s="105" t="s">
        <v>224</v>
      </c>
      <c r="C64" s="105" t="s">
        <v>27</v>
      </c>
      <c r="D64" s="105" t="s">
        <v>51</v>
      </c>
      <c r="E64" s="106"/>
      <c r="F64" s="106"/>
      <c r="G64" s="106"/>
      <c r="H64" s="29">
        <v>1</v>
      </c>
      <c r="I64" s="17" t="s">
        <v>29</v>
      </c>
      <c r="J64" s="105" t="s">
        <v>157</v>
      </c>
      <c r="K64" s="109" t="str">
        <f>HYPERLINK("https://www.homedepot.com/p/Commercial-Electric-Full-Motion-TV-Wall-Mount-for-12-in-37-in-TVs-XD2471-S/300538015","Home Depot")</f>
        <v>Home Depot</v>
      </c>
      <c r="L64" s="106" t="s">
        <v>297</v>
      </c>
      <c r="M64" s="106">
        <v>39.97</v>
      </c>
      <c r="N64" s="20">
        <f t="shared" si="15"/>
        <v>39.97</v>
      </c>
      <c r="O64" s="108" t="s">
        <v>51</v>
      </c>
      <c r="P64" s="106" t="s">
        <v>51</v>
      </c>
      <c r="Q64" s="25">
        <v>60</v>
      </c>
      <c r="R64" s="27">
        <f t="shared" si="2"/>
        <v>60</v>
      </c>
      <c r="S64" s="28">
        <f t="shared" si="3"/>
        <v>27.215519999999998</v>
      </c>
      <c r="T64" s="11"/>
    </row>
    <row r="65" spans="1:20" ht="13" x14ac:dyDescent="0.15">
      <c r="A65" s="7" t="s">
        <v>298</v>
      </c>
      <c r="B65" s="105" t="s">
        <v>224</v>
      </c>
      <c r="C65" s="105" t="s">
        <v>27</v>
      </c>
      <c r="D65" s="105" t="s">
        <v>51</v>
      </c>
      <c r="E65" s="106">
        <v>1</v>
      </c>
      <c r="F65" s="106">
        <v>1</v>
      </c>
      <c r="G65" s="106"/>
      <c r="H65" s="29">
        <v>1</v>
      </c>
      <c r="I65" s="17" t="s">
        <v>29</v>
      </c>
      <c r="J65" s="105" t="s">
        <v>299</v>
      </c>
      <c r="K65" s="107" t="str">
        <f>HYPERLINK("https://www.amazon.com/Sceptre-E165W-1600HC-Screen-LED-Lit-Monitor/dp/B01MR3BFVP","Amazon")</f>
        <v>Amazon</v>
      </c>
      <c r="L65" s="106" t="s">
        <v>300</v>
      </c>
      <c r="M65" s="106">
        <v>69.989999999999995</v>
      </c>
      <c r="N65" s="20">
        <f t="shared" si="15"/>
        <v>69.989999999999995</v>
      </c>
      <c r="O65" s="107" t="str">
        <f>HYPERLINK("https://drive.google.com/open?id=1I4zoB22LVPfvXjMcqDDHYoq3KV1jfg8u","2018-03-07_Amazon")</f>
        <v>2018-03-07_Amazon</v>
      </c>
      <c r="P65" s="106">
        <v>4</v>
      </c>
      <c r="Q65" s="25">
        <v>2.16</v>
      </c>
      <c r="R65" s="27">
        <f t="shared" si="2"/>
        <v>2.16</v>
      </c>
      <c r="S65" s="28">
        <f t="shared" si="3"/>
        <v>0.97975872000000008</v>
      </c>
      <c r="T65" s="11"/>
    </row>
    <row r="66" spans="1:20" ht="13" x14ac:dyDescent="0.15">
      <c r="A66" s="7" t="s">
        <v>301</v>
      </c>
      <c r="B66" s="7" t="s">
        <v>51</v>
      </c>
      <c r="C66" s="7" t="s">
        <v>293</v>
      </c>
      <c r="D66" s="110" t="s">
        <v>28</v>
      </c>
      <c r="E66" s="51">
        <v>3</v>
      </c>
      <c r="F66" s="51">
        <v>2</v>
      </c>
      <c r="G66" s="111">
        <f>E66/F66</f>
        <v>1.5</v>
      </c>
      <c r="H66" s="29">
        <v>24</v>
      </c>
      <c r="I66" s="7" t="s">
        <v>29</v>
      </c>
      <c r="J66" s="7" t="s">
        <v>302</v>
      </c>
      <c r="K66" s="112" t="str">
        <f>HYPERLINK("https://www.homedepot.com/p/Homewerks-Worldwide-Washing-Machine-Fill-Hose-6-ft-High-Pressure-HRBFIL06B/206960911","Home Depot")</f>
        <v>Home Depot</v>
      </c>
      <c r="L66" s="113" t="s">
        <v>303</v>
      </c>
      <c r="M66" s="106">
        <v>22.98</v>
      </c>
      <c r="N66" s="20">
        <f t="shared" si="15"/>
        <v>551.52</v>
      </c>
      <c r="O66" s="23" t="str">
        <f>HYPERLINK("https://drive.google.com/open?id=134Qy_rmDGWa04CHGr6IbXxIk2NJcWEJ_","2018-04-03_Home Depot")</f>
        <v>2018-04-03_Home Depot</v>
      </c>
      <c r="P66" s="114">
        <v>1</v>
      </c>
      <c r="Q66" s="28">
        <v>2.81</v>
      </c>
      <c r="R66" s="27">
        <f t="shared" si="2"/>
        <v>67.44</v>
      </c>
      <c r="S66" s="28">
        <f t="shared" si="3"/>
        <v>30.590244479999999</v>
      </c>
      <c r="T66" s="11"/>
    </row>
    <row r="67" spans="1:20" ht="13" x14ac:dyDescent="0.15">
      <c r="A67" s="7" t="s">
        <v>304</v>
      </c>
      <c r="B67" s="7" t="s">
        <v>60</v>
      </c>
      <c r="C67" s="7" t="s">
        <v>227</v>
      </c>
      <c r="D67" s="110" t="s">
        <v>38</v>
      </c>
      <c r="E67" s="51">
        <v>1</v>
      </c>
      <c r="F67" s="51">
        <v>1</v>
      </c>
      <c r="G67" s="111"/>
      <c r="H67" s="29">
        <v>1</v>
      </c>
      <c r="I67" s="7" t="s">
        <v>29</v>
      </c>
      <c r="J67" s="7" t="s">
        <v>198</v>
      </c>
      <c r="K67" s="112" t="str">
        <f>HYPERLINK("https://dilutionsolutions.com/product/check-valve34-in/","Dosatron")</f>
        <v>Dosatron</v>
      </c>
      <c r="L67" s="113" t="s">
        <v>305</v>
      </c>
      <c r="M67" s="106">
        <v>17.39</v>
      </c>
      <c r="N67" s="20">
        <f t="shared" si="15"/>
        <v>17.39</v>
      </c>
      <c r="O67" s="23" t="str">
        <f t="shared" ref="O67:O69" si="18">HYPERLINK("https://drive.google.com/open?id=19AWsEGNg7ubi5alOtP4Qqq6YBrzVX5Iw","2018-04-02_Dosatron")</f>
        <v>2018-04-02_Dosatron</v>
      </c>
      <c r="P67" s="114">
        <v>5</v>
      </c>
      <c r="Q67" s="28">
        <v>0.3</v>
      </c>
      <c r="R67" s="27">
        <f t="shared" si="2"/>
        <v>0.3</v>
      </c>
      <c r="S67" s="28">
        <f t="shared" si="3"/>
        <v>0.13607759999999999</v>
      </c>
      <c r="T67" s="11"/>
    </row>
    <row r="68" spans="1:20" ht="13" x14ac:dyDescent="0.15">
      <c r="A68" s="7" t="s">
        <v>306</v>
      </c>
      <c r="B68" s="7" t="s">
        <v>60</v>
      </c>
      <c r="C68" s="7" t="s">
        <v>227</v>
      </c>
      <c r="D68" s="110" t="s">
        <v>38</v>
      </c>
      <c r="E68" s="51">
        <v>2</v>
      </c>
      <c r="F68" s="51">
        <v>1</v>
      </c>
      <c r="G68" s="111"/>
      <c r="H68" s="29">
        <v>2</v>
      </c>
      <c r="I68" s="7" t="s">
        <v>29</v>
      </c>
      <c r="J68" s="7" t="s">
        <v>307</v>
      </c>
      <c r="K68" s="112" t="str">
        <f>HYPERLINK("https://www.kleen-ritecorp.com/p-8330-dosatron-pr34-34-inch-brass-pressure-regulator-with-gauge.aspx","Dosatron")</f>
        <v>Dosatron</v>
      </c>
      <c r="L68" s="113" t="s">
        <v>308</v>
      </c>
      <c r="M68" s="106">
        <v>135.44999999999999</v>
      </c>
      <c r="N68" s="20">
        <f t="shared" si="15"/>
        <v>270.89999999999998</v>
      </c>
      <c r="O68" s="23" t="str">
        <f t="shared" si="18"/>
        <v>2018-04-02_Dosatron</v>
      </c>
      <c r="P68" s="114">
        <v>4</v>
      </c>
      <c r="Q68" s="28">
        <v>3</v>
      </c>
      <c r="R68" s="27">
        <f t="shared" si="2"/>
        <v>6</v>
      </c>
      <c r="S68" s="28">
        <f t="shared" si="3"/>
        <v>2.721552</v>
      </c>
      <c r="T68" s="11"/>
    </row>
    <row r="69" spans="1:20" ht="13" x14ac:dyDescent="0.15">
      <c r="A69" s="7" t="s">
        <v>309</v>
      </c>
      <c r="B69" s="7" t="s">
        <v>240</v>
      </c>
      <c r="C69" s="7" t="s">
        <v>227</v>
      </c>
      <c r="D69" s="110" t="s">
        <v>228</v>
      </c>
      <c r="E69" s="51">
        <v>1</v>
      </c>
      <c r="F69" s="51">
        <v>1</v>
      </c>
      <c r="G69" s="111"/>
      <c r="H69" s="29">
        <v>1</v>
      </c>
      <c r="I69" s="7" t="s">
        <v>29</v>
      </c>
      <c r="J69" s="7" t="s">
        <v>198</v>
      </c>
      <c r="K69" s="112" t="str">
        <f>HYPERLINK("https://www.qcsupply.com/media/pdf/dosatron/123330sellsheet.pdf","Dosatron")</f>
        <v>Dosatron</v>
      </c>
      <c r="L69" s="113" t="s">
        <v>199</v>
      </c>
      <c r="M69" s="106">
        <v>73.87</v>
      </c>
      <c r="N69" s="20">
        <f t="shared" si="15"/>
        <v>73.87</v>
      </c>
      <c r="O69" s="23" t="str">
        <f t="shared" si="18"/>
        <v>2018-04-02_Dosatron</v>
      </c>
      <c r="P69" s="114">
        <v>3</v>
      </c>
      <c r="Q69" s="28">
        <v>3.4</v>
      </c>
      <c r="R69" s="27">
        <f t="shared" si="2"/>
        <v>3.4</v>
      </c>
      <c r="S69" s="28">
        <f t="shared" si="3"/>
        <v>1.5422127999999999</v>
      </c>
      <c r="T69" s="11"/>
    </row>
    <row r="70" spans="1:20" ht="13" x14ac:dyDescent="0.15">
      <c r="A70" s="7" t="s">
        <v>310</v>
      </c>
      <c r="B70" s="7" t="s">
        <v>311</v>
      </c>
      <c r="C70" s="7" t="s">
        <v>293</v>
      </c>
      <c r="D70" s="110" t="s">
        <v>312</v>
      </c>
      <c r="E70" s="51">
        <v>5</v>
      </c>
      <c r="F70" s="51">
        <v>1</v>
      </c>
      <c r="G70" s="111">
        <f>E70/F70</f>
        <v>5</v>
      </c>
      <c r="H70" s="29">
        <f t="shared" ref="H70:H71" si="19">G70*16</f>
        <v>80</v>
      </c>
      <c r="I70" s="7" t="s">
        <v>29</v>
      </c>
      <c r="J70" s="7" t="s">
        <v>313</v>
      </c>
      <c r="K70" s="112" t="str">
        <f>HYPERLINK("https://www.grainger.com/product/CADDY-Superklip-Tube-And-Pipe-Clamp-1RUZ6?functionCode=P2IDP2PCP","Grainger")</f>
        <v>Grainger</v>
      </c>
      <c r="L70" s="113" t="s">
        <v>314</v>
      </c>
      <c r="M70" s="106">
        <v>1.01</v>
      </c>
      <c r="N70" s="20">
        <f t="shared" si="15"/>
        <v>80.8</v>
      </c>
      <c r="O70" s="23" t="str">
        <f>HYPERLINK("https://drive.google.com/open?id=1cUcT3KkLhNeHlqlamidqwdyop8XNkxwM","2018-02-20_Grainger")</f>
        <v>2018-02-20_Grainger</v>
      </c>
      <c r="P70" s="114">
        <v>1</v>
      </c>
      <c r="Q70" s="28">
        <v>0.02</v>
      </c>
      <c r="R70" s="27">
        <f t="shared" si="2"/>
        <v>1.6</v>
      </c>
      <c r="S70" s="28">
        <f t="shared" si="3"/>
        <v>0.72574720000000004</v>
      </c>
      <c r="T70" s="11"/>
    </row>
    <row r="71" spans="1:20" ht="13" x14ac:dyDescent="0.15">
      <c r="A71" s="7" t="s">
        <v>315</v>
      </c>
      <c r="B71" s="7" t="s">
        <v>311</v>
      </c>
      <c r="C71" s="7" t="s">
        <v>293</v>
      </c>
      <c r="D71" s="110" t="s">
        <v>38</v>
      </c>
      <c r="E71" s="51">
        <v>1</v>
      </c>
      <c r="F71" s="51">
        <v>1</v>
      </c>
      <c r="G71" s="111">
        <v>2</v>
      </c>
      <c r="H71" s="29">
        <f t="shared" si="19"/>
        <v>32</v>
      </c>
      <c r="I71" s="7" t="s">
        <v>29</v>
      </c>
      <c r="J71" s="7" t="s">
        <v>39</v>
      </c>
      <c r="K71" s="112" t="str">
        <f>HYPERLINK("https://www.mcmaster.com/#4880k21/=1ao2l0h","McMaster Carr")</f>
        <v>McMaster Carr</v>
      </c>
      <c r="L71" s="113" t="s">
        <v>316</v>
      </c>
      <c r="M71" s="106">
        <v>0.3</v>
      </c>
      <c r="N71" s="20">
        <f t="shared" si="15"/>
        <v>9.6</v>
      </c>
      <c r="O71" s="23" t="str">
        <f>HYPERLINK("https://drive.google.com/open?id=17ra1rRj-Z09UoIGz2wMfmF9NRSQNMWKf","2018-02-20_McMaster")</f>
        <v>2018-02-20_McMaster</v>
      </c>
      <c r="P71" s="114">
        <v>2</v>
      </c>
      <c r="Q71" s="28">
        <v>0.05</v>
      </c>
      <c r="R71" s="27">
        <f t="shared" si="2"/>
        <v>1.6</v>
      </c>
      <c r="S71" s="28">
        <f t="shared" si="3"/>
        <v>0.72574720000000004</v>
      </c>
      <c r="T71" s="11"/>
    </row>
    <row r="72" spans="1:20" ht="13" x14ac:dyDescent="0.15">
      <c r="A72" s="7" t="s">
        <v>317</v>
      </c>
      <c r="B72" s="7" t="s">
        <v>311</v>
      </c>
      <c r="C72" s="7" t="s">
        <v>293</v>
      </c>
      <c r="D72" s="110" t="s">
        <v>38</v>
      </c>
      <c r="E72" s="51">
        <v>1</v>
      </c>
      <c r="F72" s="51">
        <v>1</v>
      </c>
      <c r="G72" s="111">
        <v>3</v>
      </c>
      <c r="H72" s="29">
        <v>16</v>
      </c>
      <c r="I72" s="7" t="s">
        <v>29</v>
      </c>
      <c r="J72" s="7" t="s">
        <v>39</v>
      </c>
      <c r="K72" s="112" t="str">
        <f>HYPERLINK("https://www.mcmaster.com/#4880k392/=1ao2mc2","McMaster Carr")</f>
        <v>McMaster Carr</v>
      </c>
      <c r="L72" s="113" t="s">
        <v>318</v>
      </c>
      <c r="M72" s="106">
        <v>0.47</v>
      </c>
      <c r="N72" s="20">
        <f t="shared" si="15"/>
        <v>7.52</v>
      </c>
      <c r="O72" s="23" t="str">
        <f>HYPERLINK("https://drive.google.com/open?id=1kBhbzjYfNy5jN1jCRtvlvPMtCzIR76Ce","2018-03-09_McMaster")</f>
        <v>2018-03-09_McMaster</v>
      </c>
      <c r="P72" s="114">
        <v>1</v>
      </c>
      <c r="Q72" s="28">
        <v>0.06</v>
      </c>
      <c r="R72" s="27">
        <f t="shared" si="2"/>
        <v>0.96</v>
      </c>
      <c r="S72" s="28">
        <f t="shared" si="3"/>
        <v>0.43544832</v>
      </c>
      <c r="T72" s="11"/>
    </row>
    <row r="73" spans="1:20" ht="13" x14ac:dyDescent="0.15">
      <c r="A73" s="7" t="s">
        <v>319</v>
      </c>
      <c r="B73" s="7" t="s">
        <v>311</v>
      </c>
      <c r="C73" s="7" t="s">
        <v>293</v>
      </c>
      <c r="D73" s="110" t="s">
        <v>28</v>
      </c>
      <c r="E73" s="51">
        <v>1</v>
      </c>
      <c r="F73" s="51">
        <v>1</v>
      </c>
      <c r="G73" s="111">
        <f t="shared" ref="G73:G83" si="20">E73/F73</f>
        <v>1</v>
      </c>
      <c r="H73" s="29">
        <f t="shared" ref="H73:H74" si="21">G73*16</f>
        <v>16</v>
      </c>
      <c r="I73" s="7" t="s">
        <v>29</v>
      </c>
      <c r="J73" s="7" t="s">
        <v>320</v>
      </c>
      <c r="K73" s="112" t="str">
        <f>HYPERLINK("https://www.mcmaster.com/#36895k161/=1ao2oq4","McMaster Carr")</f>
        <v>McMaster Carr</v>
      </c>
      <c r="L73" s="113" t="s">
        <v>321</v>
      </c>
      <c r="M73" s="106">
        <v>19.739999999999998</v>
      </c>
      <c r="N73" s="20">
        <f t="shared" si="15"/>
        <v>315.83999999999997</v>
      </c>
      <c r="O73" s="23" t="str">
        <f>HYPERLINK("https://drive.google.com/drive/u/1/folders/1BHG7b2ipx2SFtyQ7JrIwSX6DPfoNPvYF","2018-02-20_McMaster")</f>
        <v>2018-02-20_McMaster</v>
      </c>
      <c r="P73" s="114">
        <v>5</v>
      </c>
      <c r="Q73" s="28">
        <v>0.27</v>
      </c>
      <c r="R73" s="27">
        <f t="shared" si="2"/>
        <v>4.32</v>
      </c>
      <c r="S73" s="28">
        <f t="shared" si="3"/>
        <v>1.9595174400000002</v>
      </c>
      <c r="T73" s="11"/>
    </row>
    <row r="74" spans="1:20" ht="13" x14ac:dyDescent="0.15">
      <c r="A74" s="7" t="s">
        <v>322</v>
      </c>
      <c r="B74" s="7" t="s">
        <v>311</v>
      </c>
      <c r="C74" s="7" t="s">
        <v>293</v>
      </c>
      <c r="D74" s="110" t="s">
        <v>323</v>
      </c>
      <c r="E74" s="51">
        <v>1</v>
      </c>
      <c r="F74" s="51">
        <v>1</v>
      </c>
      <c r="G74" s="111">
        <f t="shared" si="20"/>
        <v>1</v>
      </c>
      <c r="H74" s="29">
        <f t="shared" si="21"/>
        <v>16</v>
      </c>
      <c r="I74" s="7" t="s">
        <v>29</v>
      </c>
      <c r="J74" s="7" t="s">
        <v>324</v>
      </c>
      <c r="K74" s="112" t="str">
        <f>HYPERLINK("https://www.grainger.com/product/WESTWARD-Brass-Hose-To-Pipe-Adapter-4KG83?s_pp=false&amp;picUrl=//static.grainger.com/rp/s/is/image/Grainger/4KG83_AS01?$smthumb$","Grainger")</f>
        <v>Grainger</v>
      </c>
      <c r="L74" s="113" t="s">
        <v>325</v>
      </c>
      <c r="M74" s="106">
        <v>4.75</v>
      </c>
      <c r="N74" s="20">
        <f t="shared" si="15"/>
        <v>76</v>
      </c>
      <c r="O74" s="23" t="str">
        <f>HYPERLINK("https://drive.google.com/open?id=1cUcT3KkLhNeHlqlamidqwdyop8XNkxwM","2018-02-20_Grainger")</f>
        <v>2018-02-20_Grainger</v>
      </c>
      <c r="P74" s="114">
        <v>3</v>
      </c>
      <c r="Q74" s="28">
        <v>0.1</v>
      </c>
      <c r="R74" s="27">
        <f t="shared" si="2"/>
        <v>1.6</v>
      </c>
      <c r="S74" s="28">
        <f t="shared" si="3"/>
        <v>0.72574720000000004</v>
      </c>
      <c r="T74" s="11"/>
    </row>
    <row r="75" spans="1:20" ht="13" x14ac:dyDescent="0.15">
      <c r="A75" s="7" t="s">
        <v>326</v>
      </c>
      <c r="B75" s="7" t="s">
        <v>311</v>
      </c>
      <c r="C75" s="7" t="s">
        <v>293</v>
      </c>
      <c r="D75" s="110" t="s">
        <v>38</v>
      </c>
      <c r="E75" s="51">
        <v>1</v>
      </c>
      <c r="F75" s="51">
        <v>1</v>
      </c>
      <c r="G75" s="111">
        <f t="shared" si="20"/>
        <v>1</v>
      </c>
      <c r="H75" s="29">
        <v>16</v>
      </c>
      <c r="I75" s="7" t="s">
        <v>29</v>
      </c>
      <c r="J75" s="7" t="s">
        <v>324</v>
      </c>
      <c r="K75" s="112" t="str">
        <f>HYPERLINK("https://www.mcmaster.com/#73605t51/=1ao2seq","McMaster Carr")</f>
        <v>McMaster Carr</v>
      </c>
      <c r="L75" s="113" t="s">
        <v>327</v>
      </c>
      <c r="M75" s="106">
        <v>3.71</v>
      </c>
      <c r="N75" s="20">
        <f t="shared" si="15"/>
        <v>59.36</v>
      </c>
      <c r="O75" s="23" t="str">
        <f>HYPERLINK("https://drive.google.com/drive/u/1/folders/1BHG7b2ipx2SFtyQ7JrIwSX6DPfoNPvYF","2018-02-20_McMaster")</f>
        <v>2018-02-20_McMaster</v>
      </c>
      <c r="P75" s="114">
        <v>7</v>
      </c>
      <c r="Q75" s="28">
        <v>0.18</v>
      </c>
      <c r="R75" s="27">
        <f t="shared" si="2"/>
        <v>2.88</v>
      </c>
      <c r="S75" s="28">
        <f t="shared" si="3"/>
        <v>1.3063449599999999</v>
      </c>
      <c r="T75" s="11"/>
    </row>
    <row r="76" spans="1:20" ht="13" x14ac:dyDescent="0.15">
      <c r="A76" s="7" t="s">
        <v>328</v>
      </c>
      <c r="B76" s="7" t="s">
        <v>311</v>
      </c>
      <c r="C76" s="7" t="s">
        <v>293</v>
      </c>
      <c r="D76" s="110" t="s">
        <v>38</v>
      </c>
      <c r="E76" s="51">
        <v>1</v>
      </c>
      <c r="F76" s="51">
        <v>1</v>
      </c>
      <c r="G76" s="111">
        <f t="shared" si="20"/>
        <v>1</v>
      </c>
      <c r="H76" s="29">
        <v>8</v>
      </c>
      <c r="I76" s="7" t="s">
        <v>29</v>
      </c>
      <c r="J76" s="7" t="s">
        <v>254</v>
      </c>
      <c r="K76" s="112" t="str">
        <f>HYPERLINK("https://www.homedepot.com/p/DURA-1-2-in-Schedule-40-PVC-Side-Outlet-90-Degree-Elbow-C414-005/100348358","Home Depot")</f>
        <v>Home Depot</v>
      </c>
      <c r="L76" s="113" t="s">
        <v>329</v>
      </c>
      <c r="M76" s="106">
        <v>1.49</v>
      </c>
      <c r="N76" s="20">
        <f t="shared" si="15"/>
        <v>11.92</v>
      </c>
      <c r="O76" s="23" t="str">
        <f t="shared" ref="O76:O77" si="22">HYPERLINK("https://drive.google.com/open?id=1eLm-1yEGzGUPLO7XHEs15OI0VmtEOLZk","2018-02-22_Home Depot")</f>
        <v>2018-02-22_Home Depot</v>
      </c>
      <c r="P76" s="114">
        <v>3</v>
      </c>
      <c r="Q76" s="28">
        <v>0.06</v>
      </c>
      <c r="R76" s="27">
        <f t="shared" si="2"/>
        <v>0.48</v>
      </c>
      <c r="S76" s="28">
        <f t="shared" si="3"/>
        <v>0.21772416</v>
      </c>
      <c r="T76" s="11"/>
    </row>
    <row r="77" spans="1:20" ht="13" x14ac:dyDescent="0.15">
      <c r="A77" s="7" t="s">
        <v>330</v>
      </c>
      <c r="B77" s="7" t="s">
        <v>311</v>
      </c>
      <c r="C77" s="7" t="s">
        <v>293</v>
      </c>
      <c r="D77" s="110" t="s">
        <v>28</v>
      </c>
      <c r="E77" s="51">
        <v>2</v>
      </c>
      <c r="F77" s="51">
        <v>1</v>
      </c>
      <c r="G77" s="111">
        <f t="shared" si="20"/>
        <v>2</v>
      </c>
      <c r="H77" s="29">
        <f t="shared" ref="H77:H79" si="23">G77*16</f>
        <v>32</v>
      </c>
      <c r="I77" s="7" t="s">
        <v>29</v>
      </c>
      <c r="J77" s="7" t="s">
        <v>134</v>
      </c>
      <c r="K77" s="112" t="str">
        <f>HYPERLINK("https://www.homedepot.com/p/Everbilt-1-2-in-x-1-4-in-Brass-MPT-x-MHT-Boiler-Drain-VBDQTRC3EB/205811822","Home Depot")</f>
        <v>Home Depot</v>
      </c>
      <c r="L77" s="113" t="s">
        <v>135</v>
      </c>
      <c r="M77" s="106">
        <v>8.9</v>
      </c>
      <c r="N77" s="20">
        <f t="shared" si="15"/>
        <v>284.8</v>
      </c>
      <c r="O77" s="23" t="str">
        <f t="shared" si="22"/>
        <v>2018-02-22_Home Depot</v>
      </c>
      <c r="P77" s="114">
        <v>2</v>
      </c>
      <c r="Q77" s="28">
        <v>0.28999999999999998</v>
      </c>
      <c r="R77" s="27">
        <f t="shared" si="2"/>
        <v>9.2799999999999994</v>
      </c>
      <c r="S77" s="28">
        <f t="shared" si="3"/>
        <v>4.2093337599999998</v>
      </c>
      <c r="T77" s="11"/>
    </row>
    <row r="78" spans="1:20" ht="13" x14ac:dyDescent="0.15">
      <c r="A78" s="7" t="s">
        <v>331</v>
      </c>
      <c r="B78" s="7" t="s">
        <v>311</v>
      </c>
      <c r="C78" s="7" t="s">
        <v>293</v>
      </c>
      <c r="D78" s="110" t="s">
        <v>332</v>
      </c>
      <c r="E78" s="51">
        <v>3</v>
      </c>
      <c r="F78" s="51">
        <v>1</v>
      </c>
      <c r="G78" s="111">
        <f t="shared" si="20"/>
        <v>3</v>
      </c>
      <c r="H78" s="29">
        <f t="shared" si="23"/>
        <v>48</v>
      </c>
      <c r="I78" s="7" t="s">
        <v>29</v>
      </c>
      <c r="J78" s="7" t="s">
        <v>39</v>
      </c>
      <c r="K78" s="112" t="str">
        <f>HYPERLINK("https://www.mcmaster.com/#51055k56/=1a0v29m","McMaster Carr")</f>
        <v>McMaster Carr</v>
      </c>
      <c r="L78" s="113" t="s">
        <v>333</v>
      </c>
      <c r="M78" s="106">
        <v>8.17</v>
      </c>
      <c r="N78" s="20">
        <f t="shared" si="15"/>
        <v>392.15999999999997</v>
      </c>
      <c r="O78" s="23" t="str">
        <f t="shared" ref="O78:O87" si="24">HYPERLINK("https://drive.google.com/drive/u/1/folders/1BHG7b2ipx2SFtyQ7JrIwSX6DPfoNPvYF","2018-02-20_McMaster")</f>
        <v>2018-02-20_McMaster</v>
      </c>
      <c r="P78" s="114">
        <v>10</v>
      </c>
      <c r="Q78" s="28">
        <v>0.06</v>
      </c>
      <c r="R78" s="27">
        <f t="shared" si="2"/>
        <v>2.88</v>
      </c>
      <c r="S78" s="28">
        <f t="shared" si="3"/>
        <v>1.3063449599999999</v>
      </c>
      <c r="T78" s="11"/>
    </row>
    <row r="79" spans="1:20" ht="13" x14ac:dyDescent="0.15">
      <c r="A79" s="7" t="s">
        <v>334</v>
      </c>
      <c r="B79" s="7" t="s">
        <v>311</v>
      </c>
      <c r="C79" s="7" t="s">
        <v>293</v>
      </c>
      <c r="D79" s="110" t="s">
        <v>38</v>
      </c>
      <c r="E79" s="51">
        <v>1</v>
      </c>
      <c r="F79" s="51">
        <v>1</v>
      </c>
      <c r="G79" s="111">
        <f t="shared" si="20"/>
        <v>1</v>
      </c>
      <c r="H79" s="29">
        <f t="shared" si="23"/>
        <v>16</v>
      </c>
      <c r="I79" s="7" t="s">
        <v>29</v>
      </c>
      <c r="J79" s="7" t="s">
        <v>39</v>
      </c>
      <c r="K79" s="112" t="str">
        <f>HYPERLINK("https://www.mcmaster.com/#5562k151/=1a0v861","McMaster Carr")</f>
        <v>McMaster Carr</v>
      </c>
      <c r="L79" s="113" t="s">
        <v>335</v>
      </c>
      <c r="M79" s="106">
        <v>5.15</v>
      </c>
      <c r="N79" s="20">
        <f t="shared" si="15"/>
        <v>82.4</v>
      </c>
      <c r="O79" s="23" t="str">
        <f t="shared" si="24"/>
        <v>2018-02-20_McMaster</v>
      </c>
      <c r="P79" s="114">
        <v>11</v>
      </c>
      <c r="Q79" s="28">
        <v>0.02</v>
      </c>
      <c r="R79" s="27">
        <f t="shared" si="2"/>
        <v>0.32</v>
      </c>
      <c r="S79" s="28">
        <f t="shared" si="3"/>
        <v>0.14514943999999999</v>
      </c>
      <c r="T79" s="11"/>
    </row>
    <row r="80" spans="1:20" ht="13" x14ac:dyDescent="0.15">
      <c r="A80" s="7" t="s">
        <v>336</v>
      </c>
      <c r="B80" s="7" t="s">
        <v>311</v>
      </c>
      <c r="C80" s="7" t="s">
        <v>293</v>
      </c>
      <c r="D80" s="110" t="s">
        <v>323</v>
      </c>
      <c r="E80" s="51">
        <v>5</v>
      </c>
      <c r="F80" s="51">
        <v>50</v>
      </c>
      <c r="G80" s="111">
        <f t="shared" si="20"/>
        <v>0.1</v>
      </c>
      <c r="H80" s="29">
        <v>3</v>
      </c>
      <c r="I80" s="7" t="s">
        <v>29</v>
      </c>
      <c r="J80" s="7" t="s">
        <v>39</v>
      </c>
      <c r="K80" s="112" t="str">
        <f>HYPERLINK("https://www.mcmaster.com/#92949a205/=1a0uuqs","McMaster Carr")</f>
        <v>McMaster Carr</v>
      </c>
      <c r="L80" s="113" t="s">
        <v>337</v>
      </c>
      <c r="M80" s="106">
        <v>9.2100000000000009</v>
      </c>
      <c r="N80" s="20">
        <f t="shared" si="15"/>
        <v>27.630000000000003</v>
      </c>
      <c r="O80" s="23" t="str">
        <f t="shared" si="24"/>
        <v>2018-02-20_McMaster</v>
      </c>
      <c r="P80" s="114">
        <v>12</v>
      </c>
      <c r="Q80" s="28">
        <v>6.0000000000000001E-3</v>
      </c>
      <c r="R80" s="27">
        <f t="shared" si="2"/>
        <v>1.8000000000000002E-2</v>
      </c>
      <c r="S80" s="28">
        <f t="shared" si="3"/>
        <v>8.164656000000001E-3</v>
      </c>
      <c r="T80" s="11"/>
    </row>
    <row r="81" spans="1:20" ht="13" x14ac:dyDescent="0.15">
      <c r="A81" s="7" t="s">
        <v>338</v>
      </c>
      <c r="B81" s="7" t="s">
        <v>311</v>
      </c>
      <c r="C81" s="7" t="s">
        <v>293</v>
      </c>
      <c r="D81" s="110" t="s">
        <v>323</v>
      </c>
      <c r="E81" s="51">
        <v>5</v>
      </c>
      <c r="F81" s="51">
        <v>50</v>
      </c>
      <c r="G81" s="111">
        <f t="shared" si="20"/>
        <v>0.1</v>
      </c>
      <c r="H81" s="29">
        <v>3</v>
      </c>
      <c r="I81" s="7" t="s">
        <v>29</v>
      </c>
      <c r="J81" s="7" t="s">
        <v>39</v>
      </c>
      <c r="K81" s="112" t="str">
        <f>HYPERLINK("https://www.mcmaster.com/#93776a381/=1a0uu5u","McMaster Carr")</f>
        <v>McMaster Carr</v>
      </c>
      <c r="L81" s="113" t="s">
        <v>339</v>
      </c>
      <c r="M81" s="106">
        <v>5.0999999999999996</v>
      </c>
      <c r="N81" s="20">
        <f t="shared" si="15"/>
        <v>15.299999999999999</v>
      </c>
      <c r="O81" s="23" t="str">
        <f t="shared" si="24"/>
        <v>2018-02-20_McMaster</v>
      </c>
      <c r="P81" s="114">
        <v>13</v>
      </c>
      <c r="Q81" s="28">
        <v>0</v>
      </c>
      <c r="R81" s="27">
        <f t="shared" si="2"/>
        <v>0</v>
      </c>
      <c r="S81" s="28">
        <f t="shared" si="3"/>
        <v>0</v>
      </c>
      <c r="T81" s="11"/>
    </row>
    <row r="82" spans="1:20" ht="13" x14ac:dyDescent="0.15">
      <c r="A82" s="7" t="s">
        <v>145</v>
      </c>
      <c r="B82" s="7" t="s">
        <v>311</v>
      </c>
      <c r="C82" s="7" t="s">
        <v>293</v>
      </c>
      <c r="D82" s="110" t="s">
        <v>28</v>
      </c>
      <c r="E82" s="51">
        <v>8</v>
      </c>
      <c r="F82" s="51">
        <v>100</v>
      </c>
      <c r="G82" s="111">
        <f t="shared" si="20"/>
        <v>0.08</v>
      </c>
      <c r="H82" s="29">
        <v>2</v>
      </c>
      <c r="I82" s="7" t="s">
        <v>29</v>
      </c>
      <c r="J82" s="7" t="s">
        <v>39</v>
      </c>
      <c r="K82" s="112" t="str">
        <f>HYPERLINK("https://www.mcmaster.com/#4061t163/=1afszoi","McMaster Carr")</f>
        <v>McMaster Carr</v>
      </c>
      <c r="L82" s="113" t="s">
        <v>146</v>
      </c>
      <c r="M82" s="106">
        <v>11.36</v>
      </c>
      <c r="N82" s="20">
        <f t="shared" si="15"/>
        <v>22.72</v>
      </c>
      <c r="O82" s="23" t="str">
        <f t="shared" si="24"/>
        <v>2018-02-20_McMaster</v>
      </c>
      <c r="P82" s="114">
        <v>14</v>
      </c>
      <c r="Q82" s="28">
        <v>5.9999999999999995E-4</v>
      </c>
      <c r="R82" s="27">
        <f t="shared" si="2"/>
        <v>1.1999999999999999E-3</v>
      </c>
      <c r="S82" s="28">
        <f t="shared" si="3"/>
        <v>5.4431039999999992E-4</v>
      </c>
      <c r="T82" s="11"/>
    </row>
    <row r="83" spans="1:20" ht="13" x14ac:dyDescent="0.15">
      <c r="A83" s="7" t="s">
        <v>340</v>
      </c>
      <c r="B83" s="7" t="s">
        <v>311</v>
      </c>
      <c r="C83" s="7" t="s">
        <v>293</v>
      </c>
      <c r="D83" s="110" t="s">
        <v>38</v>
      </c>
      <c r="E83" s="51">
        <v>50</v>
      </c>
      <c r="F83" s="51">
        <v>1200</v>
      </c>
      <c r="G83" s="111">
        <f t="shared" si="20"/>
        <v>4.1666666666666664E-2</v>
      </c>
      <c r="H83" s="29">
        <v>3</v>
      </c>
      <c r="I83" s="7" t="s">
        <v>29</v>
      </c>
      <c r="J83" s="7" t="s">
        <v>39</v>
      </c>
      <c r="K83" s="112" t="str">
        <f>HYPERLINK("https://www.mcmaster.com/#5112k56/=1a0uz5a","McMaster Carr")</f>
        <v>McMaster Carr</v>
      </c>
      <c r="L83" s="113" t="s">
        <v>341</v>
      </c>
      <c r="M83" s="106">
        <v>76</v>
      </c>
      <c r="N83" s="20">
        <f t="shared" si="15"/>
        <v>228</v>
      </c>
      <c r="O83" s="23" t="str">
        <f t="shared" si="24"/>
        <v>2018-02-20_McMaster</v>
      </c>
      <c r="P83" s="114">
        <v>15</v>
      </c>
      <c r="Q83" s="28">
        <v>0.38</v>
      </c>
      <c r="R83" s="27">
        <f t="shared" si="2"/>
        <v>1.1400000000000001</v>
      </c>
      <c r="S83" s="28">
        <f t="shared" si="3"/>
        <v>0.51709488000000003</v>
      </c>
      <c r="T83" s="11"/>
    </row>
    <row r="84" spans="1:20" ht="13" x14ac:dyDescent="0.15">
      <c r="A84" s="7" t="s">
        <v>342</v>
      </c>
      <c r="B84" s="7" t="s">
        <v>311</v>
      </c>
      <c r="C84" s="7" t="s">
        <v>293</v>
      </c>
      <c r="D84" s="110" t="s">
        <v>38</v>
      </c>
      <c r="E84" s="51">
        <v>10</v>
      </c>
      <c r="F84" s="51">
        <v>1</v>
      </c>
      <c r="G84" s="111">
        <v>5</v>
      </c>
      <c r="H84" s="29">
        <f>G84*16</f>
        <v>80</v>
      </c>
      <c r="I84" s="7" t="s">
        <v>29</v>
      </c>
      <c r="J84" s="7" t="s">
        <v>39</v>
      </c>
      <c r="K84" s="112" t="str">
        <f>HYPERLINK("https://www.mcmaster.com/#3185k112/=1aft071","McMaster Carr")</f>
        <v>McMaster Carr</v>
      </c>
      <c r="L84" s="113" t="s">
        <v>154</v>
      </c>
      <c r="M84" s="106">
        <v>0.44</v>
      </c>
      <c r="N84" s="20">
        <f t="shared" si="15"/>
        <v>35.200000000000003</v>
      </c>
      <c r="O84" s="23" t="str">
        <f t="shared" si="24"/>
        <v>2018-02-20_McMaster</v>
      </c>
      <c r="P84" s="114">
        <v>16</v>
      </c>
      <c r="Q84" s="28">
        <v>3.0000000000000001E-3</v>
      </c>
      <c r="R84" s="27">
        <f t="shared" si="2"/>
        <v>0.24</v>
      </c>
      <c r="S84" s="28">
        <f t="shared" si="3"/>
        <v>0.10886208</v>
      </c>
      <c r="T84" s="11"/>
    </row>
    <row r="85" spans="1:20" ht="13" x14ac:dyDescent="0.15">
      <c r="A85" s="7" t="s">
        <v>343</v>
      </c>
      <c r="B85" s="7" t="s">
        <v>311</v>
      </c>
      <c r="C85" s="7" t="s">
        <v>293</v>
      </c>
      <c r="D85" s="110" t="s">
        <v>28</v>
      </c>
      <c r="E85" s="51">
        <v>4</v>
      </c>
      <c r="F85" s="51">
        <v>1</v>
      </c>
      <c r="G85" s="111">
        <f t="shared" ref="G85:G87" si="25">E85/F85</f>
        <v>4</v>
      </c>
      <c r="H85" s="29">
        <v>50</v>
      </c>
      <c r="I85" s="7" t="s">
        <v>29</v>
      </c>
      <c r="J85" s="7" t="s">
        <v>39</v>
      </c>
      <c r="K85" s="112" t="str">
        <f>HYPERLINK("https://www.mcmaster.com/#4830k171/=1aft0th","McMaster Carr")</f>
        <v>McMaster Carr</v>
      </c>
      <c r="L85" s="113" t="s">
        <v>344</v>
      </c>
      <c r="M85" s="106">
        <v>2.1800000000000002</v>
      </c>
      <c r="N85" s="20">
        <f t="shared" si="15"/>
        <v>109.00000000000001</v>
      </c>
      <c r="O85" s="23" t="str">
        <f t="shared" si="24"/>
        <v>2018-02-20_McMaster</v>
      </c>
      <c r="P85" s="114">
        <v>17</v>
      </c>
      <c r="Q85" s="28">
        <v>4.3999999999999997E-2</v>
      </c>
      <c r="R85" s="27">
        <f t="shared" si="2"/>
        <v>2.1999999999999997</v>
      </c>
      <c r="S85" s="28">
        <f t="shared" si="3"/>
        <v>0.99790239999999986</v>
      </c>
      <c r="T85" s="11"/>
    </row>
    <row r="86" spans="1:20" ht="13" x14ac:dyDescent="0.15">
      <c r="A86" s="7" t="s">
        <v>345</v>
      </c>
      <c r="B86" s="7" t="s">
        <v>311</v>
      </c>
      <c r="C86" s="7" t="s">
        <v>293</v>
      </c>
      <c r="D86" s="110" t="s">
        <v>38</v>
      </c>
      <c r="E86" s="51">
        <v>4</v>
      </c>
      <c r="F86" s="51">
        <v>1</v>
      </c>
      <c r="G86" s="111">
        <f t="shared" si="25"/>
        <v>4</v>
      </c>
      <c r="H86" s="29">
        <v>47</v>
      </c>
      <c r="I86" s="7" t="s">
        <v>29</v>
      </c>
      <c r="J86" s="7" t="s">
        <v>39</v>
      </c>
      <c r="K86" s="112" t="str">
        <f>HYPERLINK("https://www.mcmaster.com/#4880k81/=1aftl08","McMaster Carr")</f>
        <v>McMaster Carr</v>
      </c>
      <c r="L86" s="113" t="s">
        <v>346</v>
      </c>
      <c r="M86" s="106">
        <v>0.35</v>
      </c>
      <c r="N86" s="20">
        <f t="shared" si="15"/>
        <v>16.45</v>
      </c>
      <c r="O86" s="23" t="str">
        <f t="shared" si="24"/>
        <v>2018-02-20_McMaster</v>
      </c>
      <c r="P86" s="114">
        <v>18</v>
      </c>
      <c r="Q86" s="28">
        <v>0.04</v>
      </c>
      <c r="R86" s="27">
        <f t="shared" si="2"/>
        <v>1.8800000000000001</v>
      </c>
      <c r="S86" s="28">
        <f t="shared" si="3"/>
        <v>0.85275296</v>
      </c>
      <c r="T86" s="11"/>
    </row>
    <row r="87" spans="1:20" ht="13" x14ac:dyDescent="0.15">
      <c r="A87" s="7" t="s">
        <v>347</v>
      </c>
      <c r="B87" s="7" t="s">
        <v>311</v>
      </c>
      <c r="C87" s="7" t="s">
        <v>293</v>
      </c>
      <c r="D87" s="110" t="s">
        <v>38</v>
      </c>
      <c r="E87" s="51">
        <v>1</v>
      </c>
      <c r="F87" s="51">
        <v>1</v>
      </c>
      <c r="G87" s="111">
        <f t="shared" si="25"/>
        <v>1</v>
      </c>
      <c r="H87" s="29">
        <f t="shared" ref="H87:H91" si="26">G87*16</f>
        <v>16</v>
      </c>
      <c r="I87" s="7" t="s">
        <v>29</v>
      </c>
      <c r="J87" s="7" t="s">
        <v>39</v>
      </c>
      <c r="K87" s="112" t="str">
        <f>HYPERLINK("https://www.mcmaster.com/#9581t14/=1aftd7s","McMaster Carr")</f>
        <v>McMaster Carr</v>
      </c>
      <c r="L87" s="113" t="s">
        <v>348</v>
      </c>
      <c r="M87" s="106">
        <v>10.29</v>
      </c>
      <c r="N87" s="20">
        <f t="shared" si="15"/>
        <v>164.64</v>
      </c>
      <c r="O87" s="23" t="str">
        <f t="shared" si="24"/>
        <v>2018-02-20_McMaster</v>
      </c>
      <c r="P87" s="114">
        <v>20</v>
      </c>
      <c r="Q87" s="28">
        <v>0.57999999999999996</v>
      </c>
      <c r="R87" s="27">
        <f t="shared" si="2"/>
        <v>9.2799999999999994</v>
      </c>
      <c r="S87" s="28">
        <f t="shared" si="3"/>
        <v>4.2093337599999998</v>
      </c>
      <c r="T87" s="11"/>
    </row>
    <row r="88" spans="1:20" ht="13" x14ac:dyDescent="0.15">
      <c r="A88" s="7" t="s">
        <v>349</v>
      </c>
      <c r="B88" s="7" t="s">
        <v>60</v>
      </c>
      <c r="C88" s="7" t="s">
        <v>293</v>
      </c>
      <c r="D88" s="110" t="s">
        <v>332</v>
      </c>
      <c r="E88" s="51">
        <v>1</v>
      </c>
      <c r="F88" s="51">
        <v>1</v>
      </c>
      <c r="G88" s="111">
        <f t="shared" ref="G88:G90" si="27">F88/E88</f>
        <v>1</v>
      </c>
      <c r="H88" s="29">
        <f t="shared" si="26"/>
        <v>16</v>
      </c>
      <c r="I88" s="7" t="s">
        <v>29</v>
      </c>
      <c r="J88" s="7" t="s">
        <v>39</v>
      </c>
      <c r="K88" s="112" t="str">
        <f>HYPERLINK("https://www.mcmaster.com/#51055k418/=1bnl2p8","McMaster Carr")</f>
        <v>McMaster Carr</v>
      </c>
      <c r="L88" s="113" t="s">
        <v>350</v>
      </c>
      <c r="M88" s="106">
        <v>8.19</v>
      </c>
      <c r="N88" s="20">
        <f t="shared" si="15"/>
        <v>131.04</v>
      </c>
      <c r="O88" s="23" t="str">
        <f>HYPERLINK("https://drive.google.com/open?id=1Q7-pR50l_6u3foXoRktYkHJkEXqIHJ0f","2018-03-08_McMaster")</f>
        <v>2018-03-08_McMaster</v>
      </c>
      <c r="P88" s="114">
        <v>1</v>
      </c>
      <c r="Q88" s="28">
        <v>0.04</v>
      </c>
      <c r="R88" s="27">
        <f t="shared" si="2"/>
        <v>0.64</v>
      </c>
      <c r="S88" s="28">
        <f t="shared" si="3"/>
        <v>0.29029887999999998</v>
      </c>
      <c r="T88" s="11"/>
    </row>
    <row r="89" spans="1:20" ht="13" x14ac:dyDescent="0.15">
      <c r="A89" s="7" t="s">
        <v>351</v>
      </c>
      <c r="B89" s="7" t="s">
        <v>311</v>
      </c>
      <c r="C89" s="7" t="s">
        <v>293</v>
      </c>
      <c r="D89" s="110" t="s">
        <v>38</v>
      </c>
      <c r="E89" s="51">
        <v>1</v>
      </c>
      <c r="F89" s="51">
        <v>1</v>
      </c>
      <c r="G89" s="111">
        <f t="shared" si="27"/>
        <v>1</v>
      </c>
      <c r="H89" s="29">
        <f t="shared" si="26"/>
        <v>16</v>
      </c>
      <c r="I89" s="7" t="s">
        <v>29</v>
      </c>
      <c r="J89" s="7" t="s">
        <v>352</v>
      </c>
      <c r="K89" s="112" t="str">
        <f>HYPERLINK("https://www.grainger.com/product/BANJO-80-Mesh-Mini-T-Line-Strainer-3ELW8","Grainger")</f>
        <v>Grainger</v>
      </c>
      <c r="L89" s="113" t="s">
        <v>353</v>
      </c>
      <c r="M89" s="106">
        <v>30.31</v>
      </c>
      <c r="N89" s="20">
        <f t="shared" si="15"/>
        <v>484.96</v>
      </c>
      <c r="O89" s="23" t="str">
        <f t="shared" ref="O89:O90" si="28">HYPERLINK("https://drive.google.com/open?id=1cUcT3KkLhNeHlqlamidqwdyop8XNkxwM","2018-02-20_Grainger")</f>
        <v>2018-02-20_Grainger</v>
      </c>
      <c r="P89" s="114">
        <v>6</v>
      </c>
      <c r="Q89" s="28">
        <v>0.27</v>
      </c>
      <c r="R89" s="27">
        <f t="shared" si="2"/>
        <v>4.32</v>
      </c>
      <c r="S89" s="28">
        <f t="shared" si="3"/>
        <v>1.9595174400000002</v>
      </c>
      <c r="T89" s="11"/>
    </row>
    <row r="90" spans="1:20" ht="13" x14ac:dyDescent="0.15">
      <c r="A90" s="7" t="s">
        <v>354</v>
      </c>
      <c r="B90" s="7" t="s">
        <v>311</v>
      </c>
      <c r="C90" s="7" t="s">
        <v>293</v>
      </c>
      <c r="D90" s="110" t="s">
        <v>28</v>
      </c>
      <c r="E90" s="51">
        <v>1</v>
      </c>
      <c r="F90" s="51">
        <v>1</v>
      </c>
      <c r="G90" s="111">
        <f t="shared" si="27"/>
        <v>1</v>
      </c>
      <c r="H90" s="29">
        <f t="shared" si="26"/>
        <v>16</v>
      </c>
      <c r="I90" s="7" t="s">
        <v>29</v>
      </c>
      <c r="J90" s="7" t="s">
        <v>352</v>
      </c>
      <c r="K90" s="112" t="str">
        <f>HYPERLINK("https://www.grainger.com/product/BANJO-Screen-3DUF5","Grainger")</f>
        <v>Grainger</v>
      </c>
      <c r="L90" s="113" t="s">
        <v>355</v>
      </c>
      <c r="M90" s="106">
        <v>13.01</v>
      </c>
      <c r="N90" s="20">
        <f t="shared" si="15"/>
        <v>208.16</v>
      </c>
      <c r="O90" s="23" t="str">
        <f t="shared" si="28"/>
        <v>2018-02-20_Grainger</v>
      </c>
      <c r="P90" s="114">
        <v>7</v>
      </c>
      <c r="Q90" s="28">
        <v>0.02</v>
      </c>
      <c r="R90" s="27">
        <f t="shared" si="2"/>
        <v>0.32</v>
      </c>
      <c r="S90" s="28">
        <f t="shared" si="3"/>
        <v>0.14514943999999999</v>
      </c>
      <c r="T90" s="11"/>
    </row>
    <row r="91" spans="1:20" ht="13" x14ac:dyDescent="0.15">
      <c r="A91" s="7" t="s">
        <v>158</v>
      </c>
      <c r="B91" s="7" t="s">
        <v>356</v>
      </c>
      <c r="C91" s="7" t="s">
        <v>293</v>
      </c>
      <c r="D91" s="110" t="s">
        <v>98</v>
      </c>
      <c r="E91" s="51">
        <v>1</v>
      </c>
      <c r="F91" s="51">
        <v>1</v>
      </c>
      <c r="G91" s="111">
        <f>E91/F91</f>
        <v>1</v>
      </c>
      <c r="H91" s="29">
        <f t="shared" si="26"/>
        <v>16</v>
      </c>
      <c r="I91" s="7" t="s">
        <v>29</v>
      </c>
      <c r="J91" s="7" t="s">
        <v>159</v>
      </c>
      <c r="K91" s="112" t="str">
        <f>HYPERLINK("https://www.mcmaster.com/#9930k63/=1aft65a","McMaster Carr")</f>
        <v>McMaster Carr</v>
      </c>
      <c r="L91" s="113" t="s">
        <v>162</v>
      </c>
      <c r="M91" s="106">
        <v>214.79</v>
      </c>
      <c r="N91" s="20">
        <f t="shared" si="15"/>
        <v>3436.64</v>
      </c>
      <c r="O91" s="23" t="str">
        <f>HYPERLINK("https://drive.google.com/open?id=17ra1rRj-Z09UoIGz2wMfmF9NRSQNMWKf","2018-02-20_McMaster")</f>
        <v>2018-02-20_McMaster</v>
      </c>
      <c r="P91" s="114">
        <v>21</v>
      </c>
      <c r="Q91" s="28">
        <v>8.4</v>
      </c>
      <c r="R91" s="27">
        <f t="shared" si="2"/>
        <v>134.4</v>
      </c>
      <c r="S91" s="28">
        <f t="shared" si="3"/>
        <v>60.962764800000002</v>
      </c>
      <c r="T91" s="11"/>
    </row>
    <row r="92" spans="1:20" ht="13" x14ac:dyDescent="0.15">
      <c r="A92" s="7" t="s">
        <v>357</v>
      </c>
      <c r="B92" s="7" t="s">
        <v>284</v>
      </c>
      <c r="C92" s="7" t="s">
        <v>227</v>
      </c>
      <c r="D92" s="110" t="s">
        <v>38</v>
      </c>
      <c r="E92" s="51">
        <v>1</v>
      </c>
      <c r="F92" s="51">
        <v>1</v>
      </c>
      <c r="G92" s="111"/>
      <c r="H92" s="29">
        <v>1</v>
      </c>
      <c r="I92" s="7" t="s">
        <v>29</v>
      </c>
      <c r="J92" s="7" t="s">
        <v>358</v>
      </c>
      <c r="K92" s="112" t="str">
        <f>HYPERLINK("https://www.homedepot.com/p/Sioux-Chief-Mini-Rester-3-4-in-x-3-4-in-FHT-x-MHT-Washing-Machine-Arrester-HD660-H/202273959","Home Depot")</f>
        <v>Home Depot</v>
      </c>
      <c r="L92" s="113" t="s">
        <v>359</v>
      </c>
      <c r="M92" s="106">
        <v>10.83</v>
      </c>
      <c r="N92" s="20">
        <f t="shared" si="15"/>
        <v>10.83</v>
      </c>
      <c r="O92" s="23" t="str">
        <f>HYPERLINK("https://drive.google.com/open?id=1pfQAbcLKGur9KPFumxURRUZQP-9On0at","2018-03-14_Home Depot")</f>
        <v>2018-03-14_Home Depot</v>
      </c>
      <c r="P92" s="114">
        <v>1</v>
      </c>
      <c r="Q92" s="28">
        <v>0.7</v>
      </c>
      <c r="R92" s="27">
        <f t="shared" si="2"/>
        <v>0.7</v>
      </c>
      <c r="S92" s="28">
        <f t="shared" si="3"/>
        <v>0.31751439999999997</v>
      </c>
      <c r="T92" s="11"/>
    </row>
    <row r="93" spans="1:20" ht="13" x14ac:dyDescent="0.15">
      <c r="A93" s="7" t="s">
        <v>360</v>
      </c>
      <c r="B93" s="7" t="s">
        <v>284</v>
      </c>
      <c r="C93" s="7" t="s">
        <v>273</v>
      </c>
      <c r="D93" s="110" t="s">
        <v>361</v>
      </c>
      <c r="E93" s="51">
        <v>1</v>
      </c>
      <c r="F93" s="51">
        <v>1</v>
      </c>
      <c r="G93" s="111"/>
      <c r="H93" s="29">
        <v>1</v>
      </c>
      <c r="I93" s="7" t="s">
        <v>29</v>
      </c>
      <c r="J93" s="7" t="s">
        <v>362</v>
      </c>
      <c r="K93" s="112" t="e">
        <f>HYPERLINK("https://www.homedepot.com/p/Malco-7-1-2-in-Slotted-Hex-Head-Sheet-Metal-Screw-1000-Pack-HW7X1-2ZTS/100520676?keyword=malco+hw7x1%2F2zts&amp;semanticToken=21050+++%3E++++st%3A%7Bmalco+hw7x1%2F2zts%7D%3Ast++cn%3A%7B0%3A0%7D++malco+%7Bbrand%7D+hw7x1%2F2zts+%7Bre"&amp;"st%7D+","Home Depot")</f>
        <v>#VALUE!</v>
      </c>
      <c r="L93" s="113">
        <v>178381</v>
      </c>
      <c r="M93" s="106">
        <v>19.98</v>
      </c>
      <c r="N93" s="20">
        <f t="shared" si="15"/>
        <v>19.98</v>
      </c>
      <c r="O93" s="23" t="str">
        <f t="shared" ref="O93:O96" si="29">HYPERLINK("https://drive.google.com/open?id=1owY_kiJiJxGl5-eklDgu3PBIKRSLRAGR","2018-02-28_Home Depot")</f>
        <v>2018-02-28_Home Depot</v>
      </c>
      <c r="P93" s="114">
        <v>3</v>
      </c>
      <c r="Q93" s="28">
        <v>3</v>
      </c>
      <c r="R93" s="27">
        <f t="shared" si="2"/>
        <v>3</v>
      </c>
      <c r="S93" s="28">
        <f t="shared" si="3"/>
        <v>1.360776</v>
      </c>
      <c r="T93" s="11"/>
    </row>
    <row r="94" spans="1:20" ht="13" x14ac:dyDescent="0.15">
      <c r="A94" s="7" t="s">
        <v>363</v>
      </c>
      <c r="B94" s="7" t="s">
        <v>284</v>
      </c>
      <c r="C94" s="7" t="s">
        <v>273</v>
      </c>
      <c r="D94" s="110" t="s">
        <v>28</v>
      </c>
      <c r="E94" s="51">
        <v>1</v>
      </c>
      <c r="F94" s="51">
        <v>280</v>
      </c>
      <c r="G94" s="111">
        <v>1</v>
      </c>
      <c r="H94" s="29">
        <v>2</v>
      </c>
      <c r="I94" s="7" t="s">
        <v>29</v>
      </c>
      <c r="J94" s="7" t="s">
        <v>364</v>
      </c>
      <c r="K94" s="112" t="str">
        <f>HYPERLINK("https://www.homedepot.com/p/Teks-8-1-2-in-External-Hex-Flange-Hex-Head-Self-Drilling-Screws-280-Pack-21308/100188836?MERCH=REC-_-PIPHorizontal2_rr-_-100132674-_-100188836-_-N","Home Depot")</f>
        <v>Home Depot</v>
      </c>
      <c r="L94" s="113">
        <v>156417</v>
      </c>
      <c r="M94" s="106">
        <v>6.34</v>
      </c>
      <c r="N94" s="20">
        <f t="shared" si="15"/>
        <v>12.68</v>
      </c>
      <c r="O94" s="23" t="str">
        <f t="shared" si="29"/>
        <v>2018-02-28_Home Depot</v>
      </c>
      <c r="P94" s="114">
        <v>28</v>
      </c>
      <c r="Q94" s="28">
        <v>1.5</v>
      </c>
      <c r="R94" s="27">
        <f t="shared" si="2"/>
        <v>3</v>
      </c>
      <c r="S94" s="28">
        <f t="shared" si="3"/>
        <v>1.360776</v>
      </c>
      <c r="T94" s="11"/>
    </row>
    <row r="95" spans="1:20" ht="13" x14ac:dyDescent="0.15">
      <c r="A95" s="7" t="s">
        <v>365</v>
      </c>
      <c r="B95" s="7" t="s">
        <v>284</v>
      </c>
      <c r="C95" s="7" t="s">
        <v>273</v>
      </c>
      <c r="D95" s="10" t="s">
        <v>28</v>
      </c>
      <c r="E95" s="7">
        <v>2</v>
      </c>
      <c r="F95" s="7">
        <v>180</v>
      </c>
      <c r="G95" s="7">
        <v>1</v>
      </c>
      <c r="H95" s="7">
        <v>2</v>
      </c>
      <c r="I95" s="7" t="s">
        <v>29</v>
      </c>
      <c r="J95" s="7" t="s">
        <v>364</v>
      </c>
      <c r="K95" s="12" t="str">
        <f>HYPERLINK("https://www.homedepot.com/p/Teks-8-3-4-in-External-Hex-Flange-Hex-Head-Self-Drilling-Screws-180-Pack-21312/100132674","Home Depot")</f>
        <v>Home Depot</v>
      </c>
      <c r="L95" s="15">
        <v>156906</v>
      </c>
      <c r="M95" s="115">
        <v>5.87</v>
      </c>
      <c r="N95" s="20">
        <f t="shared" si="15"/>
        <v>11.74</v>
      </c>
      <c r="O95" s="23" t="str">
        <f t="shared" si="29"/>
        <v>2018-02-28_Home Depot</v>
      </c>
      <c r="P95" s="51">
        <v>29</v>
      </c>
      <c r="Q95" s="25">
        <v>1.5</v>
      </c>
      <c r="R95" s="27">
        <f t="shared" si="2"/>
        <v>3</v>
      </c>
      <c r="S95" s="28">
        <f t="shared" si="3"/>
        <v>1.360776</v>
      </c>
      <c r="T95" s="11"/>
    </row>
    <row r="96" spans="1:20" ht="13" x14ac:dyDescent="0.15">
      <c r="A96" s="7" t="s">
        <v>366</v>
      </c>
      <c r="B96" s="7" t="s">
        <v>284</v>
      </c>
      <c r="C96" s="7" t="s">
        <v>273</v>
      </c>
      <c r="D96" s="10" t="s">
        <v>38</v>
      </c>
      <c r="E96" s="7">
        <v>5</v>
      </c>
      <c r="F96" s="7">
        <v>1</v>
      </c>
      <c r="G96" s="11"/>
      <c r="H96" s="7">
        <v>5</v>
      </c>
      <c r="I96" s="7" t="s">
        <v>29</v>
      </c>
      <c r="J96" s="7" t="s">
        <v>367</v>
      </c>
      <c r="K96" s="12" t="e">
        <f>HYPERLINK("https://www.homedepot.com/p/DAP-3-0-9-oz-White-Advanced-Window-Door-Trim-and-Siding-Sealant-18360/202337656?keyword=dap+3.0+window+trim+door&amp;semanticToken=21050+++%3E++++st%3A%7Bdap+3.0+window+trim+door%7D%3Ast++cn%3A%7B0%3A0%7D++dap+%7Bbrand%7D+3.0+windo"&amp;"w+trim+door+%7Brest%7D+","Home Depot")</f>
        <v>#VALUE!</v>
      </c>
      <c r="L96" s="15">
        <v>782625</v>
      </c>
      <c r="M96" s="115">
        <v>7.88</v>
      </c>
      <c r="N96" s="20">
        <f t="shared" si="15"/>
        <v>39.4</v>
      </c>
      <c r="O96" s="23" t="str">
        <f t="shared" si="29"/>
        <v>2018-02-28_Home Depot</v>
      </c>
      <c r="P96" s="51">
        <v>32</v>
      </c>
      <c r="Q96" s="25">
        <v>1.1000000000000001</v>
      </c>
      <c r="R96" s="27">
        <f t="shared" si="2"/>
        <v>5.5</v>
      </c>
      <c r="S96" s="28">
        <f t="shared" si="3"/>
        <v>2.4947559999999998</v>
      </c>
      <c r="T96" s="11"/>
    </row>
    <row r="97" spans="1:20" ht="13" x14ac:dyDescent="0.15">
      <c r="A97" s="7" t="s">
        <v>368</v>
      </c>
      <c r="B97" s="7" t="s">
        <v>284</v>
      </c>
      <c r="C97" s="7" t="s">
        <v>273</v>
      </c>
      <c r="D97" s="10" t="s">
        <v>28</v>
      </c>
      <c r="E97" s="7">
        <v>1</v>
      </c>
      <c r="F97" s="7">
        <v>1</v>
      </c>
      <c r="G97" s="11"/>
      <c r="H97" s="7">
        <v>1</v>
      </c>
      <c r="I97" s="7" t="s">
        <v>29</v>
      </c>
      <c r="J97" s="7" t="s">
        <v>369</v>
      </c>
      <c r="K97" s="12" t="str">
        <f>HYPERLINK("https://www.homedepot.com/p/Husky-Pliers-Set-4-Piece-96618/203429506","Home Depot")</f>
        <v>Home Depot</v>
      </c>
      <c r="L97" s="15">
        <v>61461</v>
      </c>
      <c r="M97" s="48">
        <v>19.88</v>
      </c>
      <c r="N97" s="20">
        <f t="shared" si="15"/>
        <v>19.88</v>
      </c>
      <c r="O97" s="23" t="str">
        <f>HYPERLINK("https://drive.google.com/open?id=1Xmlvgi5msNfPEk2NaL-o6GE_ULKhbuQW","2018-03-12_Home Depot")</f>
        <v>2018-03-12_Home Depot</v>
      </c>
      <c r="P97" s="51">
        <v>4</v>
      </c>
      <c r="Q97" s="25">
        <v>3.22</v>
      </c>
      <c r="R97" s="27">
        <f t="shared" si="2"/>
        <v>3.22</v>
      </c>
      <c r="S97" s="28">
        <f t="shared" si="3"/>
        <v>1.4605662400000001</v>
      </c>
      <c r="T97" s="11"/>
    </row>
    <row r="98" spans="1:20" ht="13" x14ac:dyDescent="0.15">
      <c r="A98" s="7" t="s">
        <v>370</v>
      </c>
      <c r="B98" s="7" t="s">
        <v>284</v>
      </c>
      <c r="C98" s="7" t="s">
        <v>273</v>
      </c>
      <c r="D98" s="10" t="s">
        <v>38</v>
      </c>
      <c r="E98" s="7">
        <v>1</v>
      </c>
      <c r="F98" s="7">
        <v>1</v>
      </c>
      <c r="G98" s="11"/>
      <c r="H98" s="7">
        <v>1</v>
      </c>
      <c r="I98" s="7" t="s">
        <v>29</v>
      </c>
      <c r="J98" s="7" t="s">
        <v>371</v>
      </c>
      <c r="K98" s="12" t="str">
        <f>HYPERLINK("https://www.homedepot.com/p/Klein-Tools-11-in-1-Screwdriver-Nut-Driver-Cushion-Grip-Handle-32500/100648043","Home Depot")</f>
        <v>Home Depot</v>
      </c>
      <c r="L98" s="15" t="s">
        <v>372</v>
      </c>
      <c r="M98" s="7">
        <v>14.97</v>
      </c>
      <c r="N98" s="20">
        <f t="shared" si="15"/>
        <v>14.97</v>
      </c>
      <c r="O98" s="23" t="str">
        <f>HYPERLINK("https://drive.google.com/open?id=1owY_kiJiJxGl5-eklDgu3PBIKRSLRAGR","2018-02-28_Home Depot")</f>
        <v>2018-02-28_Home Depot</v>
      </c>
      <c r="P98" s="51">
        <v>24</v>
      </c>
      <c r="Q98" s="25">
        <v>0.45</v>
      </c>
      <c r="R98" s="27">
        <f t="shared" si="2"/>
        <v>0.45</v>
      </c>
      <c r="S98" s="28">
        <f t="shared" si="3"/>
        <v>0.2041164</v>
      </c>
      <c r="T98" s="20"/>
    </row>
    <row r="99" spans="1:20" ht="13" x14ac:dyDescent="0.15">
      <c r="A99" s="7" t="s">
        <v>373</v>
      </c>
      <c r="B99" s="7" t="s">
        <v>284</v>
      </c>
      <c r="C99" s="7" t="s">
        <v>273</v>
      </c>
      <c r="D99" s="10" t="s">
        <v>28</v>
      </c>
      <c r="E99" s="7">
        <v>1</v>
      </c>
      <c r="F99" s="7">
        <v>1</v>
      </c>
      <c r="G99" s="11"/>
      <c r="H99" s="7">
        <v>2</v>
      </c>
      <c r="I99" s="7" t="s">
        <v>29</v>
      </c>
      <c r="J99" s="7" t="s">
        <v>374</v>
      </c>
      <c r="K99" s="12" t="str">
        <f>HYPERLINK("https://www.homedepot.com/p/Milwaukee-Inkzall-Fine-Point-Multi-Colored-Markers-4-Pack-48-22-3106/205430399?keyword=48223106&amp;semanticToken=20030+++%3E++++st%3A%7B48223106%7D%3Ast++cn%3A%7Bnull%7D++48223106+%7Bproductkey%7D","Home Depot")</f>
        <v>Home Depot</v>
      </c>
      <c r="L99" s="15" t="s">
        <v>375</v>
      </c>
      <c r="M99" s="48">
        <v>4.97</v>
      </c>
      <c r="N99" s="20">
        <f t="shared" si="15"/>
        <v>9.94</v>
      </c>
      <c r="O99" s="23" t="str">
        <f>HYPERLINK("https://drive.google.com/open?id=14jY_nE7LfMRpPZjHB_kOhUsxuLknYtEz","2018-03-01_Home Depot02")</f>
        <v>2018-03-01_Home Depot02</v>
      </c>
      <c r="P99" s="51">
        <v>8</v>
      </c>
      <c r="Q99" s="25">
        <v>0.03</v>
      </c>
      <c r="R99" s="27">
        <f t="shared" si="2"/>
        <v>0.06</v>
      </c>
      <c r="S99" s="28">
        <f t="shared" si="3"/>
        <v>2.721552E-2</v>
      </c>
      <c r="T99" s="7"/>
    </row>
    <row r="100" spans="1:20" ht="13" x14ac:dyDescent="0.15">
      <c r="A100" s="7" t="s">
        <v>376</v>
      </c>
      <c r="B100" s="7" t="s">
        <v>284</v>
      </c>
      <c r="C100" s="7" t="s">
        <v>273</v>
      </c>
      <c r="D100" s="10" t="s">
        <v>98</v>
      </c>
      <c r="E100" s="7">
        <v>1</v>
      </c>
      <c r="F100" s="7">
        <v>1</v>
      </c>
      <c r="G100" s="11"/>
      <c r="H100" s="7">
        <v>1</v>
      </c>
      <c r="I100" s="7" t="s">
        <v>29</v>
      </c>
      <c r="J100" s="7" t="s">
        <v>377</v>
      </c>
      <c r="K100" s="12" t="str">
        <f t="shared" ref="K100:K101" si="30">HYPERLINK("https://www.homedepot.com/p/Rotozip-2-1-2-in-Aluminum-Oxide-Direct-Drive-Plastic-and-Metal-Rotary-Tool-Wheels-5-Pack-DD-PM5/203077223","Home Depot")</f>
        <v>Home Depot</v>
      </c>
      <c r="L100" s="15" t="s">
        <v>378</v>
      </c>
      <c r="M100" s="48">
        <v>9.9700000000000006</v>
      </c>
      <c r="N100" s="20">
        <f t="shared" si="15"/>
        <v>9.9700000000000006</v>
      </c>
      <c r="O100" s="23" t="str">
        <f>HYPERLINK("https://drive.google.com/open?id=1Xmlvgi5msNfPEk2NaL-o6GE_ULKhbuQW","2018-03-12_Home Depot")</f>
        <v>2018-03-12_Home Depot</v>
      </c>
      <c r="P100" s="51">
        <v>12</v>
      </c>
      <c r="Q100" s="25">
        <v>0.18</v>
      </c>
      <c r="R100" s="27">
        <f t="shared" si="2"/>
        <v>0.18</v>
      </c>
      <c r="S100" s="28">
        <f t="shared" si="3"/>
        <v>8.1646559999999993E-2</v>
      </c>
      <c r="T100" s="11"/>
    </row>
    <row r="101" spans="1:20" ht="13" x14ac:dyDescent="0.15">
      <c r="A101" s="7" t="s">
        <v>379</v>
      </c>
      <c r="B101" s="7" t="s">
        <v>284</v>
      </c>
      <c r="C101" s="7" t="s">
        <v>273</v>
      </c>
      <c r="D101" s="10" t="s">
        <v>98</v>
      </c>
      <c r="E101" s="7">
        <v>2</v>
      </c>
      <c r="F101" s="7">
        <v>2</v>
      </c>
      <c r="G101" s="11"/>
      <c r="H101" s="7">
        <v>2</v>
      </c>
      <c r="I101" s="7" t="s">
        <v>29</v>
      </c>
      <c r="J101" s="7" t="s">
        <v>377</v>
      </c>
      <c r="K101" s="12" t="str">
        <f t="shared" si="30"/>
        <v>Home Depot</v>
      </c>
      <c r="L101" s="15" t="s">
        <v>378</v>
      </c>
      <c r="M101" s="48">
        <v>9.9700000000000006</v>
      </c>
      <c r="N101" s="20">
        <f t="shared" si="15"/>
        <v>19.940000000000001</v>
      </c>
      <c r="O101" s="23" t="str">
        <f t="shared" ref="O101:O103" si="31">HYPERLINK("https://drive.google.com/open?id=1owY_kiJiJxGl5-eklDgu3PBIKRSLRAGR","2018-02-28_Home Depot")</f>
        <v>2018-02-28_Home Depot</v>
      </c>
      <c r="P101" s="51">
        <v>30</v>
      </c>
      <c r="Q101" s="25">
        <v>0.18</v>
      </c>
      <c r="R101" s="27">
        <f t="shared" si="2"/>
        <v>0.36</v>
      </c>
      <c r="S101" s="28">
        <f t="shared" si="3"/>
        <v>0.16329311999999999</v>
      </c>
      <c r="T101" s="18"/>
    </row>
    <row r="102" spans="1:20" ht="13" x14ac:dyDescent="0.15">
      <c r="A102" s="7" t="s">
        <v>380</v>
      </c>
      <c r="B102" s="7" t="s">
        <v>284</v>
      </c>
      <c r="C102" s="7" t="s">
        <v>273</v>
      </c>
      <c r="D102" s="10" t="s">
        <v>28</v>
      </c>
      <c r="E102" s="7">
        <v>1</v>
      </c>
      <c r="F102" s="7">
        <v>1</v>
      </c>
      <c r="G102" s="11"/>
      <c r="H102" s="7">
        <v>1</v>
      </c>
      <c r="I102" s="7" t="s">
        <v>29</v>
      </c>
      <c r="J102" s="7" t="s">
        <v>374</v>
      </c>
      <c r="K102" s="12" t="str">
        <f>HYPERLINK("https://www.homedepot.com/p/Milwaukee-Shockwave-5-16-in-x-1-7-8-in-Impact-Duty-Magnetic-Nut-Drivers-3-Pack-49-66-4523/202562854?keyword=49664523&amp;semanticToken=20030+++%3E++++st%3A%7B49664523%7D%3Ast++cn%3A%7Bnull%7D++49664523+%7Bproductkey%7D","Home Depot")</f>
        <v>Home Depot</v>
      </c>
      <c r="L102" s="15" t="s">
        <v>381</v>
      </c>
      <c r="M102" s="48">
        <v>5.97</v>
      </c>
      <c r="N102" s="20">
        <f t="shared" si="15"/>
        <v>5.97</v>
      </c>
      <c r="O102" s="23" t="str">
        <f t="shared" si="31"/>
        <v>2018-02-28_Home Depot</v>
      </c>
      <c r="P102" s="51">
        <v>19</v>
      </c>
      <c r="Q102" s="25">
        <v>0.26</v>
      </c>
      <c r="R102" s="27">
        <f t="shared" si="2"/>
        <v>0.26</v>
      </c>
      <c r="S102" s="28">
        <f t="shared" si="3"/>
        <v>0.11793392</v>
      </c>
      <c r="T102" s="18"/>
    </row>
    <row r="103" spans="1:20" ht="13" x14ac:dyDescent="0.15">
      <c r="A103" s="7" t="s">
        <v>382</v>
      </c>
      <c r="B103" s="7" t="s">
        <v>284</v>
      </c>
      <c r="C103" s="7" t="s">
        <v>273</v>
      </c>
      <c r="D103" s="10" t="s">
        <v>28</v>
      </c>
      <c r="E103" s="7">
        <v>1</v>
      </c>
      <c r="F103" s="7">
        <v>1</v>
      </c>
      <c r="G103" s="11"/>
      <c r="H103" s="7">
        <v>1</v>
      </c>
      <c r="I103" s="7" t="s">
        <v>29</v>
      </c>
      <c r="J103" s="7" t="s">
        <v>374</v>
      </c>
      <c r="K103" s="12" t="str">
        <f>HYPERLINK("https://www.homedepot.com/p/Milwaukee-1-4-in-x-1-7-8-in-Shockwave-Magnetic-Nut-Driver-Bit-3-Pack-49-66-4522/202653629?keyword=49664522&amp;semanticToken=20030+++%3E++++st%3A%7B49664522%7D%3Ast++cn%3A%7Bnull%7D++49664522+%7Bproductkey%7D","Home Depot")</f>
        <v>Home Depot</v>
      </c>
      <c r="L103" s="15" t="s">
        <v>383</v>
      </c>
      <c r="M103" s="48">
        <v>5.97</v>
      </c>
      <c r="N103" s="20">
        <f t="shared" si="15"/>
        <v>5.97</v>
      </c>
      <c r="O103" s="23" t="str">
        <f t="shared" si="31"/>
        <v>2018-02-28_Home Depot</v>
      </c>
      <c r="P103" s="51">
        <v>20</v>
      </c>
      <c r="Q103" s="25">
        <v>0</v>
      </c>
      <c r="R103" s="27">
        <f t="shared" si="2"/>
        <v>0</v>
      </c>
      <c r="S103" s="28">
        <f t="shared" si="3"/>
        <v>0</v>
      </c>
      <c r="T103" s="18"/>
    </row>
    <row r="104" spans="1:20" ht="13" x14ac:dyDescent="0.15">
      <c r="A104" s="7" t="s">
        <v>384</v>
      </c>
      <c r="B104" s="7" t="s">
        <v>284</v>
      </c>
      <c r="C104" s="7" t="s">
        <v>273</v>
      </c>
      <c r="D104" s="10" t="s">
        <v>38</v>
      </c>
      <c r="E104" s="7">
        <v>1</v>
      </c>
      <c r="F104" s="7">
        <v>2</v>
      </c>
      <c r="G104" s="7">
        <v>1</v>
      </c>
      <c r="H104" s="7">
        <v>1</v>
      </c>
      <c r="I104" s="7" t="s">
        <v>29</v>
      </c>
      <c r="J104" s="7" t="s">
        <v>385</v>
      </c>
      <c r="K104" s="12" t="str">
        <f>HYPERLINK("https://www.homedepot.com/p/Stanley-Quick-Change-Retractable-Knife-2-Pack-STHT10274/205074559?keyword=stht10274&amp;semanticToken=20030+++%3E++++st%3A%7Bstht10274%7D%3Ast++cn%3A%7Bnull%7D++stht10274+%7Bproductkey%7D","Home Depot")</f>
        <v>Home Depot</v>
      </c>
      <c r="L104" s="15" t="s">
        <v>386</v>
      </c>
      <c r="M104" s="48">
        <v>9.9700000000000006</v>
      </c>
      <c r="N104" s="20">
        <f t="shared" si="15"/>
        <v>9.9700000000000006</v>
      </c>
      <c r="O104" s="23" t="str">
        <f t="shared" ref="O104:O106" si="32">HYPERLINK("https://drive.google.com/open?id=14jY_nE7LfMRpPZjHB_kOhUsxuLknYtEz","2018-03-01_Home Depot02")</f>
        <v>2018-03-01_Home Depot02</v>
      </c>
      <c r="P104" s="51">
        <v>4</v>
      </c>
      <c r="Q104" s="25">
        <v>0.88</v>
      </c>
      <c r="R104" s="27">
        <f t="shared" si="2"/>
        <v>0.88</v>
      </c>
      <c r="S104" s="28">
        <f t="shared" si="3"/>
        <v>0.39916096000000001</v>
      </c>
      <c r="T104" s="18"/>
    </row>
    <row r="105" spans="1:20" ht="13" x14ac:dyDescent="0.15">
      <c r="A105" s="7" t="s">
        <v>387</v>
      </c>
      <c r="B105" s="7" t="s">
        <v>284</v>
      </c>
      <c r="C105" s="7" t="s">
        <v>273</v>
      </c>
      <c r="D105" s="10" t="s">
        <v>28</v>
      </c>
      <c r="E105" s="7">
        <v>1</v>
      </c>
      <c r="F105" s="7">
        <v>1</v>
      </c>
      <c r="G105" s="11"/>
      <c r="H105" s="7">
        <v>1</v>
      </c>
      <c r="I105" s="7" t="s">
        <v>29</v>
      </c>
      <c r="J105" s="7" t="s">
        <v>369</v>
      </c>
      <c r="K105" s="12" t="str">
        <f>HYPERLINK("https://www.homedepot.com/p/Husky-Heavy-Duty-0-024-in-Utility-Blades-10-Pack-TE03-014THD/205036238?keyword=1000040984&amp;semanticToken=20030+++%3E++++st%3A%7B1000040984%7D%3Ast++cn%3A%7Bnull%7D++1000040984+%7Bproductkey%7D","Home Depot")</f>
        <v>Home Depot</v>
      </c>
      <c r="L105" s="15" t="s">
        <v>388</v>
      </c>
      <c r="M105" s="48">
        <v>1.97</v>
      </c>
      <c r="N105" s="20">
        <f t="shared" si="15"/>
        <v>1.97</v>
      </c>
      <c r="O105" s="23" t="str">
        <f t="shared" si="32"/>
        <v>2018-03-01_Home Depot02</v>
      </c>
      <c r="P105" s="51">
        <v>2</v>
      </c>
      <c r="Q105" s="25">
        <v>0.01</v>
      </c>
      <c r="R105" s="27">
        <f t="shared" si="2"/>
        <v>0.01</v>
      </c>
      <c r="S105" s="28">
        <f t="shared" si="3"/>
        <v>4.5359199999999997E-3</v>
      </c>
      <c r="T105" s="18"/>
    </row>
    <row r="106" spans="1:20" ht="13" x14ac:dyDescent="0.15">
      <c r="A106" s="7" t="s">
        <v>389</v>
      </c>
      <c r="B106" s="7" t="s">
        <v>284</v>
      </c>
      <c r="C106" s="7" t="s">
        <v>273</v>
      </c>
      <c r="D106" s="10" t="s">
        <v>323</v>
      </c>
      <c r="E106" s="7">
        <v>1</v>
      </c>
      <c r="F106" s="7">
        <v>1</v>
      </c>
      <c r="G106" s="7">
        <v>1</v>
      </c>
      <c r="H106" s="7">
        <v>1</v>
      </c>
      <c r="I106" s="7" t="s">
        <v>29</v>
      </c>
      <c r="J106" s="7" t="s">
        <v>374</v>
      </c>
      <c r="K106" s="12" t="str">
        <f>HYPERLINK("https://www.homedepot.com/p/Milwaukee-7-8-in-Shockwave-Thin-Wall-Hole-Saw-49-56-9810/204994421","Home Depot")</f>
        <v>Home Depot</v>
      </c>
      <c r="L106" s="15" t="s">
        <v>390</v>
      </c>
      <c r="M106" s="48">
        <v>13.47</v>
      </c>
      <c r="N106" s="20">
        <f t="shared" si="15"/>
        <v>13.47</v>
      </c>
      <c r="O106" s="23" t="str">
        <f t="shared" si="32"/>
        <v>2018-03-01_Home Depot02</v>
      </c>
      <c r="P106" s="51">
        <v>1</v>
      </c>
      <c r="Q106" s="25">
        <v>0.5</v>
      </c>
      <c r="R106" s="27">
        <f t="shared" si="2"/>
        <v>0.5</v>
      </c>
      <c r="S106" s="28">
        <f t="shared" si="3"/>
        <v>0.226796</v>
      </c>
      <c r="T106" s="18"/>
    </row>
    <row r="107" spans="1:20" ht="13" x14ac:dyDescent="0.15">
      <c r="A107" s="7" t="s">
        <v>391</v>
      </c>
      <c r="B107" s="7" t="s">
        <v>284</v>
      </c>
      <c r="C107" s="7" t="s">
        <v>273</v>
      </c>
      <c r="D107" s="10" t="s">
        <v>28</v>
      </c>
      <c r="E107" s="7">
        <v>1</v>
      </c>
      <c r="F107" s="7">
        <v>1</v>
      </c>
      <c r="G107" s="11"/>
      <c r="H107" s="7">
        <v>1</v>
      </c>
      <c r="I107" s="7" t="s">
        <v>29</v>
      </c>
      <c r="J107" s="7" t="s">
        <v>157</v>
      </c>
      <c r="K107" s="12" t="str">
        <f>HYPERLINK("https://www.homedepot.com/p/Commercial-Electric-Manual-Ranging-Digital-Multi-Meter-MS8301A/206177756?keyword=1001418355&amp;semanticToken=20030+++%3E++++st%3A%7B1001418355%7D%3Ast++cn%3A%7Bnull%7D++1001418355+%7Bproductkey%7D","Home Depot")</f>
        <v>Home Depot</v>
      </c>
      <c r="L107" s="15" t="s">
        <v>392</v>
      </c>
      <c r="M107" s="48">
        <v>22.97</v>
      </c>
      <c r="N107" s="20">
        <f t="shared" si="15"/>
        <v>22.97</v>
      </c>
      <c r="O107" s="23" t="str">
        <f>HYPERLINK("https://drive.google.com/open?id=1Xmlvgi5msNfPEk2NaL-o6GE_ULKhbuQW","2018-03-12_Home Depot")</f>
        <v>2018-03-12_Home Depot</v>
      </c>
      <c r="P107" s="51">
        <v>11</v>
      </c>
      <c r="Q107" s="25">
        <v>0.49</v>
      </c>
      <c r="R107" s="27">
        <f t="shared" si="2"/>
        <v>0.49</v>
      </c>
      <c r="S107" s="28">
        <f t="shared" si="3"/>
        <v>0.22226008</v>
      </c>
      <c r="T107" s="18"/>
    </row>
    <row r="108" spans="1:20" ht="13" x14ac:dyDescent="0.15">
      <c r="A108" s="7" t="s">
        <v>393</v>
      </c>
      <c r="B108" s="7" t="s">
        <v>284</v>
      </c>
      <c r="C108" s="7" t="s">
        <v>273</v>
      </c>
      <c r="D108" s="10" t="s">
        <v>38</v>
      </c>
      <c r="E108" s="7">
        <v>1</v>
      </c>
      <c r="F108" s="7">
        <v>1</v>
      </c>
      <c r="G108" s="11"/>
      <c r="H108" s="7">
        <v>1</v>
      </c>
      <c r="I108" s="7" t="s">
        <v>29</v>
      </c>
      <c r="J108" s="7" t="s">
        <v>394</v>
      </c>
      <c r="K108" s="12" t="e">
        <f>HYPERLINK("https://www.homedepot.com/p/C-H-Hanson-Round-Pencils-with-Pro-Sharp-Sharpener-15-Pack-02015/202263665?keyword=15+pack+round+pencils&amp;semanticToken=21040+++%3E++++st%3A%7B15+pack+round+pencils%7D%3Ast++cn%3A%7Bnull%7D++pencil+%7Bproduct%7D+15+pack+round+%7B"&amp;"rest%7D+","Home Depot")</f>
        <v>#VALUE!</v>
      </c>
      <c r="L108" s="15">
        <v>2015</v>
      </c>
      <c r="M108" s="48">
        <v>3.49</v>
      </c>
      <c r="N108" s="20">
        <f t="shared" si="15"/>
        <v>3.49</v>
      </c>
      <c r="O108" s="23" t="str">
        <f>HYPERLINK("https://drive.google.com/open?id=1Wq_im6fjjpUmGwJ7cKWt15De2poLHiaz","2018-03-21_Home Depot")</f>
        <v>2018-03-21_Home Depot</v>
      </c>
      <c r="P108" s="51">
        <v>3</v>
      </c>
      <c r="Q108" s="25">
        <v>0.25</v>
      </c>
      <c r="R108" s="27">
        <f t="shared" si="2"/>
        <v>0.25</v>
      </c>
      <c r="S108" s="28">
        <f t="shared" si="3"/>
        <v>0.113398</v>
      </c>
      <c r="T108" s="18"/>
    </row>
    <row r="109" spans="1:20" ht="13" x14ac:dyDescent="0.15">
      <c r="A109" s="7" t="s">
        <v>395</v>
      </c>
      <c r="B109" s="7" t="s">
        <v>284</v>
      </c>
      <c r="C109" s="7" t="s">
        <v>273</v>
      </c>
      <c r="D109" s="10" t="s">
        <v>28</v>
      </c>
      <c r="E109" s="7">
        <v>1</v>
      </c>
      <c r="F109" s="7">
        <v>1</v>
      </c>
      <c r="G109" s="11"/>
      <c r="H109" s="7">
        <v>1</v>
      </c>
      <c r="I109" s="7" t="s">
        <v>29</v>
      </c>
      <c r="J109" s="7" t="s">
        <v>157</v>
      </c>
      <c r="K109" s="12" t="e">
        <f>HYPERLINK("https://www.homedepot.com/p/Commercial-Electric-9-in-High-Leverage-Multi-Purpose-Linesman-Pliers-CE121101/204404850?keyword=9+in+high+leverage+multi+purpose+pliers&amp;semanticToken=20010+++%3E++++st%3A%7B9+in+high+leverage+multi+purpose+pliers%7D%3Ast++cn%3A"&amp;"%7Bnull%7D++pliers+%7Bproduct%7DT_LINEAR_DIMENSION+%7BproductName_nostem%7D+high+%7BproductName_nostem%7D+high+leverage+%7BproductName_nostem%7D+leverage+%7BproductName_nostem%7D+multi+%7BproductName_nostem%7D+multi+purpose+%7BproductName_nostem%7D+purpos"&amp;"e+%7BproductName_nostem%7D+9+%7B544611%7D+9+%7B544579%7D+9+%7B544609%7D+9+%7B545554%7D+9+%7B512148%7D+","Home Depot")</f>
        <v>#VALUE!</v>
      </c>
      <c r="L109" s="15" t="s">
        <v>396</v>
      </c>
      <c r="M109" s="48">
        <v>19.97</v>
      </c>
      <c r="N109" s="20">
        <f t="shared" si="15"/>
        <v>19.97</v>
      </c>
      <c r="O109" s="23" t="str">
        <f t="shared" ref="O109:O118" si="33">HYPERLINK("https://drive.google.com/open?id=1Xmlvgi5msNfPEk2NaL-o6GE_ULKhbuQW","2018-03-12_Home Depot")</f>
        <v>2018-03-12_Home Depot</v>
      </c>
      <c r="P109" s="51">
        <v>7</v>
      </c>
      <c r="Q109" s="25">
        <v>1.2</v>
      </c>
      <c r="R109" s="27">
        <f t="shared" si="2"/>
        <v>1.2</v>
      </c>
      <c r="S109" s="28">
        <f t="shared" si="3"/>
        <v>0.54431039999999997</v>
      </c>
      <c r="T109" s="18"/>
    </row>
    <row r="110" spans="1:20" ht="13" x14ac:dyDescent="0.15">
      <c r="A110" s="7" t="s">
        <v>397</v>
      </c>
      <c r="B110" s="7" t="s">
        <v>284</v>
      </c>
      <c r="C110" s="7" t="s">
        <v>273</v>
      </c>
      <c r="D110" s="10" t="s">
        <v>38</v>
      </c>
      <c r="E110" s="7">
        <v>1</v>
      </c>
      <c r="F110" s="7">
        <v>1</v>
      </c>
      <c r="G110" s="11"/>
      <c r="H110" s="7">
        <v>2</v>
      </c>
      <c r="I110" s="7" t="s">
        <v>29</v>
      </c>
      <c r="J110" s="7" t="s">
        <v>385</v>
      </c>
      <c r="K110" s="12" t="str">
        <f>HYPERLINK("https://www.homedepot.com/p/Stanley-PowerLock-25-ft-Tape-Measure-33-425D/100019154","Home Depot")</f>
        <v>Home Depot</v>
      </c>
      <c r="L110" s="15">
        <v>79003505</v>
      </c>
      <c r="M110" s="48">
        <v>9.98</v>
      </c>
      <c r="N110" s="20">
        <f t="shared" si="15"/>
        <v>19.96</v>
      </c>
      <c r="O110" s="23" t="str">
        <f t="shared" si="33"/>
        <v>2018-03-12_Home Depot</v>
      </c>
      <c r="P110" s="51">
        <v>18</v>
      </c>
      <c r="Q110" s="25">
        <v>0.75</v>
      </c>
      <c r="R110" s="27">
        <f t="shared" si="2"/>
        <v>1.5</v>
      </c>
      <c r="S110" s="28">
        <f t="shared" si="3"/>
        <v>0.68038799999999999</v>
      </c>
      <c r="T110" s="18"/>
    </row>
    <row r="111" spans="1:20" ht="13" x14ac:dyDescent="0.15">
      <c r="A111" s="7" t="s">
        <v>398</v>
      </c>
      <c r="B111" s="7" t="s">
        <v>284</v>
      </c>
      <c r="C111" s="7" t="s">
        <v>273</v>
      </c>
      <c r="D111" s="10" t="s">
        <v>98</v>
      </c>
      <c r="E111" s="7">
        <v>1</v>
      </c>
      <c r="F111" s="7">
        <v>1</v>
      </c>
      <c r="G111" s="11"/>
      <c r="H111" s="7">
        <v>1</v>
      </c>
      <c r="I111" s="7" t="s">
        <v>29</v>
      </c>
      <c r="J111" s="7" t="s">
        <v>374</v>
      </c>
      <c r="K111" s="12" t="str">
        <f>HYPERLINK("https://www.homedepot.com/p/Rotozip-5-5-Amp-Corded-1-4-in-RotoSaw-Spiral-Saw-Tool-Kit-with-5-Accessories-SS355-10/203408190","Home Depot")</f>
        <v>Home Depot</v>
      </c>
      <c r="L111" s="15" t="s">
        <v>399</v>
      </c>
      <c r="M111" s="48">
        <v>69</v>
      </c>
      <c r="N111" s="20">
        <f t="shared" si="15"/>
        <v>69</v>
      </c>
      <c r="O111" s="23" t="str">
        <f t="shared" si="33"/>
        <v>2018-03-12_Home Depot</v>
      </c>
      <c r="P111" s="51">
        <v>15</v>
      </c>
      <c r="Q111" s="25">
        <v>3.17</v>
      </c>
      <c r="R111" s="27">
        <f t="shared" si="2"/>
        <v>3.17</v>
      </c>
      <c r="S111" s="28">
        <f t="shared" si="3"/>
        <v>1.4378866399999999</v>
      </c>
      <c r="T111" s="18"/>
    </row>
    <row r="112" spans="1:20" ht="13" x14ac:dyDescent="0.15">
      <c r="A112" s="7" t="s">
        <v>400</v>
      </c>
      <c r="B112" s="7" t="s">
        <v>284</v>
      </c>
      <c r="C112" s="7" t="s">
        <v>273</v>
      </c>
      <c r="D112" s="10" t="s">
        <v>98</v>
      </c>
      <c r="E112" s="7">
        <v>1</v>
      </c>
      <c r="F112" s="7">
        <v>1</v>
      </c>
      <c r="G112" s="11"/>
      <c r="H112" s="7">
        <v>1</v>
      </c>
      <c r="I112" s="7" t="s">
        <v>29</v>
      </c>
      <c r="J112" s="7" t="s">
        <v>374</v>
      </c>
      <c r="K112" s="12" t="str">
        <f>HYPERLINK("https://www.homedepot.com/p/Rotozip-2-1-2-in-Direct-Drive-Cut-Off-Rotary-Tool-Attachment-for-Cutting-Steel-Copper-and-Plastic-DD1-10/203077228","Home Depot")</f>
        <v>Home Depot</v>
      </c>
      <c r="L112" s="15" t="s">
        <v>401</v>
      </c>
      <c r="M112" s="48">
        <v>19.97</v>
      </c>
      <c r="N112" s="20">
        <f t="shared" si="15"/>
        <v>19.97</v>
      </c>
      <c r="O112" s="23" t="str">
        <f t="shared" si="33"/>
        <v>2018-03-12_Home Depot</v>
      </c>
      <c r="P112" s="51">
        <v>14</v>
      </c>
      <c r="Q112" s="25">
        <v>0.78</v>
      </c>
      <c r="R112" s="27">
        <f t="shared" si="2"/>
        <v>0.78</v>
      </c>
      <c r="S112" s="28">
        <f t="shared" si="3"/>
        <v>0.35380176000000002</v>
      </c>
      <c r="T112" s="18"/>
    </row>
    <row r="113" spans="1:20" ht="13" x14ac:dyDescent="0.15">
      <c r="A113" s="7" t="s">
        <v>402</v>
      </c>
      <c r="B113" s="7" t="s">
        <v>284</v>
      </c>
      <c r="C113" s="7" t="s">
        <v>273</v>
      </c>
      <c r="D113" s="10" t="s">
        <v>28</v>
      </c>
      <c r="E113" s="7">
        <v>1</v>
      </c>
      <c r="F113" s="7">
        <v>1</v>
      </c>
      <c r="G113" s="11"/>
      <c r="H113" s="7">
        <v>1</v>
      </c>
      <c r="I113" s="7" t="s">
        <v>29</v>
      </c>
      <c r="J113" s="7" t="s">
        <v>369</v>
      </c>
      <c r="K113" s="12" t="e">
        <f>HYPERLINK("https://www.homedepot.com/p/Husky-12-in-Double-Speed-Adjustable-Wrench-96598/203467755?keyword=12+in+double+speed+adjustable+wrench&amp;semanticToken=21040+++%3E++++st%3A%7B12+in+double+speed+adjustable+wrench%7D%3Ast++cn%3A%7Bnull%7D++adjustable+wrench+%7Bpr"&amp;"oduct%7DT_LINEAR_DIMENSION+%7BproductName_nostem%7D++double+speed+%7Brest%7D+","Home Depot")</f>
        <v>#VALUE!</v>
      </c>
      <c r="L113" s="15" t="s">
        <v>403</v>
      </c>
      <c r="M113" s="48">
        <v>14.97</v>
      </c>
      <c r="N113" s="20">
        <f t="shared" si="15"/>
        <v>14.97</v>
      </c>
      <c r="O113" s="23" t="str">
        <f t="shared" si="33"/>
        <v>2018-03-12_Home Depot</v>
      </c>
      <c r="P113" s="51">
        <v>5</v>
      </c>
      <c r="Q113" s="25">
        <v>1</v>
      </c>
      <c r="R113" s="27">
        <f t="shared" si="2"/>
        <v>1</v>
      </c>
      <c r="S113" s="28">
        <f t="shared" si="3"/>
        <v>0.453592</v>
      </c>
      <c r="T113" s="18"/>
    </row>
    <row r="114" spans="1:20" ht="13" x14ac:dyDescent="0.15">
      <c r="A114" s="7" t="s">
        <v>404</v>
      </c>
      <c r="B114" s="7" t="s">
        <v>284</v>
      </c>
      <c r="C114" s="7" t="s">
        <v>273</v>
      </c>
      <c r="D114" s="10" t="s">
        <v>28</v>
      </c>
      <c r="E114" s="7">
        <v>1</v>
      </c>
      <c r="F114" s="7">
        <v>1</v>
      </c>
      <c r="G114" s="11"/>
      <c r="H114" s="7">
        <v>1</v>
      </c>
      <c r="I114" s="7" t="s">
        <v>29</v>
      </c>
      <c r="J114" s="7" t="s">
        <v>369</v>
      </c>
      <c r="K114" s="12" t="str">
        <f>HYPERLINK("https://www.homedepot.com/p/Husky-10-in-Double-Speed-Adjustable-Wrench-96597/203467750","Home Depot")</f>
        <v>Home Depot</v>
      </c>
      <c r="L114" s="15">
        <v>96597</v>
      </c>
      <c r="M114" s="48">
        <v>11.97</v>
      </c>
      <c r="N114" s="20">
        <f t="shared" si="15"/>
        <v>11.97</v>
      </c>
      <c r="O114" s="23" t="str">
        <f t="shared" si="33"/>
        <v>2018-03-12_Home Depot</v>
      </c>
      <c r="P114" s="51">
        <v>6</v>
      </c>
      <c r="Q114" s="25">
        <v>1</v>
      </c>
      <c r="R114" s="27">
        <f t="shared" si="2"/>
        <v>1</v>
      </c>
      <c r="S114" s="28">
        <f t="shared" si="3"/>
        <v>0.453592</v>
      </c>
      <c r="T114" s="18"/>
    </row>
    <row r="115" spans="1:20" ht="13" x14ac:dyDescent="0.15">
      <c r="A115" s="7" t="s">
        <v>405</v>
      </c>
      <c r="B115" s="7" t="s">
        <v>284</v>
      </c>
      <c r="C115" s="7" t="s">
        <v>273</v>
      </c>
      <c r="D115" s="10" t="s">
        <v>28</v>
      </c>
      <c r="E115" s="7">
        <v>1</v>
      </c>
      <c r="F115" s="7">
        <v>1</v>
      </c>
      <c r="G115" s="11"/>
      <c r="H115" s="7">
        <v>1</v>
      </c>
      <c r="I115" s="7" t="s">
        <v>29</v>
      </c>
      <c r="J115" s="7" t="s">
        <v>157</v>
      </c>
      <c r="K115" s="12" t="str">
        <f>HYPERLINK("https://www.homedepot.com/p/Commercial-Electric-Tools-GFCI-Outlet-Tester-Green-MS102H/206029151","Home Depot")</f>
        <v>Home Depot</v>
      </c>
      <c r="L115" s="15">
        <v>398469</v>
      </c>
      <c r="M115" s="48">
        <v>8.48</v>
      </c>
      <c r="N115" s="20">
        <f t="shared" si="15"/>
        <v>8.48</v>
      </c>
      <c r="O115" s="23" t="str">
        <f t="shared" si="33"/>
        <v>2018-03-12_Home Depot</v>
      </c>
      <c r="P115" s="51">
        <v>13</v>
      </c>
      <c r="Q115" s="25">
        <v>0.1</v>
      </c>
      <c r="R115" s="27">
        <f t="shared" si="2"/>
        <v>0.1</v>
      </c>
      <c r="S115" s="28">
        <f t="shared" si="3"/>
        <v>4.5359200000000002E-2</v>
      </c>
      <c r="T115" s="18"/>
    </row>
    <row r="116" spans="1:20" ht="13" x14ac:dyDescent="0.15">
      <c r="A116" s="7" t="s">
        <v>406</v>
      </c>
      <c r="B116" s="7" t="s">
        <v>284</v>
      </c>
      <c r="C116" s="7" t="s">
        <v>273</v>
      </c>
      <c r="D116" s="10" t="s">
        <v>28</v>
      </c>
      <c r="E116" s="7">
        <v>1</v>
      </c>
      <c r="F116" s="7">
        <v>1</v>
      </c>
      <c r="G116" s="11"/>
      <c r="H116" s="7">
        <v>1</v>
      </c>
      <c r="I116" s="7" t="s">
        <v>29</v>
      </c>
      <c r="J116" s="7" t="s">
        <v>157</v>
      </c>
      <c r="K116" s="12" t="str">
        <f>HYPERLINK("https://www.homedepot.com/p/Commercial-Electric-Double-Jaw-Wire-Stripper-and-Crimper-CE140911/205755863?keyword=1001249254&amp;semanticToken=20030+++%3E++++st%3A%7B1001249254%7D%3Ast++cn%3A%7Bnull%7D++1001249254+%7Bproductkey%7D","Home Depot")</f>
        <v>Home Depot</v>
      </c>
      <c r="L116" s="15" t="s">
        <v>407</v>
      </c>
      <c r="M116" s="48">
        <v>12.88</v>
      </c>
      <c r="N116" s="20">
        <f t="shared" si="15"/>
        <v>12.88</v>
      </c>
      <c r="O116" s="23" t="str">
        <f t="shared" si="33"/>
        <v>2018-03-12_Home Depot</v>
      </c>
      <c r="P116" s="51">
        <v>8</v>
      </c>
      <c r="Q116" s="25">
        <v>0.51</v>
      </c>
      <c r="R116" s="27">
        <f t="shared" si="2"/>
        <v>0.51</v>
      </c>
      <c r="S116" s="28">
        <f t="shared" si="3"/>
        <v>0.23133192</v>
      </c>
      <c r="T116" s="18"/>
    </row>
    <row r="117" spans="1:20" ht="13" x14ac:dyDescent="0.15">
      <c r="A117" s="7" t="s">
        <v>408</v>
      </c>
      <c r="B117" s="7" t="s">
        <v>284</v>
      </c>
      <c r="C117" s="7" t="s">
        <v>273</v>
      </c>
      <c r="D117" s="10" t="s">
        <v>38</v>
      </c>
      <c r="E117" s="7">
        <v>1</v>
      </c>
      <c r="F117" s="7">
        <v>1</v>
      </c>
      <c r="G117" s="11"/>
      <c r="H117" s="7">
        <v>1</v>
      </c>
      <c r="I117" s="7" t="s">
        <v>29</v>
      </c>
      <c r="J117" s="7" t="s">
        <v>409</v>
      </c>
      <c r="K117" s="12" t="str">
        <f>HYPERLINK("https://www.homedepot.com/p/Wiss-Straight-Cut-Aviation-Snips-M3RS/100060795","Home Depot")</f>
        <v>Home Depot</v>
      </c>
      <c r="L117" s="15" t="s">
        <v>410</v>
      </c>
      <c r="M117" s="48">
        <v>13.97</v>
      </c>
      <c r="N117" s="20">
        <f t="shared" si="15"/>
        <v>13.97</v>
      </c>
      <c r="O117" s="23" t="str">
        <f t="shared" si="33"/>
        <v>2018-03-12_Home Depot</v>
      </c>
      <c r="P117" s="51">
        <v>10</v>
      </c>
      <c r="Q117" s="25">
        <v>0.99</v>
      </c>
      <c r="R117" s="27">
        <f t="shared" si="2"/>
        <v>0.99</v>
      </c>
      <c r="S117" s="28">
        <f t="shared" si="3"/>
        <v>0.44905607999999997</v>
      </c>
      <c r="T117" s="18" t="s">
        <v>411</v>
      </c>
    </row>
    <row r="118" spans="1:20" ht="13" x14ac:dyDescent="0.15">
      <c r="A118" s="7" t="s">
        <v>412</v>
      </c>
      <c r="B118" s="7" t="s">
        <v>413</v>
      </c>
      <c r="C118" s="7" t="s">
        <v>273</v>
      </c>
      <c r="D118" s="10" t="s">
        <v>28</v>
      </c>
      <c r="E118" s="7"/>
      <c r="F118" s="7"/>
      <c r="G118" s="11"/>
      <c r="H118" s="7">
        <v>1</v>
      </c>
      <c r="I118" s="7" t="s">
        <v>29</v>
      </c>
      <c r="J118" s="7" t="s">
        <v>374</v>
      </c>
      <c r="K118" s="12" t="str">
        <f>HYPERLINK("https://www.homedepot.com/p/Milwaukee-M12-12-Volt-Lithium-Ion-Cordless-Hammer-Drill-Impact-Driver-Combo-Kit-2-Tool-W-2-1-5Ah-Batteries-Charger-Bag-2497-22/202610949","Home Depot")</f>
        <v>Home Depot</v>
      </c>
      <c r="L118" s="15" t="s">
        <v>414</v>
      </c>
      <c r="M118" s="48">
        <v>149</v>
      </c>
      <c r="N118" s="20">
        <f t="shared" si="15"/>
        <v>149</v>
      </c>
      <c r="O118" s="23" t="str">
        <f t="shared" si="33"/>
        <v>2018-03-12_Home Depot</v>
      </c>
      <c r="P118" s="51">
        <v>1</v>
      </c>
      <c r="Q118" s="25">
        <v>9</v>
      </c>
      <c r="R118" s="27">
        <f t="shared" si="2"/>
        <v>9</v>
      </c>
      <c r="S118" s="28">
        <f t="shared" si="3"/>
        <v>4.0823280000000004</v>
      </c>
      <c r="T118" s="18"/>
    </row>
    <row r="119" spans="1:20" ht="13" x14ac:dyDescent="0.15">
      <c r="A119" s="7" t="s">
        <v>415</v>
      </c>
      <c r="B119" s="7" t="s">
        <v>284</v>
      </c>
      <c r="C119" s="7" t="s">
        <v>273</v>
      </c>
      <c r="D119" s="10" t="s">
        <v>28</v>
      </c>
      <c r="E119" s="7">
        <v>1</v>
      </c>
      <c r="F119" s="7">
        <v>1</v>
      </c>
      <c r="G119" s="11">
        <v>1</v>
      </c>
      <c r="H119" s="7">
        <v>1</v>
      </c>
      <c r="I119" s="7" t="s">
        <v>29</v>
      </c>
      <c r="J119" s="7" t="s">
        <v>374</v>
      </c>
      <c r="K119" s="12" t="e">
        <f>HYPERLINK("https://www.homedepot.com/p/Milwaukee-Shockwave-Impact-Duty-Driver-Bit-Set-56-Piece-48-32-4059/207114510?cm_mmc=Shopping%7cTHD%7cG%7c0%7cG-BASE-PLA-AllProducts%7c&amp;gclid=Cj0KCQiAieTUBRCaARIsAHeLDCQtXyCP1fNgr452MsLrzfRnuiBnZ6NFzJ4JaXlV_q-IiE7MNnIMKyEaAmMEEA"&amp;"Lw_wcB&amp;gclsrc=aw.ds&amp;dclid=CLXm_cnlztkCFQydyAodUGgDlw","Home Depot")</f>
        <v>#VALUE!</v>
      </c>
      <c r="L119" s="15" t="s">
        <v>416</v>
      </c>
      <c r="M119" s="48">
        <v>29.97</v>
      </c>
      <c r="N119" s="20">
        <f t="shared" si="15"/>
        <v>29.97</v>
      </c>
      <c r="O119" s="23" t="str">
        <f t="shared" ref="O119:O123" si="34">HYPERLINK("https://drive.google.com/open?id=1owY_kiJiJxGl5-eklDgu3PBIKRSLRAGR","2018-02-28_Home Depot")</f>
        <v>2018-02-28_Home Depot</v>
      </c>
      <c r="P119" s="51">
        <v>8</v>
      </c>
      <c r="Q119" s="25">
        <v>1.5</v>
      </c>
      <c r="R119" s="27">
        <f t="shared" si="2"/>
        <v>1.5</v>
      </c>
      <c r="S119" s="28">
        <f t="shared" si="3"/>
        <v>0.68038799999999999</v>
      </c>
      <c r="T119" s="18" t="s">
        <v>417</v>
      </c>
    </row>
    <row r="120" spans="1:20" ht="13" x14ac:dyDescent="0.15">
      <c r="A120" s="7" t="s">
        <v>418</v>
      </c>
      <c r="B120" s="7" t="s">
        <v>284</v>
      </c>
      <c r="C120" s="7" t="s">
        <v>273</v>
      </c>
      <c r="D120" s="10" t="s">
        <v>28</v>
      </c>
      <c r="E120" s="7">
        <v>1</v>
      </c>
      <c r="F120" s="7">
        <v>1</v>
      </c>
      <c r="G120" s="11">
        <v>1</v>
      </c>
      <c r="H120" s="7">
        <v>1</v>
      </c>
      <c r="I120" s="7" t="s">
        <v>29</v>
      </c>
      <c r="J120" s="7" t="s">
        <v>374</v>
      </c>
      <c r="K120" s="12" t="str">
        <f>HYPERLINK("https://www.homedepot.com/p/Milwaukee-Shockwave-Impact-Duty-Driver-Bit-Set-50-Piece-48-32-4024/301024189","Home Depot")</f>
        <v>Home Depot</v>
      </c>
      <c r="L120" s="15" t="s">
        <v>419</v>
      </c>
      <c r="M120" s="48">
        <v>24.97</v>
      </c>
      <c r="N120" s="20">
        <f t="shared" si="15"/>
        <v>24.97</v>
      </c>
      <c r="O120" s="23" t="str">
        <f t="shared" si="34"/>
        <v>2018-02-28_Home Depot</v>
      </c>
      <c r="P120" s="51">
        <v>7</v>
      </c>
      <c r="Q120" s="25">
        <v>1.1875</v>
      </c>
      <c r="R120" s="27">
        <f t="shared" si="2"/>
        <v>1.1875</v>
      </c>
      <c r="S120" s="28">
        <f t="shared" si="3"/>
        <v>0.53864049999999997</v>
      </c>
      <c r="T120" s="18"/>
    </row>
    <row r="121" spans="1:20" ht="13" x14ac:dyDescent="0.15">
      <c r="A121" s="7" t="s">
        <v>420</v>
      </c>
      <c r="B121" s="7" t="s">
        <v>284</v>
      </c>
      <c r="C121" s="7" t="s">
        <v>273</v>
      </c>
      <c r="D121" s="10" t="s">
        <v>51</v>
      </c>
      <c r="E121" s="7">
        <v>1</v>
      </c>
      <c r="F121" s="7">
        <v>1</v>
      </c>
      <c r="G121" s="11"/>
      <c r="H121" s="7">
        <v>1</v>
      </c>
      <c r="I121" s="7" t="s">
        <v>29</v>
      </c>
      <c r="J121" s="7" t="s">
        <v>157</v>
      </c>
      <c r="K121" s="12" t="str">
        <f>HYPERLINK("https://www.homedepot.com/p/Commercial-Electric-8-in-Garden-Cable-Tie-Tube-Camouflage-200-Pack-4in-8in-colors-200/203531949","Home Depot")</f>
        <v>Home Depot</v>
      </c>
      <c r="L121" s="15">
        <v>777609</v>
      </c>
      <c r="M121" s="48">
        <v>8.7799999999999994</v>
      </c>
      <c r="N121" s="20">
        <f t="shared" si="15"/>
        <v>8.7799999999999994</v>
      </c>
      <c r="O121" s="23" t="str">
        <f t="shared" si="34"/>
        <v>2018-02-28_Home Depot</v>
      </c>
      <c r="P121" s="51">
        <v>19</v>
      </c>
      <c r="Q121" s="25">
        <v>0.2</v>
      </c>
      <c r="R121" s="27">
        <f t="shared" si="2"/>
        <v>0.2</v>
      </c>
      <c r="S121" s="28">
        <f t="shared" si="3"/>
        <v>9.0718400000000005E-2</v>
      </c>
      <c r="T121" s="18"/>
    </row>
    <row r="122" spans="1:20" ht="13" x14ac:dyDescent="0.15">
      <c r="A122" s="7" t="s">
        <v>421</v>
      </c>
      <c r="B122" s="7" t="s">
        <v>284</v>
      </c>
      <c r="C122" s="7" t="s">
        <v>273</v>
      </c>
      <c r="D122" s="10" t="s">
        <v>219</v>
      </c>
      <c r="E122" s="7">
        <v>1</v>
      </c>
      <c r="F122" s="7">
        <v>1</v>
      </c>
      <c r="G122" s="11"/>
      <c r="H122" s="7">
        <v>1</v>
      </c>
      <c r="I122" s="7" t="s">
        <v>29</v>
      </c>
      <c r="J122" s="7" t="s">
        <v>422</v>
      </c>
      <c r="K122" s="12" t="str">
        <f>HYPERLINK("https://www.homedepot.com/p/Commercial-Electric-11-in-Cable-Tie-Natural-100-Pack-GT-280STC/203531916","Home Depot")</f>
        <v>Home Depot</v>
      </c>
      <c r="L122" s="15" t="s">
        <v>423</v>
      </c>
      <c r="M122" s="48">
        <v>10.98</v>
      </c>
      <c r="N122" s="20">
        <f t="shared" si="15"/>
        <v>10.98</v>
      </c>
      <c r="O122" s="23" t="str">
        <f t="shared" si="34"/>
        <v>2018-02-28_Home Depot</v>
      </c>
      <c r="P122" s="51">
        <v>18</v>
      </c>
      <c r="Q122" s="25">
        <v>1.1000000000000001</v>
      </c>
      <c r="R122" s="27">
        <f t="shared" si="2"/>
        <v>1.1000000000000001</v>
      </c>
      <c r="S122" s="28">
        <f t="shared" si="3"/>
        <v>0.49895120000000004</v>
      </c>
      <c r="T122" s="18"/>
    </row>
    <row r="123" spans="1:20" ht="13" x14ac:dyDescent="0.15">
      <c r="A123" s="7" t="s">
        <v>424</v>
      </c>
      <c r="B123" s="7" t="s">
        <v>284</v>
      </c>
      <c r="C123" s="7" t="s">
        <v>273</v>
      </c>
      <c r="D123" s="10" t="s">
        <v>51</v>
      </c>
      <c r="E123" s="7">
        <v>1</v>
      </c>
      <c r="F123" s="7">
        <v>1</v>
      </c>
      <c r="G123" s="11"/>
      <c r="H123" s="7">
        <v>1</v>
      </c>
      <c r="I123" s="7" t="s">
        <v>29</v>
      </c>
      <c r="J123" s="7" t="s">
        <v>422</v>
      </c>
      <c r="K123" s="46" t="s">
        <v>209</v>
      </c>
      <c r="L123" s="15">
        <v>100343721</v>
      </c>
      <c r="M123" s="17">
        <v>14.97</v>
      </c>
      <c r="N123" s="20">
        <f t="shared" si="15"/>
        <v>14.97</v>
      </c>
      <c r="O123" s="23" t="str">
        <f t="shared" si="34"/>
        <v>2018-02-28_Home Depot</v>
      </c>
      <c r="P123" s="51">
        <v>23</v>
      </c>
      <c r="Q123" s="25">
        <v>0.4</v>
      </c>
      <c r="R123" s="27">
        <f t="shared" si="2"/>
        <v>0.4</v>
      </c>
      <c r="S123" s="28">
        <f t="shared" si="3"/>
        <v>0.18143680000000001</v>
      </c>
      <c r="T123" s="18" t="s">
        <v>425</v>
      </c>
    </row>
    <row r="124" spans="1:20" ht="13" x14ac:dyDescent="0.15">
      <c r="A124" s="7" t="s">
        <v>426</v>
      </c>
      <c r="B124" s="7" t="s">
        <v>284</v>
      </c>
      <c r="C124" s="7" t="s">
        <v>273</v>
      </c>
      <c r="D124" s="10" t="s">
        <v>38</v>
      </c>
      <c r="E124" s="7">
        <v>1</v>
      </c>
      <c r="F124" s="7">
        <v>1</v>
      </c>
      <c r="G124" s="11"/>
      <c r="H124" s="7">
        <v>1</v>
      </c>
      <c r="I124" s="7" t="s">
        <v>29</v>
      </c>
      <c r="J124" s="7" t="s">
        <v>427</v>
      </c>
      <c r="K124" s="12" t="str">
        <f>HYPERLINK("https://www.homedepot.com/p/Johnson-24-in-Structo-Cast-Standard-Level-7724-O/100353831","Home Depot")</f>
        <v>Home Depot</v>
      </c>
      <c r="L124" s="15">
        <v>599673</v>
      </c>
      <c r="M124" s="17">
        <v>6.97</v>
      </c>
      <c r="N124" s="20">
        <f t="shared" si="15"/>
        <v>6.97</v>
      </c>
      <c r="O124" s="23" t="str">
        <f>HYPERLINK("https://drive.google.com/open?id=1Xmlvgi5msNfPEk2NaL-o6GE_ULKhbuQW","2018-03-12_Home Depot")</f>
        <v>2018-03-12_Home Depot</v>
      </c>
      <c r="P124" s="51">
        <v>2</v>
      </c>
      <c r="Q124" s="25">
        <v>0.7</v>
      </c>
      <c r="R124" s="27">
        <f t="shared" si="2"/>
        <v>0.7</v>
      </c>
      <c r="S124" s="28">
        <f t="shared" si="3"/>
        <v>0.31751439999999997</v>
      </c>
      <c r="T124" s="18"/>
    </row>
    <row r="125" spans="1:20" ht="13" x14ac:dyDescent="0.15">
      <c r="A125" s="7" t="s">
        <v>428</v>
      </c>
      <c r="B125" s="7" t="s">
        <v>284</v>
      </c>
      <c r="C125" s="7" t="s">
        <v>273</v>
      </c>
      <c r="D125" s="10" t="s">
        <v>28</v>
      </c>
      <c r="E125" s="7">
        <v>1</v>
      </c>
      <c r="F125" s="7">
        <v>1</v>
      </c>
      <c r="G125" s="7"/>
      <c r="H125" s="7">
        <v>3</v>
      </c>
      <c r="I125" s="17" t="s">
        <v>215</v>
      </c>
      <c r="J125" s="46" t="s">
        <v>429</v>
      </c>
      <c r="K125" s="12" t="str">
        <f>HYPERLINK("https://www.homedepot.com/p/1-2-in-x-260-in-PTFE-Tape-5-Pack-0178522/202280392?keyword=5+pack+teflon+tape&amp;semanticToken=21040+++%3E++++st%3A%7B5+pack+teflon+tape%7D%3Ast++cn%3A%7B0%3A0%7D++tape+%7Bproduct%7D5+%7B548354%7D++teflon+%7Brest%7D+","Home Depot")</f>
        <v>Home Depot</v>
      </c>
      <c r="L125" s="15">
        <v>242124</v>
      </c>
      <c r="M125" s="115">
        <v>4.2699999999999996</v>
      </c>
      <c r="N125" s="20">
        <f t="shared" si="15"/>
        <v>12.809999999999999</v>
      </c>
      <c r="O125" s="116" t="s">
        <v>51</v>
      </c>
      <c r="P125" s="15" t="s">
        <v>51</v>
      </c>
      <c r="Q125" s="117">
        <v>0.03</v>
      </c>
      <c r="R125" s="27">
        <f t="shared" si="2"/>
        <v>0.09</v>
      </c>
      <c r="S125" s="28">
        <f t="shared" si="3"/>
        <v>4.0823279999999997E-2</v>
      </c>
      <c r="T125" s="18"/>
    </row>
    <row r="126" spans="1:20" ht="13" x14ac:dyDescent="0.15">
      <c r="A126" s="7" t="s">
        <v>430</v>
      </c>
      <c r="B126" s="7" t="s">
        <v>284</v>
      </c>
      <c r="C126" s="7" t="s">
        <v>273</v>
      </c>
      <c r="D126" s="10" t="s">
        <v>38</v>
      </c>
      <c r="E126" s="7">
        <v>1</v>
      </c>
      <c r="F126" s="7">
        <v>1</v>
      </c>
      <c r="G126" s="7"/>
      <c r="H126" s="7">
        <v>1</v>
      </c>
      <c r="I126" s="17" t="s">
        <v>215</v>
      </c>
      <c r="J126" s="7" t="s">
        <v>431</v>
      </c>
      <c r="K126" s="12" t="str">
        <f>HYPERLINK("https://www.homedepot.com/p/Nashua-Tape-1-89-in-x-55-yd-394-General-Purpose-Duct-Tape-in-Silver-1207810/100080300","Home Depot")</f>
        <v>Home Depot</v>
      </c>
      <c r="L126" s="15">
        <v>915147</v>
      </c>
      <c r="M126" s="115">
        <v>4.9800000000000004</v>
      </c>
      <c r="N126" s="20">
        <f t="shared" si="15"/>
        <v>4.9800000000000004</v>
      </c>
      <c r="O126" s="116" t="s">
        <v>51</v>
      </c>
      <c r="P126" s="15" t="s">
        <v>51</v>
      </c>
      <c r="Q126" s="25">
        <v>1.48</v>
      </c>
      <c r="R126" s="27">
        <f t="shared" si="2"/>
        <v>1.48</v>
      </c>
      <c r="S126" s="28">
        <f t="shared" si="3"/>
        <v>0.67131615999999994</v>
      </c>
      <c r="T126" s="18"/>
    </row>
    <row r="127" spans="1:20" ht="13" x14ac:dyDescent="0.15">
      <c r="A127" s="7" t="s">
        <v>432</v>
      </c>
      <c r="B127" s="7" t="s">
        <v>284</v>
      </c>
      <c r="C127" s="7" t="s">
        <v>273</v>
      </c>
      <c r="D127" s="10" t="s">
        <v>38</v>
      </c>
      <c r="E127" s="7">
        <v>1</v>
      </c>
      <c r="F127" s="7">
        <v>1</v>
      </c>
      <c r="G127" s="7"/>
      <c r="H127" s="7">
        <v>1</v>
      </c>
      <c r="I127" s="17" t="s">
        <v>215</v>
      </c>
      <c r="J127" s="7" t="s">
        <v>433</v>
      </c>
      <c r="K127" s="12" t="str">
        <f>HYPERLINK("https://www.homedepot.com/p/Gorilla-1-7-8-in-x-12-yds-Heavy-Duty-Duct-Tape-60012/100557598","Home Depot")</f>
        <v>Home Depot</v>
      </c>
      <c r="L127" s="15">
        <v>879328</v>
      </c>
      <c r="M127" s="115">
        <v>4.97</v>
      </c>
      <c r="N127" s="20">
        <f t="shared" si="15"/>
        <v>4.97</v>
      </c>
      <c r="O127" s="116" t="s">
        <v>51</v>
      </c>
      <c r="P127" s="15" t="s">
        <v>51</v>
      </c>
      <c r="Q127" s="25">
        <v>0.6</v>
      </c>
      <c r="R127" s="27">
        <f t="shared" si="2"/>
        <v>0.6</v>
      </c>
      <c r="S127" s="28">
        <f t="shared" si="3"/>
        <v>0.27215519999999999</v>
      </c>
      <c r="T127" s="18"/>
    </row>
    <row r="128" spans="1:20" ht="13" x14ac:dyDescent="0.15">
      <c r="A128" s="7" t="s">
        <v>434</v>
      </c>
      <c r="B128" s="7" t="s">
        <v>284</v>
      </c>
      <c r="C128" s="7" t="s">
        <v>273</v>
      </c>
      <c r="D128" s="10" t="s">
        <v>38</v>
      </c>
      <c r="E128" s="7">
        <v>1</v>
      </c>
      <c r="F128" s="7">
        <v>1</v>
      </c>
      <c r="G128" s="7"/>
      <c r="H128" s="7">
        <v>1</v>
      </c>
      <c r="I128" s="17" t="s">
        <v>215</v>
      </c>
      <c r="J128" s="7" t="s">
        <v>433</v>
      </c>
      <c r="K128" s="46" t="s">
        <v>246</v>
      </c>
      <c r="L128" s="15"/>
      <c r="M128" s="115"/>
      <c r="N128" s="20"/>
      <c r="O128" s="116"/>
      <c r="P128" s="15"/>
      <c r="Q128" s="25">
        <v>1</v>
      </c>
      <c r="R128" s="27">
        <f t="shared" si="2"/>
        <v>1</v>
      </c>
      <c r="S128" s="28">
        <f t="shared" si="3"/>
        <v>0.453592</v>
      </c>
      <c r="T128" s="18"/>
    </row>
    <row r="129" spans="1:20" ht="13" x14ac:dyDescent="0.15">
      <c r="A129" s="7" t="s">
        <v>435</v>
      </c>
      <c r="B129" s="7" t="s">
        <v>284</v>
      </c>
      <c r="C129" s="7" t="s">
        <v>273</v>
      </c>
      <c r="D129" s="10" t="s">
        <v>28</v>
      </c>
      <c r="E129" s="7"/>
      <c r="F129" s="7"/>
      <c r="G129" s="7"/>
      <c r="H129" s="7">
        <v>1</v>
      </c>
      <c r="I129" s="17" t="s">
        <v>215</v>
      </c>
      <c r="J129" s="7" t="s">
        <v>374</v>
      </c>
      <c r="K129" s="12" t="str">
        <f>HYPERLINK("https://www.amazon.com/dp/B00PP3G51U?tag=amz-mkt-chr-us-20&amp;ascsubtag=1ba00-01000-a0049-mac00-other-nomod-us000-pcomp-feature-scomp-wm-5&amp;ref=aa_scomp","Amazon")</f>
        <v>Amazon</v>
      </c>
      <c r="L129" s="15" t="s">
        <v>436</v>
      </c>
      <c r="M129" s="115">
        <v>32.89</v>
      </c>
      <c r="N129" s="20">
        <f t="shared" ref="N129:N136" si="35">M129*H129</f>
        <v>32.89</v>
      </c>
      <c r="O129" s="116" t="s">
        <v>51</v>
      </c>
      <c r="P129" s="15" t="s">
        <v>51</v>
      </c>
      <c r="Q129" s="25">
        <v>0.52</v>
      </c>
      <c r="R129" s="27">
        <f t="shared" si="2"/>
        <v>0.52</v>
      </c>
      <c r="S129" s="28">
        <f t="shared" si="3"/>
        <v>0.23586784</v>
      </c>
      <c r="T129" s="18"/>
    </row>
    <row r="130" spans="1:20" ht="13" x14ac:dyDescent="0.15">
      <c r="A130" s="7" t="s">
        <v>437</v>
      </c>
      <c r="B130" s="7" t="s">
        <v>284</v>
      </c>
      <c r="C130" s="7" t="s">
        <v>273</v>
      </c>
      <c r="D130" s="10" t="s">
        <v>28</v>
      </c>
      <c r="E130" s="7"/>
      <c r="F130" s="7"/>
      <c r="G130" s="7"/>
      <c r="H130" s="7">
        <v>1</v>
      </c>
      <c r="I130" s="17" t="s">
        <v>215</v>
      </c>
      <c r="J130" s="7" t="s">
        <v>438</v>
      </c>
      <c r="K130" s="12" t="str">
        <f>HYPERLINK("https://www.homedepot.com/p/HDX-smooth-rod-caulk-gun-10-oz-HD109/203788465","Home Depot")</f>
        <v>Home Depot</v>
      </c>
      <c r="L130" s="15" t="s">
        <v>439</v>
      </c>
      <c r="M130" s="115">
        <v>2.77</v>
      </c>
      <c r="N130" s="20">
        <f t="shared" si="35"/>
        <v>2.77</v>
      </c>
      <c r="O130" s="116" t="s">
        <v>51</v>
      </c>
      <c r="P130" s="15" t="s">
        <v>51</v>
      </c>
      <c r="Q130" s="25">
        <v>0.88</v>
      </c>
      <c r="R130" s="27">
        <f t="shared" si="2"/>
        <v>0.88</v>
      </c>
      <c r="S130" s="28">
        <f t="shared" si="3"/>
        <v>0.39916096000000001</v>
      </c>
      <c r="T130" s="18"/>
    </row>
    <row r="131" spans="1:20" ht="13" x14ac:dyDescent="0.15">
      <c r="A131" s="118" t="s">
        <v>440</v>
      </c>
      <c r="B131" s="118" t="s">
        <v>441</v>
      </c>
      <c r="C131" s="118" t="s">
        <v>273</v>
      </c>
      <c r="D131" s="118" t="s">
        <v>38</v>
      </c>
      <c r="H131" s="118">
        <v>1</v>
      </c>
      <c r="J131" s="118" t="s">
        <v>440</v>
      </c>
      <c r="L131" s="119"/>
      <c r="M131" s="120">
        <v>27.97</v>
      </c>
      <c r="N131" s="20">
        <f t="shared" si="35"/>
        <v>27.97</v>
      </c>
      <c r="P131" s="119"/>
    </row>
    <row r="132" spans="1:20" ht="13" x14ac:dyDescent="0.15">
      <c r="A132" s="118" t="s">
        <v>442</v>
      </c>
      <c r="B132" s="118" t="s">
        <v>443</v>
      </c>
      <c r="C132" s="118" t="s">
        <v>273</v>
      </c>
      <c r="D132" s="118" t="s">
        <v>38</v>
      </c>
      <c r="H132" s="118">
        <v>1</v>
      </c>
      <c r="J132" s="118" t="s">
        <v>444</v>
      </c>
      <c r="L132" s="119"/>
      <c r="M132" s="120">
        <v>8.68</v>
      </c>
      <c r="N132" s="20">
        <f t="shared" si="35"/>
        <v>8.68</v>
      </c>
      <c r="P132" s="119"/>
    </row>
    <row r="133" spans="1:20" ht="13" x14ac:dyDescent="0.15">
      <c r="A133" s="118" t="s">
        <v>445</v>
      </c>
      <c r="B133" s="118" t="s">
        <v>443</v>
      </c>
      <c r="C133" s="118" t="s">
        <v>273</v>
      </c>
      <c r="D133" s="118" t="s">
        <v>38</v>
      </c>
      <c r="H133" s="118">
        <v>1</v>
      </c>
      <c r="J133" s="118" t="s">
        <v>374</v>
      </c>
      <c r="L133" s="119"/>
      <c r="M133" s="120">
        <v>19.97</v>
      </c>
      <c r="N133" s="20">
        <f t="shared" si="35"/>
        <v>19.97</v>
      </c>
      <c r="P133" s="119"/>
    </row>
    <row r="134" spans="1:20" ht="13" x14ac:dyDescent="0.15">
      <c r="A134" s="118" t="s">
        <v>446</v>
      </c>
      <c r="B134" s="118" t="s">
        <v>443</v>
      </c>
      <c r="C134" s="118" t="s">
        <v>273</v>
      </c>
      <c r="D134" s="118" t="s">
        <v>28</v>
      </c>
      <c r="H134" s="118">
        <v>1</v>
      </c>
      <c r="J134" s="118" t="s">
        <v>447</v>
      </c>
      <c r="L134" s="119"/>
      <c r="M134" s="120">
        <v>5.87</v>
      </c>
      <c r="N134" s="20">
        <f t="shared" si="35"/>
        <v>5.87</v>
      </c>
      <c r="P134" s="119"/>
    </row>
    <row r="135" spans="1:20" ht="13" x14ac:dyDescent="0.15">
      <c r="A135" s="118" t="s">
        <v>448</v>
      </c>
      <c r="B135" s="118" t="s">
        <v>443</v>
      </c>
      <c r="C135" s="118" t="s">
        <v>273</v>
      </c>
      <c r="D135" s="118" t="s">
        <v>38</v>
      </c>
      <c r="H135" s="118">
        <v>2</v>
      </c>
      <c r="J135" s="118" t="s">
        <v>369</v>
      </c>
      <c r="L135" s="119"/>
      <c r="M135" s="120">
        <v>24.98</v>
      </c>
      <c r="N135" s="20">
        <f t="shared" si="35"/>
        <v>49.96</v>
      </c>
      <c r="P135" s="119"/>
      <c r="S135" s="118">
        <v>8.1999999999999993</v>
      </c>
    </row>
    <row r="136" spans="1:20" ht="13" x14ac:dyDescent="0.15">
      <c r="A136" s="118" t="s">
        <v>449</v>
      </c>
      <c r="B136" s="118" t="s">
        <v>443</v>
      </c>
      <c r="C136" s="118" t="s">
        <v>273</v>
      </c>
      <c r="D136" s="118" t="s">
        <v>38</v>
      </c>
      <c r="H136" s="118">
        <v>1</v>
      </c>
      <c r="J136" s="118" t="s">
        <v>259</v>
      </c>
      <c r="L136" s="119"/>
      <c r="M136" s="120">
        <v>3.8</v>
      </c>
      <c r="N136" s="20">
        <f t="shared" si="35"/>
        <v>3.8</v>
      </c>
      <c r="P136" s="119"/>
      <c r="S136" s="118">
        <v>12.2</v>
      </c>
    </row>
    <row r="137" spans="1:20" ht="18" x14ac:dyDescent="0.2">
      <c r="A137" s="121" t="s">
        <v>450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2"/>
      <c r="M137" s="121"/>
      <c r="N137" s="121"/>
      <c r="O137" s="121"/>
      <c r="P137" s="122"/>
      <c r="Q137" s="121"/>
      <c r="R137" s="121"/>
      <c r="S137" s="121"/>
      <c r="T137" s="121"/>
    </row>
    <row r="138" spans="1:20" ht="13" x14ac:dyDescent="0.15">
      <c r="A138" s="30" t="s">
        <v>451</v>
      </c>
      <c r="B138" s="30" t="s">
        <v>452</v>
      </c>
      <c r="C138" s="30" t="s">
        <v>293</v>
      </c>
      <c r="D138" s="31" t="s">
        <v>453</v>
      </c>
      <c r="E138" s="32">
        <v>3</v>
      </c>
      <c r="F138" s="32">
        <v>1</v>
      </c>
      <c r="G138" s="31">
        <f>E138/F138</f>
        <v>3</v>
      </c>
      <c r="H138" s="32">
        <v>34</v>
      </c>
      <c r="I138" s="30" t="s">
        <v>29</v>
      </c>
      <c r="J138" s="30" t="s">
        <v>39</v>
      </c>
      <c r="K138" s="33" t="str">
        <f>HYPERLINK("https://www.mcmaster.com/#51235k119/=1a0v11n","McMaster Carr")</f>
        <v>McMaster Carr</v>
      </c>
      <c r="L138" s="35" t="s">
        <v>454</v>
      </c>
      <c r="M138" s="123">
        <v>4.58</v>
      </c>
      <c r="N138" s="37">
        <f t="shared" ref="N138:N142" si="36">M138*H138</f>
        <v>155.72</v>
      </c>
      <c r="O138" s="39" t="str">
        <f>HYPERLINK("https://drive.google.com/drive/u/1/folders/1BHG7b2ipx2SFtyQ7JrIwSX6DPfoNPvYF","2018-02-20_McMaster")</f>
        <v>2018-02-20_McMaster</v>
      </c>
      <c r="P138" s="32">
        <v>9</v>
      </c>
      <c r="Q138" s="41">
        <v>0.02</v>
      </c>
      <c r="R138" s="41">
        <f t="shared" ref="R138:R142" si="37">Q138*H138</f>
        <v>0.68</v>
      </c>
      <c r="S138" s="41">
        <f t="shared" ref="S138:S142" si="38">R138*0.453592</f>
        <v>0.30844256000000003</v>
      </c>
      <c r="T138" s="124"/>
    </row>
    <row r="139" spans="1:20" ht="13" x14ac:dyDescent="0.15">
      <c r="A139" s="30" t="s">
        <v>455</v>
      </c>
      <c r="B139" s="30" t="s">
        <v>452</v>
      </c>
      <c r="C139" s="30" t="s">
        <v>293</v>
      </c>
      <c r="D139" s="31" t="s">
        <v>38</v>
      </c>
      <c r="E139" s="32">
        <v>3</v>
      </c>
      <c r="F139" s="32">
        <v>1</v>
      </c>
      <c r="G139" s="31">
        <v>3</v>
      </c>
      <c r="H139" s="32">
        <v>17</v>
      </c>
      <c r="I139" s="30" t="s">
        <v>29</v>
      </c>
      <c r="J139" s="30" t="s">
        <v>39</v>
      </c>
      <c r="K139" s="33" t="str">
        <f>HYPERLINK("https://www.mcmaster.com/#4880k392/=1ao2mc2","McMaster Carr")</f>
        <v>McMaster Carr</v>
      </c>
      <c r="L139" s="35" t="s">
        <v>318</v>
      </c>
      <c r="M139" s="123">
        <v>0.47</v>
      </c>
      <c r="N139" s="37">
        <f t="shared" si="36"/>
        <v>7.9899999999999993</v>
      </c>
      <c r="O139" s="39" t="str">
        <f>HYPERLINK("https://drive.google.com/open?id=17ra1rRj-Z09UoIGz2wMfmF9NRSQNMWKf","2018-02-20_McMaster")</f>
        <v>2018-02-20_McMaster</v>
      </c>
      <c r="P139" s="32">
        <v>3</v>
      </c>
      <c r="Q139" s="41">
        <v>0.06</v>
      </c>
      <c r="R139" s="41">
        <f t="shared" si="37"/>
        <v>1.02</v>
      </c>
      <c r="S139" s="41">
        <f t="shared" si="38"/>
        <v>0.46266383999999999</v>
      </c>
      <c r="T139" s="124"/>
    </row>
    <row r="140" spans="1:20" ht="13" x14ac:dyDescent="0.15">
      <c r="A140" s="30" t="s">
        <v>92</v>
      </c>
      <c r="B140" s="30" t="s">
        <v>452</v>
      </c>
      <c r="C140" s="30" t="s">
        <v>293</v>
      </c>
      <c r="D140" s="31" t="s">
        <v>38</v>
      </c>
      <c r="E140" s="32">
        <v>2</v>
      </c>
      <c r="F140" s="32">
        <v>1</v>
      </c>
      <c r="G140" s="31">
        <f t="shared" ref="G140:G141" si="39">E140/F140</f>
        <v>2</v>
      </c>
      <c r="H140" s="32">
        <v>10</v>
      </c>
      <c r="I140" s="30" t="s">
        <v>29</v>
      </c>
      <c r="J140" s="30" t="s">
        <v>58</v>
      </c>
      <c r="K140" s="33" t="str">
        <f>HYPERLINK("https://www.grainger.com/product/LASCO-PVC-Elbow-22FJ74?cm_sp=Home-_-MyPurchasedProducts-_-22FJ74&amp;cm_vc=HPMPPZ","Grainger")</f>
        <v>Grainger</v>
      </c>
      <c r="L140" s="35" t="s">
        <v>95</v>
      </c>
      <c r="M140" s="123">
        <v>0.66</v>
      </c>
      <c r="N140" s="37">
        <f t="shared" si="36"/>
        <v>6.6000000000000005</v>
      </c>
      <c r="O140" s="39" t="str">
        <f>HYPERLINK("https://drive.google.com/open?id=1cUcT3KkLhNeHlqlamidqwdyop8XNkxwM","2018-02-20_Grainger")</f>
        <v>2018-02-20_Grainger</v>
      </c>
      <c r="P140" s="32">
        <v>2</v>
      </c>
      <c r="Q140" s="41">
        <v>0.05</v>
      </c>
      <c r="R140" s="41">
        <f t="shared" si="37"/>
        <v>0.5</v>
      </c>
      <c r="S140" s="41">
        <f t="shared" si="38"/>
        <v>0.226796</v>
      </c>
      <c r="T140" s="124"/>
    </row>
    <row r="141" spans="1:20" ht="13" x14ac:dyDescent="0.15">
      <c r="A141" s="30" t="s">
        <v>456</v>
      </c>
      <c r="B141" s="30" t="s">
        <v>452</v>
      </c>
      <c r="C141" s="30" t="s">
        <v>293</v>
      </c>
      <c r="D141" s="31" t="s">
        <v>38</v>
      </c>
      <c r="E141" s="32">
        <v>3</v>
      </c>
      <c r="F141" s="32">
        <v>1</v>
      </c>
      <c r="G141" s="31">
        <f t="shared" si="39"/>
        <v>3</v>
      </c>
      <c r="H141" s="32">
        <v>16</v>
      </c>
      <c r="I141" s="30" t="s">
        <v>29</v>
      </c>
      <c r="J141" s="30" t="s">
        <v>39</v>
      </c>
      <c r="K141" s="33" t="str">
        <f>HYPERLINK("https://www.mcmaster.com/#4880k321/=1ao2jap","McMaster Carr")</f>
        <v>McMaster Carr</v>
      </c>
      <c r="L141" s="35" t="s">
        <v>457</v>
      </c>
      <c r="M141" s="123">
        <v>0.38</v>
      </c>
      <c r="N141" s="37">
        <f t="shared" si="36"/>
        <v>6.08</v>
      </c>
      <c r="O141" s="39" t="str">
        <f t="shared" ref="O141:O142" si="40">HYPERLINK("https://drive.google.com/open?id=17ra1rRj-Z09UoIGz2wMfmF9NRSQNMWKf","2018-02-20_McMaster")</f>
        <v>2018-02-20_McMaster</v>
      </c>
      <c r="P141" s="32">
        <v>1</v>
      </c>
      <c r="Q141" s="41">
        <v>0.06</v>
      </c>
      <c r="R141" s="41">
        <f t="shared" si="37"/>
        <v>0.96</v>
      </c>
      <c r="S141" s="41">
        <f t="shared" si="38"/>
        <v>0.43544832</v>
      </c>
      <c r="T141" s="124"/>
    </row>
    <row r="142" spans="1:20" ht="13" x14ac:dyDescent="0.15">
      <c r="A142" s="30" t="s">
        <v>458</v>
      </c>
      <c r="B142" s="30" t="s">
        <v>452</v>
      </c>
      <c r="C142" s="30" t="s">
        <v>293</v>
      </c>
      <c r="D142" s="31" t="s">
        <v>38</v>
      </c>
      <c r="E142" s="32">
        <v>1</v>
      </c>
      <c r="F142" s="32">
        <f>18/120</f>
        <v>0.15</v>
      </c>
      <c r="G142" s="31">
        <f>F142/E142</f>
        <v>0.15</v>
      </c>
      <c r="H142" s="32">
        <v>1</v>
      </c>
      <c r="I142" s="30" t="s">
        <v>29</v>
      </c>
      <c r="J142" s="30" t="s">
        <v>39</v>
      </c>
      <c r="K142" s="33" t="str">
        <f>HYPERLINK("https://www.mcmaster.com/#48925k11/=1aftpcd","McMaster Carr")</f>
        <v>McMaster Carr</v>
      </c>
      <c r="L142" s="35" t="s">
        <v>459</v>
      </c>
      <c r="M142" s="123">
        <v>4.7300000000000004</v>
      </c>
      <c r="N142" s="37">
        <f t="shared" si="36"/>
        <v>4.7300000000000004</v>
      </c>
      <c r="O142" s="39" t="str">
        <f t="shared" si="40"/>
        <v>2018-02-20_McMaster</v>
      </c>
      <c r="P142" s="32">
        <v>22</v>
      </c>
      <c r="Q142" s="41">
        <v>1.61</v>
      </c>
      <c r="R142" s="41">
        <f t="shared" si="37"/>
        <v>1.61</v>
      </c>
      <c r="S142" s="41">
        <f t="shared" si="38"/>
        <v>0.73028312000000006</v>
      </c>
      <c r="T142" s="124"/>
    </row>
    <row r="143" spans="1:20" ht="13" x14ac:dyDescent="0.15">
      <c r="L143" s="119"/>
      <c r="P143" s="119"/>
    </row>
    <row r="144" spans="1:20" ht="20" x14ac:dyDescent="0.2">
      <c r="A144" s="125" t="s">
        <v>460</v>
      </c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7"/>
      <c r="M144" s="126"/>
      <c r="N144" s="126"/>
      <c r="O144" s="126"/>
      <c r="P144" s="127"/>
      <c r="Q144" s="126"/>
      <c r="R144" s="128"/>
      <c r="S144" s="129"/>
      <c r="T144" s="126"/>
    </row>
    <row r="145" spans="1:20" ht="13" x14ac:dyDescent="0.15">
      <c r="A145" s="7" t="s">
        <v>328</v>
      </c>
      <c r="B145" s="7" t="s">
        <v>240</v>
      </c>
      <c r="C145" s="7" t="s">
        <v>293</v>
      </c>
      <c r="D145" s="110" t="s">
        <v>38</v>
      </c>
      <c r="E145" s="51">
        <v>1</v>
      </c>
      <c r="F145" s="51">
        <v>1</v>
      </c>
      <c r="G145" s="111">
        <f t="shared" ref="G145:G146" si="41">E145/F145</f>
        <v>1</v>
      </c>
      <c r="H145" s="29">
        <v>16</v>
      </c>
      <c r="I145" s="7" t="s">
        <v>29</v>
      </c>
      <c r="J145" s="7" t="s">
        <v>254</v>
      </c>
      <c r="K145" s="112" t="str">
        <f>HYPERLINK("https://www.homedepot.com/p/DURA-1-2-in-Schedule-40-PVC-Side-Outlet-90-Degree-Elbow-C414-005/100348358","Home Depot")</f>
        <v>Home Depot</v>
      </c>
      <c r="L145" s="113" t="s">
        <v>329</v>
      </c>
      <c r="M145" s="106">
        <v>1.49</v>
      </c>
      <c r="N145" s="20">
        <f t="shared" ref="N145:N158" si="42">M145*H145</f>
        <v>23.84</v>
      </c>
      <c r="O145" s="130" t="str">
        <f>HYPERLINK("https://drive.google.com/open?id=1eLm-1yEGzGUPLO7XHEs15OI0VmtEOLZk","2018-02-22_Home Depot")</f>
        <v>2018-02-22_Home Depot</v>
      </c>
      <c r="P145" s="114">
        <v>3</v>
      </c>
      <c r="Q145" s="28">
        <v>0.06</v>
      </c>
      <c r="R145" s="27">
        <f t="shared" ref="R145:R158" si="43">Q145*H145</f>
        <v>0.96</v>
      </c>
      <c r="S145" s="28">
        <f t="shared" ref="S145:S158" si="44">R145*0.453592</f>
        <v>0.43544832</v>
      </c>
      <c r="T145" s="11"/>
    </row>
    <row r="146" spans="1:20" ht="13" x14ac:dyDescent="0.15">
      <c r="A146" s="7" t="s">
        <v>461</v>
      </c>
      <c r="B146" s="7" t="s">
        <v>240</v>
      </c>
      <c r="C146" s="7" t="s">
        <v>293</v>
      </c>
      <c r="D146" s="110" t="s">
        <v>38</v>
      </c>
      <c r="E146" s="51">
        <v>1</v>
      </c>
      <c r="F146" s="51">
        <v>1</v>
      </c>
      <c r="G146" s="111">
        <f t="shared" si="41"/>
        <v>1</v>
      </c>
      <c r="H146" s="29">
        <f>G146*16</f>
        <v>16</v>
      </c>
      <c r="I146" s="7" t="s">
        <v>29</v>
      </c>
      <c r="J146" s="7" t="s">
        <v>39</v>
      </c>
      <c r="K146" s="112" t="str">
        <f>HYPERLINK("https://www.mcmaster.com/#48335k154/=1ao2nyo","McMaster Carr")</f>
        <v>McMaster Carr</v>
      </c>
      <c r="L146" s="113" t="s">
        <v>462</v>
      </c>
      <c r="M146" s="106">
        <v>0.92</v>
      </c>
      <c r="N146" s="20">
        <f t="shared" si="42"/>
        <v>14.72</v>
      </c>
      <c r="O146" s="130" t="str">
        <f>HYPERLINK("https://drive.google.com/drive/u/1/folders/1BHG7b2ipx2SFtyQ7JrIwSX6DPfoNPvYF","2018-02-20_McMaster")</f>
        <v>2018-02-20_McMaster</v>
      </c>
      <c r="P146" s="114">
        <v>4</v>
      </c>
      <c r="Q146" s="28">
        <v>0.01</v>
      </c>
      <c r="R146" s="27">
        <f t="shared" si="43"/>
        <v>0.16</v>
      </c>
      <c r="S146" s="28">
        <f t="shared" si="44"/>
        <v>7.2574719999999995E-2</v>
      </c>
      <c r="T146" s="11"/>
    </row>
    <row r="147" spans="1:20" ht="13" x14ac:dyDescent="0.15">
      <c r="A147" s="7" t="s">
        <v>317</v>
      </c>
      <c r="B147" s="7" t="s">
        <v>240</v>
      </c>
      <c r="C147" s="7" t="s">
        <v>293</v>
      </c>
      <c r="D147" s="110" t="s">
        <v>38</v>
      </c>
      <c r="E147" s="51">
        <v>1</v>
      </c>
      <c r="F147" s="51">
        <v>1</v>
      </c>
      <c r="G147" s="111">
        <v>3</v>
      </c>
      <c r="H147" s="29">
        <v>16</v>
      </c>
      <c r="I147" s="7" t="s">
        <v>29</v>
      </c>
      <c r="J147" s="7" t="s">
        <v>39</v>
      </c>
      <c r="K147" s="112" t="str">
        <f>HYPERLINK("https://www.mcmaster.com/#4880k392/=1ao2mc2","McMaster Carr")</f>
        <v>McMaster Carr</v>
      </c>
      <c r="L147" s="113" t="s">
        <v>318</v>
      </c>
      <c r="M147" s="106">
        <v>0.47</v>
      </c>
      <c r="N147" s="20">
        <f t="shared" si="42"/>
        <v>7.52</v>
      </c>
      <c r="O147" s="130" t="str">
        <f>HYPERLINK("https://drive.google.com/open?id=1kBhbzjYfNy5jN1jCRtvlvPMtCzIR76Ce","2018-03-09_McMaster")</f>
        <v>2018-03-09_McMaster</v>
      </c>
      <c r="P147" s="114">
        <v>1</v>
      </c>
      <c r="Q147" s="28">
        <v>0.06</v>
      </c>
      <c r="R147" s="27">
        <f t="shared" si="43"/>
        <v>0.96</v>
      </c>
      <c r="S147" s="28">
        <f t="shared" si="44"/>
        <v>0.43544832</v>
      </c>
      <c r="T147" s="11"/>
    </row>
    <row r="148" spans="1:20" ht="13" x14ac:dyDescent="0.15">
      <c r="A148" s="7" t="s">
        <v>463</v>
      </c>
      <c r="B148" s="7" t="s">
        <v>240</v>
      </c>
      <c r="C148" s="7" t="s">
        <v>293</v>
      </c>
      <c r="D148" s="110" t="s">
        <v>464</v>
      </c>
      <c r="E148" s="51">
        <v>2</v>
      </c>
      <c r="F148" s="51">
        <v>1</v>
      </c>
      <c r="G148" s="111">
        <f t="shared" ref="G148:G151" si="45">E148/F148</f>
        <v>2</v>
      </c>
      <c r="H148" s="29">
        <f>G148*16</f>
        <v>32</v>
      </c>
      <c r="I148" s="7" t="s">
        <v>29</v>
      </c>
      <c r="J148" s="7" t="s">
        <v>134</v>
      </c>
      <c r="K148" s="112" t="str">
        <f>HYPERLINK("https://www.homedepot.com/p/Everbilt-1-2-in-Brass-FPT-x-FPT-Lever-Handle-Gas-Ball-Valve-VGV1LHB3EB/205812043","Home Depot")</f>
        <v>Home Depot</v>
      </c>
      <c r="L148" s="113" t="s">
        <v>465</v>
      </c>
      <c r="M148" s="106">
        <v>9.98</v>
      </c>
      <c r="N148" s="20">
        <f t="shared" si="42"/>
        <v>319.36</v>
      </c>
      <c r="O148" s="130" t="str">
        <f>HYPERLINK("https://drive.google.com/open?id=1eLm-1yEGzGUPLO7XHEs15OI0VmtEOLZk","2018-02-22_Home Depot")</f>
        <v>2018-02-22_Home Depot</v>
      </c>
      <c r="P148" s="114">
        <v>1</v>
      </c>
      <c r="Q148" s="28">
        <v>0.37</v>
      </c>
      <c r="R148" s="27">
        <f t="shared" si="43"/>
        <v>11.84</v>
      </c>
      <c r="S148" s="28">
        <f t="shared" si="44"/>
        <v>5.3705292799999995</v>
      </c>
      <c r="T148" s="11"/>
    </row>
    <row r="149" spans="1:20" ht="13" x14ac:dyDescent="0.15">
      <c r="A149" s="7" t="s">
        <v>345</v>
      </c>
      <c r="B149" s="7" t="s">
        <v>240</v>
      </c>
      <c r="C149" s="7" t="s">
        <v>293</v>
      </c>
      <c r="D149" s="110" t="s">
        <v>38</v>
      </c>
      <c r="E149" s="51">
        <v>4</v>
      </c>
      <c r="F149" s="51">
        <v>1</v>
      </c>
      <c r="G149" s="111">
        <f t="shared" si="45"/>
        <v>4</v>
      </c>
      <c r="H149" s="29">
        <v>16</v>
      </c>
      <c r="I149" s="7" t="s">
        <v>29</v>
      </c>
      <c r="J149" s="7" t="s">
        <v>39</v>
      </c>
      <c r="K149" s="112" t="str">
        <f>HYPERLINK("https://www.mcmaster.com/#4880k81/=1aftl08","McMaster Carr")</f>
        <v>McMaster Carr</v>
      </c>
      <c r="L149" s="113" t="s">
        <v>346</v>
      </c>
      <c r="M149" s="106">
        <v>0.35</v>
      </c>
      <c r="N149" s="20">
        <f t="shared" si="42"/>
        <v>5.6</v>
      </c>
      <c r="O149" s="130" t="str">
        <f>HYPERLINK("https://drive.google.com/drive/u/1/folders/1BHG7b2ipx2SFtyQ7JrIwSX6DPfoNPvYF","2018-02-20_McMaster")</f>
        <v>2018-02-20_McMaster</v>
      </c>
      <c r="P149" s="114">
        <v>18</v>
      </c>
      <c r="Q149" s="28">
        <v>0.04</v>
      </c>
      <c r="R149" s="27">
        <f t="shared" si="43"/>
        <v>0.64</v>
      </c>
      <c r="S149" s="28">
        <f t="shared" si="44"/>
        <v>0.29029887999999998</v>
      </c>
      <c r="T149" s="11"/>
    </row>
    <row r="150" spans="1:20" ht="13" x14ac:dyDescent="0.15">
      <c r="A150" s="7" t="s">
        <v>466</v>
      </c>
      <c r="B150" s="7" t="s">
        <v>240</v>
      </c>
      <c r="C150" s="7" t="s">
        <v>293</v>
      </c>
      <c r="D150" s="110" t="s">
        <v>38</v>
      </c>
      <c r="E150" s="51">
        <v>1</v>
      </c>
      <c r="F150" s="51">
        <v>1</v>
      </c>
      <c r="G150" s="111">
        <f t="shared" si="45"/>
        <v>1</v>
      </c>
      <c r="H150" s="29">
        <v>16</v>
      </c>
      <c r="I150" s="7" t="s">
        <v>29</v>
      </c>
      <c r="J150" s="7" t="s">
        <v>39</v>
      </c>
      <c r="K150" s="112" t="str">
        <f>HYPERLINK("https://www.mcmaster.com/#1866t41/=1a0usu5","McMaster Carr")</f>
        <v>McMaster Carr</v>
      </c>
      <c r="L150" s="113" t="s">
        <v>467</v>
      </c>
      <c r="M150" s="106">
        <v>21.28</v>
      </c>
      <c r="N150" s="20">
        <f t="shared" si="42"/>
        <v>340.48</v>
      </c>
      <c r="O150" s="130" t="str">
        <f>HYPERLINK("https://drive.google.com/open?id=17ra1rRj-Z09UoIGz2wMfmF9NRSQNMWKf","2018-02-20_McMaster")</f>
        <v>2018-02-20_McMaster</v>
      </c>
      <c r="P150" s="114">
        <v>8</v>
      </c>
      <c r="Q150" s="28">
        <v>0.03</v>
      </c>
      <c r="R150" s="27">
        <f t="shared" si="43"/>
        <v>0.48</v>
      </c>
      <c r="S150" s="28">
        <f t="shared" si="44"/>
        <v>0.21772416</v>
      </c>
      <c r="T150" s="11"/>
    </row>
    <row r="151" spans="1:20" ht="13" x14ac:dyDescent="0.15">
      <c r="A151" s="7" t="s">
        <v>468</v>
      </c>
      <c r="B151" s="7" t="s">
        <v>240</v>
      </c>
      <c r="C151" s="7" t="s">
        <v>293</v>
      </c>
      <c r="D151" s="110" t="s">
        <v>38</v>
      </c>
      <c r="E151" s="51">
        <v>1</v>
      </c>
      <c r="F151" s="51">
        <v>1</v>
      </c>
      <c r="G151" s="111">
        <f t="shared" si="45"/>
        <v>1</v>
      </c>
      <c r="H151" s="29">
        <v>16</v>
      </c>
      <c r="I151" s="7" t="s">
        <v>29</v>
      </c>
      <c r="J151" s="7" t="s">
        <v>39</v>
      </c>
      <c r="K151" s="112" t="str">
        <f>HYPERLINK("https://www.mcmaster.com/#4880k621/=1ca9ftv","McMaster Carr")</f>
        <v>McMaster Carr</v>
      </c>
      <c r="L151" s="113" t="s">
        <v>469</v>
      </c>
      <c r="M151" s="106">
        <v>0.67</v>
      </c>
      <c r="N151" s="20">
        <f t="shared" si="42"/>
        <v>10.72</v>
      </c>
      <c r="O151" s="131" t="s">
        <v>51</v>
      </c>
      <c r="P151" s="114" t="s">
        <v>51</v>
      </c>
      <c r="Q151" s="28">
        <v>0.03</v>
      </c>
      <c r="R151" s="27">
        <f t="shared" si="43"/>
        <v>0.48</v>
      </c>
      <c r="S151" s="28">
        <f t="shared" si="44"/>
        <v>0.21772416</v>
      </c>
      <c r="T151" s="11"/>
    </row>
    <row r="152" spans="1:20" ht="13" x14ac:dyDescent="0.15">
      <c r="A152" s="7" t="s">
        <v>470</v>
      </c>
      <c r="B152" s="7" t="s">
        <v>240</v>
      </c>
      <c r="C152" s="7" t="s">
        <v>293</v>
      </c>
      <c r="D152" s="110" t="s">
        <v>38</v>
      </c>
      <c r="E152" s="51"/>
      <c r="F152" s="51"/>
      <c r="G152" s="111"/>
      <c r="H152" s="29">
        <v>64</v>
      </c>
      <c r="I152" s="7" t="s">
        <v>29</v>
      </c>
      <c r="J152" s="7" t="s">
        <v>39</v>
      </c>
      <c r="K152" s="112" t="str">
        <f>HYPERLINK("https://www.mcmaster.com/#4830k171/=1ca9e2g","McMaster Carr")</f>
        <v>McMaster Carr</v>
      </c>
      <c r="L152" s="113" t="s">
        <v>344</v>
      </c>
      <c r="M152" s="106">
        <v>2.1800000000000002</v>
      </c>
      <c r="N152" s="20">
        <f t="shared" si="42"/>
        <v>139.52000000000001</v>
      </c>
      <c r="O152" s="131" t="s">
        <v>51</v>
      </c>
      <c r="P152" s="114" t="s">
        <v>51</v>
      </c>
      <c r="Q152" s="28">
        <v>0.1</v>
      </c>
      <c r="R152" s="27">
        <f t="shared" si="43"/>
        <v>6.4</v>
      </c>
      <c r="S152" s="28">
        <f t="shared" si="44"/>
        <v>2.9029888000000001</v>
      </c>
      <c r="T152" s="11"/>
    </row>
    <row r="153" spans="1:20" ht="13" x14ac:dyDescent="0.15">
      <c r="A153" s="7" t="s">
        <v>330</v>
      </c>
      <c r="B153" s="7" t="s">
        <v>240</v>
      </c>
      <c r="C153" s="7" t="s">
        <v>293</v>
      </c>
      <c r="D153" s="110" t="s">
        <v>28</v>
      </c>
      <c r="E153" s="51">
        <v>2</v>
      </c>
      <c r="F153" s="51">
        <v>1</v>
      </c>
      <c r="G153" s="111">
        <f>E153/F153</f>
        <v>2</v>
      </c>
      <c r="H153" s="29">
        <v>16</v>
      </c>
      <c r="I153" s="7" t="s">
        <v>29</v>
      </c>
      <c r="J153" s="7" t="s">
        <v>134</v>
      </c>
      <c r="K153" s="112" t="str">
        <f>HYPERLINK("https://www.homedepot.com/p/Everbilt-1-2-in-x-1-4-in-Brass-MPT-x-MHT-Boiler-Drain-VBDQTRC3EB/205811822","Home Depot")</f>
        <v>Home Depot</v>
      </c>
      <c r="L153" s="113" t="s">
        <v>135</v>
      </c>
      <c r="M153" s="106">
        <v>8.9</v>
      </c>
      <c r="N153" s="20">
        <f t="shared" si="42"/>
        <v>142.4</v>
      </c>
      <c r="O153" s="130" t="str">
        <f>HYPERLINK("https://drive.google.com/open?id=1eLm-1yEGzGUPLO7XHEs15OI0VmtEOLZk","2018-02-22_Home Depot")</f>
        <v>2018-02-22_Home Depot</v>
      </c>
      <c r="P153" s="114">
        <v>2</v>
      </c>
      <c r="Q153" s="28">
        <v>0.28999999999999998</v>
      </c>
      <c r="R153" s="27">
        <f t="shared" si="43"/>
        <v>4.6399999999999997</v>
      </c>
      <c r="S153" s="28">
        <f t="shared" si="44"/>
        <v>2.1046668799999999</v>
      </c>
      <c r="T153" s="11"/>
    </row>
    <row r="154" spans="1:20" ht="13" x14ac:dyDescent="0.15">
      <c r="A154" s="7" t="s">
        <v>471</v>
      </c>
      <c r="B154" s="7" t="s">
        <v>240</v>
      </c>
      <c r="C154" s="7" t="s">
        <v>293</v>
      </c>
      <c r="D154" s="110" t="s">
        <v>38</v>
      </c>
      <c r="E154" s="51"/>
      <c r="F154" s="51"/>
      <c r="G154" s="111"/>
      <c r="H154" s="29">
        <v>16</v>
      </c>
      <c r="I154" s="7" t="s">
        <v>29</v>
      </c>
      <c r="J154" s="7" t="s">
        <v>39</v>
      </c>
      <c r="K154" s="112" t="str">
        <f>HYPERLINK("https://www.mcmaster.com/#73605t87/=1ca9f9b","McMaster Carr")</f>
        <v>McMaster Carr</v>
      </c>
      <c r="L154" s="113" t="s">
        <v>472</v>
      </c>
      <c r="M154" s="106">
        <v>3.37</v>
      </c>
      <c r="N154" s="20">
        <f t="shared" si="42"/>
        <v>53.92</v>
      </c>
      <c r="O154" s="131" t="s">
        <v>51</v>
      </c>
      <c r="P154" s="114" t="s">
        <v>51</v>
      </c>
      <c r="Q154" s="28">
        <v>0.4</v>
      </c>
      <c r="R154" s="27">
        <f t="shared" si="43"/>
        <v>6.4</v>
      </c>
      <c r="S154" s="28">
        <f t="shared" si="44"/>
        <v>2.9029888000000001</v>
      </c>
      <c r="T154" s="11"/>
    </row>
    <row r="155" spans="1:20" ht="13" x14ac:dyDescent="0.15">
      <c r="A155" s="7" t="s">
        <v>451</v>
      </c>
      <c r="B155" s="7" t="s">
        <v>240</v>
      </c>
      <c r="C155" s="7" t="s">
        <v>293</v>
      </c>
      <c r="D155" s="110" t="s">
        <v>453</v>
      </c>
      <c r="E155" s="51">
        <v>3</v>
      </c>
      <c r="F155" s="51">
        <v>1</v>
      </c>
      <c r="G155" s="111">
        <f t="shared" ref="G155:G157" si="46">E155/F155</f>
        <v>3</v>
      </c>
      <c r="H155" s="29">
        <v>16</v>
      </c>
      <c r="I155" s="7" t="s">
        <v>29</v>
      </c>
      <c r="J155" s="7" t="s">
        <v>39</v>
      </c>
      <c r="K155" s="112" t="str">
        <f>HYPERLINK("https://www.mcmaster.com/#51235k119/=1a0v11n","McMaster Carr")</f>
        <v>McMaster Carr</v>
      </c>
      <c r="L155" s="113" t="s">
        <v>454</v>
      </c>
      <c r="M155" s="106">
        <v>4.58</v>
      </c>
      <c r="N155" s="20">
        <f t="shared" si="42"/>
        <v>73.28</v>
      </c>
      <c r="O155" s="130" t="str">
        <f>HYPERLINK("https://drive.google.com/drive/u/1/folders/1BHG7b2ipx2SFtyQ7JrIwSX6DPfoNPvYF","2018-02-20_McMaster")</f>
        <v>2018-02-20_McMaster</v>
      </c>
      <c r="P155" s="114">
        <v>9</v>
      </c>
      <c r="Q155" s="28">
        <v>0.02</v>
      </c>
      <c r="R155" s="27">
        <f t="shared" si="43"/>
        <v>0.32</v>
      </c>
      <c r="S155" s="28">
        <f t="shared" si="44"/>
        <v>0.14514943999999999</v>
      </c>
      <c r="T155" s="11"/>
    </row>
    <row r="156" spans="1:20" ht="13" x14ac:dyDescent="0.15">
      <c r="A156" s="7" t="s">
        <v>92</v>
      </c>
      <c r="B156" s="7" t="s">
        <v>240</v>
      </c>
      <c r="C156" s="7" t="s">
        <v>293</v>
      </c>
      <c r="D156" s="110" t="s">
        <v>38</v>
      </c>
      <c r="E156" s="51">
        <v>2</v>
      </c>
      <c r="F156" s="51">
        <v>1</v>
      </c>
      <c r="G156" s="111">
        <f t="shared" si="46"/>
        <v>2</v>
      </c>
      <c r="H156" s="29">
        <v>16</v>
      </c>
      <c r="I156" s="7" t="s">
        <v>29</v>
      </c>
      <c r="J156" s="7" t="s">
        <v>58</v>
      </c>
      <c r="K156" s="112" t="str">
        <f>HYPERLINK("https://www.grainger.com/product/LASCO-PVC-Elbow-22FJ74?cm_sp=Home-_-MyPurchasedProducts-_-22FJ74&amp;cm_vc=HPMPPZ","Grainger")</f>
        <v>Grainger</v>
      </c>
      <c r="L156" s="113" t="s">
        <v>95</v>
      </c>
      <c r="M156" s="106">
        <v>0.66</v>
      </c>
      <c r="N156" s="20">
        <f t="shared" si="42"/>
        <v>10.56</v>
      </c>
      <c r="O156" s="130" t="str">
        <f>HYPERLINK("https://drive.google.com/open?id=1cUcT3KkLhNeHlqlamidqwdyop8XNkxwM","2018-02-20_Grainger")</f>
        <v>2018-02-20_Grainger</v>
      </c>
      <c r="P156" s="114">
        <v>2</v>
      </c>
      <c r="Q156" s="28">
        <v>0.05</v>
      </c>
      <c r="R156" s="27">
        <f t="shared" si="43"/>
        <v>0.8</v>
      </c>
      <c r="S156" s="28">
        <f t="shared" si="44"/>
        <v>0.36287360000000002</v>
      </c>
      <c r="T156" s="11"/>
    </row>
    <row r="157" spans="1:20" ht="13" x14ac:dyDescent="0.15">
      <c r="A157" s="7" t="s">
        <v>473</v>
      </c>
      <c r="B157" s="7" t="s">
        <v>240</v>
      </c>
      <c r="C157" s="7" t="s">
        <v>293</v>
      </c>
      <c r="D157" s="110" t="s">
        <v>38</v>
      </c>
      <c r="E157" s="51">
        <v>1</v>
      </c>
      <c r="F157" s="51">
        <v>1</v>
      </c>
      <c r="G157" s="111">
        <f t="shared" si="46"/>
        <v>1</v>
      </c>
      <c r="H157" s="29">
        <f>G157*16</f>
        <v>16</v>
      </c>
      <c r="I157" s="7" t="s">
        <v>29</v>
      </c>
      <c r="J157" s="7" t="s">
        <v>39</v>
      </c>
      <c r="K157" s="112" t="str">
        <f>HYPERLINK("https://www.mcmaster.com/#46835k52/=1aftbq7","McMaster Carr")</f>
        <v>McMaster Carr</v>
      </c>
      <c r="L157" s="113" t="s">
        <v>474</v>
      </c>
      <c r="M157" s="106">
        <v>8.5399999999999991</v>
      </c>
      <c r="N157" s="20">
        <f t="shared" si="42"/>
        <v>136.63999999999999</v>
      </c>
      <c r="O157" s="130" t="str">
        <f>HYPERLINK("https://drive.google.com/drive/u/1/folders/1BHG7b2ipx2SFtyQ7JrIwSX6DPfoNPvYF","2018-02-20_McMaster")</f>
        <v>2018-02-20_McMaster</v>
      </c>
      <c r="P157" s="114">
        <v>19</v>
      </c>
      <c r="Q157" s="28">
        <v>0.17499999999999999</v>
      </c>
      <c r="R157" s="27">
        <f t="shared" si="43"/>
        <v>2.8</v>
      </c>
      <c r="S157" s="28">
        <f t="shared" si="44"/>
        <v>1.2700575999999999</v>
      </c>
      <c r="T157" s="11"/>
    </row>
    <row r="158" spans="1:20" ht="13" x14ac:dyDescent="0.15">
      <c r="A158" s="7" t="s">
        <v>475</v>
      </c>
      <c r="B158" s="7" t="s">
        <v>240</v>
      </c>
      <c r="C158" s="7" t="s">
        <v>293</v>
      </c>
      <c r="D158" s="110" t="s">
        <v>38</v>
      </c>
      <c r="E158" s="51">
        <v>1</v>
      </c>
      <c r="F158" s="51">
        <f>18/120</f>
        <v>0.15</v>
      </c>
      <c r="G158" s="111">
        <f>F158/E158</f>
        <v>0.15</v>
      </c>
      <c r="H158" s="29">
        <v>1</v>
      </c>
      <c r="I158" s="7" t="s">
        <v>29</v>
      </c>
      <c r="J158" s="7" t="s">
        <v>39</v>
      </c>
      <c r="K158" s="112" t="str">
        <f>HYPERLINK("https://www.mcmaster.com/#48925k11/=1aftpcd","McMaster Carr")</f>
        <v>McMaster Carr</v>
      </c>
      <c r="L158" s="113" t="s">
        <v>459</v>
      </c>
      <c r="M158" s="106">
        <v>4.7300000000000004</v>
      </c>
      <c r="N158" s="20">
        <f t="shared" si="42"/>
        <v>4.7300000000000004</v>
      </c>
      <c r="O158" s="130" t="str">
        <f>HYPERLINK("https://drive.google.com/open?id=17ra1rRj-Z09UoIGz2wMfmF9NRSQNMWKf","2018-02-20_McMaster")</f>
        <v>2018-02-20_McMaster</v>
      </c>
      <c r="P158" s="114">
        <v>22</v>
      </c>
      <c r="Q158" s="28">
        <v>1.61</v>
      </c>
      <c r="R158" s="27">
        <f t="shared" si="43"/>
        <v>1.61</v>
      </c>
      <c r="S158" s="28">
        <f t="shared" si="44"/>
        <v>0.73028312000000006</v>
      </c>
      <c r="T158" s="11"/>
    </row>
    <row r="159" spans="1:20" ht="13" x14ac:dyDescent="0.15">
      <c r="L159" s="119"/>
      <c r="P159" s="119"/>
    </row>
    <row r="160" spans="1:20" ht="18" x14ac:dyDescent="0.2">
      <c r="A160" s="132" t="s">
        <v>476</v>
      </c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3"/>
      <c r="M160" s="132"/>
      <c r="N160" s="132"/>
      <c r="O160" s="132"/>
      <c r="P160" s="133"/>
      <c r="Q160" s="132"/>
      <c r="R160" s="133"/>
      <c r="S160" s="132"/>
      <c r="T160" s="22"/>
    </row>
    <row r="161" spans="1:20" ht="13" x14ac:dyDescent="0.15">
      <c r="A161" s="30" t="s">
        <v>230</v>
      </c>
      <c r="B161" s="30" t="s">
        <v>240</v>
      </c>
      <c r="C161" s="7" t="s">
        <v>227</v>
      </c>
      <c r="D161" s="30" t="s">
        <v>38</v>
      </c>
      <c r="E161" s="30">
        <v>9</v>
      </c>
      <c r="F161" s="30">
        <v>1</v>
      </c>
      <c r="G161" s="30">
        <f t="shared" ref="G161:G163" si="47">E161*F161</f>
        <v>9</v>
      </c>
      <c r="H161" s="30">
        <v>6</v>
      </c>
      <c r="I161" s="30" t="s">
        <v>29</v>
      </c>
      <c r="J161" s="30" t="s">
        <v>39</v>
      </c>
      <c r="K161" s="134" t="str">
        <f>HYPERLINK("https://www.mcmaster.com/#4880k42/=1bhf9se","McMaster Carr")</f>
        <v>McMaster Carr</v>
      </c>
      <c r="L161" s="135" t="s">
        <v>232</v>
      </c>
      <c r="M161" s="30">
        <v>0.44</v>
      </c>
      <c r="N161" s="30">
        <f t="shared" ref="N161:N163" si="48">M161*H161</f>
        <v>2.64</v>
      </c>
      <c r="O161" s="134" t="str">
        <f t="shared" ref="O161:O163" si="49">HYPERLINK("https://drive.google.com/open?id=17ra1rRj-Z09UoIGz2wMfmF9NRSQNMWKf","2018-02-20_McMaster")</f>
        <v>2018-02-20_McMaster</v>
      </c>
      <c r="P161" s="135">
        <v>23</v>
      </c>
      <c r="Q161" s="30">
        <v>7.0000000000000007E-2</v>
      </c>
      <c r="R161" s="30">
        <f t="shared" ref="R161:R163" si="50">Q161*H161</f>
        <v>0.42000000000000004</v>
      </c>
      <c r="S161" s="30">
        <f t="shared" ref="S161:S163" si="51">R161*0.453592</f>
        <v>0.19050864000000001</v>
      </c>
      <c r="T161" s="30"/>
    </row>
    <row r="162" spans="1:20" ht="13" x14ac:dyDescent="0.15">
      <c r="A162" s="30" t="s">
        <v>237</v>
      </c>
      <c r="B162" s="30" t="s">
        <v>240</v>
      </c>
      <c r="C162" s="7" t="s">
        <v>227</v>
      </c>
      <c r="D162" s="30" t="s">
        <v>38</v>
      </c>
      <c r="E162" s="30">
        <v>10</v>
      </c>
      <c r="F162" s="30">
        <v>1</v>
      </c>
      <c r="G162" s="30">
        <f t="shared" si="47"/>
        <v>10</v>
      </c>
      <c r="H162" s="30">
        <v>10</v>
      </c>
      <c r="I162" s="30" t="s">
        <v>29</v>
      </c>
      <c r="J162" s="30" t="s">
        <v>39</v>
      </c>
      <c r="K162" s="134" t="str">
        <f>HYPERLINK("https://www.mcmaster.com/#4880k302/=1bherlq","McMaster Carr")</f>
        <v>McMaster Carr</v>
      </c>
      <c r="L162" s="135" t="s">
        <v>238</v>
      </c>
      <c r="M162" s="30">
        <v>3.4</v>
      </c>
      <c r="N162" s="30">
        <f t="shared" si="48"/>
        <v>34</v>
      </c>
      <c r="O162" s="134" t="str">
        <f t="shared" si="49"/>
        <v>2018-02-20_McMaster</v>
      </c>
      <c r="P162" s="135">
        <v>26</v>
      </c>
      <c r="Q162" s="30">
        <v>0.1</v>
      </c>
      <c r="R162" s="30">
        <f t="shared" si="50"/>
        <v>1</v>
      </c>
      <c r="S162" s="30">
        <f t="shared" si="51"/>
        <v>0.453592</v>
      </c>
      <c r="T162" s="30"/>
    </row>
    <row r="163" spans="1:20" ht="13" x14ac:dyDescent="0.15">
      <c r="A163" s="30" t="s">
        <v>235</v>
      </c>
      <c r="B163" s="30" t="s">
        <v>240</v>
      </c>
      <c r="C163" s="7" t="s">
        <v>227</v>
      </c>
      <c r="D163" s="30" t="s">
        <v>38</v>
      </c>
      <c r="E163" s="30">
        <v>7</v>
      </c>
      <c r="F163" s="30">
        <v>1</v>
      </c>
      <c r="G163" s="30">
        <f t="shared" si="47"/>
        <v>7</v>
      </c>
      <c r="H163" s="30">
        <v>2</v>
      </c>
      <c r="I163" s="30" t="s">
        <v>29</v>
      </c>
      <c r="J163" s="30" t="s">
        <v>39</v>
      </c>
      <c r="K163" s="134" t="str">
        <f>HYPERLINK("https://www.mcmaster.com/#4880k22/=1bhfb9h","McMaster Carr")</f>
        <v>McMaster Carr</v>
      </c>
      <c r="L163" s="135" t="s">
        <v>236</v>
      </c>
      <c r="M163" s="30">
        <v>0.35</v>
      </c>
      <c r="N163" s="30">
        <f t="shared" si="48"/>
        <v>0.7</v>
      </c>
      <c r="O163" s="134" t="str">
        <f t="shared" si="49"/>
        <v>2018-02-20_McMaster</v>
      </c>
      <c r="P163" s="135">
        <v>25</v>
      </c>
      <c r="Q163" s="30">
        <v>4.3999999999999997E-2</v>
      </c>
      <c r="R163" s="30">
        <f t="shared" si="50"/>
        <v>8.7999999999999995E-2</v>
      </c>
      <c r="S163" s="30">
        <f t="shared" si="51"/>
        <v>3.9916095999999998E-2</v>
      </c>
      <c r="T163" s="30"/>
    </row>
    <row r="164" spans="1:20" ht="13" x14ac:dyDescent="0.15">
      <c r="A164" s="30" t="s">
        <v>477</v>
      </c>
      <c r="B164" s="30" t="s">
        <v>240</v>
      </c>
      <c r="C164" s="7" t="s">
        <v>227</v>
      </c>
      <c r="D164" s="30" t="s">
        <v>38</v>
      </c>
      <c r="E164" s="30"/>
      <c r="F164" s="30"/>
      <c r="G164" s="30"/>
      <c r="H164" s="30">
        <v>1</v>
      </c>
      <c r="I164" s="30" t="s">
        <v>29</v>
      </c>
      <c r="J164" s="30" t="s">
        <v>39</v>
      </c>
      <c r="K164" s="30" t="s">
        <v>51</v>
      </c>
      <c r="L164" s="135"/>
      <c r="M164" s="30"/>
      <c r="N164" s="30"/>
      <c r="O164" s="30"/>
      <c r="P164" s="135"/>
      <c r="Q164" s="30"/>
      <c r="R164" s="30"/>
      <c r="S164" s="30"/>
      <c r="T164" s="30"/>
    </row>
    <row r="165" spans="1:20" ht="2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5"/>
      <c r="M165" s="7"/>
      <c r="N165" s="7"/>
      <c r="O165" s="7"/>
      <c r="P165" s="15"/>
      <c r="Q165" s="7"/>
      <c r="R165" s="136"/>
      <c r="S165" s="137"/>
      <c r="T165" s="7"/>
    </row>
    <row r="166" spans="1:20" ht="20" x14ac:dyDescent="0.2">
      <c r="A166" s="121" t="s">
        <v>478</v>
      </c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81"/>
      <c r="M166" s="78"/>
      <c r="N166" s="78"/>
      <c r="O166" s="78"/>
      <c r="P166" s="81"/>
      <c r="Q166" s="78"/>
      <c r="R166" s="138"/>
      <c r="S166" s="139"/>
      <c r="T166" s="78"/>
    </row>
    <row r="167" spans="1:20" ht="13" x14ac:dyDescent="0.15">
      <c r="A167" s="30" t="s">
        <v>242</v>
      </c>
      <c r="B167" s="30" t="s">
        <v>240</v>
      </c>
      <c r="C167" s="7" t="s">
        <v>227</v>
      </c>
      <c r="D167" s="30" t="s">
        <v>38</v>
      </c>
      <c r="E167" s="30">
        <v>4</v>
      </c>
      <c r="F167" s="30">
        <v>1</v>
      </c>
      <c r="G167" s="30">
        <f t="shared" ref="G167:G169" si="52">E167*F167</f>
        <v>4</v>
      </c>
      <c r="H167" s="30">
        <v>4</v>
      </c>
      <c r="I167" s="30" t="s">
        <v>29</v>
      </c>
      <c r="J167" s="30" t="s">
        <v>39</v>
      </c>
      <c r="K167" s="134" t="str">
        <f>HYPERLINK("https://www.mcmaster.com/#4880k62/=1bhfmkb","McMaster Carr")</f>
        <v>McMaster Carr</v>
      </c>
      <c r="L167" s="135" t="s">
        <v>243</v>
      </c>
      <c r="M167" s="30">
        <v>0.3</v>
      </c>
      <c r="N167" s="30">
        <f t="shared" ref="N167:N173" si="53">M167*H167</f>
        <v>1.2</v>
      </c>
      <c r="O167" s="134" t="str">
        <f>HYPERLINK("https://drive.google.com/open?id=17ra1rRj-Z09UoIGz2wMfmF9NRSQNMWKf","2018-02-20_McMaster")</f>
        <v>2018-02-20_McMaster</v>
      </c>
      <c r="P167" s="135">
        <v>28</v>
      </c>
      <c r="Q167" s="30">
        <v>2.5000000000000001E-2</v>
      </c>
      <c r="R167" s="30">
        <f t="shared" ref="R167:R173" si="54">Q167*H167</f>
        <v>0.1</v>
      </c>
      <c r="S167" s="30">
        <f t="shared" ref="S167:S173" si="55">R167*0.453592</f>
        <v>4.5359200000000002E-2</v>
      </c>
      <c r="T167" s="30"/>
    </row>
    <row r="168" spans="1:20" ht="13" x14ac:dyDescent="0.15">
      <c r="A168" s="30" t="s">
        <v>105</v>
      </c>
      <c r="B168" s="30" t="s">
        <v>240</v>
      </c>
      <c r="C168" s="7" t="s">
        <v>227</v>
      </c>
      <c r="D168" s="30" t="s">
        <v>38</v>
      </c>
      <c r="E168" s="30">
        <v>4</v>
      </c>
      <c r="F168" s="30">
        <v>1</v>
      </c>
      <c r="G168" s="30">
        <f t="shared" si="52"/>
        <v>4</v>
      </c>
      <c r="H168" s="30">
        <v>8</v>
      </c>
      <c r="I168" s="30" t="s">
        <v>29</v>
      </c>
      <c r="J168" s="30" t="s">
        <v>58</v>
      </c>
      <c r="K168" s="134" t="str">
        <f>HYPERLINK("https://www.grainger.com/product/LASCO-PVC-Street-Elbow-22FJ98","Grainger")</f>
        <v>Grainger</v>
      </c>
      <c r="L168" s="135" t="s">
        <v>112</v>
      </c>
      <c r="M168" s="30">
        <v>0.97</v>
      </c>
      <c r="N168" s="30">
        <f t="shared" si="53"/>
        <v>7.76</v>
      </c>
      <c r="O168" s="134" t="str">
        <f>HYPERLINK("https://drive.google.com/open?id=1HrpuyXAkEor3K3J4Lcf8I4oPLUc7kJKp","2018-03-01_Grainger")</f>
        <v>2018-03-01_Grainger</v>
      </c>
      <c r="P168" s="135">
        <v>28</v>
      </c>
      <c r="Q168" s="30">
        <v>0.05</v>
      </c>
      <c r="R168" s="30">
        <f t="shared" si="54"/>
        <v>0.4</v>
      </c>
      <c r="S168" s="30">
        <f t="shared" si="55"/>
        <v>0.18143680000000001</v>
      </c>
      <c r="T168" s="30"/>
    </row>
    <row r="169" spans="1:20" ht="13" x14ac:dyDescent="0.15">
      <c r="A169" s="30" t="s">
        <v>239</v>
      </c>
      <c r="B169" s="30" t="s">
        <v>240</v>
      </c>
      <c r="C169" s="7" t="s">
        <v>227</v>
      </c>
      <c r="D169" s="30" t="s">
        <v>38</v>
      </c>
      <c r="E169" s="30">
        <v>4</v>
      </c>
      <c r="F169" s="30">
        <v>1</v>
      </c>
      <c r="G169" s="30">
        <f t="shared" si="52"/>
        <v>4</v>
      </c>
      <c r="H169" s="30">
        <v>4</v>
      </c>
      <c r="I169" s="30" t="s">
        <v>29</v>
      </c>
      <c r="J169" s="30" t="s">
        <v>39</v>
      </c>
      <c r="K169" s="134" t="str">
        <f>HYPERLINK("https://www.mcmaster.com/#4876k12/=1bhg9f8","McMaster Carr")</f>
        <v>McMaster Carr</v>
      </c>
      <c r="L169" s="135" t="s">
        <v>241</v>
      </c>
      <c r="M169" s="30">
        <v>9.08</v>
      </c>
      <c r="N169" s="30">
        <f t="shared" si="53"/>
        <v>36.32</v>
      </c>
      <c r="O169" s="134" t="str">
        <f>HYPERLINK("https://drive.google.com/open?id=17ra1rRj-Z09UoIGz2wMfmF9NRSQNMWKf","2018-02-20_McMaster")</f>
        <v>2018-02-20_McMaster</v>
      </c>
      <c r="P169" s="135">
        <v>27</v>
      </c>
      <c r="Q169" s="30">
        <v>0.24</v>
      </c>
      <c r="R169" s="30">
        <f t="shared" si="54"/>
        <v>0.96</v>
      </c>
      <c r="S169" s="30">
        <f t="shared" si="55"/>
        <v>0.43544832</v>
      </c>
      <c r="T169" s="30"/>
    </row>
    <row r="170" spans="1:20" ht="13" x14ac:dyDescent="0.15">
      <c r="A170" s="30" t="s">
        <v>479</v>
      </c>
      <c r="B170" s="30" t="s">
        <v>240</v>
      </c>
      <c r="C170" s="7" t="s">
        <v>227</v>
      </c>
      <c r="D170" s="30" t="s">
        <v>38</v>
      </c>
      <c r="E170" s="30"/>
      <c r="F170" s="30"/>
      <c r="G170" s="30"/>
      <c r="H170" s="30">
        <v>2</v>
      </c>
      <c r="I170" s="30" t="s">
        <v>29</v>
      </c>
      <c r="J170" s="30" t="s">
        <v>51</v>
      </c>
      <c r="K170" s="30" t="s">
        <v>51</v>
      </c>
      <c r="L170" s="135" t="s">
        <v>51</v>
      </c>
      <c r="M170" s="30">
        <v>0.39</v>
      </c>
      <c r="N170" s="30">
        <f t="shared" si="53"/>
        <v>0.78</v>
      </c>
      <c r="O170" s="30" t="s">
        <v>51</v>
      </c>
      <c r="P170" s="135">
        <v>2</v>
      </c>
      <c r="Q170" s="30">
        <v>0.05</v>
      </c>
      <c r="R170" s="30">
        <f t="shared" si="54"/>
        <v>0.1</v>
      </c>
      <c r="S170" s="30">
        <f t="shared" si="55"/>
        <v>4.5359200000000002E-2</v>
      </c>
      <c r="T170" s="30"/>
    </row>
    <row r="171" spans="1:20" ht="13" x14ac:dyDescent="0.15">
      <c r="A171" s="30" t="s">
        <v>242</v>
      </c>
      <c r="B171" s="30" t="s">
        <v>240</v>
      </c>
      <c r="C171" s="7" t="s">
        <v>227</v>
      </c>
      <c r="D171" s="30" t="s">
        <v>38</v>
      </c>
      <c r="E171" s="30">
        <v>4</v>
      </c>
      <c r="F171" s="30">
        <v>1</v>
      </c>
      <c r="G171" s="30">
        <f>E171*F171</f>
        <v>4</v>
      </c>
      <c r="H171" s="30">
        <v>4</v>
      </c>
      <c r="I171" s="30" t="s">
        <v>29</v>
      </c>
      <c r="J171" s="30" t="s">
        <v>39</v>
      </c>
      <c r="K171" s="134" t="str">
        <f>HYPERLINK("https://www.mcmaster.com/#4880k62/=1bhfmkb","McMaster Carr")</f>
        <v>McMaster Carr</v>
      </c>
      <c r="L171" s="135" t="s">
        <v>243</v>
      </c>
      <c r="M171" s="30">
        <v>0.3</v>
      </c>
      <c r="N171" s="30">
        <f t="shared" si="53"/>
        <v>1.2</v>
      </c>
      <c r="O171" s="134" t="str">
        <f>HYPERLINK("https://drive.google.com/open?id=17ra1rRj-Z09UoIGz2wMfmF9NRSQNMWKf","2018-02-20_McMaster")</f>
        <v>2018-02-20_McMaster</v>
      </c>
      <c r="P171" s="135">
        <v>28</v>
      </c>
      <c r="Q171" s="30">
        <v>2.5000000000000001E-2</v>
      </c>
      <c r="R171" s="30">
        <f t="shared" si="54"/>
        <v>0.1</v>
      </c>
      <c r="S171" s="30">
        <f t="shared" si="55"/>
        <v>4.5359200000000002E-2</v>
      </c>
      <c r="T171" s="30"/>
    </row>
    <row r="172" spans="1:20" ht="13" x14ac:dyDescent="0.15">
      <c r="A172" s="30" t="s">
        <v>480</v>
      </c>
      <c r="B172" s="30" t="s">
        <v>224</v>
      </c>
      <c r="C172" s="7" t="s">
        <v>227</v>
      </c>
      <c r="D172" s="30" t="s">
        <v>38</v>
      </c>
      <c r="E172" s="30">
        <v>150</v>
      </c>
      <c r="F172" s="30" t="s">
        <v>29</v>
      </c>
      <c r="G172" s="30" t="s">
        <v>259</v>
      </c>
      <c r="H172" s="30">
        <v>2</v>
      </c>
      <c r="I172" s="30" t="s">
        <v>29</v>
      </c>
      <c r="J172" s="30" t="s">
        <v>259</v>
      </c>
      <c r="K172" s="134" t="s">
        <v>209</v>
      </c>
      <c r="L172" s="135" t="s">
        <v>481</v>
      </c>
      <c r="M172" s="30">
        <v>0.45</v>
      </c>
      <c r="N172" s="30">
        <f t="shared" si="53"/>
        <v>0.9</v>
      </c>
      <c r="O172" s="134" t="s">
        <v>482</v>
      </c>
      <c r="P172" s="135">
        <v>17</v>
      </c>
      <c r="Q172" s="30">
        <v>1.23</v>
      </c>
      <c r="R172" s="30">
        <f t="shared" si="54"/>
        <v>2.46</v>
      </c>
      <c r="S172" s="30">
        <f t="shared" si="55"/>
        <v>1.1158363199999999</v>
      </c>
      <c r="T172" s="30"/>
    </row>
    <row r="173" spans="1:20" ht="13" x14ac:dyDescent="0.15">
      <c r="A173" s="30" t="s">
        <v>483</v>
      </c>
      <c r="B173" s="30" t="s">
        <v>240</v>
      </c>
      <c r="C173" s="7" t="s">
        <v>227</v>
      </c>
      <c r="D173" s="30" t="s">
        <v>228</v>
      </c>
      <c r="E173" s="30">
        <v>4</v>
      </c>
      <c r="F173" s="30">
        <v>1</v>
      </c>
      <c r="G173" s="30">
        <f>E173*F173</f>
        <v>4</v>
      </c>
      <c r="H173" s="30">
        <v>4</v>
      </c>
      <c r="I173" s="30" t="s">
        <v>29</v>
      </c>
      <c r="J173" s="30" t="s">
        <v>198</v>
      </c>
      <c r="K173" s="30" t="s">
        <v>198</v>
      </c>
      <c r="L173" s="135" t="s">
        <v>484</v>
      </c>
      <c r="M173" s="30">
        <v>440</v>
      </c>
      <c r="N173" s="30">
        <f t="shared" si="53"/>
        <v>1760</v>
      </c>
      <c r="O173" s="134" t="str">
        <f>HYPERLINK("https://drive.google.com/open?id=19AWsEGNg7ubi5alOtP4Qqq6YBrzVX5Iw","2018-04-02_Dosatron")</f>
        <v>2018-04-02_Dosatron</v>
      </c>
      <c r="P173" s="135">
        <v>1</v>
      </c>
      <c r="Q173" s="30">
        <v>3.09</v>
      </c>
      <c r="R173" s="30">
        <f t="shared" si="54"/>
        <v>12.36</v>
      </c>
      <c r="S173" s="30">
        <f t="shared" si="55"/>
        <v>5.6063971199999996</v>
      </c>
      <c r="T173" s="30"/>
    </row>
    <row r="174" spans="1:20" ht="13" x14ac:dyDescent="0.15">
      <c r="L174" s="119"/>
      <c r="P174" s="119"/>
    </row>
    <row r="175" spans="1:20" ht="20" x14ac:dyDescent="0.2">
      <c r="A175" s="140" t="s">
        <v>485</v>
      </c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73"/>
      <c r="M175" s="58"/>
      <c r="N175" s="58"/>
      <c r="O175" s="58"/>
      <c r="P175" s="73"/>
      <c r="Q175" s="58"/>
      <c r="R175" s="141"/>
      <c r="S175" s="142"/>
      <c r="T175" s="58"/>
    </row>
    <row r="176" spans="1:20" ht="13" x14ac:dyDescent="0.15">
      <c r="A176" s="30" t="s">
        <v>486</v>
      </c>
      <c r="B176" s="30" t="s">
        <v>224</v>
      </c>
      <c r="C176" s="30" t="s">
        <v>61</v>
      </c>
      <c r="D176" s="31" t="s">
        <v>38</v>
      </c>
      <c r="E176" s="32">
        <v>12</v>
      </c>
      <c r="F176" s="32">
        <v>1</v>
      </c>
      <c r="G176" s="143"/>
      <c r="H176" s="144">
        <v>12</v>
      </c>
      <c r="I176" s="30" t="s">
        <v>29</v>
      </c>
      <c r="J176" s="30" t="s">
        <v>51</v>
      </c>
      <c r="K176" s="33" t="s">
        <v>487</v>
      </c>
      <c r="L176" s="35" t="s">
        <v>207</v>
      </c>
      <c r="M176" s="37">
        <v>182.18</v>
      </c>
      <c r="N176" s="37">
        <f t="shared" ref="N176:N178" si="56">M176*H176</f>
        <v>2186.16</v>
      </c>
      <c r="O176" s="39" t="str">
        <f>HYPERLINK("https://drive.google.com/open?id=1C8C5NLwGlBzGiQpcVBX1o9l8OLJrS2GO","2018-04-03_Consigli")</f>
        <v>2018-04-03_Consigli</v>
      </c>
      <c r="P176" s="32">
        <v>1</v>
      </c>
      <c r="Q176" s="145">
        <v>27</v>
      </c>
      <c r="R176" s="27">
        <f t="shared" ref="R176:R178" si="57">Q176*H176</f>
        <v>324</v>
      </c>
      <c r="S176" s="28">
        <f t="shared" ref="S176:S178" si="58">R176*0.453592</f>
        <v>146.963808</v>
      </c>
      <c r="T176" s="44"/>
    </row>
    <row r="177" spans="1:20" ht="13" x14ac:dyDescent="0.15">
      <c r="A177" s="30" t="s">
        <v>488</v>
      </c>
      <c r="B177" s="30" t="s">
        <v>224</v>
      </c>
      <c r="C177" s="30" t="s">
        <v>61</v>
      </c>
      <c r="D177" s="10" t="s">
        <v>28</v>
      </c>
      <c r="E177" s="32"/>
      <c r="F177" s="32"/>
      <c r="G177" s="143"/>
      <c r="H177" s="144">
        <v>2.4</v>
      </c>
      <c r="I177" s="30" t="s">
        <v>29</v>
      </c>
      <c r="J177" s="30" t="s">
        <v>489</v>
      </c>
      <c r="K177" s="33" t="str">
        <f>HYPERLINK("https://www.homedepot.com/p/RACO-2-1-8-in-Deep-Single-Gang-Welded-Handy-Box-with-1-2-in-KO-s-25-Pack-8670/202058386","Home Depot")</f>
        <v>Home Depot</v>
      </c>
      <c r="L177" s="35" t="s">
        <v>209</v>
      </c>
      <c r="M177" s="146">
        <v>47.25</v>
      </c>
      <c r="N177" s="37">
        <f t="shared" si="56"/>
        <v>113.39999999999999</v>
      </c>
      <c r="O177" s="39" t="s">
        <v>490</v>
      </c>
      <c r="P177" s="32">
        <v>1</v>
      </c>
      <c r="Q177" s="41">
        <v>0.61</v>
      </c>
      <c r="R177" s="27">
        <f t="shared" si="57"/>
        <v>1.464</v>
      </c>
      <c r="S177" s="28">
        <f t="shared" si="58"/>
        <v>0.66405868800000001</v>
      </c>
      <c r="T177" s="44"/>
    </row>
    <row r="178" spans="1:20" ht="13" x14ac:dyDescent="0.15">
      <c r="A178" s="30" t="s">
        <v>491</v>
      </c>
      <c r="B178" s="30" t="s">
        <v>224</v>
      </c>
      <c r="C178" s="30" t="s">
        <v>61</v>
      </c>
      <c r="D178" s="31" t="s">
        <v>38</v>
      </c>
      <c r="E178" s="32"/>
      <c r="F178" s="32"/>
      <c r="G178" s="143"/>
      <c r="H178" s="144">
        <v>2</v>
      </c>
      <c r="I178" s="30" t="s">
        <v>29</v>
      </c>
      <c r="J178" s="30" t="s">
        <v>487</v>
      </c>
      <c r="K178" s="33" t="s">
        <v>487</v>
      </c>
      <c r="L178" s="35" t="s">
        <v>207</v>
      </c>
      <c r="M178" s="37">
        <v>46.5</v>
      </c>
      <c r="N178" s="37">
        <f t="shared" si="56"/>
        <v>93</v>
      </c>
      <c r="O178" s="39" t="str">
        <f>HYPERLINK("https://drive.google.com/open?id=1C8C5NLwGlBzGiQpcVBX1o9l8OLJrS2GO","2018-04-03_Consigli")</f>
        <v>2018-04-03_Consigli</v>
      </c>
      <c r="P178" s="32">
        <v>2</v>
      </c>
      <c r="Q178" s="145">
        <v>5</v>
      </c>
      <c r="R178" s="27">
        <f t="shared" si="57"/>
        <v>10</v>
      </c>
      <c r="S178" s="28">
        <f t="shared" si="58"/>
        <v>4.53592</v>
      </c>
      <c r="T178" s="44"/>
    </row>
    <row r="179" spans="1:20" ht="13" x14ac:dyDescent="0.15">
      <c r="L179" s="119"/>
      <c r="P179" s="119"/>
    </row>
    <row r="180" spans="1:20" ht="20" x14ac:dyDescent="0.2">
      <c r="A180" s="147" t="s">
        <v>492</v>
      </c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3"/>
      <c r="M180" s="148"/>
      <c r="N180" s="148"/>
      <c r="O180" s="148"/>
      <c r="P180" s="3"/>
      <c r="Q180" s="148"/>
      <c r="R180" s="149"/>
      <c r="S180" s="150"/>
      <c r="T180" s="148"/>
    </row>
    <row r="181" spans="1:20" ht="13" x14ac:dyDescent="0.15">
      <c r="A181" s="151" t="s">
        <v>493</v>
      </c>
      <c r="B181" s="151" t="s">
        <v>224</v>
      </c>
      <c r="C181" s="30" t="s">
        <v>227</v>
      </c>
      <c r="D181" s="151" t="s">
        <v>38</v>
      </c>
      <c r="E181" s="152">
        <v>1</v>
      </c>
      <c r="F181" s="151">
        <f>18/120</f>
        <v>0.15</v>
      </c>
      <c r="G181" s="151">
        <f>F181/E181</f>
        <v>0.15</v>
      </c>
      <c r="H181" s="118">
        <v>16</v>
      </c>
      <c r="I181" s="30" t="s">
        <v>29</v>
      </c>
      <c r="J181" s="118" t="s">
        <v>39</v>
      </c>
      <c r="K181" s="153" t="str">
        <f>HYPERLINK("https://www.mcmaster.com/#48925k11/=1aftpcd","McMaster Carr")</f>
        <v>McMaster Carr</v>
      </c>
      <c r="L181" s="113" t="s">
        <v>459</v>
      </c>
      <c r="M181" s="154">
        <v>4.7300000000000004</v>
      </c>
      <c r="N181" s="20">
        <f t="shared" ref="N181:N184" si="59">M181*H181</f>
        <v>75.680000000000007</v>
      </c>
      <c r="O181" s="153" t="str">
        <f>HYPERLINK("https://drive.google.com/open?id=17ra1rRj-Z09UoIGz2wMfmF9NRSQNMWKf","2018-02-20_McMaster")</f>
        <v>2018-02-20_McMaster</v>
      </c>
      <c r="P181" s="152">
        <v>22</v>
      </c>
      <c r="Q181" s="152">
        <v>1.61</v>
      </c>
      <c r="R181" s="27">
        <f t="shared" ref="R181:R184" si="60">Q181*H181</f>
        <v>25.76</v>
      </c>
      <c r="S181" s="28">
        <f t="shared" ref="S181:S184" si="61">R181*0.453592</f>
        <v>11.684529920000001</v>
      </c>
      <c r="T181" s="22"/>
    </row>
    <row r="182" spans="1:20" ht="13" x14ac:dyDescent="0.15">
      <c r="A182" s="7" t="s">
        <v>494</v>
      </c>
      <c r="B182" s="7" t="s">
        <v>224</v>
      </c>
      <c r="C182" s="155" t="s">
        <v>111</v>
      </c>
      <c r="D182" s="110" t="s">
        <v>38</v>
      </c>
      <c r="E182" s="51">
        <v>9</v>
      </c>
      <c r="F182" s="51" t="s">
        <v>29</v>
      </c>
      <c r="G182" s="111" t="s">
        <v>495</v>
      </c>
      <c r="H182" s="29">
        <v>16</v>
      </c>
      <c r="I182" s="30" t="s">
        <v>29</v>
      </c>
      <c r="J182" s="7" t="s">
        <v>495</v>
      </c>
      <c r="K182" s="112" t="s">
        <v>209</v>
      </c>
      <c r="L182" s="113">
        <v>67447</v>
      </c>
      <c r="M182" s="106">
        <v>2.21</v>
      </c>
      <c r="N182" s="20">
        <f t="shared" si="59"/>
        <v>35.36</v>
      </c>
      <c r="O182" s="130" t="s">
        <v>496</v>
      </c>
      <c r="P182" s="114">
        <v>26</v>
      </c>
      <c r="Q182" s="28">
        <v>1.8</v>
      </c>
      <c r="R182" s="27">
        <f t="shared" si="60"/>
        <v>28.8</v>
      </c>
      <c r="S182" s="28">
        <f t="shared" si="61"/>
        <v>13.0634496</v>
      </c>
      <c r="T182" s="11"/>
    </row>
    <row r="183" spans="1:20" ht="13" x14ac:dyDescent="0.15">
      <c r="A183" s="151" t="s">
        <v>497</v>
      </c>
      <c r="B183" s="151" t="s">
        <v>224</v>
      </c>
      <c r="C183" s="30" t="s">
        <v>227</v>
      </c>
      <c r="D183" s="151" t="s">
        <v>38</v>
      </c>
      <c r="E183" s="152">
        <v>150</v>
      </c>
      <c r="F183" s="151" t="s">
        <v>29</v>
      </c>
      <c r="G183" s="151" t="s">
        <v>259</v>
      </c>
      <c r="H183" s="118">
        <v>30</v>
      </c>
      <c r="I183" s="30" t="s">
        <v>29</v>
      </c>
      <c r="J183" s="118" t="s">
        <v>259</v>
      </c>
      <c r="K183" s="153" t="s">
        <v>209</v>
      </c>
      <c r="L183" s="113" t="s">
        <v>481</v>
      </c>
      <c r="M183" s="154">
        <v>2.27</v>
      </c>
      <c r="N183" s="20">
        <f t="shared" si="59"/>
        <v>68.099999999999994</v>
      </c>
      <c r="O183" s="153" t="s">
        <v>482</v>
      </c>
      <c r="P183" s="152">
        <v>17</v>
      </c>
      <c r="Q183" s="152">
        <v>1.23</v>
      </c>
      <c r="R183" s="27">
        <f t="shared" si="60"/>
        <v>36.9</v>
      </c>
      <c r="S183" s="28">
        <f t="shared" si="61"/>
        <v>16.737544799999998</v>
      </c>
      <c r="T183" s="22"/>
    </row>
    <row r="184" spans="1:20" ht="13" x14ac:dyDescent="0.15">
      <c r="A184" s="7" t="s">
        <v>498</v>
      </c>
      <c r="B184" s="7" t="s">
        <v>224</v>
      </c>
      <c r="C184" s="7" t="s">
        <v>61</v>
      </c>
      <c r="D184" s="10" t="s">
        <v>28</v>
      </c>
      <c r="E184" s="7">
        <v>2</v>
      </c>
      <c r="F184" s="7">
        <v>1</v>
      </c>
      <c r="G184" s="11"/>
      <c r="H184" s="7">
        <v>2</v>
      </c>
      <c r="I184" s="7" t="s">
        <v>29</v>
      </c>
      <c r="J184" s="7" t="s">
        <v>113</v>
      </c>
      <c r="K184" s="46" t="s">
        <v>63</v>
      </c>
      <c r="L184" s="15" t="s">
        <v>39</v>
      </c>
      <c r="M184" s="48">
        <v>7.01</v>
      </c>
      <c r="N184" s="20">
        <f t="shared" si="59"/>
        <v>14.02</v>
      </c>
      <c r="O184" s="23" t="str">
        <f>HYPERLINK("https://drive.google.com/open?id=1gxLCC8-3UHEwNDlfL4m6PhAMUVkcVXhT","2018-02-20_Delande")</f>
        <v>2018-02-20_Delande</v>
      </c>
      <c r="P184" s="51">
        <v>3</v>
      </c>
      <c r="Q184" s="25">
        <v>0.5</v>
      </c>
      <c r="R184" s="27">
        <f t="shared" si="60"/>
        <v>1</v>
      </c>
      <c r="S184" s="28">
        <f t="shared" si="61"/>
        <v>0.453592</v>
      </c>
      <c r="T184" s="20" t="s">
        <v>499</v>
      </c>
    </row>
    <row r="185" spans="1:20" ht="2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5"/>
      <c r="M185" s="7"/>
      <c r="N185" s="7"/>
      <c r="O185" s="7"/>
      <c r="P185" s="15"/>
      <c r="Q185" s="7"/>
      <c r="R185" s="136"/>
      <c r="S185" s="137"/>
      <c r="T185" s="7"/>
    </row>
    <row r="186" spans="1:20" ht="20" x14ac:dyDescent="0.2">
      <c r="A186" s="156" t="s">
        <v>500</v>
      </c>
      <c r="B186" s="157"/>
      <c r="C186" s="157"/>
      <c r="D186" s="157"/>
      <c r="E186" s="157"/>
      <c r="F186" s="157"/>
      <c r="G186" s="157"/>
      <c r="H186" s="157">
        <v>1</v>
      </c>
      <c r="I186" s="157"/>
      <c r="J186" s="157"/>
      <c r="K186" s="157"/>
      <c r="L186" s="158"/>
      <c r="M186" s="157"/>
      <c r="N186" s="157"/>
      <c r="O186" s="157"/>
      <c r="P186" s="158"/>
      <c r="Q186" s="157"/>
      <c r="R186" s="159"/>
      <c r="S186" s="160"/>
      <c r="T186" s="157"/>
    </row>
    <row r="187" spans="1:20" ht="13" x14ac:dyDescent="0.15">
      <c r="A187" s="7" t="s">
        <v>501</v>
      </c>
      <c r="B187" s="7" t="s">
        <v>502</v>
      </c>
      <c r="C187" s="7" t="s">
        <v>61</v>
      </c>
      <c r="D187" s="10" t="s">
        <v>28</v>
      </c>
      <c r="E187" s="7"/>
      <c r="F187" s="7"/>
      <c r="G187" s="11"/>
      <c r="H187" s="7">
        <v>60</v>
      </c>
      <c r="I187" s="7" t="s">
        <v>29</v>
      </c>
      <c r="J187" s="7" t="s">
        <v>489</v>
      </c>
      <c r="K187" s="46" t="s">
        <v>63</v>
      </c>
      <c r="L187" s="15">
        <v>400</v>
      </c>
      <c r="M187" s="48">
        <v>2.14</v>
      </c>
      <c r="N187" s="20">
        <f t="shared" ref="N187:N190" si="62">M187*H187</f>
        <v>128.4</v>
      </c>
      <c r="O187" s="23" t="str">
        <f>HYPERLINK("https://drive.google.com/open?id=1-KoE5bV9Q8We-Q3-P8_aoIQ4eX0_aTn_","2018-03-12_Delande")</f>
        <v>2018-03-12_Delande</v>
      </c>
      <c r="P187" s="51">
        <v>3</v>
      </c>
      <c r="Q187" s="25">
        <v>0.5</v>
      </c>
      <c r="R187" s="27">
        <f t="shared" ref="R187:R190" si="63">Q187*H187</f>
        <v>30</v>
      </c>
      <c r="S187" s="28">
        <f t="shared" ref="S187:S190" si="64">R187*0.453592</f>
        <v>13.607759999999999</v>
      </c>
      <c r="T187" s="20"/>
    </row>
    <row r="188" spans="1:20" ht="13" x14ac:dyDescent="0.15">
      <c r="A188" s="7" t="s">
        <v>268</v>
      </c>
      <c r="B188" s="7" t="s">
        <v>502</v>
      </c>
      <c r="C188" s="7" t="s">
        <v>61</v>
      </c>
      <c r="D188" s="10" t="s">
        <v>28</v>
      </c>
      <c r="E188" s="7">
        <v>50</v>
      </c>
      <c r="F188" s="7">
        <v>50</v>
      </c>
      <c r="G188" s="11">
        <v>1</v>
      </c>
      <c r="H188" s="7">
        <v>1.2</v>
      </c>
      <c r="I188" s="7" t="s">
        <v>29</v>
      </c>
      <c r="J188" s="7" t="s">
        <v>270</v>
      </c>
      <c r="K188" s="12" t="str">
        <f>HYPERLINK("https://www.homedepot.com/p/Halex-1-2-in-Electrical-Metallic-Tube-EMT-Set-Screw-Connectors-5-Pack-26270/100137321","Home Depot")</f>
        <v>Home Depot</v>
      </c>
      <c r="L188" s="15" t="s">
        <v>271</v>
      </c>
      <c r="M188" s="48">
        <v>10.49</v>
      </c>
      <c r="N188" s="20">
        <f t="shared" si="62"/>
        <v>12.587999999999999</v>
      </c>
      <c r="O188" s="23" t="str">
        <f>HYPERLINK("https://drive.google.com/open?id=14jY_nE7LfMRpPZjHB_kOhUsxuLknYtEz","2018-03-01_Home Depot02")</f>
        <v>2018-03-01_Home Depot02</v>
      </c>
      <c r="P188" s="51">
        <v>3</v>
      </c>
      <c r="Q188" s="25">
        <v>0.9</v>
      </c>
      <c r="R188" s="27">
        <f t="shared" si="63"/>
        <v>1.08</v>
      </c>
      <c r="S188" s="28">
        <f t="shared" si="64"/>
        <v>0.48987936000000004</v>
      </c>
      <c r="T188" s="20"/>
    </row>
    <row r="189" spans="1:20" ht="13" x14ac:dyDescent="0.15">
      <c r="A189" s="7" t="s">
        <v>503</v>
      </c>
      <c r="B189" s="7" t="s">
        <v>502</v>
      </c>
      <c r="C189" s="7" t="s">
        <v>61</v>
      </c>
      <c r="D189" s="10" t="s">
        <v>28</v>
      </c>
      <c r="E189" s="7">
        <v>2</v>
      </c>
      <c r="F189" s="7">
        <v>1</v>
      </c>
      <c r="G189" s="11"/>
      <c r="H189" s="7">
        <v>2</v>
      </c>
      <c r="I189" s="7" t="s">
        <v>29</v>
      </c>
      <c r="J189" s="7" t="s">
        <v>504</v>
      </c>
      <c r="K189" s="12" t="str">
        <f>HYPERLINK("https://www.homedepot.com/p/Murray-100-Amp-20-Space-40-Circuit-Main-Breaker-Load-Center-LC2040B1100/202315543","Home Depot")</f>
        <v>Home Depot</v>
      </c>
      <c r="L189" s="15" t="s">
        <v>505</v>
      </c>
      <c r="M189" s="48">
        <v>59.97</v>
      </c>
      <c r="N189" s="20">
        <f t="shared" si="62"/>
        <v>119.94</v>
      </c>
      <c r="O189" s="23" t="str">
        <f t="shared" ref="O189:O190" si="65">HYPERLINK("https://drive.google.com/open?id=1Wq_im6fjjpUmGwJ7cKWt15De2poLHiaz","2018-03-18_Home Depot")</f>
        <v>2018-03-18_Home Depot</v>
      </c>
      <c r="P189" s="51">
        <v>2</v>
      </c>
      <c r="Q189" s="25">
        <v>25.2</v>
      </c>
      <c r="R189" s="27">
        <f t="shared" si="63"/>
        <v>50.4</v>
      </c>
      <c r="S189" s="28">
        <f t="shared" si="64"/>
        <v>22.861036800000001</v>
      </c>
      <c r="T189" s="20"/>
    </row>
    <row r="190" spans="1:20" ht="13" x14ac:dyDescent="0.15">
      <c r="A190" s="7" t="s">
        <v>506</v>
      </c>
      <c r="B190" s="7" t="s">
        <v>502</v>
      </c>
      <c r="C190" s="7" t="s">
        <v>61</v>
      </c>
      <c r="D190" s="10" t="s">
        <v>28</v>
      </c>
      <c r="E190" s="7">
        <v>2</v>
      </c>
      <c r="F190" s="7">
        <v>1</v>
      </c>
      <c r="G190" s="11"/>
      <c r="H190" s="7">
        <v>2</v>
      </c>
      <c r="I190" s="7" t="s">
        <v>29</v>
      </c>
      <c r="J190" s="7" t="s">
        <v>504</v>
      </c>
      <c r="K190" s="12" t="str">
        <f>HYPERLINK("https://www.homedepot.com/p/Murray-125-Amp-20-Space-40-Circuit-Main-Lug-Load-Center-LC2040L1125/100211753","Home Depot")</f>
        <v>Home Depot</v>
      </c>
      <c r="L190" s="15" t="s">
        <v>507</v>
      </c>
      <c r="M190" s="48">
        <v>69</v>
      </c>
      <c r="N190" s="20">
        <f t="shared" si="62"/>
        <v>138</v>
      </c>
      <c r="O190" s="23" t="str">
        <f t="shared" si="65"/>
        <v>2018-03-18_Home Depot</v>
      </c>
      <c r="P190" s="51">
        <v>3</v>
      </c>
      <c r="Q190" s="25">
        <v>24.2</v>
      </c>
      <c r="R190" s="27">
        <f t="shared" si="63"/>
        <v>48.4</v>
      </c>
      <c r="S190" s="28">
        <f t="shared" si="64"/>
        <v>21.9538528</v>
      </c>
      <c r="T190" s="20"/>
    </row>
    <row r="191" spans="1:20" ht="13" x14ac:dyDescent="0.15">
      <c r="A191" s="7"/>
      <c r="B191" s="7"/>
      <c r="C191" s="7"/>
      <c r="D191" s="10"/>
      <c r="E191" s="7"/>
      <c r="F191" s="7"/>
      <c r="G191" s="7"/>
      <c r="H191" s="7"/>
      <c r="I191" s="7"/>
      <c r="J191" s="7"/>
      <c r="K191" s="46"/>
      <c r="L191" s="15"/>
      <c r="M191" s="48"/>
      <c r="N191" s="20"/>
      <c r="O191" s="61"/>
      <c r="P191" s="51"/>
      <c r="Q191" s="25"/>
      <c r="R191" s="27"/>
      <c r="S191" s="28"/>
      <c r="T191" s="11"/>
    </row>
    <row r="192" spans="1:20" ht="20" x14ac:dyDescent="0.2">
      <c r="A192" s="161" t="s">
        <v>508</v>
      </c>
      <c r="B192" s="162"/>
      <c r="C192" s="162"/>
      <c r="D192" s="163"/>
      <c r="E192" s="162"/>
      <c r="F192" s="162"/>
      <c r="G192" s="162"/>
      <c r="H192" s="162"/>
      <c r="I192" s="162"/>
      <c r="J192" s="162"/>
      <c r="K192" s="162"/>
      <c r="L192" s="164"/>
      <c r="M192" s="162"/>
      <c r="N192" s="162"/>
      <c r="O192" s="162"/>
      <c r="P192" s="164"/>
      <c r="Q192" s="162"/>
      <c r="R192" s="162"/>
      <c r="S192" s="165"/>
      <c r="T192" s="162"/>
    </row>
    <row r="193" spans="1:20" ht="13" x14ac:dyDescent="0.15">
      <c r="A193" s="7" t="s">
        <v>509</v>
      </c>
      <c r="B193" s="7" t="s">
        <v>510</v>
      </c>
      <c r="C193" s="7" t="s">
        <v>61</v>
      </c>
      <c r="D193" s="10" t="s">
        <v>38</v>
      </c>
      <c r="E193" s="7">
        <v>2</v>
      </c>
      <c r="F193" s="7">
        <v>1</v>
      </c>
      <c r="G193" s="11">
        <v>2</v>
      </c>
      <c r="H193" s="7">
        <v>2</v>
      </c>
      <c r="I193" s="7" t="s">
        <v>29</v>
      </c>
      <c r="J193" s="7" t="s">
        <v>511</v>
      </c>
      <c r="K193" s="46" t="s">
        <v>63</v>
      </c>
      <c r="L193" s="15" t="s">
        <v>512</v>
      </c>
      <c r="M193" s="48">
        <v>449.86</v>
      </c>
      <c r="N193" s="20">
        <f t="shared" ref="N193:N197" si="66">M193*H193</f>
        <v>899.72</v>
      </c>
      <c r="O193" s="23" t="str">
        <f>HYPERLINK("https://drive.google.com/open?id=1gxLCC8-3UHEwNDlfL4m6PhAMUVkcVXhT","2018-02-20_Delande")</f>
        <v>2018-02-20_Delande</v>
      </c>
      <c r="P193" s="51">
        <v>5</v>
      </c>
      <c r="Q193" s="25">
        <v>64</v>
      </c>
      <c r="R193" s="27">
        <f t="shared" ref="R193:R197" si="67">Q193*H193</f>
        <v>128</v>
      </c>
      <c r="S193" s="28">
        <f t="shared" ref="S193:S197" si="68">R193*0.453592</f>
        <v>58.059775999999999</v>
      </c>
      <c r="T193" s="20"/>
    </row>
    <row r="194" spans="1:20" ht="13" x14ac:dyDescent="0.15">
      <c r="A194" s="7" t="s">
        <v>513</v>
      </c>
      <c r="B194" s="7" t="s">
        <v>510</v>
      </c>
      <c r="C194" s="7" t="s">
        <v>61</v>
      </c>
      <c r="D194" s="10" t="s">
        <v>38</v>
      </c>
      <c r="E194" s="7">
        <v>16</v>
      </c>
      <c r="F194" s="7" t="s">
        <v>215</v>
      </c>
      <c r="G194" s="11" t="s">
        <v>514</v>
      </c>
      <c r="H194" s="7">
        <v>16</v>
      </c>
      <c r="I194" s="7" t="s">
        <v>29</v>
      </c>
      <c r="J194" s="7" t="s">
        <v>514</v>
      </c>
      <c r="K194" s="46" t="s">
        <v>515</v>
      </c>
      <c r="L194" s="15" t="s">
        <v>516</v>
      </c>
      <c r="M194" s="48">
        <v>635.14</v>
      </c>
      <c r="N194" s="20">
        <f t="shared" si="66"/>
        <v>10162.24</v>
      </c>
      <c r="O194" s="23" t="s">
        <v>517</v>
      </c>
      <c r="P194" s="51">
        <v>1</v>
      </c>
      <c r="Q194" s="25">
        <v>4</v>
      </c>
      <c r="R194" s="27">
        <f t="shared" si="67"/>
        <v>64</v>
      </c>
      <c r="S194" s="28">
        <f t="shared" si="68"/>
        <v>29.029888</v>
      </c>
      <c r="T194" s="20"/>
    </row>
    <row r="195" spans="1:20" ht="13" x14ac:dyDescent="0.15">
      <c r="A195" s="151" t="s">
        <v>518</v>
      </c>
      <c r="B195" s="151" t="s">
        <v>510</v>
      </c>
      <c r="C195" s="7" t="s">
        <v>61</v>
      </c>
      <c r="D195" s="151" t="s">
        <v>38</v>
      </c>
      <c r="E195" s="152">
        <v>16</v>
      </c>
      <c r="F195" s="151">
        <v>1</v>
      </c>
      <c r="G195" s="151"/>
      <c r="H195" s="118">
        <v>16</v>
      </c>
      <c r="I195" s="7" t="s">
        <v>29</v>
      </c>
      <c r="J195" s="166" t="str">
        <f>HYPERLINK("https://www.hubbell.com/wiringdevice-kellems/en/Products/Electrical-Electronic/Wiring-Devices/Industrial-Connectivity-and-Control-Products/Din-Rail-Utility-Box/DRUB20/p/1636642","Hubbell")</f>
        <v>Hubbell</v>
      </c>
      <c r="K195" s="167" t="str">
        <f>HYPERLINK("https://www.hubbell.com/wiringdevice-kellems/en/Products/Electrical-Electronic/Wiring-Devices/Industrial-Connectivity-and-Control-Products/Din-Rail-Utility-Box/DRUB20/p/1636642","Delande")</f>
        <v>Delande</v>
      </c>
      <c r="L195" s="152" t="s">
        <v>519</v>
      </c>
      <c r="M195" s="154">
        <v>32.5</v>
      </c>
      <c r="N195" s="20">
        <f t="shared" si="66"/>
        <v>520</v>
      </c>
      <c r="O195" s="153" t="str">
        <f>HYPERLINK("https://drive.google.com/open?id=1gxLCC8-3UHEwNDlfL4m6PhAMUVkcVXhT","2018-02-20_Delande")</f>
        <v>2018-02-20_Delande</v>
      </c>
      <c r="P195" s="152">
        <v>4</v>
      </c>
      <c r="Q195" s="152">
        <v>0.65</v>
      </c>
      <c r="R195" s="27">
        <f t="shared" si="67"/>
        <v>10.4</v>
      </c>
      <c r="S195" s="28">
        <f t="shared" si="68"/>
        <v>4.7173568000000001</v>
      </c>
      <c r="T195" s="162" t="s">
        <v>520</v>
      </c>
    </row>
    <row r="196" spans="1:20" ht="13" x14ac:dyDescent="0.15">
      <c r="A196" s="7" t="s">
        <v>521</v>
      </c>
      <c r="B196" s="7" t="s">
        <v>510</v>
      </c>
      <c r="C196" s="7" t="s">
        <v>61</v>
      </c>
      <c r="D196" s="10" t="s">
        <v>38</v>
      </c>
      <c r="E196" s="7">
        <v>1</v>
      </c>
      <c r="F196" s="7" t="s">
        <v>29</v>
      </c>
      <c r="G196" s="11" t="s">
        <v>63</v>
      </c>
      <c r="H196" s="7">
        <v>2</v>
      </c>
      <c r="I196" s="7" t="s">
        <v>29</v>
      </c>
      <c r="J196" s="7" t="s">
        <v>113</v>
      </c>
      <c r="K196" s="46" t="s">
        <v>63</v>
      </c>
      <c r="L196" s="15" t="s">
        <v>39</v>
      </c>
      <c r="M196" s="48">
        <v>3.71</v>
      </c>
      <c r="N196" s="20">
        <f t="shared" si="66"/>
        <v>7.42</v>
      </c>
      <c r="O196" s="23" t="s">
        <v>522</v>
      </c>
      <c r="P196" s="51">
        <v>1</v>
      </c>
      <c r="Q196" s="25">
        <v>0.8</v>
      </c>
      <c r="R196" s="27">
        <f t="shared" si="67"/>
        <v>1.6</v>
      </c>
      <c r="S196" s="28">
        <f t="shared" si="68"/>
        <v>0.72574720000000004</v>
      </c>
      <c r="T196" s="20"/>
    </row>
    <row r="197" spans="1:20" ht="13" x14ac:dyDescent="0.15">
      <c r="A197" s="7" t="s">
        <v>498</v>
      </c>
      <c r="B197" s="7" t="s">
        <v>510</v>
      </c>
      <c r="C197" s="7" t="s">
        <v>61</v>
      </c>
      <c r="D197" s="10" t="s">
        <v>28</v>
      </c>
      <c r="E197" s="7">
        <v>2</v>
      </c>
      <c r="F197" s="7">
        <v>1</v>
      </c>
      <c r="G197" s="11"/>
      <c r="H197" s="7">
        <v>1</v>
      </c>
      <c r="I197" s="7" t="s">
        <v>29</v>
      </c>
      <c r="J197" s="7" t="s">
        <v>113</v>
      </c>
      <c r="K197" s="46" t="s">
        <v>63</v>
      </c>
      <c r="L197" s="15" t="s">
        <v>39</v>
      </c>
      <c r="M197" s="48">
        <v>7.01</v>
      </c>
      <c r="N197" s="20">
        <f t="shared" si="66"/>
        <v>7.01</v>
      </c>
      <c r="O197" s="23" t="str">
        <f>HYPERLINK("https://drive.google.com/open?id=1gxLCC8-3UHEwNDlfL4m6PhAMUVkcVXhT","2018-02-20_Delande")</f>
        <v>2018-02-20_Delande</v>
      </c>
      <c r="P197" s="51">
        <v>3</v>
      </c>
      <c r="Q197" s="25">
        <v>0.5</v>
      </c>
      <c r="R197" s="27">
        <f t="shared" si="67"/>
        <v>0.5</v>
      </c>
      <c r="S197" s="28">
        <f t="shared" si="68"/>
        <v>0.226796</v>
      </c>
      <c r="T197" s="20" t="s">
        <v>499</v>
      </c>
    </row>
    <row r="198" spans="1:20" ht="13" x14ac:dyDescent="0.15">
      <c r="L198" s="119"/>
      <c r="P198" s="119"/>
    </row>
    <row r="199" spans="1:20" ht="20" x14ac:dyDescent="0.2">
      <c r="A199" s="168" t="s">
        <v>523</v>
      </c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7"/>
      <c r="M199" s="126"/>
      <c r="N199" s="126"/>
      <c r="O199" s="126"/>
      <c r="P199" s="127"/>
      <c r="Q199" s="126"/>
      <c r="R199" s="128"/>
      <c r="S199" s="129"/>
      <c r="T199" s="126"/>
    </row>
    <row r="200" spans="1:20" ht="13" x14ac:dyDescent="0.15">
      <c r="A200" s="7" t="s">
        <v>524</v>
      </c>
      <c r="B200" s="7" t="s">
        <v>525</v>
      </c>
      <c r="C200" s="7" t="s">
        <v>526</v>
      </c>
      <c r="D200" s="10" t="s">
        <v>527</v>
      </c>
      <c r="E200" s="7">
        <v>112</v>
      </c>
      <c r="F200" s="7">
        <v>120</v>
      </c>
      <c r="G200" s="11"/>
      <c r="H200" s="7">
        <v>15</v>
      </c>
      <c r="I200" s="7" t="s">
        <v>29</v>
      </c>
      <c r="J200" s="7" t="s">
        <v>528</v>
      </c>
      <c r="K200" s="12" t="str">
        <f t="shared" ref="K200:K202" si="69">HYPERLINK("https://hortamericas.com/","Hort Americas")</f>
        <v>Hort Americas</v>
      </c>
      <c r="L200" s="15" t="s">
        <v>529</v>
      </c>
      <c r="M200" s="48">
        <v>755.29</v>
      </c>
      <c r="N200" s="20">
        <f t="shared" ref="N200:N223" si="70">M200*H200</f>
        <v>11329.349999999999</v>
      </c>
      <c r="O200" s="23" t="str">
        <f t="shared" ref="O200:O202" si="71">HYPERLINK("https://drive.google.com/open?id=1Xh11Hu6YZqSyP3--roWpvRxUXaarI4kp","2017-06-07_Hort Americas")</f>
        <v>2017-06-07_Hort Americas</v>
      </c>
      <c r="P200" s="51">
        <v>2</v>
      </c>
      <c r="Q200" s="25">
        <v>6.25</v>
      </c>
      <c r="R200" s="27">
        <f t="shared" ref="R200:R223" si="72">Q200*H200</f>
        <v>93.75</v>
      </c>
      <c r="S200" s="28">
        <f t="shared" ref="S200:S223" si="73">R200*0.453592</f>
        <v>42.524250000000002</v>
      </c>
      <c r="T200" s="20"/>
    </row>
    <row r="201" spans="1:20" ht="13" x14ac:dyDescent="0.15">
      <c r="A201" s="7" t="s">
        <v>530</v>
      </c>
      <c r="B201" s="7" t="s">
        <v>525</v>
      </c>
      <c r="C201" s="7" t="s">
        <v>526</v>
      </c>
      <c r="D201" s="10" t="s">
        <v>527</v>
      </c>
      <c r="E201" s="7">
        <v>48</v>
      </c>
      <c r="F201" s="7">
        <v>80</v>
      </c>
      <c r="G201" s="11"/>
      <c r="H201" s="7">
        <v>10</v>
      </c>
      <c r="I201" s="7" t="s">
        <v>29</v>
      </c>
      <c r="J201" s="7" t="s">
        <v>528</v>
      </c>
      <c r="K201" s="12" t="str">
        <f t="shared" si="69"/>
        <v>Hort Americas</v>
      </c>
      <c r="L201" s="15" t="s">
        <v>531</v>
      </c>
      <c r="M201" s="48">
        <v>400</v>
      </c>
      <c r="N201" s="20">
        <f t="shared" si="70"/>
        <v>4000</v>
      </c>
      <c r="O201" s="23" t="str">
        <f t="shared" si="71"/>
        <v>2017-06-07_Hort Americas</v>
      </c>
      <c r="P201" s="51">
        <v>3</v>
      </c>
      <c r="Q201" s="25">
        <v>6.25</v>
      </c>
      <c r="R201" s="27">
        <f t="shared" si="72"/>
        <v>62.5</v>
      </c>
      <c r="S201" s="28">
        <f t="shared" si="73"/>
        <v>28.349499999999999</v>
      </c>
      <c r="T201" s="20"/>
    </row>
    <row r="202" spans="1:20" ht="13" x14ac:dyDescent="0.15">
      <c r="A202" s="7" t="s">
        <v>532</v>
      </c>
      <c r="B202" s="7" t="s">
        <v>525</v>
      </c>
      <c r="C202" s="7" t="s">
        <v>526</v>
      </c>
      <c r="D202" s="10" t="s">
        <v>527</v>
      </c>
      <c r="E202" s="7">
        <v>32</v>
      </c>
      <c r="F202" s="7">
        <v>100</v>
      </c>
      <c r="G202" s="11"/>
      <c r="H202" s="7">
        <v>6</v>
      </c>
      <c r="I202" s="7" t="s">
        <v>29</v>
      </c>
      <c r="J202" s="7" t="s">
        <v>528</v>
      </c>
      <c r="K202" s="12" t="str">
        <f t="shared" si="69"/>
        <v>Hort Americas</v>
      </c>
      <c r="L202" s="15" t="s">
        <v>533</v>
      </c>
      <c r="M202" s="48">
        <v>288.24</v>
      </c>
      <c r="N202" s="20">
        <f t="shared" si="70"/>
        <v>1729.44</v>
      </c>
      <c r="O202" s="23" t="str">
        <f t="shared" si="71"/>
        <v>2017-06-07_Hort Americas</v>
      </c>
      <c r="P202" s="51">
        <v>1</v>
      </c>
      <c r="Q202" s="25">
        <v>5.25</v>
      </c>
      <c r="R202" s="27">
        <f t="shared" si="72"/>
        <v>31.5</v>
      </c>
      <c r="S202" s="28">
        <f t="shared" si="73"/>
        <v>14.288148</v>
      </c>
      <c r="T202" s="20"/>
    </row>
    <row r="203" spans="1:20" ht="13" x14ac:dyDescent="0.15">
      <c r="A203" s="7" t="s">
        <v>534</v>
      </c>
      <c r="B203" s="7" t="s">
        <v>525</v>
      </c>
      <c r="C203" s="7" t="s">
        <v>526</v>
      </c>
      <c r="D203" s="10" t="s">
        <v>38</v>
      </c>
      <c r="E203" s="7">
        <v>2</v>
      </c>
      <c r="F203" s="7">
        <v>1</v>
      </c>
      <c r="G203" s="11"/>
      <c r="H203" s="7">
        <f t="shared" ref="H203:H210" si="74">E203*16</f>
        <v>32</v>
      </c>
      <c r="I203" s="7" t="s">
        <v>29</v>
      </c>
      <c r="J203" s="7" t="s">
        <v>535</v>
      </c>
      <c r="K203" s="12" t="str">
        <f t="shared" ref="K203:K204" si="75">HYPERLINK("http://www.estoconnectors.com/product/pn-109150","Esto")</f>
        <v>Esto</v>
      </c>
      <c r="L203" s="15" t="s">
        <v>536</v>
      </c>
      <c r="M203" s="48">
        <v>11.2</v>
      </c>
      <c r="N203" s="20">
        <f t="shared" si="70"/>
        <v>358.4</v>
      </c>
      <c r="O203" s="23" t="str">
        <f t="shared" ref="O203:O206" si="76">HYPERLINK("https://drive.google.com/open?id=1ksLCYUrUzbliT2W_qWoHHfEONSZWA4qX","2018-04-02_Esto")</f>
        <v>2018-04-02_Esto</v>
      </c>
      <c r="P203" s="51">
        <v>1</v>
      </c>
      <c r="Q203" s="25">
        <v>1</v>
      </c>
      <c r="R203" s="27">
        <f t="shared" si="72"/>
        <v>32</v>
      </c>
      <c r="S203" s="28">
        <f t="shared" si="73"/>
        <v>14.514944</v>
      </c>
      <c r="T203" s="20"/>
    </row>
    <row r="204" spans="1:20" ht="13" x14ac:dyDescent="0.15">
      <c r="A204" s="7" t="s">
        <v>537</v>
      </c>
      <c r="B204" s="7" t="s">
        <v>525</v>
      </c>
      <c r="C204" s="7" t="s">
        <v>526</v>
      </c>
      <c r="D204" s="10" t="s">
        <v>38</v>
      </c>
      <c r="E204" s="7">
        <v>3</v>
      </c>
      <c r="F204" s="7">
        <v>1</v>
      </c>
      <c r="G204" s="11"/>
      <c r="H204" s="7">
        <f t="shared" si="74"/>
        <v>48</v>
      </c>
      <c r="I204" s="7" t="s">
        <v>29</v>
      </c>
      <c r="J204" s="7" t="s">
        <v>535</v>
      </c>
      <c r="K204" s="12" t="str">
        <f t="shared" si="75"/>
        <v>Esto</v>
      </c>
      <c r="L204" s="15" t="s">
        <v>536</v>
      </c>
      <c r="M204" s="48">
        <v>4.3499999999999996</v>
      </c>
      <c r="N204" s="20">
        <f t="shared" si="70"/>
        <v>208.79999999999998</v>
      </c>
      <c r="O204" s="23" t="str">
        <f t="shared" si="76"/>
        <v>2018-04-02_Esto</v>
      </c>
      <c r="P204" s="51">
        <v>2</v>
      </c>
      <c r="Q204" s="25">
        <v>1</v>
      </c>
      <c r="R204" s="27">
        <f t="shared" si="72"/>
        <v>48</v>
      </c>
      <c r="S204" s="28">
        <f t="shared" si="73"/>
        <v>21.772416</v>
      </c>
      <c r="T204" s="20"/>
    </row>
    <row r="205" spans="1:20" ht="13" x14ac:dyDescent="0.15">
      <c r="A205" s="7" t="s">
        <v>538</v>
      </c>
      <c r="B205" s="7" t="s">
        <v>525</v>
      </c>
      <c r="C205" s="7" t="s">
        <v>526</v>
      </c>
      <c r="D205" s="10" t="s">
        <v>38</v>
      </c>
      <c r="E205" s="7">
        <v>4</v>
      </c>
      <c r="F205" s="7">
        <v>1</v>
      </c>
      <c r="G205" s="11"/>
      <c r="H205" s="7">
        <f t="shared" si="74"/>
        <v>64</v>
      </c>
      <c r="I205" s="7" t="s">
        <v>29</v>
      </c>
      <c r="J205" s="7" t="s">
        <v>535</v>
      </c>
      <c r="K205" s="12" t="str">
        <f>HYPERLINK("http://www.estoconnectors.com/product/PN-521100","Esto")</f>
        <v>Esto</v>
      </c>
      <c r="L205" s="15" t="s">
        <v>539</v>
      </c>
      <c r="M205" s="48">
        <v>2.2000000000000002</v>
      </c>
      <c r="N205" s="20">
        <f t="shared" si="70"/>
        <v>140.80000000000001</v>
      </c>
      <c r="O205" s="23" t="str">
        <f t="shared" si="76"/>
        <v>2018-04-02_Esto</v>
      </c>
      <c r="P205" s="51">
        <v>3</v>
      </c>
      <c r="Q205" s="25">
        <v>0.4</v>
      </c>
      <c r="R205" s="27">
        <f t="shared" si="72"/>
        <v>25.6</v>
      </c>
      <c r="S205" s="28">
        <f t="shared" si="73"/>
        <v>11.611955200000001</v>
      </c>
      <c r="T205" s="20"/>
    </row>
    <row r="206" spans="1:20" ht="13" x14ac:dyDescent="0.15">
      <c r="A206" s="7" t="s">
        <v>540</v>
      </c>
      <c r="B206" s="7" t="s">
        <v>525</v>
      </c>
      <c r="C206" s="7" t="s">
        <v>526</v>
      </c>
      <c r="D206" s="10" t="s">
        <v>38</v>
      </c>
      <c r="E206" s="7">
        <v>2</v>
      </c>
      <c r="F206" s="7">
        <v>1</v>
      </c>
      <c r="G206" s="11"/>
      <c r="H206" s="7">
        <f t="shared" si="74"/>
        <v>32</v>
      </c>
      <c r="I206" s="7" t="s">
        <v>29</v>
      </c>
      <c r="J206" s="7" t="s">
        <v>535</v>
      </c>
      <c r="K206" s="12" t="str">
        <f>HYPERLINK("http://www.estoconnectors.com/product/PN-532100","Esto")</f>
        <v>Esto</v>
      </c>
      <c r="L206" s="15" t="s">
        <v>541</v>
      </c>
      <c r="M206" s="48">
        <v>2.2799999999999998</v>
      </c>
      <c r="N206" s="20">
        <f t="shared" si="70"/>
        <v>72.959999999999994</v>
      </c>
      <c r="O206" s="23" t="str">
        <f t="shared" si="76"/>
        <v>2018-04-02_Esto</v>
      </c>
      <c r="P206" s="51">
        <v>4</v>
      </c>
      <c r="Q206" s="25">
        <v>0.5</v>
      </c>
      <c r="R206" s="27">
        <f t="shared" si="72"/>
        <v>16</v>
      </c>
      <c r="S206" s="28">
        <f t="shared" si="73"/>
        <v>7.2574719999999999</v>
      </c>
      <c r="T206" s="20"/>
    </row>
    <row r="207" spans="1:20" ht="13" x14ac:dyDescent="0.15">
      <c r="A207" s="7" t="s">
        <v>542</v>
      </c>
      <c r="B207" s="7" t="s">
        <v>525</v>
      </c>
      <c r="C207" s="7" t="s">
        <v>526</v>
      </c>
      <c r="D207" s="10" t="s">
        <v>28</v>
      </c>
      <c r="E207" s="7">
        <v>2</v>
      </c>
      <c r="F207" s="7">
        <v>1</v>
      </c>
      <c r="G207" s="11"/>
      <c r="H207" s="7">
        <f t="shared" si="74"/>
        <v>32</v>
      </c>
      <c r="I207" s="7" t="s">
        <v>29</v>
      </c>
      <c r="J207" s="7" t="s">
        <v>543</v>
      </c>
      <c r="K207" s="12" t="str">
        <f>HYPERLINK("https://www.amazon.com/gp/product/B00KA83C8O/ref=oh_aui_search_detailpage?ie=UTF8&amp;psc=1","Amazon")</f>
        <v>Amazon</v>
      </c>
      <c r="L207" s="15" t="s">
        <v>544</v>
      </c>
      <c r="M207" s="48">
        <v>43</v>
      </c>
      <c r="N207" s="20">
        <f t="shared" si="70"/>
        <v>1376</v>
      </c>
      <c r="O207" s="23" t="str">
        <f>HYPERLINK("https://drive.google.com/open?id=1I4zoB22LVPfvXjMcqDDHYoq3KV1jfg8u","2015-08-27_Amazon")</f>
        <v>2015-08-27_Amazon</v>
      </c>
      <c r="P207" s="51">
        <v>20</v>
      </c>
      <c r="Q207" s="25">
        <v>0.13</v>
      </c>
      <c r="R207" s="27">
        <f t="shared" si="72"/>
        <v>4.16</v>
      </c>
      <c r="S207" s="28">
        <f t="shared" si="73"/>
        <v>1.88694272</v>
      </c>
      <c r="T207" s="20"/>
    </row>
    <row r="208" spans="1:20" ht="13" x14ac:dyDescent="0.15">
      <c r="A208" s="7" t="s">
        <v>545</v>
      </c>
      <c r="B208" s="7" t="s">
        <v>525</v>
      </c>
      <c r="C208" s="7" t="s">
        <v>526</v>
      </c>
      <c r="D208" s="10" t="s">
        <v>38</v>
      </c>
      <c r="E208" s="7">
        <v>8</v>
      </c>
      <c r="F208" s="7">
        <v>1</v>
      </c>
      <c r="G208" s="11"/>
      <c r="H208" s="7">
        <f t="shared" si="74"/>
        <v>128</v>
      </c>
      <c r="I208" s="7" t="s">
        <v>29</v>
      </c>
      <c r="J208" s="7" t="s">
        <v>546</v>
      </c>
      <c r="K208" s="46" t="s">
        <v>547</v>
      </c>
      <c r="L208" s="15" t="s">
        <v>548</v>
      </c>
      <c r="M208" s="48">
        <v>8.39</v>
      </c>
      <c r="N208" s="20">
        <f t="shared" si="70"/>
        <v>1073.92</v>
      </c>
      <c r="O208" s="23" t="str">
        <f t="shared" ref="O208:O210" si="77">HYPERLINK("https://drive.google.com/open?id=1P7bLDbEP4TQz-bsBnOJBvOESM41VA2AE","2017-06-29_Incodema")</f>
        <v>2017-06-29_Incodema</v>
      </c>
      <c r="P208" s="51">
        <v>1</v>
      </c>
      <c r="Q208" s="25">
        <v>0.7</v>
      </c>
      <c r="R208" s="27">
        <f t="shared" si="72"/>
        <v>89.6</v>
      </c>
      <c r="S208" s="28">
        <f t="shared" si="73"/>
        <v>40.641843199999997</v>
      </c>
      <c r="T208" s="20"/>
    </row>
    <row r="209" spans="1:20" ht="13" x14ac:dyDescent="0.15">
      <c r="A209" s="7" t="s">
        <v>549</v>
      </c>
      <c r="B209" s="7" t="s">
        <v>525</v>
      </c>
      <c r="C209" s="7" t="s">
        <v>526</v>
      </c>
      <c r="D209" s="10" t="s">
        <v>38</v>
      </c>
      <c r="E209" s="7">
        <v>1</v>
      </c>
      <c r="F209" s="7">
        <v>1</v>
      </c>
      <c r="G209" s="11"/>
      <c r="H209" s="7">
        <f t="shared" si="74"/>
        <v>16</v>
      </c>
      <c r="I209" s="7" t="s">
        <v>29</v>
      </c>
      <c r="J209" s="7" t="s">
        <v>546</v>
      </c>
      <c r="K209" s="46" t="s">
        <v>547</v>
      </c>
      <c r="L209" s="15" t="s">
        <v>548</v>
      </c>
      <c r="M209" s="48">
        <v>72.19</v>
      </c>
      <c r="N209" s="20">
        <f t="shared" si="70"/>
        <v>1155.04</v>
      </c>
      <c r="O209" s="23" t="str">
        <f t="shared" si="77"/>
        <v>2017-06-29_Incodema</v>
      </c>
      <c r="P209" s="51">
        <v>2</v>
      </c>
      <c r="Q209" s="25">
        <v>3.1</v>
      </c>
      <c r="R209" s="27">
        <f t="shared" si="72"/>
        <v>49.6</v>
      </c>
      <c r="S209" s="28">
        <f t="shared" si="73"/>
        <v>22.4981632</v>
      </c>
      <c r="T209" s="20"/>
    </row>
    <row r="210" spans="1:20" ht="13" x14ac:dyDescent="0.15">
      <c r="A210" s="7" t="s">
        <v>550</v>
      </c>
      <c r="B210" s="7" t="s">
        <v>525</v>
      </c>
      <c r="C210" s="7" t="s">
        <v>526</v>
      </c>
      <c r="D210" s="10" t="s">
        <v>38</v>
      </c>
      <c r="E210" s="7">
        <v>1</v>
      </c>
      <c r="F210" s="7">
        <v>1</v>
      </c>
      <c r="G210" s="11"/>
      <c r="H210" s="7">
        <f t="shared" si="74"/>
        <v>16</v>
      </c>
      <c r="I210" s="7" t="s">
        <v>29</v>
      </c>
      <c r="J210" s="7" t="s">
        <v>546</v>
      </c>
      <c r="K210" s="46" t="s">
        <v>547</v>
      </c>
      <c r="L210" s="15" t="s">
        <v>548</v>
      </c>
      <c r="M210" s="48">
        <v>72.19</v>
      </c>
      <c r="N210" s="20">
        <f t="shared" si="70"/>
        <v>1155.04</v>
      </c>
      <c r="O210" s="23" t="str">
        <f t="shared" si="77"/>
        <v>2017-06-29_Incodema</v>
      </c>
      <c r="P210" s="51">
        <v>3</v>
      </c>
      <c r="Q210" s="25">
        <v>3.1</v>
      </c>
      <c r="R210" s="27">
        <f t="shared" si="72"/>
        <v>49.6</v>
      </c>
      <c r="S210" s="28">
        <f t="shared" si="73"/>
        <v>22.4981632</v>
      </c>
      <c r="T210" s="20"/>
    </row>
    <row r="211" spans="1:20" ht="13" x14ac:dyDescent="0.15">
      <c r="A211" s="7" t="s">
        <v>551</v>
      </c>
      <c r="B211" s="7" t="s">
        <v>552</v>
      </c>
      <c r="C211" s="7" t="s">
        <v>526</v>
      </c>
      <c r="D211" s="10" t="s">
        <v>38</v>
      </c>
      <c r="E211" s="7">
        <v>32</v>
      </c>
      <c r="F211" s="7">
        <v>1</v>
      </c>
      <c r="G211" s="11"/>
      <c r="H211" s="7">
        <v>32</v>
      </c>
      <c r="I211" s="7" t="s">
        <v>215</v>
      </c>
      <c r="J211" s="7" t="s">
        <v>553</v>
      </c>
      <c r="K211" s="46" t="s">
        <v>553</v>
      </c>
      <c r="L211" s="15" t="s">
        <v>51</v>
      </c>
      <c r="M211" s="48">
        <v>35</v>
      </c>
      <c r="N211" s="20">
        <f t="shared" si="70"/>
        <v>1120</v>
      </c>
      <c r="O211" s="61" t="s">
        <v>51</v>
      </c>
      <c r="P211" s="51" t="s">
        <v>51</v>
      </c>
      <c r="Q211" s="25">
        <v>2</v>
      </c>
      <c r="R211" s="27">
        <f t="shared" si="72"/>
        <v>64</v>
      </c>
      <c r="S211" s="28">
        <f t="shared" si="73"/>
        <v>29.029888</v>
      </c>
      <c r="T211" s="20"/>
    </row>
    <row r="212" spans="1:20" ht="13" x14ac:dyDescent="0.15">
      <c r="A212" s="7" t="s">
        <v>554</v>
      </c>
      <c r="B212" s="7" t="s">
        <v>552</v>
      </c>
      <c r="C212" s="7" t="s">
        <v>555</v>
      </c>
      <c r="D212" s="10" t="s">
        <v>28</v>
      </c>
      <c r="E212" s="7">
        <v>1</v>
      </c>
      <c r="F212" s="7">
        <v>1</v>
      </c>
      <c r="G212" s="11"/>
      <c r="H212" s="7">
        <v>1</v>
      </c>
      <c r="I212" s="7" t="s">
        <v>29</v>
      </c>
      <c r="J212" s="7" t="s">
        <v>556</v>
      </c>
      <c r="K212" s="12" t="str">
        <f>HYPERLINK("https://www.amazon.com/Wago-222-415-LEVER-NUTS-Conductor-Connectors/dp/B01AF5M4E4","Amazon")</f>
        <v>Amazon</v>
      </c>
      <c r="L212" s="15" t="s">
        <v>557</v>
      </c>
      <c r="M212" s="48">
        <v>36.950000000000003</v>
      </c>
      <c r="N212" s="20">
        <f t="shared" si="70"/>
        <v>36.950000000000003</v>
      </c>
      <c r="O212" s="23" t="str">
        <f>HYPERLINK("https://drive.google.com/open?id=1knQQq_Y41Vkk3CZNFYts2bN-Xu1EF0Pe","2018-03-18_Amazon")</f>
        <v>2018-03-18_Amazon</v>
      </c>
      <c r="P212" s="51">
        <v>1</v>
      </c>
      <c r="Q212" s="25">
        <v>0.06</v>
      </c>
      <c r="R212" s="27">
        <f t="shared" si="72"/>
        <v>0.06</v>
      </c>
      <c r="S212" s="28">
        <f t="shared" si="73"/>
        <v>2.721552E-2</v>
      </c>
      <c r="T212" s="20"/>
    </row>
    <row r="213" spans="1:20" ht="13" x14ac:dyDescent="0.15">
      <c r="A213" s="7" t="s">
        <v>558</v>
      </c>
      <c r="B213" s="7" t="s">
        <v>552</v>
      </c>
      <c r="C213" s="7" t="s">
        <v>555</v>
      </c>
      <c r="D213" s="10" t="s">
        <v>28</v>
      </c>
      <c r="E213" s="7">
        <v>5</v>
      </c>
      <c r="F213" s="7">
        <v>1</v>
      </c>
      <c r="G213" s="11"/>
      <c r="H213" s="7">
        <v>5</v>
      </c>
      <c r="I213" s="7" t="s">
        <v>29</v>
      </c>
      <c r="J213" s="7" t="s">
        <v>39</v>
      </c>
      <c r="K213" s="12" t="str">
        <f>HYPERLINK("https://www.mcmaster.com/#89015k48/=1c6jrgh","McMaster Carr")</f>
        <v>McMaster Carr</v>
      </c>
      <c r="L213" s="15" t="s">
        <v>559</v>
      </c>
      <c r="M213" s="48">
        <v>83.97</v>
      </c>
      <c r="N213" s="20">
        <f t="shared" si="70"/>
        <v>419.85</v>
      </c>
      <c r="O213" s="23" t="str">
        <f t="shared" ref="O213:O217" si="78">HYPERLINK("https://drive.google.com/open?id=1s2bXqIwoDqQraPlJwjbONCZnGHRqvoRV","2018-03-18_McMaster")</f>
        <v>2018-03-18_McMaster</v>
      </c>
      <c r="P213" s="51">
        <v>1</v>
      </c>
      <c r="Q213" s="25">
        <v>7</v>
      </c>
      <c r="R213" s="27">
        <f t="shared" si="72"/>
        <v>35</v>
      </c>
      <c r="S213" s="28">
        <f t="shared" si="73"/>
        <v>15.875719999999999</v>
      </c>
      <c r="T213" s="20"/>
    </row>
    <row r="214" spans="1:20" ht="13" x14ac:dyDescent="0.15">
      <c r="A214" s="7" t="s">
        <v>560</v>
      </c>
      <c r="B214" s="7" t="s">
        <v>552</v>
      </c>
      <c r="C214" s="7" t="s">
        <v>555</v>
      </c>
      <c r="D214" s="10" t="s">
        <v>28</v>
      </c>
      <c r="E214" s="7">
        <v>5</v>
      </c>
      <c r="F214" s="7">
        <v>1</v>
      </c>
      <c r="G214" s="11"/>
      <c r="H214" s="7">
        <v>5</v>
      </c>
      <c r="I214" s="7" t="s">
        <v>29</v>
      </c>
      <c r="J214" s="7" t="s">
        <v>561</v>
      </c>
      <c r="K214" s="12" t="str">
        <f>HYPERLINK("https://www.mcmaster.com/#47065t107/=1c6jv3j","McMaster Carr")</f>
        <v>McMaster Carr</v>
      </c>
      <c r="L214" s="15" t="s">
        <v>562</v>
      </c>
      <c r="M214" s="48">
        <v>40.020000000000003</v>
      </c>
      <c r="N214" s="20">
        <f t="shared" si="70"/>
        <v>200.10000000000002</v>
      </c>
      <c r="O214" s="23" t="str">
        <f t="shared" si="78"/>
        <v>2018-03-18_McMaster</v>
      </c>
      <c r="P214" s="51">
        <v>2</v>
      </c>
      <c r="Q214" s="25">
        <v>7.3</v>
      </c>
      <c r="R214" s="27">
        <f t="shared" si="72"/>
        <v>36.5</v>
      </c>
      <c r="S214" s="28">
        <f t="shared" si="73"/>
        <v>16.556107999999998</v>
      </c>
      <c r="T214" s="20"/>
    </row>
    <row r="215" spans="1:20" ht="13" x14ac:dyDescent="0.15">
      <c r="A215" s="7" t="s">
        <v>563</v>
      </c>
      <c r="B215" s="7" t="s">
        <v>552</v>
      </c>
      <c r="C215" s="7" t="s">
        <v>555</v>
      </c>
      <c r="D215" s="10" t="s">
        <v>28</v>
      </c>
      <c r="E215" s="7">
        <v>7</v>
      </c>
      <c r="F215" s="7">
        <v>1</v>
      </c>
      <c r="G215" s="11"/>
      <c r="H215" s="7">
        <v>7</v>
      </c>
      <c r="I215" s="7" t="s">
        <v>29</v>
      </c>
      <c r="J215" s="7" t="s">
        <v>39</v>
      </c>
      <c r="K215" s="12" t="str">
        <f>HYPERLINK("https://www.mcmaster.com/#7310k23/=1c6jv6z","McMaster Carr")</f>
        <v>McMaster Carr</v>
      </c>
      <c r="L215" s="15" t="s">
        <v>564</v>
      </c>
      <c r="M215" s="48">
        <v>3.47</v>
      </c>
      <c r="N215" s="20">
        <f t="shared" si="70"/>
        <v>24.290000000000003</v>
      </c>
      <c r="O215" s="23" t="str">
        <f t="shared" si="78"/>
        <v>2018-03-18_McMaster</v>
      </c>
      <c r="P215" s="51">
        <v>3</v>
      </c>
      <c r="Q215" s="25">
        <v>0.55000000000000004</v>
      </c>
      <c r="R215" s="27">
        <f t="shared" si="72"/>
        <v>3.8500000000000005</v>
      </c>
      <c r="S215" s="28">
        <f t="shared" si="73"/>
        <v>1.7463292000000001</v>
      </c>
      <c r="T215" s="20"/>
    </row>
    <row r="216" spans="1:20" ht="13" x14ac:dyDescent="0.15">
      <c r="A216" s="7" t="s">
        <v>565</v>
      </c>
      <c r="B216" s="7" t="s">
        <v>552</v>
      </c>
      <c r="C216" s="7" t="s">
        <v>555</v>
      </c>
      <c r="D216" s="10" t="s">
        <v>28</v>
      </c>
      <c r="E216" s="7">
        <v>5</v>
      </c>
      <c r="F216" s="7">
        <v>1</v>
      </c>
      <c r="G216" s="11"/>
      <c r="H216" s="7">
        <v>5</v>
      </c>
      <c r="I216" s="7" t="s">
        <v>29</v>
      </c>
      <c r="J216" s="7" t="s">
        <v>39</v>
      </c>
      <c r="K216" s="12" t="str">
        <f>HYPERLINK("https://www.mcmaster.com/#8560k357/=1c6jvba","McMaster Carr")</f>
        <v>McMaster Carr</v>
      </c>
      <c r="L216" s="15" t="s">
        <v>566</v>
      </c>
      <c r="M216" s="48">
        <v>54.68</v>
      </c>
      <c r="N216" s="20">
        <f t="shared" si="70"/>
        <v>273.39999999999998</v>
      </c>
      <c r="O216" s="23" t="str">
        <f t="shared" si="78"/>
        <v>2018-03-18_McMaster</v>
      </c>
      <c r="P216" s="51">
        <v>4</v>
      </c>
      <c r="Q216" s="25">
        <v>5.7</v>
      </c>
      <c r="R216" s="27">
        <f t="shared" si="72"/>
        <v>28.5</v>
      </c>
      <c r="S216" s="28">
        <f t="shared" si="73"/>
        <v>12.927372</v>
      </c>
      <c r="T216" s="20"/>
    </row>
    <row r="217" spans="1:20" ht="13" x14ac:dyDescent="0.15">
      <c r="A217" s="7" t="s">
        <v>567</v>
      </c>
      <c r="B217" s="7" t="s">
        <v>552</v>
      </c>
      <c r="C217" s="7" t="s">
        <v>555</v>
      </c>
      <c r="D217" s="10" t="s">
        <v>38</v>
      </c>
      <c r="E217" s="7">
        <v>20</v>
      </c>
      <c r="F217" s="7">
        <v>1</v>
      </c>
      <c r="G217" s="11"/>
      <c r="H217" s="7">
        <v>20</v>
      </c>
      <c r="I217" s="7" t="s">
        <v>29</v>
      </c>
      <c r="J217" s="7" t="s">
        <v>39</v>
      </c>
      <c r="K217" s="12" t="str">
        <f>HYPERLINK("https://www.mcmaster.com/#47065t142/=1c6jvf8","McMaster Carr")</f>
        <v>McMaster Carr</v>
      </c>
      <c r="L217" s="169" t="str">
        <f>HYPERLINK("https://www.mcmaster.com/#47065t142/=1c6jvf8","47065T142")</f>
        <v>47065T142</v>
      </c>
      <c r="M217" s="48">
        <v>2.2999999999999998</v>
      </c>
      <c r="N217" s="20">
        <f t="shared" si="70"/>
        <v>46</v>
      </c>
      <c r="O217" s="23" t="str">
        <f t="shared" si="78"/>
        <v>2018-03-18_McMaster</v>
      </c>
      <c r="P217" s="51">
        <v>5</v>
      </c>
      <c r="Q217" s="25">
        <v>0.04</v>
      </c>
      <c r="R217" s="27">
        <f t="shared" si="72"/>
        <v>0.8</v>
      </c>
      <c r="S217" s="28">
        <f t="shared" si="73"/>
        <v>0.36287360000000002</v>
      </c>
      <c r="T217" s="20"/>
    </row>
    <row r="218" spans="1:20" ht="13" x14ac:dyDescent="0.15">
      <c r="A218" s="7" t="s">
        <v>568</v>
      </c>
      <c r="B218" s="7" t="s">
        <v>552</v>
      </c>
      <c r="C218" s="7" t="s">
        <v>555</v>
      </c>
      <c r="D218" s="10" t="s">
        <v>28</v>
      </c>
      <c r="E218" s="7">
        <v>15</v>
      </c>
      <c r="F218" s="7">
        <v>1</v>
      </c>
      <c r="G218" s="11"/>
      <c r="H218" s="7">
        <v>15</v>
      </c>
      <c r="I218" s="7" t="s">
        <v>29</v>
      </c>
      <c r="J218" s="7" t="s">
        <v>569</v>
      </c>
      <c r="K218" s="12" t="str">
        <f>HYPERLINK("https://www.mouser.com/ProductDetail/Vishay-Sfernice/P16NP104MAB15?qs=vnwGVgFuQiZxd8slT2LVYQ%3D%3D","Mouser")</f>
        <v>Mouser</v>
      </c>
      <c r="L218" s="15" t="s">
        <v>570</v>
      </c>
      <c r="M218" s="48">
        <v>15.87</v>
      </c>
      <c r="N218" s="20">
        <f t="shared" si="70"/>
        <v>238.04999999999998</v>
      </c>
      <c r="O218" s="23" t="str">
        <f>HYPERLINK("https://drive.google.com/open?id=1R9CdTfQ-YzXtKcPLvzV3bUjCfFuKHa1Y","2018-03-22_Mouser")</f>
        <v>2018-03-22_Mouser</v>
      </c>
      <c r="P218" s="51">
        <v>1</v>
      </c>
      <c r="Q218" s="25">
        <v>0.16</v>
      </c>
      <c r="R218" s="27">
        <f t="shared" si="72"/>
        <v>2.4</v>
      </c>
      <c r="S218" s="28">
        <f t="shared" si="73"/>
        <v>1.0886207999999999</v>
      </c>
      <c r="T218" s="20"/>
    </row>
    <row r="219" spans="1:20" ht="13" x14ac:dyDescent="0.15">
      <c r="A219" s="7" t="s">
        <v>571</v>
      </c>
      <c r="B219" s="7" t="s">
        <v>552</v>
      </c>
      <c r="C219" s="7" t="s">
        <v>555</v>
      </c>
      <c r="D219" s="10" t="s">
        <v>28</v>
      </c>
      <c r="E219" s="7">
        <v>15</v>
      </c>
      <c r="F219" s="7">
        <v>1</v>
      </c>
      <c r="G219" s="11"/>
      <c r="H219" s="7">
        <v>15</v>
      </c>
      <c r="I219" s="7" t="s">
        <v>29</v>
      </c>
      <c r="J219" s="7" t="s">
        <v>572</v>
      </c>
      <c r="K219" s="12" t="str">
        <f>HYPERLINK("https://www.mouser.com/ProductDetail/MEAN-WELL/HLG-600H-12B?qs=sGAEpiMZZMt5PRBMPTWcadpJaJ00SD0WbSVI2y%2frTb45It6DripapA%3d%3d","Mouser")</f>
        <v>Mouser</v>
      </c>
      <c r="L219" s="15" t="s">
        <v>573</v>
      </c>
      <c r="M219" s="48">
        <v>144.22999999999999</v>
      </c>
      <c r="N219" s="20">
        <f t="shared" si="70"/>
        <v>2163.4499999999998</v>
      </c>
      <c r="O219" s="23" t="str">
        <f>HYPERLINK("https://drive.google.com/open?id=1iWAffWl4EqQnLdIZrAXR_fxfh-5gyeAL","2018-03-18_Mouser01")</f>
        <v>2018-03-18_Mouser01</v>
      </c>
      <c r="P219" s="51">
        <v>1</v>
      </c>
      <c r="Q219" s="25">
        <v>8.6</v>
      </c>
      <c r="R219" s="27">
        <f t="shared" si="72"/>
        <v>129</v>
      </c>
      <c r="S219" s="28">
        <f t="shared" si="73"/>
        <v>58.513368</v>
      </c>
      <c r="T219" s="20"/>
    </row>
    <row r="220" spans="1:20" ht="13" x14ac:dyDescent="0.15">
      <c r="A220" s="7" t="s">
        <v>574</v>
      </c>
      <c r="B220" s="7" t="s">
        <v>552</v>
      </c>
      <c r="C220" s="7" t="s">
        <v>555</v>
      </c>
      <c r="D220" s="10" t="s">
        <v>28</v>
      </c>
      <c r="E220" s="7">
        <v>90</v>
      </c>
      <c r="F220" s="7">
        <v>1</v>
      </c>
      <c r="G220" s="11"/>
      <c r="H220" s="7">
        <v>90</v>
      </c>
      <c r="I220" s="7" t="s">
        <v>29</v>
      </c>
      <c r="J220" s="7" t="s">
        <v>39</v>
      </c>
      <c r="K220" s="12" t="str">
        <f>HYPERLINK("https://www.mouser.com/ProductDetail/?qs=6ARB0lp6jlWldi2m3YHVhQ%3D%3D","Mouser")</f>
        <v>Mouser</v>
      </c>
      <c r="L220" s="15" t="s">
        <v>575</v>
      </c>
      <c r="M220" s="48">
        <v>8.39</v>
      </c>
      <c r="N220" s="20">
        <f t="shared" si="70"/>
        <v>755.1</v>
      </c>
      <c r="O220" s="23" t="str">
        <f t="shared" ref="O220:O221" si="79">HYPERLINK("https://drive.google.com/open?id=1TKVxLVDnxWH8PTEKygeCoQbcTLv1jax_","2018-03-18_Mouser02")</f>
        <v>2018-03-18_Mouser02</v>
      </c>
      <c r="P220" s="51">
        <v>1</v>
      </c>
      <c r="Q220" s="25">
        <v>0.1</v>
      </c>
      <c r="R220" s="27">
        <f t="shared" si="72"/>
        <v>9</v>
      </c>
      <c r="S220" s="28">
        <f t="shared" si="73"/>
        <v>4.0823280000000004</v>
      </c>
      <c r="T220" s="20"/>
    </row>
    <row r="221" spans="1:20" ht="13" x14ac:dyDescent="0.15">
      <c r="A221" s="7" t="s">
        <v>576</v>
      </c>
      <c r="B221" s="7" t="s">
        <v>552</v>
      </c>
      <c r="C221" s="7" t="s">
        <v>555</v>
      </c>
      <c r="D221" s="10" t="s">
        <v>28</v>
      </c>
      <c r="E221" s="7">
        <v>6</v>
      </c>
      <c r="F221" s="7">
        <v>1</v>
      </c>
      <c r="G221" s="11"/>
      <c r="H221" s="7">
        <v>6</v>
      </c>
      <c r="I221" s="7" t="s">
        <v>29</v>
      </c>
      <c r="J221" s="7" t="s">
        <v>39</v>
      </c>
      <c r="K221" s="12" t="str">
        <f>HYPERLINK("https://www.mouser.com/ProductDetail/Qualtek/311022-01?qs=R%252bI2IpYYZP8s9MTPogWd8w%3D%3D","Mouser")</f>
        <v>Mouser</v>
      </c>
      <c r="L221" s="15" t="s">
        <v>577</v>
      </c>
      <c r="M221" s="48">
        <v>8.2100000000000009</v>
      </c>
      <c r="N221" s="20">
        <f t="shared" si="70"/>
        <v>49.260000000000005</v>
      </c>
      <c r="O221" s="23" t="str">
        <f t="shared" si="79"/>
        <v>2018-03-18_Mouser02</v>
      </c>
      <c r="P221" s="51">
        <v>3</v>
      </c>
      <c r="Q221" s="25">
        <v>0.4</v>
      </c>
      <c r="R221" s="27">
        <f t="shared" si="72"/>
        <v>2.4000000000000004</v>
      </c>
      <c r="S221" s="28">
        <f t="shared" si="73"/>
        <v>1.0886208000000002</v>
      </c>
      <c r="T221" s="20"/>
    </row>
    <row r="222" spans="1:20" ht="13" x14ac:dyDescent="0.15">
      <c r="A222" s="7" t="s">
        <v>578</v>
      </c>
      <c r="B222" s="7" t="s">
        <v>552</v>
      </c>
      <c r="C222" s="7" t="s">
        <v>555</v>
      </c>
      <c r="D222" s="10" t="s">
        <v>28</v>
      </c>
      <c r="E222" s="7">
        <v>10</v>
      </c>
      <c r="F222" s="7">
        <v>1</v>
      </c>
      <c r="G222" s="11"/>
      <c r="H222" s="7">
        <v>10</v>
      </c>
      <c r="I222" s="7" t="s">
        <v>29</v>
      </c>
      <c r="J222" s="7" t="s">
        <v>579</v>
      </c>
      <c r="K222" s="12" t="str">
        <f>HYPERLINK("https://www.uline.com/Product/Detail/S-12606/Corrugated-Boxes-200-Test/22-x-22-x-4-Corrugated-Boxes","U-Line")</f>
        <v>U-Line</v>
      </c>
      <c r="L222" s="15" t="s">
        <v>580</v>
      </c>
      <c r="M222" s="48">
        <v>2.44</v>
      </c>
      <c r="N222" s="20">
        <f t="shared" si="70"/>
        <v>24.4</v>
      </c>
      <c r="O222" s="23" t="str">
        <f t="shared" ref="O222:O223" si="80">HYPERLINK("https://drive.google.com/open?id=1H8CDnf-O2lHg0Lg-HPL21P-sDzfvT1f-","2018-03-20_Uline")</f>
        <v>2018-03-20_Uline</v>
      </c>
      <c r="P222" s="51">
        <v>1</v>
      </c>
      <c r="Q222" s="25">
        <v>2.2000000000000002</v>
      </c>
      <c r="R222" s="27">
        <f t="shared" si="72"/>
        <v>22</v>
      </c>
      <c r="S222" s="28">
        <f t="shared" si="73"/>
        <v>9.979023999999999</v>
      </c>
      <c r="T222" s="20"/>
    </row>
    <row r="223" spans="1:20" ht="13" x14ac:dyDescent="0.15">
      <c r="A223" s="7" t="s">
        <v>581</v>
      </c>
      <c r="B223" s="7" t="s">
        <v>552</v>
      </c>
      <c r="C223" s="7" t="s">
        <v>555</v>
      </c>
      <c r="D223" s="10" t="s">
        <v>28</v>
      </c>
      <c r="E223" s="7">
        <v>4</v>
      </c>
      <c r="F223" s="7">
        <v>1</v>
      </c>
      <c r="G223" s="11"/>
      <c r="H223" s="7">
        <v>4</v>
      </c>
      <c r="I223" s="7" t="s">
        <v>29</v>
      </c>
      <c r="J223" s="7" t="s">
        <v>579</v>
      </c>
      <c r="K223" s="12" t="str">
        <f>HYPERLINK("https://www.uline.com/Product/Detail/S-6684P/Bubble-Rolls/Economy-Bubble-Roll-24-x-375-5-16-Perforated","U-Line")</f>
        <v>U-Line</v>
      </c>
      <c r="L223" s="15" t="s">
        <v>582</v>
      </c>
      <c r="M223" s="48">
        <v>66</v>
      </c>
      <c r="N223" s="20">
        <f t="shared" si="70"/>
        <v>264</v>
      </c>
      <c r="O223" s="23" t="str">
        <f t="shared" si="80"/>
        <v>2018-03-20_Uline</v>
      </c>
      <c r="P223" s="51">
        <v>2</v>
      </c>
      <c r="Q223" s="25">
        <v>4</v>
      </c>
      <c r="R223" s="27">
        <f t="shared" si="72"/>
        <v>16</v>
      </c>
      <c r="S223" s="28">
        <f t="shared" si="73"/>
        <v>7.2574719999999999</v>
      </c>
      <c r="T223" s="20"/>
    </row>
    <row r="224" spans="1:20" ht="2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15"/>
      <c r="M224" s="7"/>
      <c r="N224" s="7"/>
      <c r="O224" s="7"/>
      <c r="P224" s="15"/>
      <c r="Q224" s="7"/>
      <c r="R224" s="136"/>
      <c r="S224" s="137"/>
      <c r="T224" s="7"/>
    </row>
    <row r="225" spans="1:20" ht="20" x14ac:dyDescent="0.2">
      <c r="A225" s="170" t="s">
        <v>583</v>
      </c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2"/>
      <c r="M225" s="171"/>
      <c r="N225" s="171"/>
      <c r="O225" s="171"/>
      <c r="P225" s="172"/>
      <c r="Q225" s="171"/>
      <c r="R225" s="173"/>
      <c r="S225" s="174"/>
      <c r="T225" s="171"/>
    </row>
    <row r="226" spans="1:20" ht="13" x14ac:dyDescent="0.15">
      <c r="A226" s="7" t="s">
        <v>330</v>
      </c>
      <c r="B226" s="7" t="s">
        <v>584</v>
      </c>
      <c r="C226" s="7" t="s">
        <v>293</v>
      </c>
      <c r="D226" s="110" t="s">
        <v>28</v>
      </c>
      <c r="E226" s="51">
        <v>2</v>
      </c>
      <c r="F226" s="51">
        <v>1</v>
      </c>
      <c r="G226" s="111">
        <f t="shared" ref="G226:G228" si="81">E226/F226</f>
        <v>2</v>
      </c>
      <c r="H226" s="29">
        <v>16</v>
      </c>
      <c r="I226" s="7" t="s">
        <v>29</v>
      </c>
      <c r="J226" s="7" t="s">
        <v>134</v>
      </c>
      <c r="K226" s="112" t="str">
        <f>HYPERLINK("https://www.homedepot.com/p/Everbilt-1-2-in-x-1-4-in-Brass-MPT-x-MHT-Boiler-Drain-VBDQTRC3EB/205811822","Home Depot")</f>
        <v>Home Depot</v>
      </c>
      <c r="L226" s="113" t="s">
        <v>135</v>
      </c>
      <c r="M226" s="106">
        <v>8.9</v>
      </c>
      <c r="N226" s="20">
        <f t="shared" ref="N226:N228" si="82">M226*H226</f>
        <v>142.4</v>
      </c>
      <c r="O226" s="23" t="str">
        <f>HYPERLINK("https://drive.google.com/open?id=1eLm-1yEGzGUPLO7XHEs15OI0VmtEOLZk","2018-02-22_Home Depot")</f>
        <v>2018-02-22_Home Depot</v>
      </c>
      <c r="P226" s="114">
        <v>2</v>
      </c>
      <c r="Q226" s="28">
        <v>0.28999999999999998</v>
      </c>
      <c r="R226" s="27">
        <f t="shared" ref="R226:R228" si="83">Q226*H226</f>
        <v>4.6399999999999997</v>
      </c>
      <c r="S226" s="28">
        <f t="shared" ref="S226:S228" si="84">R226*0.453592</f>
        <v>2.1046668799999999</v>
      </c>
      <c r="T226" s="11"/>
    </row>
    <row r="227" spans="1:20" ht="13" x14ac:dyDescent="0.15">
      <c r="A227" s="7" t="s">
        <v>451</v>
      </c>
      <c r="B227" s="7" t="s">
        <v>584</v>
      </c>
      <c r="C227" s="7" t="s">
        <v>293</v>
      </c>
      <c r="D227" s="110" t="s">
        <v>453</v>
      </c>
      <c r="E227" s="51">
        <v>3</v>
      </c>
      <c r="F227" s="51">
        <v>1</v>
      </c>
      <c r="G227" s="111">
        <f t="shared" si="81"/>
        <v>3</v>
      </c>
      <c r="H227" s="29">
        <v>16</v>
      </c>
      <c r="I227" s="7" t="s">
        <v>29</v>
      </c>
      <c r="J227" s="7" t="s">
        <v>39</v>
      </c>
      <c r="K227" s="112" t="str">
        <f>HYPERLINK("https://www.mcmaster.com/#51235k119/=1a0v11n","McMaster Carr")</f>
        <v>McMaster Carr</v>
      </c>
      <c r="L227" s="113" t="s">
        <v>454</v>
      </c>
      <c r="M227" s="106">
        <v>4.58</v>
      </c>
      <c r="N227" s="20">
        <f t="shared" si="82"/>
        <v>73.28</v>
      </c>
      <c r="O227" s="130" t="str">
        <f>HYPERLINK("https://drive.google.com/drive/u/1/folders/1BHG7b2ipx2SFtyQ7JrIwSX6DPfoNPvYF","2018-02-20_McMaster")</f>
        <v>2018-02-20_McMaster</v>
      </c>
      <c r="P227" s="114">
        <v>9</v>
      </c>
      <c r="Q227" s="28">
        <v>0.02</v>
      </c>
      <c r="R227" s="27">
        <f t="shared" si="83"/>
        <v>0.32</v>
      </c>
      <c r="S227" s="28">
        <f t="shared" si="84"/>
        <v>0.14514943999999999</v>
      </c>
      <c r="T227" s="11"/>
    </row>
    <row r="228" spans="1:20" ht="13" x14ac:dyDescent="0.15">
      <c r="A228" s="30" t="s">
        <v>456</v>
      </c>
      <c r="B228" s="7" t="s">
        <v>584</v>
      </c>
      <c r="C228" s="7" t="s">
        <v>293</v>
      </c>
      <c r="D228" s="31" t="s">
        <v>38</v>
      </c>
      <c r="E228" s="32">
        <v>3</v>
      </c>
      <c r="F228" s="32">
        <v>1</v>
      </c>
      <c r="G228" s="143">
        <f t="shared" si="81"/>
        <v>3</v>
      </c>
      <c r="H228" s="144">
        <v>32</v>
      </c>
      <c r="I228" s="7" t="s">
        <v>29</v>
      </c>
      <c r="J228" s="30" t="s">
        <v>39</v>
      </c>
      <c r="K228" s="33" t="str">
        <f>HYPERLINK("https://www.mcmaster.com/#4880k321/=1ao2jap","McMaster Carr")</f>
        <v>McMaster Carr</v>
      </c>
      <c r="L228" s="35" t="s">
        <v>457</v>
      </c>
      <c r="M228" s="37">
        <v>0.38</v>
      </c>
      <c r="N228" s="37">
        <f t="shared" si="82"/>
        <v>12.16</v>
      </c>
      <c r="O228" s="39" t="str">
        <f>HYPERLINK("https://drive.google.com/open?id=17ra1rRj-Z09UoIGz2wMfmF9NRSQNMWKf","2018-02-20_McMaster")</f>
        <v>2018-02-20_McMaster</v>
      </c>
      <c r="P228" s="32">
        <v>1</v>
      </c>
      <c r="Q228" s="41">
        <v>0.06</v>
      </c>
      <c r="R228" s="27">
        <f t="shared" si="83"/>
        <v>1.92</v>
      </c>
      <c r="S228" s="28">
        <f t="shared" si="84"/>
        <v>0.87089664</v>
      </c>
      <c r="T228" s="30"/>
    </row>
    <row r="229" spans="1:20" ht="20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5"/>
      <c r="M229" s="7"/>
      <c r="N229" s="7"/>
      <c r="O229" s="7"/>
      <c r="P229" s="15"/>
      <c r="Q229" s="7"/>
      <c r="R229" s="136"/>
      <c r="S229" s="137"/>
      <c r="T229" s="7"/>
    </row>
    <row r="230" spans="1:20" ht="20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75" t="s">
        <v>14</v>
      </c>
      <c r="M230" s="175"/>
      <c r="N230" s="176">
        <f>SUM(N2:N228)</f>
        <v>59046.784599999984</v>
      </c>
      <c r="O230" s="7"/>
      <c r="P230" s="15"/>
      <c r="Q230" s="7"/>
      <c r="R230" s="136" t="s">
        <v>585</v>
      </c>
      <c r="S230" s="177">
        <f>SUM(S2:S228)</f>
        <v>1238.5356948663998</v>
      </c>
      <c r="T230" s="7"/>
    </row>
    <row r="231" spans="1:20" ht="20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5"/>
      <c r="M231" s="7"/>
      <c r="N231" s="7"/>
      <c r="O231" s="7"/>
      <c r="P231" s="15"/>
      <c r="Q231" s="7"/>
      <c r="R231" s="136"/>
      <c r="S231" s="137"/>
      <c r="T231" s="7"/>
    </row>
    <row r="232" spans="1:20" ht="20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5"/>
      <c r="M232" s="7"/>
      <c r="N232" s="7"/>
      <c r="O232" s="7"/>
      <c r="P232" s="15"/>
      <c r="Q232" s="7"/>
      <c r="R232" s="136"/>
      <c r="S232" s="137"/>
      <c r="T232" s="7"/>
    </row>
    <row r="233" spans="1:20" ht="20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5"/>
      <c r="M233" s="7"/>
      <c r="N233" s="7"/>
      <c r="O233" s="7"/>
      <c r="P233" s="15"/>
      <c r="Q233" s="7"/>
      <c r="R233" s="136"/>
      <c r="S233" s="137"/>
      <c r="T233" s="7"/>
    </row>
    <row r="234" spans="1:20" ht="20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15"/>
      <c r="M234" s="7"/>
      <c r="N234" s="7"/>
      <c r="O234" s="7"/>
      <c r="P234" s="15"/>
      <c r="Q234" s="7"/>
      <c r="R234" s="136"/>
      <c r="S234" s="137"/>
      <c r="T234" s="7"/>
    </row>
    <row r="235" spans="1:20" ht="20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15"/>
      <c r="M235" s="7"/>
      <c r="N235" s="7"/>
      <c r="O235" s="7"/>
      <c r="P235" s="15"/>
      <c r="Q235" s="7"/>
      <c r="R235" s="136"/>
      <c r="S235" s="137"/>
      <c r="T235" s="7"/>
    </row>
    <row r="236" spans="1:20" ht="20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15"/>
      <c r="M236" s="7"/>
      <c r="N236" s="7"/>
      <c r="O236" s="7"/>
      <c r="P236" s="15"/>
      <c r="Q236" s="7"/>
      <c r="R236" s="136"/>
      <c r="S236" s="137"/>
      <c r="T236" s="7"/>
    </row>
  </sheetData>
  <dataValidations count="3">
    <dataValidation type="list" allowBlank="1" sqref="I20:I21 I33:I37 I57 I59 I125:I130 I172 I176:I178 I181:I183 I211" xr:uid="{00000000-0002-0000-0000-000000000000}">
      <formula1>"pending,to be invoiced,invoiced,pending receipt,pending discussion"</formula1>
    </dataValidation>
    <dataValidation type="list" allowBlank="1" sqref="C2:C130 C138:C142 C145:C158 C161:C164 C167:C173 C176:C178 C181:C184 C187:C190 C192:C197 C199:C223 C226:C228" xr:uid="{00000000-0002-0000-0000-000001000000}">
      <formula1>"Rack,Light Panel,Irrigation,AC Electrical,DC Electrical,Tools,HVAC,Communications,Driver Boards,pending"</formula1>
    </dataValidation>
    <dataValidation type="list" allowBlank="1" sqref="I2:I19 I22:I32 I38:I56 I58 I60:I124 I138 I155 I167 I173 I184 I187:I190 I192:I197 I199:I210 I212:I223 I226:I228" xr:uid="{00000000-0002-0000-0000-000002000000}">
      <formula1>"pending,to be invoiced,invoiced"</formula1>
    </dataValidation>
  </dataValidations>
  <hyperlinks>
    <hyperlink ref="K172" r:id="rId1" xr:uid="{00000000-0004-0000-0000-000000000000}"/>
    <hyperlink ref="O172" r:id="rId2" xr:uid="{00000000-0004-0000-0000-000001000000}"/>
    <hyperlink ref="O177" r:id="rId3" xr:uid="{00000000-0004-0000-0000-000002000000}"/>
    <hyperlink ref="K182" r:id="rId4" xr:uid="{00000000-0004-0000-0000-000003000000}"/>
    <hyperlink ref="O182" r:id="rId5" xr:uid="{00000000-0004-0000-0000-000004000000}"/>
    <hyperlink ref="K183" r:id="rId6" xr:uid="{00000000-0004-0000-0000-000005000000}"/>
    <hyperlink ref="O183" r:id="rId7" xr:uid="{00000000-0004-0000-0000-000006000000}"/>
    <hyperlink ref="O194" r:id="rId8" xr:uid="{00000000-0004-0000-0000-000007000000}"/>
    <hyperlink ref="O196" r:id="rId9" xr:uid="{00000000-0004-0000-0000-000008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41.1640625" customWidth="1"/>
    <col min="2" max="2" width="16.1640625" customWidth="1"/>
    <col min="3" max="3" width="18.6640625" customWidth="1"/>
    <col min="4" max="4" width="19.33203125" customWidth="1"/>
    <col min="5" max="6" width="23.1640625" customWidth="1"/>
    <col min="7" max="7" width="18.5" customWidth="1"/>
    <col min="8" max="8" width="18.33203125" customWidth="1"/>
    <col min="9" max="9" width="12.5" customWidth="1"/>
    <col min="10" max="10" width="17.1640625" customWidth="1"/>
    <col min="11" max="12" width="16.5" customWidth="1"/>
    <col min="13" max="13" width="82.1640625" hidden="1" customWidth="1"/>
  </cols>
  <sheetData>
    <row r="1" spans="1:13" ht="24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" t="s">
        <v>8</v>
      </c>
      <c r="I1" s="4" t="s">
        <v>12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ht="13" x14ac:dyDescent="0.15">
      <c r="A2" s="6" t="s">
        <v>18</v>
      </c>
      <c r="B2" s="8"/>
      <c r="C2" s="9">
        <v>1</v>
      </c>
      <c r="D2" s="6">
        <f t="shared" ref="D2:D23" si="0">C2*13</f>
        <v>13</v>
      </c>
      <c r="E2" s="6" t="s">
        <v>31</v>
      </c>
      <c r="F2" s="6" t="s">
        <v>32</v>
      </c>
      <c r="G2" s="13" t="str">
        <f>HYPERLINK("https://www.amazon.com/KingSo-Irrigation-Venturi-Fertilizer-Watering/dp/B07C2K6JQ4/ref=sr_1_3?ie=UTF8&amp;qid=1526909082&amp;sr=8-3&amp;keywords=1%2F2%22+venturi","Amazon")</f>
        <v>Amazon</v>
      </c>
      <c r="H2" s="14" t="s">
        <v>34</v>
      </c>
      <c r="I2" s="16">
        <v>19.440000000000001</v>
      </c>
      <c r="J2" s="18"/>
      <c r="K2" s="19">
        <v>0.41</v>
      </c>
      <c r="L2" s="19">
        <f t="shared" ref="L2:L10" si="1">C2*K2</f>
        <v>0.41</v>
      </c>
      <c r="M2" s="21"/>
    </row>
    <row r="3" spans="1:13" ht="13" x14ac:dyDescent="0.15">
      <c r="A3" s="22" t="s">
        <v>35</v>
      </c>
      <c r="B3" s="24"/>
      <c r="C3" s="26">
        <v>1</v>
      </c>
      <c r="D3" s="6">
        <f t="shared" si="0"/>
        <v>13</v>
      </c>
      <c r="E3" s="22"/>
      <c r="F3" s="22" t="s">
        <v>40</v>
      </c>
      <c r="G3" s="34" t="e">
        <f>HYPERLINK(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"&amp;"cphy=9001933&amp;hvtargid=pla-307268360582","Amazon")</f>
        <v>#VALUE!</v>
      </c>
      <c r="H3" s="36" t="s">
        <v>53</v>
      </c>
      <c r="I3" s="38">
        <v>89.99</v>
      </c>
      <c r="J3" s="18">
        <f t="shared" ref="J3:J4" si="2">I3*C3</f>
        <v>89.99</v>
      </c>
      <c r="K3" s="40">
        <v>10.8</v>
      </c>
      <c r="L3" s="40">
        <f t="shared" si="1"/>
        <v>10.8</v>
      </c>
      <c r="M3" s="42"/>
    </row>
    <row r="4" spans="1:13" ht="13" x14ac:dyDescent="0.15">
      <c r="A4" s="43" t="s">
        <v>56</v>
      </c>
      <c r="B4" s="8" t="s">
        <v>38</v>
      </c>
      <c r="C4" s="6">
        <v>2</v>
      </c>
      <c r="D4" s="6">
        <f t="shared" si="0"/>
        <v>26</v>
      </c>
      <c r="E4" s="6" t="s">
        <v>31</v>
      </c>
      <c r="F4" s="6" t="s">
        <v>58</v>
      </c>
      <c r="G4" s="45" t="str">
        <f>HYPERLINK("https://www.grainger.com/product/LASCO-PVC-Tee-22FL01","Grainger")</f>
        <v>Grainger</v>
      </c>
      <c r="H4" s="47" t="s">
        <v>65</v>
      </c>
      <c r="I4" s="49">
        <v>1.23</v>
      </c>
      <c r="J4" s="18">
        <f t="shared" si="2"/>
        <v>2.46</v>
      </c>
      <c r="K4" s="50">
        <v>0.1</v>
      </c>
      <c r="L4" s="19">
        <f t="shared" si="1"/>
        <v>0.2</v>
      </c>
      <c r="M4" s="52"/>
    </row>
    <row r="5" spans="1:13" ht="13" x14ac:dyDescent="0.15">
      <c r="A5" s="43" t="s">
        <v>77</v>
      </c>
      <c r="B5" s="43" t="s">
        <v>38</v>
      </c>
      <c r="C5" s="43">
        <v>2</v>
      </c>
      <c r="D5" s="6">
        <f t="shared" si="0"/>
        <v>26</v>
      </c>
      <c r="E5" s="43" t="s">
        <v>31</v>
      </c>
      <c r="F5" s="43" t="s">
        <v>58</v>
      </c>
      <c r="G5" s="53" t="str">
        <f>HYPERLINK("https://www.grainger.com/product/LASCO-PVC-Male-Adapter-22FJ19","Grainger")</f>
        <v>Grainger</v>
      </c>
      <c r="H5" s="54" t="s">
        <v>87</v>
      </c>
      <c r="I5" s="16">
        <v>0.28999999999999998</v>
      </c>
      <c r="J5" s="16">
        <v>11.36</v>
      </c>
      <c r="K5" s="43">
        <v>0.03</v>
      </c>
      <c r="L5" s="19">
        <f t="shared" si="1"/>
        <v>0.06</v>
      </c>
      <c r="M5" s="55"/>
    </row>
    <row r="6" spans="1:13" ht="13" x14ac:dyDescent="0.15">
      <c r="A6" s="6" t="s">
        <v>92</v>
      </c>
      <c r="B6" s="8" t="s">
        <v>38</v>
      </c>
      <c r="C6" s="9">
        <v>2</v>
      </c>
      <c r="D6" s="6">
        <f t="shared" si="0"/>
        <v>26</v>
      </c>
      <c r="E6" s="6" t="s">
        <v>31</v>
      </c>
      <c r="F6" s="6" t="s">
        <v>58</v>
      </c>
      <c r="G6" s="13" t="str">
        <f>HYPERLINK("https://www.grainger.com/product/LASCO-PVC-Elbow-22FJ74?cm_sp=Home-_-MyPurchasedProducts-_-22FJ74&amp;cm_vc=HPMPPZ","Grainger")</f>
        <v>Grainger</v>
      </c>
      <c r="H6" s="14" t="s">
        <v>95</v>
      </c>
      <c r="I6" s="16">
        <v>0.66</v>
      </c>
      <c r="J6" s="18">
        <f>I6*C6</f>
        <v>1.32</v>
      </c>
      <c r="K6" s="19">
        <v>0.05</v>
      </c>
      <c r="L6" s="19">
        <f t="shared" si="1"/>
        <v>0.1</v>
      </c>
      <c r="M6" s="21"/>
    </row>
    <row r="7" spans="1:13" ht="13" x14ac:dyDescent="0.15">
      <c r="A7" s="43" t="s">
        <v>100</v>
      </c>
      <c r="B7" s="55" t="s">
        <v>38</v>
      </c>
      <c r="C7" s="55">
        <v>1</v>
      </c>
      <c r="D7" s="6">
        <f t="shared" si="0"/>
        <v>13</v>
      </c>
      <c r="E7" s="43" t="s">
        <v>31</v>
      </c>
      <c r="F7" s="55" t="s">
        <v>58</v>
      </c>
      <c r="G7" s="56" t="str">
        <f>HYPERLINK("https://www.grainger.com/product/LASCO-PVC-Union-22FM79","Grainger")</f>
        <v>Grainger</v>
      </c>
      <c r="H7" s="57" t="s">
        <v>102</v>
      </c>
      <c r="I7" s="16">
        <v>2.78</v>
      </c>
      <c r="J7" s="55">
        <v>11.36</v>
      </c>
      <c r="K7" s="55">
        <v>7.0000000000000007E-2</v>
      </c>
      <c r="L7" s="55">
        <f t="shared" si="1"/>
        <v>7.0000000000000007E-2</v>
      </c>
      <c r="M7" s="55"/>
    </row>
    <row r="8" spans="1:13" ht="13" x14ac:dyDescent="0.15">
      <c r="A8" s="58" t="s">
        <v>105</v>
      </c>
      <c r="B8" s="59" t="s">
        <v>38</v>
      </c>
      <c r="C8" s="60">
        <v>2</v>
      </c>
      <c r="D8" s="6">
        <f t="shared" si="0"/>
        <v>26</v>
      </c>
      <c r="E8" s="58" t="s">
        <v>107</v>
      </c>
      <c r="F8" s="58" t="s">
        <v>58</v>
      </c>
      <c r="G8" s="62" t="str">
        <f>HYPERLINK("https://www.grainger.com/product/LASCO-PVC-Street-Elbow-22FJ98","Grainger")</f>
        <v>Grainger</v>
      </c>
      <c r="H8" s="63" t="s">
        <v>112</v>
      </c>
      <c r="I8" s="64">
        <v>0.97</v>
      </c>
      <c r="J8" s="65">
        <f>I8*C8</f>
        <v>1.94</v>
      </c>
      <c r="K8" s="66">
        <v>0.05</v>
      </c>
      <c r="L8" s="66">
        <f t="shared" si="1"/>
        <v>0.1</v>
      </c>
      <c r="M8" s="67"/>
    </row>
    <row r="9" spans="1:13" ht="13" x14ac:dyDescent="0.15">
      <c r="A9" s="6" t="s">
        <v>115</v>
      </c>
      <c r="B9" s="8" t="s">
        <v>28</v>
      </c>
      <c r="C9" s="9">
        <v>2</v>
      </c>
      <c r="D9" s="6">
        <f t="shared" si="0"/>
        <v>26</v>
      </c>
      <c r="E9" s="6" t="s">
        <v>31</v>
      </c>
      <c r="F9" s="6" t="s">
        <v>58</v>
      </c>
      <c r="G9" s="13" t="str">
        <f>HYPERLINK("https://www.grainger.com/product/LASCO-PVC-Union-22FM80","Grainger")</f>
        <v>Grainger</v>
      </c>
      <c r="H9" s="14" t="s">
        <v>119</v>
      </c>
      <c r="I9" s="16">
        <v>4.5</v>
      </c>
      <c r="J9" s="18">
        <f t="shared" ref="J9:J10" si="3">C9*I9</f>
        <v>9</v>
      </c>
      <c r="K9" s="19">
        <v>0.2</v>
      </c>
      <c r="L9" s="19">
        <f t="shared" si="1"/>
        <v>0.4</v>
      </c>
      <c r="M9" s="21"/>
    </row>
    <row r="10" spans="1:13" ht="13" x14ac:dyDescent="0.15">
      <c r="A10" s="6" t="s">
        <v>121</v>
      </c>
      <c r="B10" s="55"/>
      <c r="C10" s="43">
        <v>2</v>
      </c>
      <c r="D10" s="6">
        <f t="shared" si="0"/>
        <v>26</v>
      </c>
      <c r="E10" s="43" t="s">
        <v>31</v>
      </c>
      <c r="F10" s="43" t="s">
        <v>122</v>
      </c>
      <c r="G10" s="53" t="str">
        <f>HYPERLINK("https://www.grainger.com/product/GF-PIPING-SYSTEMS-PVC-Union-11W267","Grainger")</f>
        <v>Grainger</v>
      </c>
      <c r="H10" s="54" t="s">
        <v>125</v>
      </c>
      <c r="I10" s="43">
        <v>5.97</v>
      </c>
      <c r="J10" s="18">
        <f t="shared" si="3"/>
        <v>11.94</v>
      </c>
      <c r="K10" s="43">
        <v>0.11</v>
      </c>
      <c r="L10" s="19">
        <f t="shared" si="1"/>
        <v>0.22</v>
      </c>
      <c r="M10" s="21"/>
    </row>
    <row r="11" spans="1:13" ht="13" x14ac:dyDescent="0.15">
      <c r="A11" s="6" t="s">
        <v>126</v>
      </c>
      <c r="B11" s="43" t="s">
        <v>28</v>
      </c>
      <c r="C11" s="6">
        <v>1</v>
      </c>
      <c r="D11" s="6">
        <f t="shared" si="0"/>
        <v>13</v>
      </c>
      <c r="E11" s="6" t="s">
        <v>31</v>
      </c>
      <c r="F11" s="6" t="s">
        <v>127</v>
      </c>
      <c r="G11" s="45" t="str">
        <f>HYPERLINK("https://www.homedepot.com/p/1-2-in-Compression-x-1-2-in-FIP-x-12-in-Braided-Polymer-Faucet-Connector-B3-12A-F/100143862","Home Depot")</f>
        <v>Home Depot</v>
      </c>
      <c r="H11" s="47" t="s">
        <v>128</v>
      </c>
      <c r="I11" s="49">
        <v>5.98</v>
      </c>
      <c r="J11" s="18">
        <f t="shared" ref="J11:J13" si="4">I11*C11</f>
        <v>5.98</v>
      </c>
      <c r="K11" s="50"/>
      <c r="L11" s="68"/>
      <c r="M11" s="52"/>
    </row>
    <row r="12" spans="1:13" ht="13" x14ac:dyDescent="0.15">
      <c r="A12" s="6" t="s">
        <v>129</v>
      </c>
      <c r="B12" s="43" t="s">
        <v>28</v>
      </c>
      <c r="C12" s="43">
        <v>1</v>
      </c>
      <c r="D12" s="6">
        <f t="shared" si="0"/>
        <v>13</v>
      </c>
      <c r="E12" s="6" t="s">
        <v>31</v>
      </c>
      <c r="F12" s="6" t="s">
        <v>127</v>
      </c>
      <c r="G12" s="53" t="str">
        <f>HYPERLINK("https://www.homedepot.com/p/BrassCraft-1-2-in-Compression-x-1-2-in-FIP-x-16-in-Braided-Polymer-Faucet-Connector-B3-16A-F/100148838","Home Depot")</f>
        <v>Home Depot</v>
      </c>
      <c r="H12" s="54" t="s">
        <v>132</v>
      </c>
      <c r="I12" s="43">
        <v>6.47</v>
      </c>
      <c r="J12" s="18">
        <f t="shared" si="4"/>
        <v>6.47</v>
      </c>
      <c r="K12" s="55"/>
      <c r="L12" s="55"/>
      <c r="M12" s="55"/>
    </row>
    <row r="13" spans="1:13" ht="13" x14ac:dyDescent="0.15">
      <c r="A13" s="58" t="s">
        <v>133</v>
      </c>
      <c r="B13" s="59" t="s">
        <v>28</v>
      </c>
      <c r="C13" s="60">
        <v>1</v>
      </c>
      <c r="D13" s="6">
        <f t="shared" si="0"/>
        <v>13</v>
      </c>
      <c r="E13" s="58" t="s">
        <v>107</v>
      </c>
      <c r="F13" s="58" t="s">
        <v>134</v>
      </c>
      <c r="G13" s="62" t="str">
        <f>HYPERLINK("https://www.homedepot.com/p/Everbilt-1-2-in-x-1-4-in-Brass-MPT-x-MHT-Boiler-Drain-VBDQTRC3EB/205811822","Home Depot")</f>
        <v>Home Depot</v>
      </c>
      <c r="H13" s="63" t="s">
        <v>135</v>
      </c>
      <c r="I13" s="64">
        <v>8.9</v>
      </c>
      <c r="J13" s="65">
        <f t="shared" si="4"/>
        <v>8.9</v>
      </c>
      <c r="K13" s="66">
        <v>0.28999999999999998</v>
      </c>
      <c r="L13" s="66">
        <f t="shared" ref="L13:L18" si="5">C13*K13</f>
        <v>0.28999999999999998</v>
      </c>
      <c r="M13" s="67"/>
    </row>
    <row r="14" spans="1:13" ht="13" x14ac:dyDescent="0.15">
      <c r="A14" s="6" t="s">
        <v>136</v>
      </c>
      <c r="B14" s="69"/>
      <c r="C14" s="6">
        <v>1</v>
      </c>
      <c r="D14" s="6">
        <f t="shared" si="0"/>
        <v>13</v>
      </c>
      <c r="E14" s="6" t="s">
        <v>31</v>
      </c>
      <c r="F14" s="6" t="s">
        <v>137</v>
      </c>
      <c r="G14" s="45" t="str">
        <f>HYPERLINK("https://www.homedepot.com/p/Simpson-Strong-Tie-ZMAX-18-Gauge-Galvanized-Steel-Angle-A21Z/100375047","Home Depot")</f>
        <v>Home Depot</v>
      </c>
      <c r="H14" s="47" t="s">
        <v>139</v>
      </c>
      <c r="I14" s="49">
        <v>0.57999999999999996</v>
      </c>
      <c r="J14" s="18">
        <f>C14*I14</f>
        <v>0.57999999999999996</v>
      </c>
      <c r="K14" s="50">
        <v>6.5000000000000002E-2</v>
      </c>
      <c r="L14" s="19">
        <f t="shared" si="5"/>
        <v>6.5000000000000002E-2</v>
      </c>
      <c r="M14" s="52"/>
    </row>
    <row r="15" spans="1:13" ht="13" x14ac:dyDescent="0.15">
      <c r="A15" s="58" t="s">
        <v>140</v>
      </c>
      <c r="B15" s="59" t="s">
        <v>38</v>
      </c>
      <c r="C15" s="60">
        <v>1</v>
      </c>
      <c r="D15" s="6">
        <f t="shared" si="0"/>
        <v>13</v>
      </c>
      <c r="E15" s="58" t="s">
        <v>107</v>
      </c>
      <c r="F15" s="58" t="s">
        <v>142</v>
      </c>
      <c r="G15" s="62" t="str">
        <f>HYPERLINK("https://www.matcodist.com/plant-distribution-cartindustrial-rolling-rack-horticulture-cart-nursery-cartplant-cart-flower-cart-greenhouse-transportation-cart","Matco")</f>
        <v>Matco</v>
      </c>
      <c r="H15" s="63" t="s">
        <v>144</v>
      </c>
      <c r="I15" s="64">
        <v>237</v>
      </c>
      <c r="J15" s="65">
        <f>I15*C15</f>
        <v>237</v>
      </c>
      <c r="K15" s="66">
        <v>60</v>
      </c>
      <c r="L15" s="66">
        <f t="shared" si="5"/>
        <v>60</v>
      </c>
      <c r="M15" s="67"/>
    </row>
    <row r="16" spans="1:13" ht="13" x14ac:dyDescent="0.15">
      <c r="A16" s="58" t="s">
        <v>145</v>
      </c>
      <c r="B16" s="59" t="s">
        <v>28</v>
      </c>
      <c r="C16" s="60">
        <v>2</v>
      </c>
      <c r="D16" s="6">
        <f t="shared" si="0"/>
        <v>26</v>
      </c>
      <c r="E16" s="58" t="s">
        <v>107</v>
      </c>
      <c r="F16" s="58" t="s">
        <v>39</v>
      </c>
      <c r="G16" s="62" t="str">
        <f>HYPERLINK("https://www.mcmaster.com/#4061t163/=1afszoi","McMaster Carr")</f>
        <v>McMaster Carr</v>
      </c>
      <c r="H16" s="63" t="s">
        <v>146</v>
      </c>
      <c r="I16" s="64">
        <v>11.36</v>
      </c>
      <c r="J16" s="65">
        <v>11.36</v>
      </c>
      <c r="K16" s="66">
        <v>5.9999999999999995E-4</v>
      </c>
      <c r="L16" s="66">
        <f t="shared" si="5"/>
        <v>1.1999999999999999E-3</v>
      </c>
      <c r="M16" s="67">
        <f>L16*0.453592</f>
        <v>5.4431039999999992E-4</v>
      </c>
    </row>
    <row r="17" spans="1:13" ht="13" x14ac:dyDescent="0.15">
      <c r="A17" s="58" t="s">
        <v>149</v>
      </c>
      <c r="B17" s="59" t="s">
        <v>38</v>
      </c>
      <c r="C17" s="60">
        <v>2</v>
      </c>
      <c r="D17" s="6">
        <f t="shared" si="0"/>
        <v>26</v>
      </c>
      <c r="E17" s="58" t="s">
        <v>107</v>
      </c>
      <c r="F17" s="58" t="s">
        <v>39</v>
      </c>
      <c r="G17" s="62" t="str">
        <f>HYPERLINK("https://www.mcmaster.com/#3185k112/=1aft071","McMaster Carr")</f>
        <v>McMaster Carr</v>
      </c>
      <c r="H17" s="63" t="s">
        <v>154</v>
      </c>
      <c r="I17" s="64">
        <v>0.44</v>
      </c>
      <c r="J17" s="65">
        <f>I17*C17</f>
        <v>0.88</v>
      </c>
      <c r="K17" s="66">
        <v>3.0000000000000001E-3</v>
      </c>
      <c r="L17" s="66">
        <f t="shared" si="5"/>
        <v>6.0000000000000001E-3</v>
      </c>
      <c r="M17" s="70" t="str">
        <f>HYPERLINK("https://www.mcmaster.com/#3185k112/=1aft071","McMaster Carr")</f>
        <v>McMaster Carr</v>
      </c>
    </row>
    <row r="18" spans="1:13" ht="13" x14ac:dyDescent="0.15">
      <c r="A18" s="22" t="s">
        <v>158</v>
      </c>
      <c r="B18" s="24" t="s">
        <v>98</v>
      </c>
      <c r="C18" s="26">
        <v>1</v>
      </c>
      <c r="D18" s="6">
        <f t="shared" si="0"/>
        <v>13</v>
      </c>
      <c r="E18" s="22"/>
      <c r="F18" s="22" t="s">
        <v>159</v>
      </c>
      <c r="G18" s="34" t="str">
        <f>HYPERLINK("https://www.mcmaster.com/#9930k63/=1aft65a","McMaster Carr")</f>
        <v>McMaster Carr</v>
      </c>
      <c r="H18" s="36" t="s">
        <v>162</v>
      </c>
      <c r="I18" s="38">
        <v>214.79</v>
      </c>
      <c r="J18" s="18">
        <f>C18*I18</f>
        <v>214.79</v>
      </c>
      <c r="K18" s="40">
        <v>8.4</v>
      </c>
      <c r="L18" s="40">
        <f t="shared" si="5"/>
        <v>8.4</v>
      </c>
      <c r="M18" s="42"/>
    </row>
    <row r="19" spans="1:13" ht="13" x14ac:dyDescent="0.15">
      <c r="A19" s="6" t="s">
        <v>164</v>
      </c>
      <c r="B19" s="69" t="s">
        <v>38</v>
      </c>
      <c r="C19" s="6">
        <v>3</v>
      </c>
      <c r="D19" s="6">
        <f t="shared" si="0"/>
        <v>39</v>
      </c>
      <c r="E19" s="6" t="s">
        <v>31</v>
      </c>
      <c r="F19" s="6" t="s">
        <v>165</v>
      </c>
      <c r="G19" s="45" t="str">
        <f>HYPERLINK("https://www.mscdirect.com/product/details/08802845","MSCDirect")</f>
        <v>MSCDirect</v>
      </c>
      <c r="H19" s="47">
        <v>8802845</v>
      </c>
      <c r="I19" s="49">
        <v>0.79</v>
      </c>
      <c r="J19" s="18">
        <f t="shared" ref="J19:J20" si="6">I19*C19</f>
        <v>2.37</v>
      </c>
      <c r="K19" s="50"/>
      <c r="L19" s="68"/>
      <c r="M19" s="52"/>
    </row>
    <row r="20" spans="1:13" ht="13" x14ac:dyDescent="0.15">
      <c r="A20" s="71" t="s">
        <v>168</v>
      </c>
      <c r="B20" s="59" t="s">
        <v>38</v>
      </c>
      <c r="C20" s="58">
        <v>1</v>
      </c>
      <c r="D20" s="6">
        <f t="shared" si="0"/>
        <v>13</v>
      </c>
      <c r="E20" s="58" t="s">
        <v>107</v>
      </c>
      <c r="F20" s="58" t="s">
        <v>165</v>
      </c>
      <c r="G20" s="72" t="str">
        <f>HYPERLINK("https://www.mscdirect.com/product/details/05726468","MSCDirect")</f>
        <v>MSCDirect</v>
      </c>
      <c r="H20" s="73">
        <v>5726468</v>
      </c>
      <c r="I20" s="74">
        <v>0.85</v>
      </c>
      <c r="J20" s="65">
        <f t="shared" si="6"/>
        <v>0.85</v>
      </c>
      <c r="K20" s="75"/>
      <c r="L20" s="76"/>
      <c r="M20" s="77"/>
    </row>
    <row r="21" spans="1:13" ht="13" x14ac:dyDescent="0.15">
      <c r="A21" s="43" t="s">
        <v>171</v>
      </c>
      <c r="B21" s="43" t="s">
        <v>38</v>
      </c>
      <c r="C21" s="43">
        <v>1</v>
      </c>
      <c r="D21" s="6">
        <f t="shared" si="0"/>
        <v>13</v>
      </c>
      <c r="E21" s="43" t="s">
        <v>31</v>
      </c>
      <c r="F21" s="43" t="s">
        <v>165</v>
      </c>
      <c r="G21" s="53" t="str">
        <f>HYPERLINK("https://www.mscdirect.com/product/details/08803066","MSCDirect")</f>
        <v>MSCDirect</v>
      </c>
      <c r="H21" s="54">
        <v>8803066</v>
      </c>
      <c r="I21" s="16">
        <v>0.8</v>
      </c>
      <c r="J21" s="16">
        <v>11.36</v>
      </c>
      <c r="K21" s="55"/>
      <c r="L21" s="55"/>
      <c r="M21" s="55"/>
    </row>
    <row r="22" spans="1:13" ht="13" x14ac:dyDescent="0.15">
      <c r="A22" s="78" t="s">
        <v>174</v>
      </c>
      <c r="B22" s="79" t="s">
        <v>38</v>
      </c>
      <c r="C22" s="78">
        <v>1</v>
      </c>
      <c r="D22" s="78">
        <f t="shared" si="0"/>
        <v>13</v>
      </c>
      <c r="E22" s="78" t="s">
        <v>31</v>
      </c>
      <c r="F22" s="78" t="s">
        <v>178</v>
      </c>
      <c r="G22" s="80" t="str">
        <f>HYPERLINK("https://www.mscdirect.com/product/details/50580885","MSCDirect")</f>
        <v>MSCDirect</v>
      </c>
      <c r="H22" s="81">
        <v>50580885</v>
      </c>
      <c r="I22" s="82">
        <v>0.99</v>
      </c>
      <c r="J22" s="83">
        <f>I22*C22</f>
        <v>0.99</v>
      </c>
      <c r="K22" s="84"/>
      <c r="L22" s="85"/>
      <c r="M22" s="86"/>
    </row>
    <row r="23" spans="1:13" ht="13" x14ac:dyDescent="0.15">
      <c r="A23" s="6" t="s">
        <v>183</v>
      </c>
      <c r="B23" s="69" t="s">
        <v>38</v>
      </c>
      <c r="C23" s="6">
        <v>3</v>
      </c>
      <c r="D23" s="6">
        <f t="shared" si="0"/>
        <v>39</v>
      </c>
      <c r="E23" s="6" t="s">
        <v>31</v>
      </c>
      <c r="F23" s="6" t="s">
        <v>165</v>
      </c>
      <c r="G23" s="45" t="str">
        <f>HYPERLINK("https://www.mscdirect.com/product/details/08802852","MSCDirect")</f>
        <v>MSCDirect</v>
      </c>
      <c r="H23" s="47">
        <v>8802852</v>
      </c>
      <c r="I23" s="49">
        <v>0.85</v>
      </c>
      <c r="J23" s="18">
        <f t="shared" ref="J23:J25" si="7">C23*I23</f>
        <v>2.5499999999999998</v>
      </c>
      <c r="K23" s="50"/>
      <c r="L23" s="19">
        <f t="shared" ref="L23:L24" si="8">C23*K23</f>
        <v>0</v>
      </c>
      <c r="M23" s="52"/>
    </row>
    <row r="24" spans="1:13" ht="13" x14ac:dyDescent="0.15">
      <c r="A24" s="87" t="s">
        <v>186</v>
      </c>
      <c r="B24" s="88" t="s">
        <v>38</v>
      </c>
      <c r="C24" s="89">
        <v>1</v>
      </c>
      <c r="D24" s="87"/>
      <c r="E24" s="87"/>
      <c r="F24" s="87" t="s">
        <v>165</v>
      </c>
      <c r="G24" s="90" t="str">
        <f>HYPERLINK("https://www.mscdirect.com/product/details/05726484","MSCDirect")</f>
        <v>MSCDirect</v>
      </c>
      <c r="H24" s="91" t="s">
        <v>190</v>
      </c>
      <c r="I24" s="92">
        <v>1.05</v>
      </c>
      <c r="J24" s="18">
        <f t="shared" si="7"/>
        <v>1.05</v>
      </c>
      <c r="K24" s="93">
        <v>0.18</v>
      </c>
      <c r="L24" s="93">
        <f t="shared" si="8"/>
        <v>0.18</v>
      </c>
      <c r="M24" s="94"/>
    </row>
    <row r="25" spans="1:13" ht="13" x14ac:dyDescent="0.15">
      <c r="A25" s="22" t="s">
        <v>192</v>
      </c>
      <c r="B25" s="95"/>
      <c r="C25" s="22">
        <v>1</v>
      </c>
      <c r="D25" s="6">
        <f>C25*13</f>
        <v>13</v>
      </c>
      <c r="E25" s="22"/>
      <c r="F25" s="96" t="s">
        <v>198</v>
      </c>
      <c r="G25" s="96" t="s">
        <v>198</v>
      </c>
      <c r="H25" s="97" t="s">
        <v>199</v>
      </c>
      <c r="I25" s="98">
        <v>73.87</v>
      </c>
      <c r="J25" s="18">
        <f t="shared" si="7"/>
        <v>73.87</v>
      </c>
      <c r="K25" s="99"/>
      <c r="L25" s="100"/>
      <c r="M25" s="101"/>
    </row>
    <row r="26" spans="1:13" ht="13" x14ac:dyDescent="0.15">
      <c r="A26" s="102" t="str">
        <f>HYPERLINK("https://www.mscdirect.com/product/details/67725085","#6 standoffs")</f>
        <v>#6 standoffs</v>
      </c>
      <c r="B26" s="95"/>
      <c r="C26" s="22"/>
      <c r="D26" s="22"/>
      <c r="E26" s="22"/>
      <c r="F26" s="22"/>
      <c r="G26" s="96"/>
      <c r="H26" s="97"/>
      <c r="I26" s="98"/>
      <c r="J26" s="103"/>
      <c r="K26" s="99"/>
      <c r="L26" s="100"/>
      <c r="M26" s="10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25"/>
  <sheetViews>
    <sheetView tabSelected="1" workbookViewId="0">
      <pane ySplit="1" topLeftCell="A2" activePane="bottomLeft" state="frozen"/>
      <selection pane="bottomLeft" activeCell="H18" sqref="H18"/>
    </sheetView>
  </sheetViews>
  <sheetFormatPr baseColWidth="10" defaultColWidth="0" defaultRowHeight="0" customHeight="1" zeroHeight="1" x14ac:dyDescent="0.2"/>
  <cols>
    <col min="1" max="1" width="41.1640625" style="182" customWidth="1"/>
    <col min="2" max="2" width="16.1640625" style="182" customWidth="1"/>
    <col min="3" max="3" width="18.6640625" style="182" customWidth="1"/>
    <col min="4" max="4" width="23.1640625" style="182" customWidth="1"/>
    <col min="5" max="5" width="18.5" style="182" customWidth="1"/>
    <col min="6" max="6" width="18.33203125" style="182" customWidth="1"/>
    <col min="7" max="7" width="12.5" style="182" customWidth="1"/>
    <col min="8" max="8" width="17.1640625" style="182" customWidth="1"/>
    <col min="9" max="10" width="16.5" style="182" customWidth="1"/>
    <col min="11" max="11" width="82.1640625" style="182" hidden="1" customWidth="1"/>
    <col min="12" max="16384" width="14.5" style="182" hidden="1"/>
  </cols>
  <sheetData>
    <row r="1" spans="1:11" ht="24.75" customHeight="1" x14ac:dyDescent="0.2">
      <c r="A1" s="178" t="s">
        <v>0</v>
      </c>
      <c r="B1" s="179" t="s">
        <v>1</v>
      </c>
      <c r="C1" s="179" t="s">
        <v>2</v>
      </c>
      <c r="D1" s="178" t="s">
        <v>5</v>
      </c>
      <c r="E1" s="178" t="s">
        <v>7</v>
      </c>
      <c r="F1" s="180" t="s">
        <v>8</v>
      </c>
      <c r="G1" s="181" t="s">
        <v>12</v>
      </c>
      <c r="H1" s="178" t="s">
        <v>14</v>
      </c>
      <c r="I1" s="178" t="s">
        <v>15</v>
      </c>
      <c r="J1" s="178" t="s">
        <v>16</v>
      </c>
      <c r="K1" s="178" t="s">
        <v>17</v>
      </c>
    </row>
    <row r="2" spans="1:11" ht="16" x14ac:dyDescent="0.2">
      <c r="A2" s="182" t="s">
        <v>19</v>
      </c>
      <c r="C2" s="182">
        <v>0.25</v>
      </c>
      <c r="D2" s="182" t="s">
        <v>26</v>
      </c>
      <c r="E2" s="182" t="str">
        <f t="shared" ref="E2:E3" si="0">HYPERLINK("https://shop.altecplastics.com/","Altec Plastics")</f>
        <v>Altec Plastics</v>
      </c>
      <c r="G2" s="182">
        <v>82</v>
      </c>
      <c r="H2" s="182">
        <f t="shared" ref="H2:H9" si="1">C2*G2</f>
        <v>20.5</v>
      </c>
      <c r="I2" s="182">
        <v>8</v>
      </c>
      <c r="J2" s="182">
        <f t="shared" ref="J2:J4" si="2">C2*I2</f>
        <v>2</v>
      </c>
      <c r="K2" s="183"/>
    </row>
    <row r="3" spans="1:11" ht="16" x14ac:dyDescent="0.2">
      <c r="A3" s="182" t="s">
        <v>36</v>
      </c>
      <c r="C3" s="182">
        <v>0.25</v>
      </c>
      <c r="D3" s="182" t="s">
        <v>26</v>
      </c>
      <c r="E3" s="182" t="str">
        <f t="shared" si="0"/>
        <v>Altec Plastics</v>
      </c>
      <c r="G3" s="182">
        <v>41</v>
      </c>
      <c r="H3" s="182">
        <f t="shared" si="1"/>
        <v>10.25</v>
      </c>
      <c r="I3" s="182">
        <v>4</v>
      </c>
      <c r="J3" s="182">
        <f t="shared" si="2"/>
        <v>1</v>
      </c>
      <c r="K3" s="183"/>
    </row>
    <row r="4" spans="1:11" ht="16" x14ac:dyDescent="0.2">
      <c r="A4" s="182" t="s">
        <v>37</v>
      </c>
      <c r="B4" s="182" t="s">
        <v>38</v>
      </c>
      <c r="C4" s="182">
        <v>1</v>
      </c>
      <c r="D4" s="182" t="s">
        <v>39</v>
      </c>
      <c r="E4" s="182" t="str">
        <f>HYPERLINK("https://www.mcmaster.com/#8574k265/=1d0vxqk","McMaster Carr")</f>
        <v>McMaster Carr</v>
      </c>
      <c r="F4" s="182" t="s">
        <v>41</v>
      </c>
      <c r="G4" s="182">
        <v>37.03</v>
      </c>
      <c r="H4" s="182">
        <f t="shared" si="1"/>
        <v>37.03</v>
      </c>
      <c r="I4" s="182">
        <v>5</v>
      </c>
      <c r="J4" s="182">
        <f t="shared" si="2"/>
        <v>5</v>
      </c>
      <c r="K4" s="183"/>
    </row>
    <row r="5" spans="1:11" ht="16" x14ac:dyDescent="0.2">
      <c r="A5" s="182" t="s">
        <v>42</v>
      </c>
      <c r="B5" s="182" t="s">
        <v>38</v>
      </c>
      <c r="C5" s="182">
        <v>1</v>
      </c>
      <c r="D5" s="182" t="s">
        <v>39</v>
      </c>
      <c r="E5" s="182" t="str">
        <f>HYPERLINK("https://www.mcmaster.com/#8647k25/=1d0vyn4","McMaster Carr")</f>
        <v>McMaster Carr</v>
      </c>
      <c r="F5" s="182" t="s">
        <v>45</v>
      </c>
      <c r="G5" s="182">
        <v>39.78</v>
      </c>
      <c r="H5" s="182">
        <f t="shared" si="1"/>
        <v>39.78</v>
      </c>
      <c r="K5" s="183"/>
    </row>
    <row r="6" spans="1:11" ht="16" x14ac:dyDescent="0.2">
      <c r="A6" s="182" t="s">
        <v>46</v>
      </c>
      <c r="B6" s="182" t="s">
        <v>38</v>
      </c>
      <c r="C6" s="182">
        <v>1</v>
      </c>
      <c r="D6" s="182" t="s">
        <v>47</v>
      </c>
      <c r="E6" s="182" t="str">
        <f>HYPERLINK("https://www.amazon.com/gp/product/B0020B0NPE/ref=oh_aui_search_detailpage?ie=UTF8&amp;psc=1","Amazon")</f>
        <v>Amazon</v>
      </c>
      <c r="F6" s="182" t="s">
        <v>48</v>
      </c>
      <c r="G6" s="182">
        <v>34.9</v>
      </c>
      <c r="H6" s="182">
        <f t="shared" si="1"/>
        <v>34.9</v>
      </c>
      <c r="I6" s="182">
        <v>0.1</v>
      </c>
      <c r="K6" s="183"/>
    </row>
    <row r="7" spans="1:11" ht="16" x14ac:dyDescent="0.2">
      <c r="A7" s="182" t="s">
        <v>50</v>
      </c>
      <c r="B7" s="182" t="s">
        <v>51</v>
      </c>
      <c r="C7" s="182">
        <v>1</v>
      </c>
      <c r="D7" s="182" t="s">
        <v>52</v>
      </c>
      <c r="E7" s="182" t="str">
        <f>HYPERLINK("https://www.atlas-scientific.com/product_pages/probes/orp_probe.html","Atlas Scientific")</f>
        <v>Atlas Scientific</v>
      </c>
      <c r="F7" s="182" t="s">
        <v>54</v>
      </c>
      <c r="G7" s="182">
        <v>115</v>
      </c>
      <c r="H7" s="182">
        <f t="shared" si="1"/>
        <v>115</v>
      </c>
      <c r="I7" s="182">
        <v>0.1</v>
      </c>
      <c r="K7" s="183"/>
    </row>
    <row r="8" spans="1:11" ht="16" x14ac:dyDescent="0.2">
      <c r="A8" s="182" t="s">
        <v>55</v>
      </c>
      <c r="B8" s="182" t="s">
        <v>51</v>
      </c>
      <c r="C8" s="182">
        <v>1</v>
      </c>
      <c r="D8" s="182" t="s">
        <v>52</v>
      </c>
      <c r="E8" s="182" t="str">
        <f>HYPERLINK("https://www.atlas-scientific.com/product_pages/probes/ec_k0-1.html","Atlas Scientific")</f>
        <v>Atlas Scientific</v>
      </c>
      <c r="F8" s="182" t="s">
        <v>64</v>
      </c>
      <c r="G8" s="182">
        <v>158</v>
      </c>
      <c r="H8" s="182">
        <f t="shared" si="1"/>
        <v>158</v>
      </c>
      <c r="I8" s="182">
        <v>0.1</v>
      </c>
      <c r="K8" s="183"/>
    </row>
    <row r="9" spans="1:11" ht="16" x14ac:dyDescent="0.2">
      <c r="A9" s="182" t="s">
        <v>66</v>
      </c>
      <c r="B9" s="182" t="s">
        <v>51</v>
      </c>
      <c r="C9" s="182">
        <v>1</v>
      </c>
      <c r="D9" s="182" t="s">
        <v>52</v>
      </c>
      <c r="E9" s="182" t="str">
        <f>HYPERLINK("https://www.atlas-scientific.com/product_pages/probes/ph_probe.html","Atlas Scientific")</f>
        <v>Atlas Scientific</v>
      </c>
      <c r="F9" s="182" t="s">
        <v>68</v>
      </c>
      <c r="G9" s="182">
        <v>75</v>
      </c>
      <c r="H9" s="182">
        <f t="shared" si="1"/>
        <v>75</v>
      </c>
      <c r="I9" s="182">
        <v>0.1</v>
      </c>
      <c r="K9" s="183"/>
    </row>
    <row r="10" spans="1:11" ht="16" x14ac:dyDescent="0.2">
      <c r="A10" s="182" t="s">
        <v>69</v>
      </c>
      <c r="B10" s="182" t="s">
        <v>38</v>
      </c>
      <c r="C10" s="182">
        <v>1</v>
      </c>
      <c r="D10" s="182" t="s">
        <v>70</v>
      </c>
      <c r="E10" s="182" t="s">
        <v>70</v>
      </c>
      <c r="F10" s="182" t="s">
        <v>51</v>
      </c>
      <c r="G10" s="182" t="s">
        <v>51</v>
      </c>
      <c r="H10" s="182" t="s">
        <v>51</v>
      </c>
      <c r="I10" s="182" t="s">
        <v>51</v>
      </c>
      <c r="K10" s="183"/>
    </row>
    <row r="11" spans="1:11" ht="16" x14ac:dyDescent="0.2">
      <c r="A11" s="182" t="s">
        <v>71</v>
      </c>
      <c r="K11" s="183"/>
    </row>
    <row r="12" spans="1:11" ht="16" x14ac:dyDescent="0.2">
      <c r="A12" s="182" t="s">
        <v>72</v>
      </c>
      <c r="K12" s="183"/>
    </row>
    <row r="13" spans="1:11" ht="16" x14ac:dyDescent="0.2">
      <c r="A13" s="182" t="s">
        <v>73</v>
      </c>
      <c r="K13" s="183"/>
    </row>
    <row r="14" spans="1:11" ht="16" x14ac:dyDescent="0.2">
      <c r="A14" s="182" t="s">
        <v>74</v>
      </c>
      <c r="K14" s="183"/>
    </row>
    <row r="15" spans="1:11" ht="16" x14ac:dyDescent="0.2">
      <c r="A15" s="182" t="s">
        <v>78</v>
      </c>
      <c r="K15" s="183"/>
    </row>
    <row r="16" spans="1:11" ht="16" x14ac:dyDescent="0.2">
      <c r="A16" s="182" t="s">
        <v>80</v>
      </c>
      <c r="B16" s="182" t="s">
        <v>28</v>
      </c>
      <c r="C16" s="182">
        <v>1</v>
      </c>
      <c r="D16" s="182" t="s">
        <v>81</v>
      </c>
      <c r="E16" s="182" t="str">
        <f>HYPERLINK("https://www.digikey.com/product-detail/en/ghi-electronics-llc/BBB01-SC-505/BBB01-SC-505-ND/6210999","DigiKey")</f>
        <v>DigiKey</v>
      </c>
      <c r="F16" s="182" t="s">
        <v>88</v>
      </c>
      <c r="G16" s="182">
        <v>56.25</v>
      </c>
      <c r="K16" s="183"/>
    </row>
    <row r="17" spans="1:11" ht="16" x14ac:dyDescent="0.2">
      <c r="A17" s="182" t="s">
        <v>89</v>
      </c>
      <c r="K17" s="183"/>
    </row>
    <row r="18" spans="1:11" ht="16" x14ac:dyDescent="0.2">
      <c r="A18" s="182" t="s">
        <v>90</v>
      </c>
      <c r="K18" s="183"/>
    </row>
    <row r="19" spans="1:11" ht="16" x14ac:dyDescent="0.2">
      <c r="A19" s="182" t="s">
        <v>93</v>
      </c>
      <c r="K19" s="183"/>
    </row>
    <row r="20" spans="1:11" ht="16" x14ac:dyDescent="0.2">
      <c r="A20" s="182" t="s">
        <v>94</v>
      </c>
      <c r="K20" s="183"/>
    </row>
    <row r="21" spans="1:11" ht="15.75" customHeight="1" x14ac:dyDescent="0.2"/>
    <row r="22" spans="1:11" ht="15.75" customHeight="1" x14ac:dyDescent="0.2"/>
    <row r="23" spans="1:11" ht="15.75" customHeight="1" x14ac:dyDescent="0.2"/>
    <row r="24" spans="1:11" ht="15.75" customHeight="1" x14ac:dyDescent="0.2"/>
    <row r="25" spans="1:11" ht="15.75" customHeight="1" x14ac:dyDescent="0.2"/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rack_bom02</vt:lpstr>
      <vt:lpstr>Copy of rack_bom02</vt:lpstr>
      <vt:lpstr>pfc_edu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created xsi:type="dcterms:W3CDTF">2018-05-28T22:27:55Z</dcterms:created>
  <dcterms:modified xsi:type="dcterms:W3CDTF">2018-05-28T22:28:29Z</dcterms:modified>
</cp:coreProperties>
</file>