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tsbie\Documents\Universiteit\Master\Jaar 2\MEP\Code\IbM-Fermentation\IbM-Fermentation\planning\"/>
    </mc:Choice>
  </mc:AlternateContent>
  <xr:revisionPtr revIDLastSave="0" documentId="13_ncr:1_{E0C0E80B-F8BE-40E2-B601-38D04163CC5A}" xr6:coauthVersionLast="47" xr6:coauthVersionMax="47" xr10:uidLastSave="{00000000-0000-0000-0000-000000000000}"/>
  <bookViews>
    <workbookView xWindow="14310" yWindow="-16200" windowWidth="14610" windowHeight="15585" tabRatio="808" activeTab="4"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4" hidden="1">Parameters!$B$10</definedName>
    <definedName name="solver_cvg" localSheetId="4" hidden="1">0.0001</definedName>
    <definedName name="solver_drv" localSheetId="4" hidden="1">1</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1</definedName>
    <definedName name="solver_nod" localSheetId="4" hidden="1">2147483647</definedName>
    <definedName name="solver_num" localSheetId="4" hidden="1">0</definedName>
    <definedName name="solver_nwt" localSheetId="4" hidden="1">1</definedName>
    <definedName name="solver_opt" localSheetId="4" hidden="1">Parameters!$B$8</definedName>
    <definedName name="solver_pre" localSheetId="4" hidden="1">0.000001</definedName>
    <definedName name="solver_rbv" localSheetId="4" hidden="1">1</definedName>
    <definedName name="solver_rlx" localSheetId="4" hidden="1">2</definedName>
    <definedName name="solver_rsd" localSheetId="4" hidden="1">0</definedName>
    <definedName name="solver_scl" localSheetId="4" hidden="1">1</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0.000000000135</definedName>
    <definedName name="solver_ver" localSheetId="4"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 i="34" l="1"/>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3" i="33"/>
  <c r="D4" i="33"/>
  <c r="E4" i="33"/>
  <c r="E3" i="33"/>
  <c r="E2" i="33"/>
  <c r="B16" i="25" l="1"/>
  <c r="B8" i="27" l="1"/>
  <c r="B14"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19" i="27" l="1"/>
  <c r="B17"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<sst xmlns="http://schemas.openxmlformats.org/spreadsheetml/2006/main" count="560" uniqueCount="279">
  <si>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</si>
  <si>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</si>
  <si>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</si>
  <si>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</si>
  <si>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</si>
  <si>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</si>
  <si>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</si>
  <si>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</si>
  <si>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</si>
  <si>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</si>
  <si>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</si>
  <si>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</si>
  <si>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</si>
  <si>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</si>
  <si>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</si>
  <si>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</si>
  <si>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</si>
  <si>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</si>
  <si>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</si>
  <si>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</si>
  <si>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</si>
  <si>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</si>
  <si>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</si>
  <si>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</si>
  <si>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</si>
  <si>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</si>
  <si>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</si>
  <si>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</si>
  <si>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</si>
  <si>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</si>
  <si>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</si>
  <si>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</si>
  <si>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</si>
  <si>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</si>
  <si>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</si>
  <si>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</si>
  <si>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</si>
  <si>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</si>
  <si>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</si>
  <si>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</si>
  <si>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</si>
  <si>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</si>
  <si>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</si>
  <si>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</si>
  <si>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</si>
  <si>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</si>
  <si>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</si>
  <si>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</si>
  <si>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</si>
  <si>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</si>
  <si>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</si>
  <si>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</si>
  <si>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</si>
  <si>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</si>
  <si>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</si>
  <si>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</si>
  <si>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</si>
  <si>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</si>
  <si>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</si>
  <si>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</si>
  <si>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</si>
  <si>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</si>
  <si>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</si>
  <si>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</si>
  <si>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</si>
  <si>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</si>
  <si>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</si>
  <si>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</si>
  <si>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</si>
  <si>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</si>
  <si>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</si>
  <si>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</si>
  <si>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</si>
  <si>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</si>
  <si>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</si>
  <si>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</si>
  <si>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</si>
  <si>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</si>
  <si>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</si>
  <si>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</si>
  <si>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</si>
  <si>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</si>
  <si>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</si>
  <si>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</si>
  <si>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</si>
  <si>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</si>
  <si>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</si>
  <si>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</si>
  <si>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</si>
  <si>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</si>
  <si>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</si>
  <si>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</si>
  <si>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</si>
  <si>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</si>
  <si>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</si>
  <si>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</si>
  <si>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</si>
  <si>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</si>
  <si>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</si>
  <si>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</si>
  <si>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</si>
  <si>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</si>
  <si>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</si>
  <si>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</si>
  <si>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</si>
  <si>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</si>
  <si>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</si>
  <si>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</si>
  <si>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</si>
  <si>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</si>
  <si>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</si>
  <si>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</si>
  <si>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</si>
  <si>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</si>
  <si>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</si>
  <si>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</si>
  <si>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</si>
  <si>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</si>
  <si>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</si>
  <si>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</si>
  <si>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</si>
  <si>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</si>
  <si>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</si>
  <si>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</si>
  <si>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</si>
  <si>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</si>
  <si>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</si>
  <si>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</si>
  <si>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</si>
  <si>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</si>
  <si>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</si>
  <si>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</si>
  <si>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</si>
  <si>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</si>
  <si>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</si>
  <si>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</si>
  <si>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</si>
  <si>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</si>
  <si>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</si>
  <si>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</si>
  <si>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</si>
  <si>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</si>
  <si>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</si>
  <si>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</si>
  <si>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</si>
  <si>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</si>
  <si>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</si>
  <si>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</si>
  <si>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</si>
  <si>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</si>
  <si>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</si>
  <si>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</si>
  <si>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</si>
  <si>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</si>
  <si>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</si>
  <si>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</si>
  <si>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</si>
  <si>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</si>
  <si>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</si>
  <si>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</si>
  <si>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</si>
  <si>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</si>
  <si>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</si>
  <si>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</si>
  <si>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</si>
  <si>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</si>
  <si>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</si>
  <si>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</si>
  <si>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</si>
  <si>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</si>
  <si>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</si>
  <si>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</si>
  <si>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</si>
  <si>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</si>
  <si>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</si>
  <si>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</si>
  <si>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</si>
  <si>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</si>
  <si>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</si>
  <si>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</si>
  <si>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</si>
  <si>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</si>
  <si>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</si>
  <si>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</si>
  <si>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</si>
  <si>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</si>
  <si>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</si>
  <si>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</si>
  <si>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</si>
  <si>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</si>
  <si>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</si>
  <si>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</si>
  <si>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</si>
  <si>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</si>
  <si>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</si>
  <si>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</si>
  <si>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</si>
  <si>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</si>
  <si>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</si>
  <si>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</si>
  <si>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</si>
  <si>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</si>
  <si>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</si>
  <si>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</si>
  <si>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</si>
  <si>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</si>
  <si>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</si>
  <si>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</si>
  <si>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</si>
  <si>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</si>
  <si>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</si>
  <si>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</si>
  <si>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</si>
  <si>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</si>
  <si>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</si>
  <si>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</si>
  <si>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</si>
  <si>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</si>
  <si>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</si>
  <si>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</si>
  <si>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</si>
  <si>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</si>
  <si>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</si>
  <si>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</si>
  <si>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</si>
  <si>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</si>
  <si>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</si>
  <si>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</si>
  <si>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</si>
  <si>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</si>
  <si>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</si>
  <si>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</si>
  <si>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</si>
  <si>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</si>
  <si>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</si>
  <si>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</si>
  <si>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</si>
  <si>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</si>
  <si>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</si>
  <si>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</si>
  <si>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</si>
  <si>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</si>
  <si>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</si>
  <si>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</si>
  <si>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</si>
  <si>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</si>
  <si>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</si>
  <si>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</si>
  <si>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</si>
  <si>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</si>
  <si>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</si>
  <si>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</si>
  <si>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</si>
  <si>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</si>
  <si>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g/L</t>
  </si>
  <si>
    <t>How dense are the granules</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</si>
  <si>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</si>
  <si>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</si>
  <si>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</si>
  <si>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</si>
  <si>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</si>
  <si>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</si>
  <si>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</si>
  <si>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</si>
  <si>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</si>
  <si>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</si>
  <si>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</si>
  <si>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</si>
  <si>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</si>
  <si>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</si>
  <si>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</si>
  <si>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</si>
  <si>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</si>
  <si>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</si>
  <si>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</si>
  <si>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</si>
  <si>
    <t>Copy of granule_template with reduced simulation time</t>
  </si>
  <si>
    <t>Density granule</t>
  </si>
  <si>
    <t>Density reactor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</si>
</sst>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7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Alignment="1">
      <alignment horizontal="center"/>
    </xf>
    <xf numFmtId="11" fontId="36" fillId="0" borderId="0" xfId="10" applyNumberFormat="1" applyBorder="1" applyAlignment="1">
      <alignment horizontal="center" vertical="center"/>
    </xf>
    <xf numFmtId="0" fontId="0" fillId="11" borderId="39" xfId="9" applyFont="1" applyAlignment="1">
      <alignment horizontal="center"/>
    </xf>
    <xf numFmtId="0" fontId="36" fillId="0" borderId="14" xfId="10" applyFill="1" applyBorder="1" applyAlignment="1">
      <alignment vertical="center" wrapText="1"/>
    </xf>
    <xf numFmtId="0" fontId="0" fillId="11" borderId="39" xfId="9" applyNumberFormat="1" applyFont="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36" fillId="0" borderId="0" xfId="10"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32">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1" t="s">
        <v>240</v>
      </c>
    </row>
    <row r="2" spans="1:1" ht="52.8" x14ac:dyDescent="0.25">
      <c r="A2" s="182" t="s">
        <v>241</v>
      </c>
    </row>
    <row r="3" spans="1:1" ht="27" thickBot="1" x14ac:dyDescent="0.3">
      <c r="A3" s="180" t="s">
        <v>242</v>
      </c>
    </row>
    <row r="4" spans="1:1" x14ac:dyDescent="0.25">
      <c r="A4" s="179" t="s">
        <v>246</v>
      </c>
    </row>
    <row r="5" spans="1:1" ht="28.8" x14ac:dyDescent="0.25">
      <c r="A5" s="175" t="s">
        <v>243</v>
      </c>
    </row>
    <row r="6" spans="1:1" ht="26.4" x14ac:dyDescent="0.25">
      <c r="A6" s="174" t="s">
        <v>244</v>
      </c>
    </row>
    <row r="7" spans="1:1" ht="52.8" x14ac:dyDescent="0.25">
      <c r="A7" s="176" t="s">
        <v>248</v>
      </c>
    </row>
    <row r="8" spans="1:1" ht="52.8" x14ac:dyDescent="0.25">
      <c r="A8" s="177" t="s">
        <v>245</v>
      </c>
    </row>
    <row r="9" spans="1:1" ht="40.200000000000003" thickBot="1" x14ac:dyDescent="0.3">
      <c r="A9" s="178" t="s">
        <v>247</v>
      </c>
    </row>
  </sheetData>
  <conditionalFormatting sqref="A7">
    <cfRule type="expression" dxfId="31" priority="6">
      <formula>#REF! = FALSE</formula>
    </cfRule>
  </conditionalFormatting>
  <conditionalFormatting sqref="A8">
    <cfRule type="cellIs" dxfId="30" priority="3" operator="equal">
      <formula>0</formula>
    </cfRule>
    <cfRule type="containsText" dxfId="29" priority="4" operator="containsText" text="NA">
      <formula>NOT(ISERROR(SEARCH("NA",A8)))</formula>
    </cfRule>
    <cfRule type="containsText" dxfId="28" priority="5" operator="containsText" text="Inf">
      <formula>NOT(ISERROR(SEARCH("Inf",A8)))</formula>
    </cfRule>
  </conditionalFormatting>
  <conditionalFormatting sqref="A9">
    <cfRule type="expression" dxfId="27"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election activeCell="B8" sqref="B8"/>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271</v>
      </c>
      <c r="B1" s="121">
        <f>Influent!B1/2</f>
        <v>3.3333333333333332E-4</v>
      </c>
      <c r="C1" s="90" t="s">
        <v>81</v>
      </c>
      <c r="D1" s="270" t="s">
        <v>210</v>
      </c>
      <c r="E1" s="69"/>
      <c r="F1" s="69"/>
      <c r="G1" s="69"/>
    </row>
    <row r="2" spans="1:9" ht="15" customHeight="1" x14ac:dyDescent="0.25">
      <c r="A2" s="77" t="s">
        <v>272</v>
      </c>
      <c r="B2" s="121">
        <f>Influent!B2/2</f>
        <v>3.3333333333333332E-4</v>
      </c>
      <c r="C2" s="90" t="s">
        <v>81</v>
      </c>
      <c r="D2" s="270"/>
      <c r="E2" s="69"/>
      <c r="F2" s="69"/>
      <c r="G2" s="69"/>
    </row>
    <row r="3" spans="1:9" ht="15" customHeight="1" x14ac:dyDescent="0.25">
      <c r="A3" s="77" t="s">
        <v>17</v>
      </c>
      <c r="B3" s="121">
        <f>Influent!B3/2</f>
        <v>3.3333333333333332E-4</v>
      </c>
      <c r="C3" s="90" t="s">
        <v>81</v>
      </c>
      <c r="D3" s="270"/>
      <c r="E3" s="69"/>
      <c r="F3" s="69"/>
      <c r="G3" s="69"/>
    </row>
    <row r="4" spans="1:9" ht="15" customHeight="1" x14ac:dyDescent="0.25">
      <c r="A4" s="77" t="s">
        <v>83</v>
      </c>
      <c r="B4" s="121">
        <f>Influent!B4</f>
        <v>9.9999999999999995E-21</v>
      </c>
      <c r="C4" s="90" t="s">
        <v>81</v>
      </c>
      <c r="D4" s="270"/>
      <c r="E4" s="69"/>
      <c r="F4" s="69"/>
      <c r="G4" s="69"/>
    </row>
    <row r="5" spans="1:9" ht="15" customHeight="1" x14ac:dyDescent="0.25">
      <c r="A5" s="77" t="s">
        <v>76</v>
      </c>
      <c r="B5" s="121">
        <f>Influent!B5</f>
        <v>9.9999999999999995E-21</v>
      </c>
      <c r="C5" s="90" t="s">
        <v>81</v>
      </c>
      <c r="D5" s="270"/>
      <c r="E5" s="69"/>
      <c r="F5" s="69"/>
      <c r="G5" s="69"/>
    </row>
    <row r="6" spans="1:9" x14ac:dyDescent="0.25">
      <c r="A6" s="77" t="s">
        <v>77</v>
      </c>
      <c r="B6" s="121">
        <v>1E-3</v>
      </c>
      <c r="C6" s="90" t="s">
        <v>81</v>
      </c>
      <c r="D6" s="270"/>
      <c r="E6" s="69"/>
      <c r="F6" s="72"/>
      <c r="G6" s="131"/>
      <c r="H6" s="132"/>
      <c r="I6" s="72"/>
    </row>
    <row r="7" spans="1:9" x14ac:dyDescent="0.25">
      <c r="A7" s="105" t="s">
        <v>78</v>
      </c>
      <c r="B7" s="125">
        <f>B8/2</f>
        <v>5.0000000000000002E-11</v>
      </c>
      <c r="C7" s="119" t="s">
        <v>81</v>
      </c>
      <c r="D7" s="270"/>
    </row>
    <row r="8" spans="1:9" x14ac:dyDescent="0.25">
      <c r="A8" s="133" t="s">
        <v>79</v>
      </c>
      <c r="B8" s="134">
        <v>1E-10</v>
      </c>
      <c r="C8" s="135" t="s">
        <v>81</v>
      </c>
      <c r="D8" s="27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B21" sqref="B21:E21"/>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1" t="s">
        <v>84</v>
      </c>
      <c r="B1" s="142" t="s">
        <v>216</v>
      </c>
      <c r="C1" s="142" t="s">
        <v>212</v>
      </c>
      <c r="D1" s="143" t="s">
        <v>213</v>
      </c>
      <c r="E1" s="142" t="s">
        <v>214</v>
      </c>
      <c r="F1" s="143" t="s">
        <v>215</v>
      </c>
      <c r="G1" s="143" t="s">
        <v>227</v>
      </c>
    </row>
    <row r="2" spans="1:9" ht="13.2" x14ac:dyDescent="0.25">
      <c r="A2" s="76" t="s">
        <v>271</v>
      </c>
      <c r="B2" s="151" t="s">
        <v>85</v>
      </c>
      <c r="C2" s="151">
        <v>10</v>
      </c>
      <c r="D2" s="151" t="s">
        <v>85</v>
      </c>
      <c r="E2" s="151" t="s">
        <v>85</v>
      </c>
      <c r="F2" s="151" t="s">
        <v>85</v>
      </c>
      <c r="G2" s="148">
        <v>3</v>
      </c>
      <c r="H2" s="144" t="s">
        <v>82</v>
      </c>
      <c r="I2" s="270" t="s">
        <v>228</v>
      </c>
    </row>
    <row r="3" spans="1:9" ht="13.2" x14ac:dyDescent="0.25">
      <c r="A3" s="77" t="s">
        <v>272</v>
      </c>
      <c r="B3" s="151" t="s">
        <v>85</v>
      </c>
      <c r="C3" s="151">
        <v>10</v>
      </c>
      <c r="D3" s="151" t="s">
        <v>85</v>
      </c>
      <c r="E3" s="151" t="s">
        <v>85</v>
      </c>
      <c r="F3" s="151" t="s">
        <v>85</v>
      </c>
      <c r="G3" s="149">
        <v>2</v>
      </c>
      <c r="H3" s="145" t="s">
        <v>82</v>
      </c>
      <c r="I3" s="270"/>
    </row>
    <row r="4" spans="1:9" ht="13.2" x14ac:dyDescent="0.25">
      <c r="A4" s="77" t="s">
        <v>17</v>
      </c>
      <c r="B4" s="151" t="s">
        <v>85</v>
      </c>
      <c r="C4" s="151">
        <v>10</v>
      </c>
      <c r="D4" s="151" t="s">
        <v>85</v>
      </c>
      <c r="E4" s="151" t="s">
        <v>85</v>
      </c>
      <c r="F4" s="151" t="s">
        <v>85</v>
      </c>
      <c r="G4" s="149">
        <v>2</v>
      </c>
      <c r="H4" s="145" t="s">
        <v>82</v>
      </c>
      <c r="I4" s="270"/>
    </row>
    <row r="5" spans="1:9" ht="13.2" x14ac:dyDescent="0.25">
      <c r="A5" s="77" t="s">
        <v>83</v>
      </c>
      <c r="B5" s="151" t="s">
        <v>85</v>
      </c>
      <c r="C5" s="151">
        <v>10</v>
      </c>
      <c r="D5" s="151" t="s">
        <v>85</v>
      </c>
      <c r="E5" s="151" t="s">
        <v>85</v>
      </c>
      <c r="F5" s="151" t="s">
        <v>85</v>
      </c>
      <c r="G5" s="149">
        <v>2</v>
      </c>
      <c r="H5" s="145" t="s">
        <v>82</v>
      </c>
      <c r="I5" s="270"/>
    </row>
    <row r="6" spans="1:9" ht="13.2" x14ac:dyDescent="0.25">
      <c r="A6" s="77" t="s">
        <v>76</v>
      </c>
      <c r="B6" s="153" t="s">
        <v>85</v>
      </c>
      <c r="C6" s="153">
        <v>10</v>
      </c>
      <c r="D6" s="153" t="s">
        <v>85</v>
      </c>
      <c r="E6" s="153" t="s">
        <v>85</v>
      </c>
      <c r="F6" s="153" t="s">
        <v>85</v>
      </c>
      <c r="G6" s="196">
        <v>3</v>
      </c>
      <c r="H6" s="145" t="s">
        <v>82</v>
      </c>
      <c r="I6" s="270"/>
    </row>
    <row r="7" spans="1:9" ht="13.2" x14ac:dyDescent="0.25">
      <c r="A7" s="127" t="s">
        <v>77</v>
      </c>
      <c r="B7" s="198">
        <v>-386</v>
      </c>
      <c r="C7" s="198">
        <v>-623.16</v>
      </c>
      <c r="D7" s="198">
        <v>-586.85</v>
      </c>
      <c r="E7" s="198">
        <v>-527.79999999999995</v>
      </c>
      <c r="F7" s="198" t="s">
        <v>85</v>
      </c>
      <c r="G7" s="148">
        <v>3</v>
      </c>
      <c r="H7" s="145" t="s">
        <v>82</v>
      </c>
      <c r="I7" s="270"/>
    </row>
    <row r="8" spans="1:9" ht="13.2" x14ac:dyDescent="0.25">
      <c r="A8" s="77" t="s">
        <v>78</v>
      </c>
      <c r="B8" s="153" t="s">
        <v>85</v>
      </c>
      <c r="C8" s="153">
        <v>-755.9</v>
      </c>
      <c r="D8" s="153">
        <v>-756.00696000000005</v>
      </c>
      <c r="E8" s="153">
        <v>-744.62648000000002</v>
      </c>
      <c r="F8" s="153" t="s">
        <v>85</v>
      </c>
      <c r="G8" s="196">
        <v>4</v>
      </c>
      <c r="H8" s="145" t="s">
        <v>82</v>
      </c>
      <c r="I8" s="270"/>
    </row>
    <row r="9" spans="1:9" ht="13.2" x14ac:dyDescent="0.25">
      <c r="A9" s="133" t="s">
        <v>79</v>
      </c>
      <c r="B9" s="154" t="s">
        <v>85</v>
      </c>
      <c r="C9" s="154">
        <v>0</v>
      </c>
      <c r="D9" s="154" t="s">
        <v>85</v>
      </c>
      <c r="E9" s="154" t="s">
        <v>85</v>
      </c>
      <c r="F9" s="154" t="s">
        <v>85</v>
      </c>
      <c r="G9" s="156">
        <v>2</v>
      </c>
      <c r="H9" s="93" t="s">
        <v>82</v>
      </c>
      <c r="I9" s="270"/>
    </row>
    <row r="10" spans="1:9" s="71" customFormat="1" ht="13.2" x14ac:dyDescent="0.25">
      <c r="A10" s="139" t="s">
        <v>80</v>
      </c>
      <c r="B10" s="197" t="s">
        <v>85</v>
      </c>
      <c r="C10" s="198">
        <v>-237.18</v>
      </c>
      <c r="D10" s="198">
        <v>-157.30000000000001</v>
      </c>
      <c r="E10" s="198" t="s">
        <v>85</v>
      </c>
      <c r="F10" s="198" t="s">
        <v>85</v>
      </c>
      <c r="G10" s="148">
        <v>2</v>
      </c>
      <c r="H10" s="73" t="s">
        <v>82</v>
      </c>
      <c r="I10" s="270"/>
    </row>
    <row r="11" spans="1:9" s="71" customFormat="1" thickBot="1" x14ac:dyDescent="0.3">
      <c r="A11" s="140" t="s">
        <v>18</v>
      </c>
      <c r="B11" s="199" t="s">
        <v>85</v>
      </c>
      <c r="C11" s="151">
        <v>0</v>
      </c>
      <c r="D11" s="151" t="s">
        <v>85</v>
      </c>
      <c r="E11" s="151" t="s">
        <v>85</v>
      </c>
      <c r="F11" s="151" t="s">
        <v>85</v>
      </c>
      <c r="G11" s="150">
        <v>2</v>
      </c>
      <c r="H11" s="74" t="s">
        <v>82</v>
      </c>
      <c r="I11" s="270"/>
    </row>
    <row r="12" spans="1:9" s="71" customFormat="1" ht="28.2" customHeight="1" thickBot="1" x14ac:dyDescent="0.3">
      <c r="A12" s="141" t="s">
        <v>84</v>
      </c>
      <c r="B12" s="146" t="s">
        <v>218</v>
      </c>
      <c r="C12" s="146" t="s">
        <v>219</v>
      </c>
      <c r="D12" s="147" t="s">
        <v>220</v>
      </c>
      <c r="E12" s="146" t="s">
        <v>221</v>
      </c>
      <c r="H12" s="72"/>
    </row>
    <row r="13" spans="1:9" s="71" customFormat="1" ht="13.2" x14ac:dyDescent="0.25">
      <c r="A13" s="76" t="s">
        <v>271</v>
      </c>
      <c r="B13" s="103">
        <f>IF(COUNT(B2,C2)=2, EXP(($C$10+B2-C2)/-(Parameters!$B$9*Parameters!$B$6)), 0)</f>
        <v>0</v>
      </c>
      <c r="C13" s="100">
        <f>IF(COUNT(C2,D2)=2, EXP((D2-C2)/-(Parameters!$B$9*Parameters!$B$6)), 0)</f>
        <v>0</v>
      </c>
      <c r="D13" s="103">
        <f>IF(COUNT(D2,E2)=2, EXP((E2-D2)/-(Parameters!$B$9*Parameters!$B$6)), 0)</f>
        <v>0</v>
      </c>
      <c r="E13" s="103">
        <f>IF(COUNT(E2,F2)=2, EXP((F2-E2)/-(Parameters!$B$9*Parameters!$B$6)), 0)</f>
        <v>0</v>
      </c>
      <c r="H13" s="72"/>
      <c r="I13" s="274" t="s">
        <v>229</v>
      </c>
    </row>
    <row r="14" spans="1:9" s="71" customFormat="1" ht="13.2" x14ac:dyDescent="0.25">
      <c r="A14" s="77" t="s">
        <v>272</v>
      </c>
      <c r="B14" s="103">
        <f>IF(COUNT(B3,C3)=2, EXP(($C$10+B3-C3)/-(Parameters!$B$9*Parameters!$B$6)), 0)</f>
        <v>0</v>
      </c>
      <c r="C14" s="100">
        <f>IF(COUNT(C3,D3)=2, EXP((D3-C3)/-(Parameters!$B$9*Parameters!$B$6)), 0)</f>
        <v>0</v>
      </c>
      <c r="D14" s="103">
        <f>IF(COUNT(D3,E3)=2, EXP((E3-D3)/-(Parameters!$B$9*Parameters!$B$6)), 0)</f>
        <v>0</v>
      </c>
      <c r="E14" s="103">
        <f>IF(COUNT(E3,F3)=2, EXP((F3-E3)/-(Parameters!$B$9*Parameters!$B$6)), 0)</f>
        <v>0</v>
      </c>
      <c r="H14" s="72"/>
      <c r="I14" s="274"/>
    </row>
    <row r="15" spans="1:9" s="71" customFormat="1" ht="13.2" x14ac:dyDescent="0.25">
      <c r="A15" s="77" t="s">
        <v>17</v>
      </c>
      <c r="B15" s="103">
        <f>IF(COUNT(B4,C4)=2, EXP(($C$10+B4-C4)/-(Parameters!$B$9*Parameters!$B$6)), 0)</f>
        <v>0</v>
      </c>
      <c r="C15" s="100">
        <f>IF(COUNT(C4,D4)=2, EXP((D4-C4)/-(Parameters!$B$9*Parameters!$B$6)), 0)</f>
        <v>0</v>
      </c>
      <c r="D15" s="103">
        <f>IF(COUNT(D4,E4)=2, EXP((E4-D4)/-(Parameters!$B$9*Parameters!$B$6)), 0)</f>
        <v>0</v>
      </c>
      <c r="E15" s="103">
        <f>IF(COUNT(E4,F4)=2, EXP((F4-E4)/-(Parameters!$B$9*Parameters!$B$6)), 0)</f>
        <v>0</v>
      </c>
      <c r="H15" s="72"/>
      <c r="I15" s="274"/>
    </row>
    <row r="16" spans="1:9" ht="13.2" x14ac:dyDescent="0.25">
      <c r="A16" s="77" t="s">
        <v>83</v>
      </c>
      <c r="B16" s="103">
        <f>IF(COUNT(B5,C5)=2, EXP(($C$10+B5-C5)/-(Parameters!$B$9*Parameters!$B$6)), 0)</f>
        <v>0</v>
      </c>
      <c r="C16" s="103">
        <f>IF(COUNT(C5,D5)=2, EXP((D5-C5)/-(Parameters!$B$9*Parameters!$B$6)), 0)</f>
        <v>0</v>
      </c>
      <c r="D16" s="103">
        <f>IF(COUNT(D5,E5)=2, EXP((E5-D5)/-(Parameters!$B$9*Parameters!$B$6)), 0)</f>
        <v>0</v>
      </c>
      <c r="E16" s="103">
        <f>IF(COUNT(E5,F5)=2, EXP((F5-E5)/-(Parameters!$B$9*Parameters!$B$6)), 0)</f>
        <v>0</v>
      </c>
      <c r="F16" s="71"/>
      <c r="I16" s="274"/>
    </row>
    <row r="17" spans="1:9" ht="13.2" x14ac:dyDescent="0.25">
      <c r="A17" s="77" t="s">
        <v>76</v>
      </c>
      <c r="B17" s="200">
        <v>0</v>
      </c>
      <c r="C17" s="201">
        <f>IF(COUNT(C6,D6)=2, EXP((D6-C6)/-(Parameters!$B$9*Parameters!$B$6)), 0)</f>
        <v>0</v>
      </c>
      <c r="D17" s="201">
        <f>IF(COUNT(D6,E6)=2, EXP((E6-D6)/-(Parameters!$B$9*Parameters!$B$6)), 0)</f>
        <v>0</v>
      </c>
      <c r="E17" s="200">
        <f>IF(COUNT(E6,F6)=2, EXP((F6-E6)/-(Parameters!$B$9*Parameters!$B$6)), 0)</f>
        <v>0</v>
      </c>
      <c r="F17" s="71"/>
      <c r="I17" s="274"/>
    </row>
    <row r="18" spans="1:9" ht="13.2" x14ac:dyDescent="0.25">
      <c r="A18" s="127" t="s">
        <v>77</v>
      </c>
      <c r="B18" s="206">
        <f>1/0.0017</f>
        <v>588.23529411764707</v>
      </c>
      <c r="C18" s="242">
        <f>IF(COUNT(C7,D7)=2, EXP((D7-C7)/-(Parameters!$B$9*Parameters!$B$6)), 0)</f>
        <v>3.3901312221699524E-7</v>
      </c>
      <c r="D18" s="242">
        <f>IF(COUNT(D7,E7)=2, EXP((E7-D7)/-(Parameters!$B$9*Parameters!$B$6)), 0)</f>
        <v>3.008575507210982E-11</v>
      </c>
      <c r="E18" s="243">
        <f>IF(COUNT(E7,F7)=2, EXP((F7-E7)/-(Parameters!$B$9*Parameters!$B$6)), 0)</f>
        <v>0</v>
      </c>
      <c r="F18" s="71"/>
      <c r="I18" s="274"/>
    </row>
    <row r="19" spans="1:9" ht="13.2" x14ac:dyDescent="0.25">
      <c r="A19" s="77" t="s">
        <v>78</v>
      </c>
      <c r="B19" s="200">
        <f>IF(COUNT(B8,C8)=2, EXP(($C$10+B8-C8)/-(Parameters!$B$9*Parameters!$B$6)), 0)</f>
        <v>0</v>
      </c>
      <c r="C19" s="244">
        <v>100</v>
      </c>
      <c r="D19" s="245">
        <f>10^(-1.92)</f>
        <v>1.2022644346174125E-2</v>
      </c>
      <c r="E19" s="200">
        <f>IF(COUNT(E8,F8)=2, EXP((F8-E8)/-(Parameters!$B$9*Parameters!$B$6)), 0)</f>
        <v>0</v>
      </c>
      <c r="F19" s="71"/>
      <c r="I19" s="274"/>
    </row>
    <row r="20" spans="1:9" ht="13.2" x14ac:dyDescent="0.25">
      <c r="A20" s="133" t="s">
        <v>79</v>
      </c>
      <c r="B20" s="243">
        <f>IF(COUNT(B9,C9)=2, EXP(($C$10+B9-C9)/-(Parameters!$B$9*Parameters!$B$6)), 0)</f>
        <v>0</v>
      </c>
      <c r="C20" s="242">
        <f>IF(COUNT(C9,D9)=2, EXP((D9-C9)/-(Parameters!$B$9*Parameters!$B$6)), 0)</f>
        <v>0</v>
      </c>
      <c r="D20" s="242">
        <f>IF(COUNT(D9,E9)=2, EXP((E9-D9)/-(Parameters!$B$9*Parameters!$B$6)), 0)</f>
        <v>0</v>
      </c>
      <c r="E20" s="243">
        <f>IF(COUNT(E9,F9)=2, EXP((F9-E9)/-(Parameters!$B$9*Parameters!$B$6)), 0)</f>
        <v>0</v>
      </c>
      <c r="F20" s="71"/>
      <c r="I20" s="274"/>
    </row>
    <row r="21" spans="1:9" ht="13.2" x14ac:dyDescent="0.25">
      <c r="A21" s="139" t="s">
        <v>80</v>
      </c>
      <c r="B21" s="246">
        <f>IF(COUNT(B10,C10)=2, EXP(($C$10+B10-C10)/-(Parameters!$B$9*Parameters!$B$6)), 0)</f>
        <v>0</v>
      </c>
      <c r="C21" s="184">
        <f>IF(COUNT(C10,D10)=2, EXP((D10-C10)/-(Parameters!$B$9*Parameters!$B$6)), 0)</f>
        <v>5.845648305092005E-15</v>
      </c>
      <c r="D21" s="202">
        <f>IF(COUNT(D10,E10)=2, EXP((E10-D10)/-(Parameters!$B$9*Parameters!$B$6)), 0)</f>
        <v>0</v>
      </c>
      <c r="E21" s="202">
        <f>IF(COUNT(E10,F10)=2, EXP((F10-E10)/-(Parameters!$B$9*Parameters!$B$6)), 0)</f>
        <v>0</v>
      </c>
      <c r="F21" s="71"/>
      <c r="H21" s="71"/>
      <c r="I21" s="274"/>
    </row>
    <row r="22" spans="1:9" thickBot="1" x14ac:dyDescent="0.3">
      <c r="A22" s="140" t="s">
        <v>18</v>
      </c>
      <c r="B22" s="103">
        <f>IF(COUNT(B11,C11)=2, EXP(($C$10+B11-C11)/-(Parameters!$B$9*Parameters!$B$6)), 0)</f>
        <v>0</v>
      </c>
      <c r="C22" s="203">
        <f>IF(COUNT(C11,D11)=2, EXP((D11-C11)/-(Parameters!$B$9*Parameters!$B$6)), 0)</f>
        <v>0</v>
      </c>
      <c r="D22" s="203">
        <f>IF(COUNT(D11,E11)=2, EXP((E11-D11)/-(Parameters!$B$9*Parameters!$B$6)), 0)</f>
        <v>0</v>
      </c>
      <c r="E22" s="200">
        <f>IF(COUNT(E11,F11)=2, EXP((F11-E11)/-(Parameters!$B$9*Parameters!$B$6)), 0)</f>
        <v>0</v>
      </c>
      <c r="F22" s="71"/>
      <c r="I22" s="274"/>
    </row>
    <row r="23" spans="1:9" ht="28.2" customHeight="1" thickBot="1" x14ac:dyDescent="0.3">
      <c r="A23" s="271" t="s">
        <v>217</v>
      </c>
      <c r="B23" s="272"/>
      <c r="C23" s="272"/>
      <c r="D23" s="272"/>
      <c r="E23" s="272"/>
      <c r="F23" s="273"/>
    </row>
    <row r="24" spans="1:9" ht="13.2" x14ac:dyDescent="0.25">
      <c r="A24" s="76" t="s">
        <v>271</v>
      </c>
      <c r="B24" s="152" t="s">
        <v>86</v>
      </c>
      <c r="C24" s="152">
        <v>0</v>
      </c>
      <c r="D24" s="152" t="s">
        <v>86</v>
      </c>
      <c r="E24" s="152" t="s">
        <v>86</v>
      </c>
      <c r="F24" s="152" t="s">
        <v>86</v>
      </c>
      <c r="I24" s="274" t="s">
        <v>230</v>
      </c>
    </row>
    <row r="25" spans="1:9" ht="13.2" x14ac:dyDescent="0.25">
      <c r="A25" s="77" t="s">
        <v>272</v>
      </c>
      <c r="B25" s="152" t="s">
        <v>86</v>
      </c>
      <c r="C25" s="152">
        <v>0</v>
      </c>
      <c r="D25" s="152" t="s">
        <v>86</v>
      </c>
      <c r="E25" s="152" t="s">
        <v>86</v>
      </c>
      <c r="F25" s="152" t="s">
        <v>86</v>
      </c>
      <c r="I25" s="274"/>
    </row>
    <row r="26" spans="1:9" ht="13.2" x14ac:dyDescent="0.25">
      <c r="A26" s="77" t="s">
        <v>17</v>
      </c>
      <c r="B26" s="152" t="s">
        <v>86</v>
      </c>
      <c r="C26" s="152">
        <v>0</v>
      </c>
      <c r="D26" s="152" t="s">
        <v>86</v>
      </c>
      <c r="E26" s="152" t="s">
        <v>86</v>
      </c>
      <c r="F26" s="152" t="s">
        <v>86</v>
      </c>
      <c r="I26" s="274"/>
    </row>
    <row r="27" spans="1:9" ht="13.2" x14ac:dyDescent="0.25">
      <c r="A27" s="77" t="s">
        <v>83</v>
      </c>
      <c r="B27" s="152" t="s">
        <v>86</v>
      </c>
      <c r="C27" s="152">
        <v>0</v>
      </c>
      <c r="D27" s="152" t="s">
        <v>86</v>
      </c>
      <c r="E27" s="152" t="s">
        <v>86</v>
      </c>
      <c r="F27" s="152" t="s">
        <v>86</v>
      </c>
      <c r="I27" s="274"/>
    </row>
    <row r="28" spans="1:9" ht="13.2" x14ac:dyDescent="0.25">
      <c r="A28" s="77" t="s">
        <v>76</v>
      </c>
      <c r="B28" s="204" t="s">
        <v>86</v>
      </c>
      <c r="C28" s="204">
        <v>0</v>
      </c>
      <c r="D28" s="204" t="s">
        <v>86</v>
      </c>
      <c r="E28" s="204" t="s">
        <v>86</v>
      </c>
      <c r="F28" s="204" t="s">
        <v>86</v>
      </c>
      <c r="I28" s="274"/>
    </row>
    <row r="29" spans="1:9" ht="13.2" x14ac:dyDescent="0.25">
      <c r="A29" s="127" t="s">
        <v>77</v>
      </c>
      <c r="B29" s="205">
        <v>0</v>
      </c>
      <c r="C29" s="205">
        <v>0</v>
      </c>
      <c r="D29" s="205">
        <v>-1</v>
      </c>
      <c r="E29" s="205">
        <v>-2</v>
      </c>
      <c r="F29" s="205" t="s">
        <v>86</v>
      </c>
      <c r="I29" s="274"/>
    </row>
    <row r="30" spans="1:9" ht="13.2" x14ac:dyDescent="0.25">
      <c r="A30" s="77" t="s">
        <v>78</v>
      </c>
      <c r="B30" s="204" t="s">
        <v>86</v>
      </c>
      <c r="C30" s="204">
        <v>0</v>
      </c>
      <c r="D30" s="204">
        <v>-1</v>
      </c>
      <c r="E30" s="204">
        <v>-2</v>
      </c>
      <c r="F30" s="204" t="s">
        <v>86</v>
      </c>
      <c r="I30" s="274"/>
    </row>
    <row r="31" spans="1:9" ht="13.2" x14ac:dyDescent="0.25">
      <c r="A31" s="133" t="s">
        <v>79</v>
      </c>
      <c r="B31" s="155" t="s">
        <v>86</v>
      </c>
      <c r="C31" s="155">
        <v>1</v>
      </c>
      <c r="D31" s="155" t="s">
        <v>86</v>
      </c>
      <c r="E31" s="155" t="s">
        <v>86</v>
      </c>
      <c r="F31" s="155" t="s">
        <v>86</v>
      </c>
      <c r="I31" s="274"/>
    </row>
    <row r="32" spans="1:9" ht="13.2" x14ac:dyDescent="0.25">
      <c r="A32" s="139" t="s">
        <v>80</v>
      </c>
      <c r="B32" s="205" t="s">
        <v>86</v>
      </c>
      <c r="C32" s="205">
        <v>0</v>
      </c>
      <c r="D32" s="205">
        <v>-1</v>
      </c>
      <c r="E32" s="205" t="s">
        <v>86</v>
      </c>
      <c r="F32" s="205" t="s">
        <v>86</v>
      </c>
      <c r="I32" s="274"/>
    </row>
    <row r="33" spans="1:9" thickBot="1" x14ac:dyDescent="0.3">
      <c r="A33" s="140" t="s">
        <v>18</v>
      </c>
      <c r="B33" s="152" t="s">
        <v>86</v>
      </c>
      <c r="C33" s="152">
        <v>1</v>
      </c>
      <c r="D33" s="152" t="s">
        <v>86</v>
      </c>
      <c r="E33" s="152" t="s">
        <v>86</v>
      </c>
      <c r="F33" s="152" t="s">
        <v>86</v>
      </c>
      <c r="I33" s="274"/>
    </row>
  </sheetData>
  <mergeCells count="4">
    <mergeCell ref="A23:F23"/>
    <mergeCell ref="I2:I11"/>
    <mergeCell ref="I13:I22"/>
    <mergeCell ref="I24:I33"/>
  </mergeCells>
  <conditionalFormatting sqref="B18:B22 D19">
    <cfRule type="cellIs" dxfId="11" priority="4" operator="equal">
      <formula>0</formula>
    </cfRule>
    <cfRule type="containsText" dxfId="10" priority="5" operator="containsText" text="NA">
      <formula>NOT(ISERROR(SEARCH("NA",B18)))</formula>
    </cfRule>
    <cfRule type="containsText" dxfId="9" priority="6" operator="containsText" text="Inf">
      <formula>NOT(ISERROR(SEARCH("Inf",B18)))</formula>
    </cfRule>
  </conditionalFormatting>
  <conditionalFormatting sqref="B13:E17 C18:D18 E18:E22">
    <cfRule type="cellIs" dxfId="8" priority="7" operator="equal">
      <formula>0</formula>
    </cfRule>
  </conditionalFormatting>
  <conditionalFormatting sqref="B2:F11 B13:E17 C18:D18 E18:E22 B24:F33">
    <cfRule type="containsText" dxfId="7" priority="60" operator="containsText" text="NA">
      <formula>NOT(ISERROR(SEARCH("NA",B2)))</formula>
    </cfRule>
    <cfRule type="containsText" dxfId="6" priority="61" operator="containsText" text="Inf">
      <formula>NOT(ISERROR(SEARCH("Inf",B2)))</formula>
    </cfRule>
  </conditionalFormatting>
  <conditionalFormatting sqref="C20:D22">
    <cfRule type="cellIs" dxfId="5" priority="1" operator="equal">
      <formula>0</formula>
    </cfRule>
    <cfRule type="containsText" dxfId="4" priority="2" operator="containsText" text="NA">
      <formula>NOT(ISERROR(SEARCH("NA",C20)))</formula>
    </cfRule>
    <cfRule type="containsText" dxfId="3" priority="3" operator="containsText" text="Inf">
      <formula>NOT(ISERROR(SEARCH("Inf",C20)))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F12" sqref="F12"/>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36" t="s">
        <v>271</v>
      </c>
      <c r="C1" s="136" t="s">
        <v>272</v>
      </c>
      <c r="D1" s="136" t="s">
        <v>17</v>
      </c>
      <c r="E1" s="136" t="s">
        <v>76</v>
      </c>
      <c r="F1" s="275" t="s">
        <v>275</v>
      </c>
    </row>
    <row r="2" spans="1:6" ht="13.2" customHeight="1" x14ac:dyDescent="0.25">
      <c r="A2" s="76" t="s">
        <v>268</v>
      </c>
      <c r="B2" s="100">
        <v>1.0000000000000001E-5</v>
      </c>
      <c r="C2" s="100">
        <v>0</v>
      </c>
      <c r="D2" s="100">
        <v>0</v>
      </c>
      <c r="E2" s="100">
        <v>0</v>
      </c>
      <c r="F2" s="275"/>
    </row>
    <row r="3" spans="1:6" ht="13.2" customHeight="1" x14ac:dyDescent="0.25">
      <c r="A3" s="77" t="s">
        <v>269</v>
      </c>
      <c r="B3" s="100">
        <v>0</v>
      </c>
      <c r="C3" s="100">
        <v>1.0000000000000001E-5</v>
      </c>
      <c r="D3" s="100">
        <v>0</v>
      </c>
      <c r="E3" s="100">
        <v>0</v>
      </c>
      <c r="F3" s="275"/>
    </row>
    <row r="4" spans="1:6" ht="13.95" customHeight="1" thickBot="1" x14ac:dyDescent="0.3">
      <c r="A4" s="89" t="s">
        <v>270</v>
      </c>
      <c r="B4" s="100">
        <v>0</v>
      </c>
      <c r="C4" s="100">
        <v>0</v>
      </c>
      <c r="D4" s="100">
        <v>1.0000000000000001E-5</v>
      </c>
      <c r="E4" s="100">
        <v>0</v>
      </c>
      <c r="F4" s="275"/>
    </row>
    <row r="5" spans="1:6" ht="13.2" customHeight="1" x14ac:dyDescent="0.25">
      <c r="F5" s="173"/>
    </row>
    <row r="6" spans="1:6" ht="13.2" customHeight="1" x14ac:dyDescent="0.25">
      <c r="F6" s="173"/>
    </row>
  </sheetData>
  <mergeCells count="1">
    <mergeCell ref="F1:F4"/>
  </mergeCells>
  <phoneticPr fontId="38" type="noConversion"/>
  <conditionalFormatting sqref="B2:E6">
    <cfRule type="cellIs" dxfId="2"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E18" sqref="E18"/>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36" t="s">
        <v>271</v>
      </c>
      <c r="C1" s="136" t="s">
        <v>272</v>
      </c>
      <c r="D1" s="136" t="s">
        <v>17</v>
      </c>
      <c r="E1" s="275" t="s">
        <v>274</v>
      </c>
    </row>
    <row r="2" spans="1:5" ht="13.2" customHeight="1" x14ac:dyDescent="0.25">
      <c r="A2" s="76" t="s">
        <v>268</v>
      </c>
      <c r="B2" s="100">
        <v>0</v>
      </c>
      <c r="C2" s="100">
        <v>0</v>
      </c>
      <c r="D2" s="100">
        <v>0</v>
      </c>
      <c r="E2" s="275"/>
    </row>
    <row r="3" spans="1:5" ht="13.2" customHeight="1" x14ac:dyDescent="0.25">
      <c r="A3" s="77" t="s">
        <v>269</v>
      </c>
      <c r="B3" s="100">
        <v>0</v>
      </c>
      <c r="C3" s="100">
        <v>0</v>
      </c>
      <c r="D3" s="100">
        <v>0</v>
      </c>
      <c r="E3" s="275"/>
    </row>
    <row r="4" spans="1:5" ht="13.2" customHeight="1" thickBot="1" x14ac:dyDescent="0.3">
      <c r="A4" s="89" t="s">
        <v>270</v>
      </c>
      <c r="B4" s="100">
        <v>0</v>
      </c>
      <c r="C4" s="100">
        <v>0</v>
      </c>
      <c r="D4" s="100">
        <v>0</v>
      </c>
      <c r="E4" s="275"/>
    </row>
  </sheetData>
  <mergeCells count="1">
    <mergeCell ref="E1:E4"/>
  </mergeCells>
  <conditionalFormatting sqref="B2:D4">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F14" sqref="F14"/>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36" t="s">
        <v>13</v>
      </c>
      <c r="C1" s="136" t="s">
        <v>72</v>
      </c>
      <c r="D1" s="136" t="s">
        <v>225</v>
      </c>
      <c r="E1" s="136" t="s">
        <v>226</v>
      </c>
      <c r="F1" s="270" t="s">
        <v>273</v>
      </c>
    </row>
    <row r="2" spans="1:6" ht="13.2" customHeight="1" x14ac:dyDescent="0.25">
      <c r="A2" s="76" t="s">
        <v>268</v>
      </c>
      <c r="B2" s="100">
        <v>0.01</v>
      </c>
      <c r="C2" s="137" t="s">
        <v>271</v>
      </c>
      <c r="D2" s="138">
        <f>0.25/24</f>
        <v>1.0416666666666666E-2</v>
      </c>
      <c r="E2" s="138">
        <f>1/24</f>
        <v>4.1666666666666664E-2</v>
      </c>
      <c r="F2" s="270"/>
    </row>
    <row r="3" spans="1:6" ht="13.2" customHeight="1" x14ac:dyDescent="0.25">
      <c r="A3" s="77" t="s">
        <v>269</v>
      </c>
      <c r="B3" s="100">
        <v>0.01</v>
      </c>
      <c r="C3" s="137" t="s">
        <v>272</v>
      </c>
      <c r="D3" s="138">
        <f>0.25/24</f>
        <v>1.0416666666666666E-2</v>
      </c>
      <c r="E3" s="138">
        <f>1/24</f>
        <v>4.1666666666666664E-2</v>
      </c>
      <c r="F3" s="270"/>
    </row>
    <row r="4" spans="1:6" ht="13.2" customHeight="1" thickBot="1" x14ac:dyDescent="0.3">
      <c r="A4" s="89" t="s">
        <v>270</v>
      </c>
      <c r="B4" s="100">
        <v>0.01</v>
      </c>
      <c r="C4" s="137" t="s">
        <v>17</v>
      </c>
      <c r="D4" s="138">
        <f>0.25/24</f>
        <v>1.0416666666666666E-2</v>
      </c>
      <c r="E4" s="138">
        <f>1/24</f>
        <v>4.1666666666666664E-2</v>
      </c>
      <c r="F4" s="27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H27" sqref="H27"/>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76" t="s">
        <v>268</v>
      </c>
      <c r="C1" s="277"/>
      <c r="D1" s="278"/>
      <c r="E1" s="276" t="s">
        <v>269</v>
      </c>
      <c r="F1" s="277"/>
      <c r="G1" s="278"/>
      <c r="H1" s="277" t="s">
        <v>270</v>
      </c>
      <c r="I1" s="277"/>
      <c r="J1" s="278"/>
    </row>
    <row r="2" spans="1:10" ht="13.8" thickBot="1" x14ac:dyDescent="0.3">
      <c r="A2" s="69"/>
      <c r="B2" s="158" t="s">
        <v>73</v>
      </c>
      <c r="C2" s="159" t="s">
        <v>74</v>
      </c>
      <c r="D2" s="160" t="s">
        <v>75</v>
      </c>
      <c r="E2" s="158" t="s">
        <v>73</v>
      </c>
      <c r="F2" s="159" t="s">
        <v>74</v>
      </c>
      <c r="G2" s="160" t="s">
        <v>75</v>
      </c>
      <c r="H2" s="159" t="s">
        <v>73</v>
      </c>
      <c r="I2" s="159" t="s">
        <v>74</v>
      </c>
      <c r="J2" s="160" t="s">
        <v>75</v>
      </c>
    </row>
    <row r="3" spans="1:10" x14ac:dyDescent="0.25">
      <c r="A3" s="76" t="s">
        <v>271</v>
      </c>
      <c r="B3" s="164">
        <v>-1</v>
      </c>
      <c r="C3" s="102">
        <v>0</v>
      </c>
      <c r="D3" s="165">
        <v>0</v>
      </c>
      <c r="E3" s="164">
        <v>0</v>
      </c>
      <c r="F3" s="102">
        <v>0</v>
      </c>
      <c r="G3" s="165">
        <v>0</v>
      </c>
      <c r="H3" s="164">
        <v>0</v>
      </c>
      <c r="I3" s="102">
        <v>0</v>
      </c>
      <c r="J3" s="165">
        <v>0</v>
      </c>
    </row>
    <row r="4" spans="1:10" x14ac:dyDescent="0.25">
      <c r="A4" s="77" t="s">
        <v>272</v>
      </c>
      <c r="B4" s="166">
        <v>0</v>
      </c>
      <c r="C4" s="137">
        <v>0</v>
      </c>
      <c r="D4" s="167">
        <v>0</v>
      </c>
      <c r="E4" s="166">
        <v>-1</v>
      </c>
      <c r="F4" s="137">
        <v>0</v>
      </c>
      <c r="G4" s="167">
        <v>0</v>
      </c>
      <c r="H4" s="166">
        <v>0</v>
      </c>
      <c r="I4" s="137">
        <v>0</v>
      </c>
      <c r="J4" s="167">
        <v>0</v>
      </c>
    </row>
    <row r="5" spans="1:10" x14ac:dyDescent="0.25">
      <c r="A5" s="77" t="s">
        <v>17</v>
      </c>
      <c r="B5" s="166">
        <v>0</v>
      </c>
      <c r="C5" s="137">
        <v>0</v>
      </c>
      <c r="D5" s="167">
        <v>0</v>
      </c>
      <c r="E5" s="166">
        <v>0</v>
      </c>
      <c r="F5" s="137">
        <v>0</v>
      </c>
      <c r="G5" s="167">
        <v>0</v>
      </c>
      <c r="H5" s="166">
        <v>-1</v>
      </c>
      <c r="I5" s="137">
        <v>0</v>
      </c>
      <c r="J5" s="167">
        <v>0</v>
      </c>
    </row>
    <row r="6" spans="1:10" x14ac:dyDescent="0.25">
      <c r="A6" s="77" t="s">
        <v>83</v>
      </c>
      <c r="B6" s="166">
        <v>1</v>
      </c>
      <c r="C6" s="137">
        <v>0</v>
      </c>
      <c r="D6" s="167">
        <v>0</v>
      </c>
      <c r="E6" s="166">
        <v>1</v>
      </c>
      <c r="F6" s="137">
        <v>0</v>
      </c>
      <c r="G6" s="167">
        <v>0</v>
      </c>
      <c r="H6" s="166">
        <v>1</v>
      </c>
      <c r="I6" s="137">
        <v>0</v>
      </c>
      <c r="J6" s="167">
        <v>0</v>
      </c>
    </row>
    <row r="7" spans="1:10" s="63" customFormat="1" x14ac:dyDescent="0.25">
      <c r="A7" s="77" t="s">
        <v>76</v>
      </c>
      <c r="B7" s="168">
        <v>0</v>
      </c>
      <c r="C7" s="161">
        <v>0</v>
      </c>
      <c r="D7" s="169">
        <v>0</v>
      </c>
      <c r="E7" s="168">
        <v>0</v>
      </c>
      <c r="F7" s="161">
        <v>0</v>
      </c>
      <c r="G7" s="169">
        <v>0</v>
      </c>
      <c r="H7" s="168">
        <v>0</v>
      </c>
      <c r="I7" s="161">
        <v>0</v>
      </c>
      <c r="J7" s="169">
        <v>0</v>
      </c>
    </row>
    <row r="8" spans="1:10" s="63" customFormat="1" x14ac:dyDescent="0.25">
      <c r="A8" s="127" t="s">
        <v>77</v>
      </c>
      <c r="B8" s="193">
        <v>0</v>
      </c>
      <c r="C8" s="194">
        <v>0</v>
      </c>
      <c r="D8" s="195">
        <v>0</v>
      </c>
      <c r="E8" s="193">
        <v>0</v>
      </c>
      <c r="F8" s="194">
        <v>0</v>
      </c>
      <c r="G8" s="195">
        <v>0</v>
      </c>
      <c r="H8" s="193">
        <v>0</v>
      </c>
      <c r="I8" s="194">
        <v>0</v>
      </c>
      <c r="J8" s="195">
        <v>0</v>
      </c>
    </row>
    <row r="9" spans="1:10" s="63" customFormat="1" x14ac:dyDescent="0.25">
      <c r="A9" s="77" t="s">
        <v>78</v>
      </c>
      <c r="B9" s="190">
        <v>0</v>
      </c>
      <c r="C9" s="191">
        <v>0</v>
      </c>
      <c r="D9" s="192">
        <v>0</v>
      </c>
      <c r="E9" s="190">
        <v>0</v>
      </c>
      <c r="F9" s="191">
        <v>0</v>
      </c>
      <c r="G9" s="192">
        <v>0</v>
      </c>
      <c r="H9" s="190">
        <v>0</v>
      </c>
      <c r="I9" s="191">
        <v>0</v>
      </c>
      <c r="J9" s="192">
        <v>0</v>
      </c>
    </row>
    <row r="10" spans="1:10" s="63" customFormat="1" x14ac:dyDescent="0.25">
      <c r="A10" s="133" t="s">
        <v>79</v>
      </c>
      <c r="B10" s="162">
        <v>0</v>
      </c>
      <c r="C10" s="163">
        <v>0</v>
      </c>
      <c r="D10" s="170">
        <v>0</v>
      </c>
      <c r="E10" s="162">
        <v>0</v>
      </c>
      <c r="F10" s="163">
        <v>0</v>
      </c>
      <c r="G10" s="170">
        <v>0</v>
      </c>
      <c r="H10" s="162">
        <v>0</v>
      </c>
      <c r="I10" s="163">
        <v>0</v>
      </c>
      <c r="J10" s="170">
        <v>0</v>
      </c>
    </row>
    <row r="11" spans="1:10" x14ac:dyDescent="0.25">
      <c r="A11" s="157" t="s">
        <v>80</v>
      </c>
      <c r="B11" s="193">
        <v>0</v>
      </c>
      <c r="C11" s="194">
        <v>0</v>
      </c>
      <c r="D11" s="195">
        <v>0</v>
      </c>
      <c r="E11" s="193">
        <v>0</v>
      </c>
      <c r="F11" s="194">
        <v>0</v>
      </c>
      <c r="G11" s="195">
        <v>0</v>
      </c>
      <c r="H11" s="193">
        <v>0</v>
      </c>
      <c r="I11" s="194">
        <v>0</v>
      </c>
      <c r="J11" s="195">
        <v>0</v>
      </c>
    </row>
    <row r="12" spans="1:10" ht="13.8" thickBot="1" x14ac:dyDescent="0.3">
      <c r="A12" s="140" t="s">
        <v>18</v>
      </c>
      <c r="B12" s="97">
        <v>0</v>
      </c>
      <c r="C12" s="171">
        <v>0</v>
      </c>
      <c r="D12" s="172">
        <v>0</v>
      </c>
      <c r="E12" s="97">
        <v>0</v>
      </c>
      <c r="F12" s="171">
        <v>0</v>
      </c>
      <c r="G12" s="172">
        <v>0</v>
      </c>
      <c r="H12" s="97">
        <v>0</v>
      </c>
      <c r="I12" s="171">
        <v>0</v>
      </c>
      <c r="J12" s="172">
        <v>0</v>
      </c>
    </row>
  </sheetData>
  <mergeCells count="3">
    <mergeCell ref="B1:D1"/>
    <mergeCell ref="E1:G1"/>
    <mergeCell ref="H1:J1"/>
  </mergeCells>
  <conditionalFormatting sqref="B3:J12">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51" t="s">
        <v>0</v>
      </c>
      <c r="T2" s="251"/>
      <c r="U2" s="251"/>
      <c r="V2" s="251"/>
      <c r="W2" s="251" t="s">
        <v>1</v>
      </c>
      <c r="X2" s="251"/>
      <c r="Y2" s="251"/>
      <c r="Z2" s="251"/>
      <c r="AA2" s="251" t="s">
        <v>2</v>
      </c>
      <c r="AB2" s="251"/>
      <c r="AC2" s="251"/>
      <c r="AD2" s="251"/>
      <c r="AE2" s="251" t="s">
        <v>3</v>
      </c>
      <c r="AF2" s="251"/>
      <c r="AG2" s="251"/>
      <c r="AH2" s="25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52" t="s">
        <v>54</v>
      </c>
      <c r="K17" s="25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53"/>
      <c r="K18" s="25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53"/>
      <c r="K19" s="25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53"/>
      <c r="K20" s="25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53"/>
      <c r="K21" s="25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53"/>
      <c r="K22" s="25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53"/>
      <c r="K23" s="25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53"/>
      <c r="K24" s="256"/>
      <c r="V24" s="51" t="s">
        <v>63</v>
      </c>
      <c r="Z24" s="51" t="s">
        <v>63</v>
      </c>
      <c r="AD24" s="51" t="s">
        <v>63</v>
      </c>
      <c r="AH24" s="51" t="s">
        <v>63</v>
      </c>
    </row>
    <row r="25" spans="2:36" ht="15.6" x14ac:dyDescent="0.3">
      <c r="B25" s="58"/>
      <c r="C25" s="58"/>
      <c r="D25" s="19"/>
      <c r="E25" s="19"/>
      <c r="F25" s="19"/>
      <c r="G25" s="59"/>
      <c r="J25" s="253"/>
      <c r="K25" s="256"/>
    </row>
    <row r="26" spans="2:36" ht="17.399999999999999" x14ac:dyDescent="0.3">
      <c r="B26" s="58"/>
      <c r="C26" s="58"/>
      <c r="D26" s="19"/>
      <c r="E26" s="19"/>
      <c r="F26" s="19"/>
      <c r="G26" s="59"/>
      <c r="J26" s="253"/>
      <c r="K26" s="256"/>
      <c r="N26" s="258" t="s">
        <v>64</v>
      </c>
      <c r="O26" s="259"/>
      <c r="P26" s="259"/>
      <c r="Q26" s="26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53"/>
      <c r="K27" s="256"/>
      <c r="N27" s="258" t="s">
        <v>66</v>
      </c>
      <c r="O27" s="259"/>
      <c r="P27" s="259"/>
      <c r="Q27" s="26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53"/>
      <c r="K28" s="256"/>
      <c r="O28" s="27"/>
      <c r="P28" s="27"/>
      <c r="Q28" s="27"/>
    </row>
    <row r="29" spans="2:36" ht="15.6" x14ac:dyDescent="0.3">
      <c r="B29" s="58"/>
      <c r="C29" s="58"/>
      <c r="D29" s="19"/>
      <c r="E29" s="19"/>
      <c r="F29" s="19"/>
      <c r="G29" s="59"/>
      <c r="J29" s="253"/>
      <c r="K29" s="256"/>
    </row>
    <row r="30" spans="2:36" x14ac:dyDescent="0.3">
      <c r="J30" s="253"/>
      <c r="K30" s="256"/>
    </row>
    <row r="31" spans="2:36" x14ac:dyDescent="0.3">
      <c r="J31" s="253"/>
      <c r="K31" s="256"/>
    </row>
    <row r="32" spans="2:36" x14ac:dyDescent="0.3">
      <c r="J32" s="253"/>
      <c r="K32" s="256"/>
    </row>
    <row r="33" spans="10:26" ht="15" thickBot="1" x14ac:dyDescent="0.35">
      <c r="J33" s="254"/>
      <c r="K33" s="25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6" priority="1" operator="equal">
      <formula>0</formula>
    </cfRule>
  </conditionalFormatting>
  <conditionalFormatting sqref="S17:AJ23">
    <cfRule type="cellIs" dxfId="25" priority="9" operator="notBetween">
      <formula>0.0000000001</formula>
      <formula>-0.0000000001</formula>
    </cfRule>
    <cfRule type="cellIs" dxfId="24" priority="10" operator="between">
      <formula>0.0000000001</formula>
      <formula>-0.0000000001</formula>
    </cfRule>
  </conditionalFormatting>
  <conditionalFormatting sqref="AH4:AI4">
    <cfRule type="cellIs" dxfId="23" priority="2" operator="equal">
      <formula>0</formula>
    </cfRule>
  </conditionalFormatting>
  <conditionalFormatting sqref="AH5:AJ16">
    <cfRule type="cellIs" dxfId="22"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C22" sqref="C22"/>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Discretization!A15</f>
        <v>Dynamic dT</v>
      </c>
      <c r="B1" s="247" t="b">
        <f>Discretization!B15</f>
        <v>1</v>
      </c>
      <c r="C1" s="261" t="s">
        <v>238</v>
      </c>
    </row>
    <row r="2" spans="1:3" ht="14.4" x14ac:dyDescent="0.25">
      <c r="A2" s="77" t="str">
        <f>Parameters!A2</f>
        <v>Variable HRT</v>
      </c>
      <c r="B2" s="248" t="b">
        <f>Parameters!B2</f>
        <v>1</v>
      </c>
      <c r="C2" s="262"/>
    </row>
    <row r="3" spans="1:3" ht="14.4" x14ac:dyDescent="0.25">
      <c r="A3" s="77" t="str">
        <f>Bacteria!A6</f>
        <v>Initialisation method</v>
      </c>
      <c r="B3" s="248" t="str">
        <f>Bacteria!B6</f>
        <v>granule</v>
      </c>
      <c r="C3" s="262"/>
    </row>
    <row r="4" spans="1:3" ht="14.4" x14ac:dyDescent="0.25">
      <c r="A4" s="77" t="str">
        <f>Bacteria!A12</f>
        <v>kDist</v>
      </c>
      <c r="B4" s="248">
        <f>Bacteria!B12</f>
        <v>1</v>
      </c>
      <c r="C4" s="262"/>
    </row>
    <row r="5" spans="1:3" ht="14.4" x14ac:dyDescent="0.25">
      <c r="A5" s="77" t="str">
        <f>Bacteria!A13</f>
        <v>Inactivation enabled</v>
      </c>
      <c r="B5" s="248" t="b">
        <f>Bacteria!B13</f>
        <v>1</v>
      </c>
      <c r="C5" s="262"/>
    </row>
    <row r="6" spans="1:3" ht="14.4" x14ac:dyDescent="0.25">
      <c r="A6" s="77" t="str">
        <f>Solver!A4</f>
        <v>pH bulk concentration corrected</v>
      </c>
      <c r="B6" s="248" t="b">
        <f>Solver!B4</f>
        <v>0</v>
      </c>
      <c r="C6" s="262"/>
    </row>
    <row r="7" spans="1:3" ht="14.4" x14ac:dyDescent="0.25">
      <c r="A7" s="77" t="str">
        <f>Solver!A2</f>
        <v>pH solving included</v>
      </c>
      <c r="B7" s="248" t="b">
        <f>Solver!B2</f>
        <v>0</v>
      </c>
      <c r="C7" s="262"/>
    </row>
    <row r="8" spans="1:3" ht="14.4" customHeight="1" thickBot="1" x14ac:dyDescent="0.3">
      <c r="A8" s="89" t="str">
        <f>Solver!A5</f>
        <v>Speciation included</v>
      </c>
      <c r="B8" s="249" t="b">
        <f>Solver!B5</f>
        <v>0</v>
      </c>
      <c r="C8" s="262"/>
    </row>
    <row r="9" spans="1:3" ht="13.2" customHeight="1" x14ac:dyDescent="0.25">
      <c r="A9" s="77" t="str">
        <f>Solver!A11</f>
        <v>Structure model</v>
      </c>
      <c r="B9" s="248" t="b">
        <f>Solver!B11</f>
        <v>1</v>
      </c>
      <c r="C9" s="262"/>
    </row>
    <row r="10" spans="1:3" ht="13.2" customHeight="1" thickBot="1" x14ac:dyDescent="0.3">
      <c r="A10" s="89" t="str">
        <f>Solver!A12</f>
        <v>Structure model type</v>
      </c>
      <c r="B10" s="249" t="str">
        <f>Solver!B12</f>
        <v>Neut</v>
      </c>
      <c r="C10" s="263"/>
    </row>
    <row r="11" spans="1:3" ht="13.2" customHeight="1" x14ac:dyDescent="0.25">
      <c r="C11" s="173"/>
    </row>
    <row r="12" spans="1:3" ht="13.2" customHeight="1" x14ac:dyDescent="0.25">
      <c r="A12" t="s">
        <v>276</v>
      </c>
      <c r="C12" s="173"/>
    </row>
    <row r="13" spans="1:3" ht="13.2" customHeight="1" x14ac:dyDescent="0.25">
      <c r="C13" s="173"/>
    </row>
    <row r="14" spans="1:3" ht="13.2" customHeight="1" thickBot="1" x14ac:dyDescent="0.3">
      <c r="C14" s="173"/>
    </row>
    <row r="15" spans="1:3" ht="13.2" customHeight="1" thickBot="1" x14ac:dyDescent="0.3">
      <c r="B15" s="250"/>
      <c r="C15" s="173"/>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workbookViewId="0">
      <selection activeCell="H15" sqref="H15"/>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64" t="s">
        <v>119</v>
      </c>
    </row>
    <row r="2" spans="1:5" ht="14.4" x14ac:dyDescent="0.3">
      <c r="A2" s="77" t="s">
        <v>95</v>
      </c>
      <c r="B2" s="123">
        <v>257</v>
      </c>
      <c r="C2" s="90" t="s">
        <v>90</v>
      </c>
      <c r="D2" s="107" t="s">
        <v>113</v>
      </c>
      <c r="E2" s="264"/>
    </row>
    <row r="3" spans="1:5" ht="14.4" x14ac:dyDescent="0.3">
      <c r="A3" s="77" t="s">
        <v>96</v>
      </c>
      <c r="B3" s="96">
        <f>B5*B1*1000000</f>
        <v>514</v>
      </c>
      <c r="C3" s="90" t="s">
        <v>105</v>
      </c>
      <c r="D3" s="107" t="s">
        <v>106</v>
      </c>
      <c r="E3" s="264"/>
    </row>
    <row r="4" spans="1:5" ht="14.4" x14ac:dyDescent="0.3">
      <c r="A4" s="77" t="s">
        <v>97</v>
      </c>
      <c r="B4" s="96">
        <f>B6*B2*1000000</f>
        <v>514</v>
      </c>
      <c r="C4" s="90" t="s">
        <v>105</v>
      </c>
      <c r="D4" s="107" t="s">
        <v>107</v>
      </c>
      <c r="E4" s="264"/>
    </row>
    <row r="5" spans="1:5" ht="14.4" x14ac:dyDescent="0.3">
      <c r="A5" s="77" t="s">
        <v>98</v>
      </c>
      <c r="B5" s="100">
        <v>1.9999999999999999E-6</v>
      </c>
      <c r="C5" s="90" t="s">
        <v>87</v>
      </c>
      <c r="D5" s="107" t="s">
        <v>108</v>
      </c>
      <c r="E5" s="264"/>
    </row>
    <row r="6" spans="1:5" ht="14.4" x14ac:dyDescent="0.3">
      <c r="A6" s="77" t="s">
        <v>99</v>
      </c>
      <c r="B6" s="100">
        <v>1.9999999999999999E-6</v>
      </c>
      <c r="C6" s="90" t="s">
        <v>87</v>
      </c>
      <c r="D6" s="107" t="s">
        <v>109</v>
      </c>
      <c r="E6" s="264"/>
    </row>
    <row r="7" spans="1:5" ht="14.4" x14ac:dyDescent="0.3">
      <c r="A7" s="77" t="s">
        <v>100</v>
      </c>
      <c r="B7" s="95">
        <f>2*Bacteria!B3</f>
        <v>1.9999999999999999E-6</v>
      </c>
      <c r="C7" s="90" t="s">
        <v>87</v>
      </c>
      <c r="D7" s="107" t="s">
        <v>110</v>
      </c>
      <c r="E7" s="264"/>
    </row>
    <row r="8" spans="1:5" ht="15" thickBot="1" x14ac:dyDescent="0.35">
      <c r="A8" s="89" t="s">
        <v>104</v>
      </c>
      <c r="B8" s="101">
        <f>5*10^(-6)</f>
        <v>4.9999999999999996E-6</v>
      </c>
      <c r="C8" s="92" t="s">
        <v>87</v>
      </c>
      <c r="D8" s="108" t="s">
        <v>111</v>
      </c>
      <c r="E8" s="265"/>
    </row>
    <row r="9" spans="1:5" ht="14.4" customHeight="1" x14ac:dyDescent="0.3">
      <c r="A9" s="76" t="s">
        <v>121</v>
      </c>
      <c r="B9" s="102">
        <v>10</v>
      </c>
      <c r="C9" s="91" t="s">
        <v>93</v>
      </c>
      <c r="D9" s="109" t="s">
        <v>114</v>
      </c>
      <c r="E9" s="266" t="s">
        <v>120</v>
      </c>
    </row>
    <row r="10" spans="1:5" ht="14.4" customHeight="1" x14ac:dyDescent="0.3">
      <c r="A10" s="77" t="s">
        <v>124</v>
      </c>
      <c r="B10" s="99">
        <v>0.5</v>
      </c>
      <c r="C10" s="90" t="s">
        <v>90</v>
      </c>
      <c r="D10" s="107" t="s">
        <v>130</v>
      </c>
      <c r="E10" s="264"/>
    </row>
    <row r="11" spans="1:5" ht="14.4" x14ac:dyDescent="0.3">
      <c r="A11" s="77" t="s">
        <v>127</v>
      </c>
      <c r="B11" s="95">
        <f>$B$5^2 * B10 / MAX(Diffusion!$B:$B)</f>
        <v>2.6455026455026455E-7</v>
      </c>
      <c r="C11" s="90" t="s">
        <v>93</v>
      </c>
      <c r="D11" s="107" t="s">
        <v>132</v>
      </c>
      <c r="E11" s="264"/>
    </row>
    <row r="12" spans="1:5" ht="14.4" x14ac:dyDescent="0.3">
      <c r="A12" s="77" t="s">
        <v>135</v>
      </c>
      <c r="B12" s="99">
        <v>0.1</v>
      </c>
      <c r="C12" s="90" t="s">
        <v>93</v>
      </c>
      <c r="D12" s="107" t="s">
        <v>136</v>
      </c>
      <c r="E12" s="264"/>
    </row>
    <row r="13" spans="1:5" ht="14.4" x14ac:dyDescent="0.3">
      <c r="A13" s="77" t="s">
        <v>115</v>
      </c>
      <c r="B13" s="103">
        <v>24</v>
      </c>
      <c r="C13" s="90" t="s">
        <v>93</v>
      </c>
      <c r="D13" s="107" t="s">
        <v>117</v>
      </c>
      <c r="E13" s="264"/>
    </row>
    <row r="14" spans="1:5" ht="15" thickBot="1" x14ac:dyDescent="0.35">
      <c r="A14" s="89" t="s">
        <v>116</v>
      </c>
      <c r="B14" s="97">
        <f>B13*7</f>
        <v>168</v>
      </c>
      <c r="C14" s="92" t="s">
        <v>93</v>
      </c>
      <c r="D14" s="108" t="s">
        <v>118</v>
      </c>
      <c r="E14" s="265"/>
    </row>
    <row r="15" spans="1:5" ht="14.4" x14ac:dyDescent="0.3">
      <c r="A15" s="104" t="s">
        <v>139</v>
      </c>
      <c r="B15" s="124" t="b">
        <v>1</v>
      </c>
      <c r="C15" s="118" t="s">
        <v>90</v>
      </c>
      <c r="D15" s="110" t="s">
        <v>140</v>
      </c>
      <c r="E15" s="266" t="s">
        <v>153</v>
      </c>
    </row>
    <row r="16" spans="1:5" ht="14.4" x14ac:dyDescent="0.3">
      <c r="A16" s="77" t="s">
        <v>122</v>
      </c>
      <c r="B16" s="99">
        <v>0.01</v>
      </c>
      <c r="C16" s="90" t="s">
        <v>90</v>
      </c>
      <c r="D16" s="107" t="s">
        <v>128</v>
      </c>
      <c r="E16" s="264"/>
    </row>
    <row r="17" spans="1:5" ht="14.4" x14ac:dyDescent="0.3">
      <c r="A17" s="77" t="s">
        <v>125</v>
      </c>
      <c r="B17" s="95">
        <f>$B$5^2 * B16 / MAX(Diffusion!$B:$B)</f>
        <v>5.291005291005291E-9</v>
      </c>
      <c r="C17" s="90" t="s">
        <v>93</v>
      </c>
      <c r="D17" s="107" t="s">
        <v>129</v>
      </c>
      <c r="E17" s="264"/>
    </row>
    <row r="18" spans="1:5" ht="14.4" x14ac:dyDescent="0.3">
      <c r="A18" s="77" t="s">
        <v>123</v>
      </c>
      <c r="B18" s="99">
        <v>0.4</v>
      </c>
      <c r="C18" s="90" t="s">
        <v>90</v>
      </c>
      <c r="D18" s="107" t="s">
        <v>266</v>
      </c>
      <c r="E18" s="264"/>
    </row>
    <row r="19" spans="1:5" ht="14.4" x14ac:dyDescent="0.3">
      <c r="A19" s="77" t="s">
        <v>126</v>
      </c>
      <c r="B19" s="95">
        <f>$B$5^2 * B18 / MAX(Diffusion!$B:$B)</f>
        <v>2.1164021164021162E-7</v>
      </c>
      <c r="C19" s="90" t="s">
        <v>93</v>
      </c>
      <c r="D19" s="107" t="s">
        <v>131</v>
      </c>
      <c r="E19" s="264"/>
    </row>
    <row r="20" spans="1:5" ht="14.4" x14ac:dyDescent="0.3">
      <c r="A20" s="77" t="s">
        <v>133</v>
      </c>
      <c r="B20" s="99">
        <v>0.1</v>
      </c>
      <c r="C20" s="90" t="s">
        <v>93</v>
      </c>
      <c r="D20" s="107" t="s">
        <v>137</v>
      </c>
      <c r="E20" s="264"/>
    </row>
    <row r="21" spans="1:5" ht="14.4" x14ac:dyDescent="0.3">
      <c r="A21" s="105" t="s">
        <v>134</v>
      </c>
      <c r="B21" s="106">
        <v>1</v>
      </c>
      <c r="C21" s="119" t="s">
        <v>93</v>
      </c>
      <c r="D21" s="111" t="s">
        <v>138</v>
      </c>
      <c r="E21" s="264"/>
    </row>
    <row r="22" spans="1:5" ht="28.8" x14ac:dyDescent="0.3">
      <c r="A22" s="77" t="s">
        <v>141</v>
      </c>
      <c r="B22" s="99">
        <v>3</v>
      </c>
      <c r="C22" s="90" t="s">
        <v>90</v>
      </c>
      <c r="D22" s="112" t="s">
        <v>147</v>
      </c>
      <c r="E22" s="264"/>
    </row>
    <row r="23" spans="1:5" ht="28.8" x14ac:dyDescent="0.3">
      <c r="A23" s="77" t="s">
        <v>144</v>
      </c>
      <c r="B23" s="99">
        <v>500</v>
      </c>
      <c r="C23" s="90" t="s">
        <v>90</v>
      </c>
      <c r="D23" s="112" t="s">
        <v>148</v>
      </c>
      <c r="E23" s="264"/>
    </row>
    <row r="24" spans="1:5" ht="28.8" x14ac:dyDescent="0.3">
      <c r="A24" s="77" t="s">
        <v>142</v>
      </c>
      <c r="B24" s="99">
        <v>200</v>
      </c>
      <c r="C24" s="90" t="s">
        <v>90</v>
      </c>
      <c r="D24" s="112" t="s">
        <v>149</v>
      </c>
      <c r="E24" s="264"/>
    </row>
    <row r="25" spans="1:5" ht="28.8" x14ac:dyDescent="0.3">
      <c r="A25" s="77" t="s">
        <v>143</v>
      </c>
      <c r="B25" s="99">
        <v>20</v>
      </c>
      <c r="C25" s="90" t="s">
        <v>90</v>
      </c>
      <c r="D25" s="112" t="s">
        <v>150</v>
      </c>
      <c r="E25" s="264"/>
    </row>
    <row r="26" spans="1:5" ht="28.8" x14ac:dyDescent="0.3">
      <c r="A26" s="77" t="s">
        <v>151</v>
      </c>
      <c r="B26" s="188">
        <v>0.2</v>
      </c>
      <c r="C26" s="90" t="s">
        <v>263</v>
      </c>
      <c r="D26" s="112" t="s">
        <v>265</v>
      </c>
      <c r="E26" s="264"/>
    </row>
    <row r="27" spans="1:5" ht="28.8" x14ac:dyDescent="0.3">
      <c r="A27" s="77" t="s">
        <v>145</v>
      </c>
      <c r="B27" s="114">
        <v>9.9999999999999995E-8</v>
      </c>
      <c r="C27" s="90" t="s">
        <v>263</v>
      </c>
      <c r="D27" s="112" t="s">
        <v>262</v>
      </c>
      <c r="E27" s="264"/>
    </row>
    <row r="28" spans="1:5" ht="29.4" thickBot="1" x14ac:dyDescent="0.35">
      <c r="A28" s="89" t="s">
        <v>146</v>
      </c>
      <c r="B28" s="115">
        <v>0.02</v>
      </c>
      <c r="C28" s="92" t="s">
        <v>90</v>
      </c>
      <c r="D28" s="113" t="s">
        <v>152</v>
      </c>
      <c r="E28" s="265"/>
    </row>
  </sheetData>
  <mergeCells count="3">
    <mergeCell ref="E1:E8"/>
    <mergeCell ref="E9:E14"/>
    <mergeCell ref="E15:E28"/>
  </mergeCells>
  <conditionalFormatting sqref="A16:D28">
    <cfRule type="expression" dxfId="21"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tabSelected="1" topLeftCell="A4" workbookViewId="0">
      <selection activeCell="D21" sqref="D21"/>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17">
        <v>10</v>
      </c>
      <c r="C1" s="91" t="s">
        <v>93</v>
      </c>
      <c r="D1" s="218" t="s">
        <v>163</v>
      </c>
      <c r="E1" s="69"/>
    </row>
    <row r="2" spans="1:5" ht="28.8" x14ac:dyDescent="0.3">
      <c r="A2" s="77" t="s">
        <v>157</v>
      </c>
      <c r="B2" s="117" t="b">
        <v>1</v>
      </c>
      <c r="C2" s="90" t="s">
        <v>90</v>
      </c>
      <c r="D2" s="210" t="s">
        <v>159</v>
      </c>
      <c r="E2" s="69"/>
    </row>
    <row r="3" spans="1:5" ht="14.4" x14ac:dyDescent="0.3">
      <c r="A3" s="77" t="s">
        <v>160</v>
      </c>
      <c r="B3" s="116">
        <f>(1/3)*10^(-3)</f>
        <v>3.3333333333333332E-4</v>
      </c>
      <c r="C3" s="90" t="s">
        <v>81</v>
      </c>
      <c r="D3" s="210" t="s">
        <v>158</v>
      </c>
      <c r="E3" s="69"/>
    </row>
    <row r="4" spans="1:5" ht="43.2" x14ac:dyDescent="0.25">
      <c r="A4" s="105" t="s">
        <v>161</v>
      </c>
      <c r="B4" s="106" t="s">
        <v>271</v>
      </c>
      <c r="C4" s="119" t="s">
        <v>90</v>
      </c>
      <c r="D4" s="219" t="s">
        <v>239</v>
      </c>
      <c r="E4" s="69"/>
    </row>
    <row r="5" spans="1:5" ht="14.4" x14ac:dyDescent="0.3">
      <c r="A5" s="77" t="s">
        <v>39</v>
      </c>
      <c r="B5" s="98">
        <v>20</v>
      </c>
      <c r="C5" s="90" t="s">
        <v>17</v>
      </c>
      <c r="D5" s="210" t="s">
        <v>162</v>
      </c>
      <c r="E5" s="69"/>
    </row>
    <row r="6" spans="1:5" ht="14.4" x14ac:dyDescent="0.3">
      <c r="A6" s="77" t="s">
        <v>223</v>
      </c>
      <c r="B6" s="220">
        <f>B5+273.15</f>
        <v>293.14999999999998</v>
      </c>
      <c r="C6" s="90" t="s">
        <v>41</v>
      </c>
      <c r="D6" s="210" t="s">
        <v>222</v>
      </c>
      <c r="E6" s="69"/>
    </row>
    <row r="7" spans="1:5" ht="14.4" x14ac:dyDescent="0.3">
      <c r="A7" s="77" t="s">
        <v>156</v>
      </c>
      <c r="B7" s="221">
        <v>7</v>
      </c>
      <c r="C7" s="90" t="s">
        <v>90</v>
      </c>
      <c r="D7" s="210" t="s">
        <v>164</v>
      </c>
      <c r="E7" s="69"/>
    </row>
    <row r="8" spans="1:5" ht="43.2" x14ac:dyDescent="0.3">
      <c r="A8" s="77" t="s">
        <v>155</v>
      </c>
      <c r="B8" s="222">
        <f>B11/B12 * 4/3 * PI() *B10^3</f>
        <v>1.3962634015954636E-10</v>
      </c>
      <c r="C8" s="90" t="s">
        <v>91</v>
      </c>
      <c r="D8" s="210" t="s">
        <v>251</v>
      </c>
      <c r="E8" s="69"/>
    </row>
    <row r="9" spans="1:5" ht="14.4" x14ac:dyDescent="0.3">
      <c r="A9" s="77" t="s">
        <v>154</v>
      </c>
      <c r="B9" s="223">
        <f>8.3144/1000</f>
        <v>8.3143999999999996E-3</v>
      </c>
      <c r="C9" s="90" t="s">
        <v>224</v>
      </c>
      <c r="D9" s="210" t="s">
        <v>154</v>
      </c>
      <c r="E9" s="69"/>
    </row>
    <row r="10" spans="1:5" ht="26.4" x14ac:dyDescent="0.25">
      <c r="A10" s="174" t="s">
        <v>252</v>
      </c>
      <c r="B10" s="138">
        <v>1E-4</v>
      </c>
      <c r="C10" s="90" t="s">
        <v>87</v>
      </c>
      <c r="D10" s="224" t="s">
        <v>253</v>
      </c>
    </row>
    <row r="11" spans="1:5" ht="14.4" x14ac:dyDescent="0.3">
      <c r="A11" s="77" t="s">
        <v>277</v>
      </c>
      <c r="B11" s="225">
        <v>100</v>
      </c>
      <c r="C11" s="90" t="s">
        <v>254</v>
      </c>
      <c r="D11" s="226" t="s">
        <v>255</v>
      </c>
      <c r="E11" s="69"/>
    </row>
    <row r="12" spans="1:5" ht="15" thickBot="1" x14ac:dyDescent="0.35">
      <c r="A12" s="89" t="s">
        <v>278</v>
      </c>
      <c r="B12" s="227">
        <v>3</v>
      </c>
      <c r="C12" s="92" t="s">
        <v>254</v>
      </c>
      <c r="D12" s="228" t="s">
        <v>256</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89"/>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1:D1">
    <cfRule type="expression" dxfId="20" priority="1">
      <formula>$B$2=TRUE</formula>
    </cfRule>
  </conditionalFormatting>
  <conditionalFormatting sqref="A3:D4">
    <cfRule type="expression" dxfId="19"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9" sqref="B9"/>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271</v>
      </c>
      <c r="B1" s="116">
        <f>1*10^(-9)*3600</f>
        <v>3.6000000000000003E-6</v>
      </c>
      <c r="C1" s="90" t="s">
        <v>101</v>
      </c>
      <c r="D1" s="107" t="s">
        <v>165</v>
      </c>
      <c r="E1" s="267" t="s">
        <v>166</v>
      </c>
    </row>
    <row r="2" spans="1:5" ht="14.4" x14ac:dyDescent="0.3">
      <c r="A2" s="77" t="s">
        <v>272</v>
      </c>
      <c r="B2" s="116">
        <f>1*10^(-9)*3600</f>
        <v>3.6000000000000003E-6</v>
      </c>
      <c r="C2" s="90" t="s">
        <v>101</v>
      </c>
      <c r="D2" s="107" t="s">
        <v>165</v>
      </c>
      <c r="E2" s="268"/>
    </row>
    <row r="3" spans="1:5" ht="14.4" x14ac:dyDescent="0.3">
      <c r="A3" s="77" t="s">
        <v>17</v>
      </c>
      <c r="B3" s="116">
        <f>1*10^(-9)*3600</f>
        <v>3.6000000000000003E-6</v>
      </c>
      <c r="C3" s="90" t="s">
        <v>101</v>
      </c>
      <c r="D3" s="107" t="s">
        <v>165</v>
      </c>
      <c r="E3" s="268"/>
    </row>
    <row r="4" spans="1:5" ht="14.4" x14ac:dyDescent="0.3">
      <c r="A4" s="77" t="s">
        <v>83</v>
      </c>
      <c r="B4" s="116">
        <f>1*10^(-9)*3600</f>
        <v>3.6000000000000003E-6</v>
      </c>
      <c r="C4" s="90" t="s">
        <v>101</v>
      </c>
      <c r="D4" s="107" t="s">
        <v>165</v>
      </c>
      <c r="E4" s="268"/>
    </row>
    <row r="5" spans="1:5" ht="14.4" x14ac:dyDescent="0.3">
      <c r="A5" s="77" t="s">
        <v>76</v>
      </c>
      <c r="B5" s="207">
        <f>2.1*10^(-9)*3600</f>
        <v>7.5600000000000005E-6</v>
      </c>
      <c r="C5" s="90" t="s">
        <v>101</v>
      </c>
      <c r="D5" s="107" t="s">
        <v>165</v>
      </c>
      <c r="E5" s="268"/>
    </row>
    <row r="6" spans="1:5" ht="14.4" x14ac:dyDescent="0.3">
      <c r="A6" s="127" t="s">
        <v>77</v>
      </c>
      <c r="B6" s="208">
        <f>1.92*10^(-9)*3600</f>
        <v>6.9120000000000001E-6</v>
      </c>
      <c r="C6" s="129" t="s">
        <v>101</v>
      </c>
      <c r="D6" s="209" t="s">
        <v>165</v>
      </c>
      <c r="E6" s="268"/>
    </row>
    <row r="7" spans="1:5" ht="14.4" x14ac:dyDescent="0.3">
      <c r="A7" s="77" t="s">
        <v>78</v>
      </c>
      <c r="B7" s="116">
        <f>1.385*10^(-9)*3600</f>
        <v>4.9860000000000002E-6</v>
      </c>
      <c r="C7" s="90" t="s">
        <v>101</v>
      </c>
      <c r="D7" s="210" t="s">
        <v>165</v>
      </c>
      <c r="E7" s="268"/>
    </row>
    <row r="8" spans="1:5" ht="15" thickBot="1" x14ac:dyDescent="0.35">
      <c r="A8" s="89" t="s">
        <v>79</v>
      </c>
      <c r="B8" s="120">
        <f>1.334*10^(-9)*3600</f>
        <v>4.8024000000000008E-6</v>
      </c>
      <c r="C8" s="92" t="s">
        <v>101</v>
      </c>
      <c r="D8" s="211" t="s">
        <v>165</v>
      </c>
      <c r="E8" s="269"/>
    </row>
  </sheetData>
  <mergeCells count="1">
    <mergeCell ref="E1:E8"/>
  </mergeCells>
  <conditionalFormatting sqref="E1">
    <cfRule type="expression" dxfId="18"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B16" sqref="B16"/>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29">
        <f>((4/3)*PI()*B3^3)*B4</f>
        <v>2.0943951023931951E-12</v>
      </c>
      <c r="C1" s="91" t="s">
        <v>16</v>
      </c>
      <c r="D1" s="230" t="s">
        <v>176</v>
      </c>
    </row>
    <row r="2" spans="1:4" ht="14.4" x14ac:dyDescent="0.25">
      <c r="A2" s="77" t="s">
        <v>169</v>
      </c>
      <c r="B2" s="95">
        <f>0.1*B1</f>
        <v>2.0943951023931951E-13</v>
      </c>
      <c r="C2" s="90" t="s">
        <v>16</v>
      </c>
      <c r="D2" s="231" t="s">
        <v>177</v>
      </c>
    </row>
    <row r="3" spans="1:4" ht="14.4" x14ac:dyDescent="0.25">
      <c r="A3" s="77" t="s">
        <v>170</v>
      </c>
      <c r="B3" s="121">
        <f>(1)*10^(-6)</f>
        <v>9.9999999999999995E-7</v>
      </c>
      <c r="C3" s="90" t="s">
        <v>87</v>
      </c>
      <c r="D3" s="231" t="s">
        <v>178</v>
      </c>
    </row>
    <row r="4" spans="1:4" ht="14.4" x14ac:dyDescent="0.25">
      <c r="A4" s="77" t="s">
        <v>171</v>
      </c>
      <c r="B4" s="121">
        <f>500*1000</f>
        <v>500000</v>
      </c>
      <c r="C4" s="90" t="s">
        <v>88</v>
      </c>
      <c r="D4" s="231" t="s">
        <v>179</v>
      </c>
    </row>
    <row r="5" spans="1:4" ht="14.4" x14ac:dyDescent="0.25">
      <c r="A5" s="77" t="s">
        <v>172</v>
      </c>
      <c r="B5" s="126">
        <v>24.6</v>
      </c>
      <c r="C5" s="90" t="s">
        <v>89</v>
      </c>
      <c r="D5" s="231" t="s">
        <v>180</v>
      </c>
    </row>
    <row r="6" spans="1:4" ht="14.4" x14ac:dyDescent="0.25">
      <c r="A6" s="127" t="s">
        <v>200</v>
      </c>
      <c r="B6" s="184" t="s">
        <v>201</v>
      </c>
      <c r="C6" s="129" t="s">
        <v>90</v>
      </c>
      <c r="D6" s="232" t="s">
        <v>257</v>
      </c>
    </row>
    <row r="7" spans="1:4" ht="14.4" x14ac:dyDescent="0.25">
      <c r="A7" s="77" t="s">
        <v>174</v>
      </c>
      <c r="B7" s="121">
        <f>10*10^(-6)</f>
        <v>9.9999999999999991E-6</v>
      </c>
      <c r="C7" s="90" t="s">
        <v>87</v>
      </c>
      <c r="D7" s="231" t="s">
        <v>182</v>
      </c>
    </row>
    <row r="8" spans="1:4" ht="28.8" x14ac:dyDescent="0.25">
      <c r="A8" s="77" t="s">
        <v>249</v>
      </c>
      <c r="B8" s="122">
        <f>_xlfn.CEILING.MATH((B7^2 / (0.8*B3 * B12)^2) * 0.75)</f>
        <v>118</v>
      </c>
      <c r="C8" s="90" t="s">
        <v>90</v>
      </c>
      <c r="D8" s="231" t="s">
        <v>250</v>
      </c>
    </row>
    <row r="9" spans="1:4" ht="26.4" x14ac:dyDescent="0.25">
      <c r="A9" s="174" t="s">
        <v>258</v>
      </c>
      <c r="B9" s="122">
        <v>12</v>
      </c>
      <c r="C9" s="185" t="s">
        <v>90</v>
      </c>
      <c r="D9" s="233" t="s">
        <v>259</v>
      </c>
    </row>
    <row r="10" spans="1:4" ht="26.4" x14ac:dyDescent="0.25">
      <c r="A10" s="234" t="s">
        <v>260</v>
      </c>
      <c r="B10" s="186">
        <v>12</v>
      </c>
      <c r="C10" s="119" t="s">
        <v>90</v>
      </c>
      <c r="D10" s="235" t="s">
        <v>261</v>
      </c>
    </row>
    <row r="11" spans="1:4" ht="14.4" x14ac:dyDescent="0.25">
      <c r="A11" s="77" t="s">
        <v>175</v>
      </c>
      <c r="B11" s="122">
        <v>100000</v>
      </c>
      <c r="C11" s="90" t="s">
        <v>90</v>
      </c>
      <c r="D11" s="231" t="s">
        <v>183</v>
      </c>
    </row>
    <row r="12" spans="1:4" ht="28.8" x14ac:dyDescent="0.25">
      <c r="A12" s="77" t="s">
        <v>103</v>
      </c>
      <c r="B12" s="122">
        <v>1</v>
      </c>
      <c r="C12" s="90" t="s">
        <v>90</v>
      </c>
      <c r="D12" s="231" t="s">
        <v>184</v>
      </c>
    </row>
    <row r="13" spans="1:4" ht="28.8" x14ac:dyDescent="0.25">
      <c r="A13" s="77" t="s">
        <v>185</v>
      </c>
      <c r="B13" s="126" t="b">
        <v>1</v>
      </c>
      <c r="C13" s="90" t="s">
        <v>90</v>
      </c>
      <c r="D13" s="231" t="s">
        <v>186</v>
      </c>
    </row>
    <row r="14" spans="1:4" ht="14.4" x14ac:dyDescent="0.25">
      <c r="A14" s="127" t="s">
        <v>187</v>
      </c>
      <c r="B14" s="128" t="s">
        <v>267</v>
      </c>
      <c r="C14" s="129" t="s">
        <v>90</v>
      </c>
      <c r="D14" s="232" t="s">
        <v>190</v>
      </c>
    </row>
    <row r="15" spans="1:4" ht="14.4" x14ac:dyDescent="0.25">
      <c r="A15" s="77" t="s">
        <v>188</v>
      </c>
      <c r="B15" s="122">
        <v>5</v>
      </c>
      <c r="C15" s="90" t="s">
        <v>189</v>
      </c>
      <c r="D15" s="231" t="s">
        <v>191</v>
      </c>
    </row>
    <row r="16" spans="1:4" ht="29.4" thickBot="1" x14ac:dyDescent="0.3">
      <c r="A16" s="89" t="s">
        <v>173</v>
      </c>
      <c r="B16" s="236">
        <f>500*10^(-6)</f>
        <v>5.0000000000000001E-4</v>
      </c>
      <c r="C16" s="92" t="s">
        <v>87</v>
      </c>
      <c r="D16" s="237" t="s">
        <v>181</v>
      </c>
    </row>
    <row r="18" spans="3:5" x14ac:dyDescent="0.25">
      <c r="C18" s="94"/>
      <c r="D18" s="69"/>
      <c r="E18" s="69"/>
    </row>
    <row r="19" spans="3:5" x14ac:dyDescent="0.25">
      <c r="C19" s="69"/>
      <c r="D19" s="94"/>
      <c r="E19" s="69"/>
    </row>
    <row r="20" spans="3:5" x14ac:dyDescent="0.25">
      <c r="C20" s="69"/>
      <c r="D20" s="69"/>
      <c r="E20" s="94"/>
    </row>
  </sheetData>
  <conditionalFormatting sqref="A7:D8">
    <cfRule type="expression" dxfId="17" priority="2">
      <formula>$B$6 ="suspension"</formula>
    </cfRule>
  </conditionalFormatting>
  <conditionalFormatting sqref="A9:D10">
    <cfRule type="expression" dxfId="16" priority="1">
      <formula>OR($B$6 = "granule", $B$6 = "mature granule")</formula>
    </cfRule>
  </conditionalFormatting>
  <conditionalFormatting sqref="A15:D15">
    <cfRule type="expression" dxfId="15" priority="4">
      <formula>$B$14&lt;&gt;"mechanistic"</formula>
    </cfRule>
  </conditionalFormatting>
  <conditionalFormatting sqref="A16:D16">
    <cfRule type="expression" dxfId="14" priority="3">
      <formula>$B$14&lt;&gt;"naive"</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topLeftCell="A6" zoomScaleNormal="100" workbookViewId="0">
      <selection activeCell="B8" sqref="B8"/>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38">
        <v>1E-8</v>
      </c>
      <c r="C1" s="91" t="s">
        <v>81</v>
      </c>
      <c r="D1" s="230" t="s">
        <v>199</v>
      </c>
    </row>
    <row r="2" spans="1:4" ht="14.4" x14ac:dyDescent="0.25">
      <c r="A2" s="77" t="s">
        <v>202</v>
      </c>
      <c r="B2" s="122" t="b">
        <v>0</v>
      </c>
      <c r="C2" s="90" t="s">
        <v>90</v>
      </c>
      <c r="D2" s="231" t="s">
        <v>204</v>
      </c>
    </row>
    <row r="3" spans="1:4" ht="14.4" x14ac:dyDescent="0.25">
      <c r="A3" s="77" t="s">
        <v>167</v>
      </c>
      <c r="B3" s="121">
        <v>1.0000000000000001E-15</v>
      </c>
      <c r="C3" s="90" t="s">
        <v>90</v>
      </c>
      <c r="D3" s="231" t="s">
        <v>203</v>
      </c>
    </row>
    <row r="4" spans="1:4" ht="14.4" x14ac:dyDescent="0.25">
      <c r="A4" s="77" t="s">
        <v>231</v>
      </c>
      <c r="B4" s="122" t="b">
        <v>0</v>
      </c>
      <c r="C4" s="90" t="s">
        <v>90</v>
      </c>
      <c r="D4" s="231" t="s">
        <v>232</v>
      </c>
    </row>
    <row r="5" spans="1:4" ht="28.8" x14ac:dyDescent="0.25">
      <c r="A5" s="77" t="s">
        <v>205</v>
      </c>
      <c r="B5" s="122" t="b">
        <v>0</v>
      </c>
      <c r="C5" s="90" t="s">
        <v>90</v>
      </c>
      <c r="D5" s="231" t="s">
        <v>237</v>
      </c>
    </row>
    <row r="6" spans="1:4" ht="28.8" x14ac:dyDescent="0.25">
      <c r="A6" s="77" t="s">
        <v>206</v>
      </c>
      <c r="B6" s="121">
        <v>1E-8</v>
      </c>
      <c r="C6" s="90" t="s">
        <v>90</v>
      </c>
      <c r="D6" s="231" t="s">
        <v>207</v>
      </c>
    </row>
    <row r="7" spans="1:4" ht="28.8" x14ac:dyDescent="0.25">
      <c r="A7" s="77" t="s">
        <v>192</v>
      </c>
      <c r="B7" s="187">
        <v>0.05</v>
      </c>
      <c r="C7" s="90" t="s">
        <v>263</v>
      </c>
      <c r="D7" s="231" t="s">
        <v>264</v>
      </c>
    </row>
    <row r="8" spans="1:4" ht="14.4" x14ac:dyDescent="0.25">
      <c r="A8" s="77" t="s">
        <v>193</v>
      </c>
      <c r="B8" s="122" t="s">
        <v>194</v>
      </c>
      <c r="C8" s="90" t="s">
        <v>90</v>
      </c>
      <c r="D8" s="231" t="s">
        <v>197</v>
      </c>
    </row>
    <row r="9" spans="1:4" ht="14.4" x14ac:dyDescent="0.25">
      <c r="A9" s="77" t="s">
        <v>195</v>
      </c>
      <c r="B9" s="122">
        <v>2</v>
      </c>
      <c r="C9" s="90" t="s">
        <v>90</v>
      </c>
      <c r="D9" s="231" t="s">
        <v>196</v>
      </c>
    </row>
    <row r="10" spans="1:4" ht="28.8" x14ac:dyDescent="0.25">
      <c r="A10" s="105" t="s">
        <v>208</v>
      </c>
      <c r="B10" s="183" t="b">
        <v>0</v>
      </c>
      <c r="C10" s="119" t="s">
        <v>90</v>
      </c>
      <c r="D10" s="239" t="s">
        <v>209</v>
      </c>
    </row>
    <row r="11" spans="1:4" ht="14.4" x14ac:dyDescent="0.25">
      <c r="A11" s="77" t="s">
        <v>234</v>
      </c>
      <c r="B11" s="122" t="b">
        <v>1</v>
      </c>
      <c r="C11" s="90" t="s">
        <v>90</v>
      </c>
      <c r="D11" s="224" t="s">
        <v>235</v>
      </c>
    </row>
    <row r="12" spans="1:4" ht="29.4" thickBot="1" x14ac:dyDescent="0.3">
      <c r="A12" s="89" t="s">
        <v>233</v>
      </c>
      <c r="B12" s="240" t="s">
        <v>102</v>
      </c>
      <c r="C12" s="92" t="s">
        <v>90</v>
      </c>
      <c r="D12" s="241" t="s">
        <v>236</v>
      </c>
    </row>
  </sheetData>
  <conditionalFormatting sqref="A3:D4">
    <cfRule type="expression" dxfId="13" priority="2">
      <formula>$B$2=FALSE</formula>
    </cfRule>
  </conditionalFormatting>
  <conditionalFormatting sqref="A12:D12">
    <cfRule type="expression" dxfId="12"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B9" sqref="B9"/>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271</v>
      </c>
      <c r="B1" s="121">
        <f>2*Parameters!B3</f>
        <v>6.6666666666666664E-4</v>
      </c>
      <c r="C1" s="90" t="s">
        <v>81</v>
      </c>
      <c r="D1" s="130" t="s">
        <v>20</v>
      </c>
      <c r="E1" s="270" t="s">
        <v>211</v>
      </c>
      <c r="F1" s="69"/>
      <c r="G1" s="69"/>
      <c r="H1" s="69"/>
      <c r="I1" s="69"/>
      <c r="J1" s="69"/>
    </row>
    <row r="2" spans="1:10" ht="13.2" customHeight="1" x14ac:dyDescent="0.25">
      <c r="A2" s="77" t="s">
        <v>272</v>
      </c>
      <c r="B2" s="121">
        <f>2*Parameters!B3</f>
        <v>6.6666666666666664E-4</v>
      </c>
      <c r="C2" s="90" t="s">
        <v>81</v>
      </c>
      <c r="D2" s="130" t="s">
        <v>20</v>
      </c>
      <c r="E2" s="270"/>
      <c r="F2" s="69"/>
      <c r="G2" s="69"/>
      <c r="H2" s="69"/>
      <c r="I2" s="69"/>
      <c r="J2" s="69"/>
    </row>
    <row r="3" spans="1:10" ht="13.2" customHeight="1" x14ac:dyDescent="0.25">
      <c r="A3" s="77" t="s">
        <v>17</v>
      </c>
      <c r="B3" s="121">
        <f>2*Parameters!B3</f>
        <v>6.6666666666666664E-4</v>
      </c>
      <c r="C3" s="90" t="s">
        <v>81</v>
      </c>
      <c r="D3" s="130" t="s">
        <v>20</v>
      </c>
      <c r="E3" s="270"/>
      <c r="F3" s="69"/>
      <c r="G3" s="69"/>
      <c r="H3" s="69"/>
      <c r="I3" s="69"/>
      <c r="J3" s="69"/>
    </row>
    <row r="4" spans="1:10" ht="13.2" customHeight="1" x14ac:dyDescent="0.25">
      <c r="A4" s="77" t="s">
        <v>83</v>
      </c>
      <c r="B4" s="121">
        <f>1E-20</f>
        <v>9.9999999999999995E-21</v>
      </c>
      <c r="C4" s="90" t="s">
        <v>81</v>
      </c>
      <c r="D4" s="130" t="s">
        <v>83</v>
      </c>
      <c r="E4" s="270"/>
      <c r="F4" s="69"/>
      <c r="G4" s="69"/>
      <c r="H4" s="69"/>
      <c r="I4" s="69"/>
      <c r="J4" s="69"/>
    </row>
    <row r="5" spans="1:10" ht="13.2" customHeight="1" x14ac:dyDescent="0.25">
      <c r="A5" s="77" t="s">
        <v>76</v>
      </c>
      <c r="B5" s="121">
        <f>1E-20</f>
        <v>9.9999999999999995E-21</v>
      </c>
      <c r="C5" s="90" t="s">
        <v>81</v>
      </c>
      <c r="D5" s="130" t="s">
        <v>83</v>
      </c>
      <c r="E5" s="270"/>
      <c r="F5" s="94"/>
      <c r="G5" s="69"/>
      <c r="H5" s="69"/>
      <c r="I5" s="69"/>
      <c r="J5" s="69"/>
    </row>
    <row r="6" spans="1:10" x14ac:dyDescent="0.25">
      <c r="A6" s="77" t="s">
        <v>77</v>
      </c>
      <c r="B6" s="121">
        <v>1E-3</v>
      </c>
      <c r="C6" s="90" t="s">
        <v>81</v>
      </c>
      <c r="D6" s="130" t="s">
        <v>83</v>
      </c>
      <c r="E6" s="270"/>
    </row>
    <row r="7" spans="1:10" x14ac:dyDescent="0.25">
      <c r="A7" s="77" t="s">
        <v>78</v>
      </c>
      <c r="B7" s="212">
        <f>B8/2</f>
        <v>5.0000000000000001E-4</v>
      </c>
      <c r="C7" s="90" t="s">
        <v>81</v>
      </c>
      <c r="D7" s="213" t="s">
        <v>83</v>
      </c>
      <c r="E7" s="270"/>
    </row>
    <row r="8" spans="1:10" x14ac:dyDescent="0.25">
      <c r="A8" s="127" t="s">
        <v>79</v>
      </c>
      <c r="B8" s="214">
        <f>B6</f>
        <v>1E-3</v>
      </c>
      <c r="C8" s="129" t="s">
        <v>81</v>
      </c>
      <c r="D8" s="215" t="s">
        <v>83</v>
      </c>
      <c r="E8" s="270"/>
    </row>
    <row r="9" spans="1:10" x14ac:dyDescent="0.25">
      <c r="A9" s="216"/>
      <c r="B9" s="216"/>
      <c r="C9" s="216"/>
      <c r="D9" s="216"/>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dcterms:created xsi:type="dcterms:W3CDTF">2008-02-06T12:16:03Z</dcterms:created>
  <dcterms:modified xsi:type="dcterms:W3CDTF">2024-01-08T10:31:47Z</dcterms:modified>
  <cp:category/>
  <cp:contentStatus/>
</cp:coreProperties>
</file>