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DEBkiss results\"/>
    </mc:Choice>
  </mc:AlternateContent>
  <xr:revisionPtr revIDLastSave="0" documentId="13_ncr:1_{71E554C5-BC8D-4E1F-AC38-971EAF0A825E}" xr6:coauthVersionLast="47" xr6:coauthVersionMax="47" xr10:uidLastSave="{00000000-0000-0000-0000-000000000000}"/>
  <bookViews>
    <workbookView xWindow="28680" yWindow="-120" windowWidth="29040" windowHeight="17790" activeTab="6" xr2:uid="{797BED97-2A8B-4207-9B37-E76789808921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7" l="1"/>
  <c r="G15" i="7"/>
  <c r="G13" i="7"/>
  <c r="F14" i="7"/>
  <c r="F15" i="7"/>
  <c r="F13" i="7"/>
  <c r="E14" i="7"/>
  <c r="E15" i="7"/>
  <c r="E13" i="7"/>
  <c r="D14" i="7"/>
  <c r="D15" i="7"/>
  <c r="D13" i="7"/>
  <c r="G11" i="7"/>
  <c r="G12" i="7"/>
  <c r="G10" i="7"/>
  <c r="F11" i="7"/>
  <c r="F12" i="7"/>
  <c r="F10" i="7"/>
  <c r="E11" i="7"/>
  <c r="E12" i="7"/>
  <c r="E10" i="7"/>
  <c r="D11" i="7"/>
  <c r="D12" i="7"/>
  <c r="D10" i="7"/>
  <c r="G8" i="7"/>
  <c r="G9" i="7"/>
  <c r="G7" i="7"/>
  <c r="F8" i="7"/>
  <c r="F9" i="7"/>
  <c r="F7" i="7"/>
  <c r="E8" i="7"/>
  <c r="E9" i="7"/>
  <c r="E7" i="7"/>
  <c r="D8" i="7"/>
  <c r="D9" i="7"/>
  <c r="D7" i="7"/>
  <c r="P6" i="6"/>
  <c r="P10" i="6"/>
  <c r="P11" i="6"/>
  <c r="P12" i="6"/>
  <c r="P13" i="6"/>
  <c r="P15" i="6"/>
  <c r="P16" i="6"/>
  <c r="P19" i="6"/>
  <c r="P20" i="6"/>
  <c r="P22" i="6"/>
  <c r="P23" i="6"/>
  <c r="P24" i="6"/>
  <c r="P5" i="6"/>
  <c r="N6" i="6"/>
  <c r="O6" i="6" s="1"/>
  <c r="N10" i="6"/>
  <c r="N11" i="6"/>
  <c r="O11" i="6" s="1"/>
  <c r="N12" i="6"/>
  <c r="N13" i="6"/>
  <c r="N15" i="6"/>
  <c r="O15" i="6" s="1"/>
  <c r="N16" i="6"/>
  <c r="O16" i="6" s="1"/>
  <c r="N19" i="6"/>
  <c r="O19" i="6" s="1"/>
  <c r="N20" i="6"/>
  <c r="N22" i="6"/>
  <c r="O22" i="6" s="1"/>
  <c r="N23" i="6"/>
  <c r="O23" i="6" s="1"/>
  <c r="N5" i="6"/>
  <c r="O20" i="6"/>
  <c r="O13" i="6"/>
  <c r="O12" i="6"/>
  <c r="O10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5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T18" i="1"/>
  <c r="T23" i="1"/>
  <c r="T12" i="1"/>
  <c r="T7" i="1"/>
  <c r="J24" i="1"/>
  <c r="J6" i="1"/>
  <c r="J10" i="1"/>
  <c r="J11" i="1"/>
  <c r="J13" i="1"/>
  <c r="J14" i="1"/>
  <c r="J16" i="1"/>
  <c r="J17" i="1"/>
  <c r="J19" i="1"/>
  <c r="J20" i="1"/>
  <c r="J22" i="1"/>
  <c r="J23" i="1"/>
  <c r="J5" i="1"/>
  <c r="I24" i="1"/>
  <c r="I16" i="5"/>
  <c r="I15" i="5"/>
  <c r="H16" i="5"/>
  <c r="I7" i="5" s="1"/>
  <c r="H15" i="5"/>
  <c r="I23" i="1"/>
  <c r="I9" i="5"/>
  <c r="I13" i="5"/>
  <c r="I3" i="5"/>
  <c r="G3" i="5"/>
  <c r="G7" i="5"/>
  <c r="G9" i="5"/>
  <c r="H9" i="5" s="1"/>
  <c r="G11" i="5"/>
  <c r="G13" i="5"/>
  <c r="G15" i="5"/>
  <c r="C3" i="5"/>
  <c r="C4" i="5"/>
  <c r="C5" i="5"/>
  <c r="C6" i="5"/>
  <c r="C7" i="5"/>
  <c r="C8" i="5"/>
  <c r="C9" i="5"/>
  <c r="C11" i="5"/>
  <c r="C12" i="5"/>
  <c r="C13" i="5"/>
  <c r="C14" i="5"/>
  <c r="C15" i="5"/>
  <c r="C10" i="5"/>
  <c r="D15" i="5"/>
  <c r="D14" i="5"/>
  <c r="H13" i="5"/>
  <c r="D13" i="5"/>
  <c r="D12" i="5"/>
  <c r="H11" i="5"/>
  <c r="D11" i="5"/>
  <c r="D10" i="5"/>
  <c r="D9" i="5"/>
  <c r="D8" i="5"/>
  <c r="H7" i="5"/>
  <c r="D7" i="5"/>
  <c r="D6" i="5"/>
  <c r="D5" i="5"/>
  <c r="D4" i="5"/>
  <c r="H3" i="5"/>
  <c r="D3" i="5"/>
  <c r="I6" i="1"/>
  <c r="I10" i="1"/>
  <c r="I11" i="1"/>
  <c r="I13" i="1"/>
  <c r="I14" i="1"/>
  <c r="I16" i="1"/>
  <c r="I17" i="1"/>
  <c r="I19" i="1"/>
  <c r="I20" i="1"/>
  <c r="I22" i="1"/>
  <c r="I5" i="1"/>
  <c r="T17" i="4"/>
  <c r="T18" i="4"/>
  <c r="T19" i="4" s="1"/>
  <c r="T16" i="4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M6" i="1"/>
  <c r="M10" i="1"/>
  <c r="M11" i="1"/>
  <c r="M13" i="1"/>
  <c r="M14" i="1"/>
  <c r="M16" i="1"/>
  <c r="M17" i="1"/>
  <c r="M19" i="1"/>
  <c r="M20" i="1"/>
  <c r="M22" i="1"/>
  <c r="M23" i="1"/>
  <c r="M5" i="1"/>
  <c r="H6" i="1"/>
  <c r="H10" i="1"/>
  <c r="H11" i="1"/>
  <c r="H13" i="1"/>
  <c r="H14" i="1"/>
  <c r="H16" i="1"/>
  <c r="H17" i="1"/>
  <c r="H19" i="1"/>
  <c r="H20" i="1"/>
  <c r="H22" i="1"/>
  <c r="H23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R16" i="2"/>
  <c r="N12" i="2"/>
  <c r="J22" i="2"/>
  <c r="O24" i="6" l="1"/>
  <c r="J24" i="6"/>
  <c r="K5" i="6" s="1"/>
  <c r="I11" i="5"/>
</calcChain>
</file>

<file path=xl/sharedStrings.xml><?xml version="1.0" encoding="utf-8"?>
<sst xmlns="http://schemas.openxmlformats.org/spreadsheetml/2006/main" count="145" uniqueCount="70">
  <si>
    <t>Model</t>
  </si>
  <si>
    <t>n</t>
  </si>
  <si>
    <t>AIC</t>
  </si>
  <si>
    <t>Variable</t>
  </si>
  <si>
    <t>Length</t>
  </si>
  <si>
    <t>Egg buffer</t>
  </si>
  <si>
    <t>Survival</t>
  </si>
  <si>
    <t>Total</t>
  </si>
  <si>
    <t>dpf</t>
  </si>
  <si>
    <t>JaAm</t>
  </si>
  <si>
    <t>yVA</t>
  </si>
  <si>
    <t>JvM</t>
  </si>
  <si>
    <t>μemb</t>
  </si>
  <si>
    <t>μlar</t>
  </si>
  <si>
    <t>JaAm + JvM</t>
  </si>
  <si>
    <t>yVA + JvM</t>
  </si>
  <si>
    <t>JvM + μemb</t>
  </si>
  <si>
    <t>JaAm + μemb</t>
  </si>
  <si>
    <t>yVA + μemb</t>
  </si>
  <si>
    <t>JvM + μlar</t>
  </si>
  <si>
    <t>JaAm + μlar</t>
  </si>
  <si>
    <t>yVA + μlar</t>
  </si>
  <si>
    <t>μemb + μlar</t>
  </si>
  <si>
    <t>JaAm + μemb + μlar</t>
  </si>
  <si>
    <t>yVA + μemb + μlar</t>
  </si>
  <si>
    <t>JvM + μemb + μlar</t>
  </si>
  <si>
    <t>JaAm + JvM + μemb + μlar</t>
  </si>
  <si>
    <t>yVA + JvM + μemb + μlar</t>
  </si>
  <si>
    <t>ΔAIC</t>
  </si>
  <si>
    <t>All models included</t>
  </si>
  <si>
    <t>Only models that meet criteria</t>
  </si>
  <si>
    <t>If yVA+muemb+mular is best</t>
  </si>
  <si>
    <t>DO</t>
  </si>
  <si>
    <t>Hatch Surv</t>
  </si>
  <si>
    <t>Larv Surv</t>
  </si>
  <si>
    <t>AICc</t>
  </si>
  <si>
    <t>Alt total</t>
  </si>
  <si>
    <t xml:space="preserve">For AICc assume that N is each data point as entered in the matlab script, not the data points multiplied by their weights. </t>
  </si>
  <si>
    <t>AICc = AIC+(2p(p+1)/(n-p-1))</t>
  </si>
  <si>
    <t>p=1</t>
  </si>
  <si>
    <t>n=141</t>
  </si>
  <si>
    <t>c=0.02877</t>
  </si>
  <si>
    <t>dry wt</t>
  </si>
  <si>
    <t>TL</t>
  </si>
  <si>
    <t>50 mm</t>
  </si>
  <si>
    <t>L^3</t>
  </si>
  <si>
    <t>L</t>
  </si>
  <si>
    <t>delM</t>
  </si>
  <si>
    <t>Relative likelihood</t>
  </si>
  <si>
    <t>Akaike Weights</t>
  </si>
  <si>
    <t>Akaike weight</t>
  </si>
  <si>
    <t>JaAm + uemb</t>
  </si>
  <si>
    <t>yVA + uemb</t>
  </si>
  <si>
    <t>JvM + uemb</t>
  </si>
  <si>
    <t>JaAm + ular</t>
  </si>
  <si>
    <t>yVA + ular</t>
  </si>
  <si>
    <t>JvM + ular</t>
  </si>
  <si>
    <t>JaAm + uemb + ular</t>
  </si>
  <si>
    <t>yVA + uemb + ular</t>
  </si>
  <si>
    <t>JvM + uemb + ular</t>
  </si>
  <si>
    <t>uemb + ular</t>
  </si>
  <si>
    <t>Updated AIC values after using inhibition as correction factor</t>
  </si>
  <si>
    <t>All models</t>
  </si>
  <si>
    <t>Original value</t>
  </si>
  <si>
    <t>mu_emb</t>
  </si>
  <si>
    <t>mu_lar</t>
  </si>
  <si>
    <t>y_VA</t>
  </si>
  <si>
    <t>est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</si>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</sst>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1F97-C752-44B6-8BEC-CF43DE8C76A5}">
  <dimension ref="B3:T35"/>
  <sheetViews>
    <sheetView topLeftCell="B1" workbookViewId="0">
      <selection activeCell="G3" sqref="G3:J24"/>
    </sheetView>
  </sheetViews>
  <sheetFormatPr defaultRowHeight="14.4" x14ac:dyDescent="0.3"/>
  <cols>
    <col min="2" max="2" width="24.44140625" customWidth="1"/>
    <col min="9" max="9" width="17.33203125" customWidth="1"/>
    <col min="18" max="18" width="22.6640625" customWidth="1"/>
  </cols>
  <sheetData>
    <row r="3" spans="2:20" x14ac:dyDescent="0.3">
      <c r="C3" t="s">
        <v>29</v>
      </c>
      <c r="G3" t="s">
        <v>30</v>
      </c>
      <c r="L3" t="s">
        <v>31</v>
      </c>
    </row>
    <row r="4" spans="2:20" x14ac:dyDescent="0.3">
      <c r="B4" t="s">
        <v>0</v>
      </c>
      <c r="C4" t="s">
        <v>2</v>
      </c>
      <c r="D4" s="1" t="s">
        <v>28</v>
      </c>
      <c r="E4" s="1" t="s">
        <v>35</v>
      </c>
      <c r="F4" s="1"/>
      <c r="G4" s="1" t="s">
        <v>2</v>
      </c>
      <c r="H4" s="1" t="s">
        <v>28</v>
      </c>
      <c r="I4" s="1" t="s">
        <v>48</v>
      </c>
      <c r="J4" s="1" t="s">
        <v>49</v>
      </c>
      <c r="L4" s="1" t="s">
        <v>2</v>
      </c>
      <c r="M4" s="1" t="s">
        <v>28</v>
      </c>
    </row>
    <row r="5" spans="2:20" x14ac:dyDescent="0.3">
      <c r="B5" t="s">
        <v>9</v>
      </c>
      <c r="C5">
        <v>600.70000000000005</v>
      </c>
      <c r="D5">
        <f>C5-$C$15</f>
        <v>32.600000000000023</v>
      </c>
      <c r="E5" s="3">
        <f>C5+((2*2)/(141-1-1))</f>
        <v>600.72877697841727</v>
      </c>
      <c r="G5">
        <v>600.70000000000005</v>
      </c>
      <c r="H5">
        <f>G5-$G$23</f>
        <v>16.080000000000041</v>
      </c>
      <c r="I5">
        <f>EXP(-H5/2)</f>
        <v>3.2230895011901227E-4</v>
      </c>
      <c r="J5">
        <f>I5/$I$24</f>
        <v>1.1560840146073931E-4</v>
      </c>
      <c r="L5">
        <v>600.70000000000005</v>
      </c>
      <c r="M5">
        <f>L5-$L$20</f>
        <v>15.950000000000045</v>
      </c>
    </row>
    <row r="6" spans="2:20" x14ac:dyDescent="0.3">
      <c r="B6" t="s">
        <v>10</v>
      </c>
      <c r="C6">
        <v>602.35</v>
      </c>
      <c r="D6">
        <f t="shared" ref="D6:D23" si="0">C6-$C$15</f>
        <v>34.25</v>
      </c>
      <c r="E6" s="3">
        <f t="shared" ref="E6:E23" si="1">C6+((2*2)/(141-1-1))</f>
        <v>602.37877697841725</v>
      </c>
      <c r="G6">
        <v>602.35</v>
      </c>
      <c r="H6">
        <f>G6-$G$23</f>
        <v>17.730000000000018</v>
      </c>
      <c r="I6">
        <f t="shared" ref="I6:I23" si="2">EXP(-H6/2)</f>
        <v>1.4124706032679263E-4</v>
      </c>
      <c r="J6">
        <f t="shared" ref="J6:J23" si="3">I6/$I$24</f>
        <v>5.066364694303249E-5</v>
      </c>
      <c r="L6">
        <v>602.35</v>
      </c>
      <c r="M6">
        <f>L6-$L$20</f>
        <v>17.600000000000023</v>
      </c>
    </row>
    <row r="7" spans="2:20" x14ac:dyDescent="0.3">
      <c r="B7" t="s">
        <v>11</v>
      </c>
      <c r="C7">
        <v>599.49</v>
      </c>
      <c r="D7">
        <f t="shared" si="0"/>
        <v>31.389999999999986</v>
      </c>
      <c r="E7" s="3">
        <f t="shared" si="1"/>
        <v>599.51877697841724</v>
      </c>
      <c r="R7" t="s">
        <v>27</v>
      </c>
      <c r="S7">
        <v>0.35868815128481857</v>
      </c>
      <c r="T7">
        <f>S7/S8</f>
        <v>1.0671590243841904</v>
      </c>
    </row>
    <row r="8" spans="2:20" x14ac:dyDescent="0.3">
      <c r="B8" t="s">
        <v>12</v>
      </c>
      <c r="C8">
        <v>585.73</v>
      </c>
      <c r="D8">
        <f t="shared" si="0"/>
        <v>17.629999999999995</v>
      </c>
      <c r="E8" s="3">
        <f t="shared" si="1"/>
        <v>585.75877697841725</v>
      </c>
      <c r="R8" t="s">
        <v>24</v>
      </c>
      <c r="S8">
        <v>0.336114996067996</v>
      </c>
    </row>
    <row r="9" spans="2:20" x14ac:dyDescent="0.3">
      <c r="B9" t="s">
        <v>13</v>
      </c>
      <c r="C9">
        <v>575.03</v>
      </c>
      <c r="D9">
        <f t="shared" si="0"/>
        <v>6.92999999999995</v>
      </c>
      <c r="E9" s="3">
        <f t="shared" si="1"/>
        <v>575.0587769784172</v>
      </c>
    </row>
    <row r="10" spans="2:20" x14ac:dyDescent="0.3">
      <c r="B10" t="s">
        <v>14</v>
      </c>
      <c r="C10">
        <v>600.62</v>
      </c>
      <c r="D10">
        <f t="shared" si="0"/>
        <v>32.519999999999982</v>
      </c>
      <c r="E10" s="3">
        <f t="shared" si="1"/>
        <v>600.64877697841723</v>
      </c>
      <c r="G10">
        <v>600.62</v>
      </c>
      <c r="H10">
        <f>G10-$G$23</f>
        <v>16</v>
      </c>
      <c r="I10">
        <f t="shared" si="2"/>
        <v>3.3546262790251185E-4</v>
      </c>
      <c r="J10">
        <f t="shared" si="3"/>
        <v>1.2032646982749897E-4</v>
      </c>
      <c r="L10">
        <v>600.62</v>
      </c>
      <c r="M10">
        <f>L10-$L$20</f>
        <v>15.870000000000005</v>
      </c>
    </row>
    <row r="11" spans="2:20" x14ac:dyDescent="0.3">
      <c r="B11" t="s">
        <v>15</v>
      </c>
      <c r="C11">
        <v>602.20000000000005</v>
      </c>
      <c r="D11">
        <f t="shared" si="0"/>
        <v>34.100000000000023</v>
      </c>
      <c r="E11" s="3">
        <f t="shared" si="1"/>
        <v>602.22877697841727</v>
      </c>
      <c r="G11">
        <v>602.20000000000005</v>
      </c>
      <c r="H11">
        <f>G11-$G$23</f>
        <v>17.580000000000041</v>
      </c>
      <c r="I11">
        <f t="shared" si="2"/>
        <v>1.5224796768529346E-4</v>
      </c>
      <c r="J11">
        <f t="shared" si="3"/>
        <v>5.4609542065908705E-5</v>
      </c>
      <c r="L11">
        <v>602.20000000000005</v>
      </c>
      <c r="M11">
        <f>L11-$L$20</f>
        <v>17.450000000000045</v>
      </c>
    </row>
    <row r="12" spans="2:20" x14ac:dyDescent="0.3">
      <c r="B12" t="s">
        <v>16</v>
      </c>
      <c r="C12">
        <v>582.79999999999995</v>
      </c>
      <c r="D12">
        <f t="shared" si="0"/>
        <v>14.699999999999932</v>
      </c>
      <c r="E12" s="3">
        <f t="shared" si="1"/>
        <v>582.82877697841718</v>
      </c>
      <c r="R12" t="s">
        <v>24</v>
      </c>
      <c r="S12">
        <v>0.336114996067996</v>
      </c>
      <c r="T12">
        <f>S12/S13</f>
        <v>2.6778118844210859</v>
      </c>
    </row>
    <row r="13" spans="2:20" x14ac:dyDescent="0.3">
      <c r="B13" t="s">
        <v>17</v>
      </c>
      <c r="C13">
        <v>590.27</v>
      </c>
      <c r="D13">
        <f t="shared" si="0"/>
        <v>22.169999999999959</v>
      </c>
      <c r="E13" s="3">
        <f t="shared" si="1"/>
        <v>590.29877697841721</v>
      </c>
      <c r="G13">
        <v>590.27</v>
      </c>
      <c r="H13">
        <f>G13-$G$23</f>
        <v>5.6499999999999773</v>
      </c>
      <c r="I13">
        <f t="shared" si="2"/>
        <v>5.9308656829439407E-2</v>
      </c>
      <c r="J13">
        <f t="shared" si="3"/>
        <v>2.1273312473337351E-2</v>
      </c>
      <c r="L13">
        <v>590.27</v>
      </c>
      <c r="M13">
        <f>L13-$L$20</f>
        <v>5.5199999999999818</v>
      </c>
      <c r="R13" t="s">
        <v>23</v>
      </c>
      <c r="S13">
        <v>0.12551852429344956</v>
      </c>
    </row>
    <row r="14" spans="2:20" x14ac:dyDescent="0.3">
      <c r="B14" t="s">
        <v>18</v>
      </c>
      <c r="C14">
        <v>589.26</v>
      </c>
      <c r="D14">
        <f t="shared" si="0"/>
        <v>21.159999999999968</v>
      </c>
      <c r="E14" s="3">
        <f t="shared" si="1"/>
        <v>589.28877697841722</v>
      </c>
      <c r="G14">
        <v>589.26</v>
      </c>
      <c r="H14">
        <f>G14-$G$23</f>
        <v>4.6399999999999864</v>
      </c>
      <c r="I14">
        <f t="shared" si="2"/>
        <v>9.8273585604362196E-2</v>
      </c>
      <c r="J14">
        <f t="shared" si="3"/>
        <v>3.5249570740559032E-2</v>
      </c>
      <c r="L14">
        <v>589.26</v>
      </c>
      <c r="M14">
        <f>L14-$L$20</f>
        <v>4.5099999999999909</v>
      </c>
    </row>
    <row r="15" spans="2:20" x14ac:dyDescent="0.3">
      <c r="B15" t="s">
        <v>19</v>
      </c>
      <c r="C15">
        <v>568.1</v>
      </c>
      <c r="D15">
        <f t="shared" si="0"/>
        <v>0</v>
      </c>
      <c r="E15" s="3">
        <f t="shared" si="1"/>
        <v>568.12877697841725</v>
      </c>
    </row>
    <row r="16" spans="2:20" x14ac:dyDescent="0.3">
      <c r="B16" t="s">
        <v>20</v>
      </c>
      <c r="C16">
        <v>595.41999999999996</v>
      </c>
      <c r="D16">
        <f t="shared" si="0"/>
        <v>27.319999999999936</v>
      </c>
      <c r="E16" s="3">
        <f t="shared" si="1"/>
        <v>595.44877697841719</v>
      </c>
      <c r="G16">
        <v>595.41999999999996</v>
      </c>
      <c r="H16">
        <f>G16-$G$23</f>
        <v>10.799999999999955</v>
      </c>
      <c r="I16">
        <f t="shared" si="2"/>
        <v>4.5165809426127709E-3</v>
      </c>
      <c r="J16">
        <f t="shared" si="3"/>
        <v>1.620044068434018E-3</v>
      </c>
      <c r="L16">
        <v>595.41999999999996</v>
      </c>
      <c r="M16">
        <f>L16-$L$20</f>
        <v>10.669999999999959</v>
      </c>
    </row>
    <row r="17" spans="2:20" x14ac:dyDescent="0.3">
      <c r="B17" t="s">
        <v>21</v>
      </c>
      <c r="C17">
        <v>594.64</v>
      </c>
      <c r="D17">
        <f t="shared" si="0"/>
        <v>26.539999999999964</v>
      </c>
      <c r="E17" s="3">
        <f t="shared" si="1"/>
        <v>594.66877697841721</v>
      </c>
      <c r="G17">
        <v>594.64</v>
      </c>
      <c r="H17">
        <f>G17-$G$23</f>
        <v>10.019999999999982</v>
      </c>
      <c r="I17">
        <f t="shared" si="2"/>
        <v>6.6709033062553333E-3</v>
      </c>
      <c r="J17">
        <f t="shared" si="3"/>
        <v>2.3927739743205092E-3</v>
      </c>
      <c r="L17">
        <v>594.64</v>
      </c>
      <c r="M17">
        <f>L17-$L$20</f>
        <v>9.8899999999999864</v>
      </c>
    </row>
    <row r="18" spans="2:20" x14ac:dyDescent="0.3">
      <c r="B18" t="s">
        <v>22</v>
      </c>
      <c r="C18">
        <v>580.08000000000004</v>
      </c>
      <c r="D18">
        <f t="shared" si="0"/>
        <v>11.980000000000018</v>
      </c>
      <c r="E18" s="3">
        <f t="shared" si="1"/>
        <v>580.10877697841727</v>
      </c>
      <c r="R18" t="s">
        <v>27</v>
      </c>
      <c r="S18">
        <v>0.35868815128481857</v>
      </c>
      <c r="T18">
        <f>S18/S19</f>
        <v>221.40641620418205</v>
      </c>
    </row>
    <row r="19" spans="2:20" x14ac:dyDescent="0.3">
      <c r="B19" t="s">
        <v>23</v>
      </c>
      <c r="C19">
        <v>586.72</v>
      </c>
      <c r="D19">
        <f t="shared" si="0"/>
        <v>18.620000000000005</v>
      </c>
      <c r="E19" s="3">
        <f t="shared" si="1"/>
        <v>586.74877697841725</v>
      </c>
      <c r="G19">
        <v>586.72</v>
      </c>
      <c r="H19" s="2">
        <f>G19-$G$23</f>
        <v>2.1000000000000227</v>
      </c>
      <c r="I19">
        <f t="shared" si="2"/>
        <v>0.34993774911115139</v>
      </c>
      <c r="J19">
        <f t="shared" si="3"/>
        <v>0.12551852429344956</v>
      </c>
      <c r="L19">
        <v>586.72</v>
      </c>
      <c r="M19">
        <f>L19-$L$20</f>
        <v>1.9700000000000273</v>
      </c>
      <c r="R19" t="s">
        <v>17</v>
      </c>
      <c r="S19">
        <v>1.620044068434018E-3</v>
      </c>
    </row>
    <row r="20" spans="2:20" x14ac:dyDescent="0.3">
      <c r="B20" t="s">
        <v>24</v>
      </c>
      <c r="C20">
        <v>584.75</v>
      </c>
      <c r="D20">
        <f t="shared" si="0"/>
        <v>16.649999999999977</v>
      </c>
      <c r="E20" s="3">
        <f t="shared" si="1"/>
        <v>584.77877697841723</v>
      </c>
      <c r="G20">
        <v>584.75</v>
      </c>
      <c r="H20" s="2">
        <f>G20-$G$23</f>
        <v>0.12999999999999545</v>
      </c>
      <c r="I20">
        <f t="shared" si="2"/>
        <v>0.93706746337740554</v>
      </c>
      <c r="J20">
        <f t="shared" si="3"/>
        <v>0.336114996067996</v>
      </c>
      <c r="L20">
        <v>584.75</v>
      </c>
      <c r="M20">
        <f>L20-$L$20</f>
        <v>0</v>
      </c>
    </row>
    <row r="21" spans="2:20" x14ac:dyDescent="0.3">
      <c r="B21" t="s">
        <v>25</v>
      </c>
      <c r="C21">
        <v>578.79</v>
      </c>
      <c r="D21">
        <f t="shared" si="0"/>
        <v>10.689999999999941</v>
      </c>
      <c r="E21" s="3">
        <f t="shared" si="1"/>
        <v>578.81877697841719</v>
      </c>
    </row>
    <row r="22" spans="2:20" x14ac:dyDescent="0.3">
      <c r="B22" t="s">
        <v>26</v>
      </c>
      <c r="C22">
        <v>586.83000000000004</v>
      </c>
      <c r="D22">
        <f t="shared" si="0"/>
        <v>18.730000000000018</v>
      </c>
      <c r="E22" s="3">
        <f t="shared" si="1"/>
        <v>586.85877697841727</v>
      </c>
      <c r="G22">
        <v>586.83000000000004</v>
      </c>
      <c r="H22">
        <f>G22-$G$23</f>
        <v>2.2100000000000364</v>
      </c>
      <c r="I22">
        <f t="shared" si="2"/>
        <v>0.33121088224197498</v>
      </c>
      <c r="J22">
        <f t="shared" si="3"/>
        <v>0.11880141903678774</v>
      </c>
      <c r="L22">
        <v>586.83000000000004</v>
      </c>
      <c r="M22">
        <f>L22-$L$20</f>
        <v>2.0800000000000409</v>
      </c>
    </row>
    <row r="23" spans="2:20" x14ac:dyDescent="0.3">
      <c r="B23" t="s">
        <v>27</v>
      </c>
      <c r="C23">
        <v>584.62</v>
      </c>
      <c r="D23">
        <f t="shared" si="0"/>
        <v>16.519999999999982</v>
      </c>
      <c r="E23" s="3">
        <f t="shared" si="1"/>
        <v>584.64877697841723</v>
      </c>
      <c r="G23">
        <v>584.62</v>
      </c>
      <c r="H23">
        <f>G23-$G$23</f>
        <v>0</v>
      </c>
      <c r="I23">
        <f t="shared" si="2"/>
        <v>1</v>
      </c>
      <c r="J23">
        <f t="shared" si="3"/>
        <v>0.35868815128481857</v>
      </c>
      <c r="L23">
        <v>584.62</v>
      </c>
      <c r="M23">
        <f>L23-$L$20</f>
        <v>-0.12999999999999545</v>
      </c>
      <c r="R23" t="s">
        <v>27</v>
      </c>
      <c r="S23">
        <v>0.35868815128481857</v>
      </c>
      <c r="T23">
        <f>S23/S24</f>
        <v>10.175674306073267</v>
      </c>
    </row>
    <row r="24" spans="2:20" x14ac:dyDescent="0.3">
      <c r="I24">
        <f>SUM(I5:I23)</f>
        <v>2.7879370880192353</v>
      </c>
      <c r="J24">
        <f>SUM(J5:J23)</f>
        <v>1</v>
      </c>
      <c r="R24" t="s">
        <v>18</v>
      </c>
      <c r="S24">
        <v>3.5249570740559032E-2</v>
      </c>
    </row>
    <row r="30" spans="2:20" x14ac:dyDescent="0.3">
      <c r="B30" t="s">
        <v>38</v>
      </c>
    </row>
    <row r="31" spans="2:20" x14ac:dyDescent="0.3">
      <c r="B31" t="s">
        <v>37</v>
      </c>
    </row>
    <row r="32" spans="2:20" x14ac:dyDescent="0.3">
      <c r="B32" t="s">
        <v>40</v>
      </c>
    </row>
    <row r="33" spans="2:2" x14ac:dyDescent="0.3">
      <c r="B33" t="s">
        <v>39</v>
      </c>
    </row>
    <row r="35" spans="2:2" x14ac:dyDescent="0.3">
      <c r="B35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1CBC-AB57-430B-B420-397C80804C9F}">
  <dimension ref="B6:D10"/>
  <sheetViews>
    <sheetView workbookViewId="0">
      <selection activeCell="D11" sqref="D11"/>
    </sheetView>
  </sheetViews>
  <sheetFormatPr defaultRowHeight="14.4" x14ac:dyDescent="0.3"/>
  <cols>
    <col min="3" max="3" width="10.6640625" customWidth="1"/>
  </cols>
  <sheetData>
    <row r="6" spans="2:4" x14ac:dyDescent="0.3">
      <c r="B6" t="s">
        <v>32</v>
      </c>
      <c r="C6" t="s">
        <v>33</v>
      </c>
      <c r="D6" t="s">
        <v>34</v>
      </c>
    </row>
    <row r="7" spans="2:4" x14ac:dyDescent="0.3">
      <c r="B7">
        <v>7.7</v>
      </c>
      <c r="C7">
        <v>0.74299999999999999</v>
      </c>
      <c r="D7">
        <v>0.44</v>
      </c>
    </row>
    <row r="8" spans="2:4" x14ac:dyDescent="0.3">
      <c r="B8">
        <v>4.2</v>
      </c>
      <c r="C8">
        <v>0.70599999999999996</v>
      </c>
      <c r="D8">
        <v>0.222</v>
      </c>
    </row>
    <row r="9" spans="2:4" x14ac:dyDescent="0.3">
      <c r="B9">
        <v>3.1</v>
      </c>
      <c r="C9">
        <v>0.85799999999999998</v>
      </c>
      <c r="D9">
        <v>0.20899999999999999</v>
      </c>
    </row>
    <row r="10" spans="2:4" x14ac:dyDescent="0.3">
      <c r="B10">
        <v>2.7</v>
      </c>
      <c r="C10">
        <v>0.30199999999999999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869D8-148A-4A2B-A6BA-E1069B0B1A52}">
  <dimension ref="B2:R24"/>
  <sheetViews>
    <sheetView workbookViewId="0">
      <selection activeCell="J27" sqref="J27"/>
    </sheetView>
  </sheetViews>
  <sheetFormatPr defaultRowHeight="14.4" x14ac:dyDescent="0.3"/>
  <sheetData>
    <row r="2" spans="2:18" x14ac:dyDescent="0.3">
      <c r="I2" t="s">
        <v>4</v>
      </c>
      <c r="M2" t="s">
        <v>5</v>
      </c>
      <c r="Q2" t="s">
        <v>6</v>
      </c>
    </row>
    <row r="3" spans="2:18" x14ac:dyDescent="0.3">
      <c r="I3" t="s">
        <v>8</v>
      </c>
      <c r="J3" t="s">
        <v>1</v>
      </c>
      <c r="M3" t="s">
        <v>8</v>
      </c>
      <c r="N3" t="s">
        <v>1</v>
      </c>
      <c r="Q3" t="s">
        <v>8</v>
      </c>
      <c r="R3" t="s">
        <v>1</v>
      </c>
    </row>
    <row r="4" spans="2:18" x14ac:dyDescent="0.3">
      <c r="B4" t="s">
        <v>3</v>
      </c>
      <c r="C4" t="s">
        <v>1</v>
      </c>
      <c r="I4">
        <v>6</v>
      </c>
      <c r="J4">
        <v>50</v>
      </c>
      <c r="M4">
        <v>0</v>
      </c>
      <c r="N4">
        <v>100</v>
      </c>
      <c r="Q4">
        <v>6</v>
      </c>
      <c r="R4">
        <v>28</v>
      </c>
    </row>
    <row r="5" spans="2:18" x14ac:dyDescent="0.3">
      <c r="B5" t="s">
        <v>4</v>
      </c>
      <c r="I5">
        <v>7</v>
      </c>
      <c r="J5">
        <v>50</v>
      </c>
      <c r="M5">
        <v>0</v>
      </c>
      <c r="N5">
        <v>100</v>
      </c>
      <c r="Q5">
        <v>7</v>
      </c>
      <c r="R5">
        <v>20</v>
      </c>
    </row>
    <row r="6" spans="2:18" x14ac:dyDescent="0.3">
      <c r="B6" t="s">
        <v>5</v>
      </c>
      <c r="I6">
        <v>9</v>
      </c>
      <c r="J6">
        <v>50</v>
      </c>
      <c r="M6">
        <v>0</v>
      </c>
      <c r="N6">
        <v>100</v>
      </c>
      <c r="Q6">
        <v>8</v>
      </c>
      <c r="R6">
        <v>5</v>
      </c>
    </row>
    <row r="7" spans="2:18" x14ac:dyDescent="0.3">
      <c r="B7" t="s">
        <v>6</v>
      </c>
      <c r="I7">
        <v>6</v>
      </c>
      <c r="J7">
        <v>50</v>
      </c>
      <c r="M7">
        <v>0</v>
      </c>
      <c r="N7">
        <v>100</v>
      </c>
      <c r="Q7">
        <v>9</v>
      </c>
      <c r="R7">
        <v>5</v>
      </c>
    </row>
    <row r="8" spans="2:18" x14ac:dyDescent="0.3">
      <c r="B8" t="s">
        <v>7</v>
      </c>
      <c r="I8">
        <v>7</v>
      </c>
      <c r="J8">
        <v>50</v>
      </c>
      <c r="M8">
        <v>6</v>
      </c>
      <c r="N8">
        <v>100</v>
      </c>
      <c r="Q8">
        <v>12</v>
      </c>
      <c r="R8">
        <v>5</v>
      </c>
    </row>
    <row r="9" spans="2:18" x14ac:dyDescent="0.3">
      <c r="I9">
        <v>8</v>
      </c>
      <c r="J9">
        <v>50</v>
      </c>
      <c r="M9">
        <v>7</v>
      </c>
      <c r="N9">
        <v>100</v>
      </c>
      <c r="Q9">
        <v>16</v>
      </c>
      <c r="R9">
        <v>22</v>
      </c>
    </row>
    <row r="10" spans="2:18" x14ac:dyDescent="0.3">
      <c r="I10">
        <v>16</v>
      </c>
      <c r="J10">
        <v>50</v>
      </c>
      <c r="M10">
        <v>8</v>
      </c>
      <c r="N10">
        <v>100</v>
      </c>
      <c r="Q10">
        <v>21</v>
      </c>
      <c r="R10">
        <v>15</v>
      </c>
    </row>
    <row r="11" spans="2:18" x14ac:dyDescent="0.3">
      <c r="I11">
        <v>21</v>
      </c>
      <c r="J11">
        <v>50</v>
      </c>
      <c r="M11">
        <v>9</v>
      </c>
      <c r="N11">
        <v>100</v>
      </c>
      <c r="Q11">
        <v>22</v>
      </c>
      <c r="R11">
        <v>10</v>
      </c>
    </row>
    <row r="12" spans="2:18" x14ac:dyDescent="0.3">
      <c r="I12">
        <v>22</v>
      </c>
      <c r="J12">
        <v>50</v>
      </c>
      <c r="M12" t="s">
        <v>7</v>
      </c>
      <c r="N12">
        <f>SUM(N4:N11)</f>
        <v>800</v>
      </c>
      <c r="Q12">
        <v>23</v>
      </c>
      <c r="R12">
        <v>10</v>
      </c>
    </row>
    <row r="13" spans="2:18" x14ac:dyDescent="0.3">
      <c r="I13">
        <v>21</v>
      </c>
      <c r="J13">
        <v>50</v>
      </c>
      <c r="Q13">
        <v>28</v>
      </c>
      <c r="R13">
        <v>4</v>
      </c>
    </row>
    <row r="14" spans="2:18" x14ac:dyDescent="0.3">
      <c r="I14">
        <v>22</v>
      </c>
      <c r="J14">
        <v>50</v>
      </c>
      <c r="M14" t="s">
        <v>36</v>
      </c>
      <c r="N14">
        <v>8</v>
      </c>
      <c r="Q14">
        <v>47</v>
      </c>
      <c r="R14">
        <v>4</v>
      </c>
    </row>
    <row r="15" spans="2:18" x14ac:dyDescent="0.3">
      <c r="I15">
        <v>23</v>
      </c>
      <c r="J15">
        <v>50</v>
      </c>
      <c r="Q15">
        <v>136</v>
      </c>
      <c r="R15">
        <v>2</v>
      </c>
    </row>
    <row r="16" spans="2:18" x14ac:dyDescent="0.3">
      <c r="I16">
        <v>41</v>
      </c>
      <c r="J16">
        <v>36</v>
      </c>
      <c r="Q16" t="s">
        <v>7</v>
      </c>
      <c r="R16">
        <f>SUM(R4:R15)</f>
        <v>130</v>
      </c>
    </row>
    <row r="17" spans="9:18" x14ac:dyDescent="0.3">
      <c r="I17">
        <v>56</v>
      </c>
      <c r="J17">
        <v>30</v>
      </c>
    </row>
    <row r="18" spans="9:18" x14ac:dyDescent="0.3">
      <c r="I18">
        <v>64</v>
      </c>
      <c r="J18">
        <v>36</v>
      </c>
      <c r="Q18" t="s">
        <v>36</v>
      </c>
      <c r="R18">
        <v>12</v>
      </c>
    </row>
    <row r="19" spans="9:18" x14ac:dyDescent="0.3">
      <c r="I19">
        <v>86</v>
      </c>
      <c r="J19">
        <v>11</v>
      </c>
    </row>
    <row r="20" spans="9:18" x14ac:dyDescent="0.3">
      <c r="I20">
        <v>103</v>
      </c>
      <c r="J20">
        <v>189</v>
      </c>
    </row>
    <row r="21" spans="9:18" x14ac:dyDescent="0.3">
      <c r="I21">
        <v>110</v>
      </c>
      <c r="J21">
        <v>391</v>
      </c>
    </row>
    <row r="22" spans="9:18" x14ac:dyDescent="0.3">
      <c r="I22" t="s">
        <v>7</v>
      </c>
      <c r="J22">
        <f>SUM(J4:J21)</f>
        <v>1293</v>
      </c>
    </row>
    <row r="24" spans="9:18" x14ac:dyDescent="0.3">
      <c r="I24" t="s">
        <v>36</v>
      </c>
      <c r="J24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4110-9B40-4C3C-A936-92ACE2439C25}">
  <dimension ref="S15:T19"/>
  <sheetViews>
    <sheetView workbookViewId="0">
      <selection activeCell="L39" sqref="L39"/>
    </sheetView>
  </sheetViews>
  <sheetFormatPr defaultRowHeight="14.4" x14ac:dyDescent="0.3"/>
  <sheetData>
    <row r="15" spans="19:20" x14ac:dyDescent="0.3">
      <c r="S15" t="s">
        <v>43</v>
      </c>
      <c r="T15" t="s">
        <v>44</v>
      </c>
    </row>
    <row r="16" spans="19:20" x14ac:dyDescent="0.3">
      <c r="S16" t="s">
        <v>42</v>
      </c>
      <c r="T16">
        <f>EXP((2.997*LN(50))-6.7)</f>
        <v>152.06878437488612</v>
      </c>
    </row>
    <row r="17" spans="19:20" x14ac:dyDescent="0.3">
      <c r="S17" t="s">
        <v>45</v>
      </c>
      <c r="T17">
        <f>152.0688/0.4</f>
        <v>380.17200000000003</v>
      </c>
    </row>
    <row r="18" spans="19:20" x14ac:dyDescent="0.3">
      <c r="S18" t="s">
        <v>46</v>
      </c>
      <c r="T18">
        <f>T17^(1/3)</f>
        <v>7.2442491057130214</v>
      </c>
    </row>
    <row r="19" spans="19:20" x14ac:dyDescent="0.3">
      <c r="S19" t="s">
        <v>47</v>
      </c>
      <c r="T19">
        <f>T18/50</f>
        <v>0.14488498211426043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B310-4BB0-4F95-8F30-69632E6C18DD}">
  <dimension ref="A1:I16"/>
  <sheetViews>
    <sheetView workbookViewId="0">
      <selection activeCell="J2" sqref="J2"/>
    </sheetView>
  </sheetViews>
  <sheetFormatPr defaultRowHeight="14.4" x14ac:dyDescent="0.3"/>
  <cols>
    <col min="1" max="1" width="24.33203125" customWidth="1"/>
    <col min="8" max="8" width="18.6640625" customWidth="1"/>
    <col min="9" max="9" width="14.33203125" customWidth="1"/>
  </cols>
  <sheetData>
    <row r="1" spans="1:9" x14ac:dyDescent="0.3">
      <c r="B1" t="s">
        <v>29</v>
      </c>
      <c r="F1" t="s">
        <v>30</v>
      </c>
    </row>
    <row r="2" spans="1:9" x14ac:dyDescent="0.3">
      <c r="A2" t="s">
        <v>0</v>
      </c>
      <c r="B2" t="s">
        <v>2</v>
      </c>
      <c r="C2" s="1" t="s">
        <v>28</v>
      </c>
      <c r="D2" s="1" t="s">
        <v>35</v>
      </c>
      <c r="E2" s="1"/>
      <c r="F2" s="1" t="s">
        <v>2</v>
      </c>
      <c r="G2" s="1" t="s">
        <v>28</v>
      </c>
      <c r="H2" s="1" t="s">
        <v>48</v>
      </c>
      <c r="I2" s="1" t="s">
        <v>50</v>
      </c>
    </row>
    <row r="3" spans="1:9" x14ac:dyDescent="0.3">
      <c r="A3" t="s">
        <v>10</v>
      </c>
      <c r="B3">
        <v>602.35</v>
      </c>
      <c r="C3">
        <f t="shared" ref="C3:C9" si="0">B3-$B$10</f>
        <v>34.25</v>
      </c>
      <c r="D3" s="3">
        <f t="shared" ref="D3:D15" si="1">B3+((2*2)/(141-1-1))</f>
        <v>602.37877697841725</v>
      </c>
      <c r="F3">
        <v>602.35</v>
      </c>
      <c r="G3">
        <f t="shared" ref="G3:G13" si="2">F3-$F$15</f>
        <v>17.730000000000018</v>
      </c>
      <c r="H3">
        <f t="shared" ref="H3:H15" si="3">EXP(-G3/2)</f>
        <v>1.4124706032679263E-4</v>
      </c>
      <c r="I3">
        <f>H3/$H$16</f>
        <v>6.9160595205000923E-5</v>
      </c>
    </row>
    <row r="4" spans="1:9" x14ac:dyDescent="0.3">
      <c r="A4" t="s">
        <v>11</v>
      </c>
      <c r="B4">
        <v>599.49</v>
      </c>
      <c r="C4">
        <f t="shared" si="0"/>
        <v>31.389999999999986</v>
      </c>
      <c r="D4" s="3">
        <f t="shared" si="1"/>
        <v>599.51877697841724</v>
      </c>
    </row>
    <row r="5" spans="1:9" x14ac:dyDescent="0.3">
      <c r="A5" t="s">
        <v>12</v>
      </c>
      <c r="B5">
        <v>585.73</v>
      </c>
      <c r="C5">
        <f t="shared" si="0"/>
        <v>17.629999999999995</v>
      </c>
      <c r="D5" s="3">
        <f t="shared" si="1"/>
        <v>585.75877697841725</v>
      </c>
    </row>
    <row r="6" spans="1:9" x14ac:dyDescent="0.3">
      <c r="A6" t="s">
        <v>13</v>
      </c>
      <c r="B6">
        <v>575.03</v>
      </c>
      <c r="C6">
        <f t="shared" si="0"/>
        <v>6.92999999999995</v>
      </c>
      <c r="D6" s="3">
        <f t="shared" si="1"/>
        <v>575.0587769784172</v>
      </c>
    </row>
    <row r="7" spans="1:9" x14ac:dyDescent="0.3">
      <c r="A7" t="s">
        <v>15</v>
      </c>
      <c r="B7">
        <v>602.20000000000005</v>
      </c>
      <c r="C7">
        <f t="shared" si="0"/>
        <v>34.100000000000023</v>
      </c>
      <c r="D7" s="3">
        <f t="shared" si="1"/>
        <v>602.22877697841727</v>
      </c>
      <c r="F7">
        <v>602.20000000000005</v>
      </c>
      <c r="G7">
        <f t="shared" si="2"/>
        <v>17.580000000000041</v>
      </c>
      <c r="H7">
        <f t="shared" si="3"/>
        <v>1.5224796768529346E-4</v>
      </c>
      <c r="I7">
        <f t="shared" ref="I7:I15" si="4">H7/$H$16</f>
        <v>7.454710943721728E-5</v>
      </c>
    </row>
    <row r="8" spans="1:9" x14ac:dyDescent="0.3">
      <c r="A8" t="s">
        <v>16</v>
      </c>
      <c r="B8">
        <v>582.79999999999995</v>
      </c>
      <c r="C8">
        <f t="shared" si="0"/>
        <v>14.699999999999932</v>
      </c>
      <c r="D8" s="3">
        <f t="shared" si="1"/>
        <v>582.82877697841718</v>
      </c>
    </row>
    <row r="9" spans="1:9" x14ac:dyDescent="0.3">
      <c r="A9" t="s">
        <v>18</v>
      </c>
      <c r="B9">
        <v>589.26</v>
      </c>
      <c r="C9">
        <f t="shared" si="0"/>
        <v>21.159999999999968</v>
      </c>
      <c r="D9" s="3">
        <f t="shared" si="1"/>
        <v>589.28877697841722</v>
      </c>
      <c r="F9">
        <v>589.26</v>
      </c>
      <c r="G9">
        <f t="shared" si="2"/>
        <v>4.6399999999999864</v>
      </c>
      <c r="H9">
        <f t="shared" si="3"/>
        <v>9.8273585604362196E-2</v>
      </c>
      <c r="I9">
        <f t="shared" si="4"/>
        <v>4.8118946034008653E-2</v>
      </c>
    </row>
    <row r="10" spans="1:9" x14ac:dyDescent="0.3">
      <c r="A10" t="s">
        <v>19</v>
      </c>
      <c r="B10">
        <v>568.1</v>
      </c>
      <c r="C10">
        <f>B10-$B$10</f>
        <v>0</v>
      </c>
      <c r="D10" s="3">
        <f t="shared" si="1"/>
        <v>568.12877697841725</v>
      </c>
    </row>
    <row r="11" spans="1:9" x14ac:dyDescent="0.3">
      <c r="A11" t="s">
        <v>21</v>
      </c>
      <c r="B11">
        <v>594.64</v>
      </c>
      <c r="C11">
        <f t="shared" ref="C11:C15" si="5">B11-$B$10</f>
        <v>26.539999999999964</v>
      </c>
      <c r="D11" s="3">
        <f t="shared" si="1"/>
        <v>594.66877697841721</v>
      </c>
      <c r="F11">
        <v>594.64</v>
      </c>
      <c r="G11">
        <f t="shared" si="2"/>
        <v>10.019999999999982</v>
      </c>
      <c r="H11">
        <f t="shared" si="3"/>
        <v>6.6709033062553333E-3</v>
      </c>
      <c r="I11">
        <f t="shared" si="4"/>
        <v>3.2663592583676094E-3</v>
      </c>
    </row>
    <row r="12" spans="1:9" x14ac:dyDescent="0.3">
      <c r="A12" t="s">
        <v>22</v>
      </c>
      <c r="B12">
        <v>580.08000000000004</v>
      </c>
      <c r="C12">
        <f t="shared" si="5"/>
        <v>11.980000000000018</v>
      </c>
      <c r="D12" s="3">
        <f t="shared" si="1"/>
        <v>580.10877697841727</v>
      </c>
    </row>
    <row r="13" spans="1:9" x14ac:dyDescent="0.3">
      <c r="A13" t="s">
        <v>24</v>
      </c>
      <c r="B13">
        <v>584.75</v>
      </c>
      <c r="C13">
        <f t="shared" si="5"/>
        <v>16.649999999999977</v>
      </c>
      <c r="D13" s="3">
        <f t="shared" si="1"/>
        <v>584.77877697841723</v>
      </c>
      <c r="F13">
        <v>584.75</v>
      </c>
      <c r="G13">
        <f t="shared" si="2"/>
        <v>0.12999999999999545</v>
      </c>
      <c r="H13">
        <f t="shared" si="3"/>
        <v>0.93706746337740554</v>
      </c>
      <c r="I13">
        <f t="shared" si="4"/>
        <v>0.4588282642093936</v>
      </c>
    </row>
    <row r="14" spans="1:9" x14ac:dyDescent="0.3">
      <c r="A14" t="s">
        <v>25</v>
      </c>
      <c r="B14">
        <v>578.79</v>
      </c>
      <c r="C14">
        <f t="shared" si="5"/>
        <v>10.689999999999941</v>
      </c>
      <c r="D14" s="3">
        <f t="shared" si="1"/>
        <v>578.81877697841719</v>
      </c>
    </row>
    <row r="15" spans="1:9" x14ac:dyDescent="0.3">
      <c r="A15" t="s">
        <v>27</v>
      </c>
      <c r="B15">
        <v>584.62</v>
      </c>
      <c r="C15">
        <f t="shared" si="5"/>
        <v>16.519999999999982</v>
      </c>
      <c r="D15" s="3">
        <f t="shared" si="1"/>
        <v>584.64877697841723</v>
      </c>
      <c r="F15">
        <v>584.62</v>
      </c>
      <c r="G15">
        <f>F15-$F$15</f>
        <v>0</v>
      </c>
      <c r="H15">
        <f t="shared" si="3"/>
        <v>1</v>
      </c>
      <c r="I15">
        <f t="shared" si="4"/>
        <v>0.48964272279358795</v>
      </c>
    </row>
    <row r="16" spans="1:9" x14ac:dyDescent="0.3">
      <c r="H16">
        <f>SUM(H3:H15)</f>
        <v>2.0423054473160351</v>
      </c>
      <c r="I16">
        <f>SUM(I3:I15)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0FD8-7105-409E-A08A-697104985B98}">
  <dimension ref="B2:P24"/>
  <sheetViews>
    <sheetView topLeftCell="J1" workbookViewId="0">
      <selection activeCell="P21" sqref="P21"/>
    </sheetView>
  </sheetViews>
  <sheetFormatPr defaultRowHeight="14.4" x14ac:dyDescent="0.3"/>
  <cols>
    <col min="2" max="2" width="26.5546875" customWidth="1"/>
    <col min="10" max="10" width="17" customWidth="1"/>
    <col min="11" max="11" width="15.109375" customWidth="1"/>
    <col min="15" max="15" width="17.77734375" customWidth="1"/>
    <col min="16" max="16" width="15.44140625" customWidth="1"/>
  </cols>
  <sheetData>
    <row r="2" spans="2:16" x14ac:dyDescent="0.3">
      <c r="B2" t="s">
        <v>61</v>
      </c>
    </row>
    <row r="3" spans="2:16" x14ac:dyDescent="0.3">
      <c r="H3" t="s">
        <v>62</v>
      </c>
      <c r="M3" t="s">
        <v>30</v>
      </c>
    </row>
    <row r="4" spans="2:16" x14ac:dyDescent="0.3">
      <c r="B4" t="s">
        <v>0</v>
      </c>
      <c r="C4" t="s">
        <v>2</v>
      </c>
      <c r="D4" s="1" t="s">
        <v>28</v>
      </c>
      <c r="E4" s="1" t="s">
        <v>35</v>
      </c>
      <c r="H4" s="1" t="s">
        <v>2</v>
      </c>
      <c r="I4" s="1" t="s">
        <v>28</v>
      </c>
      <c r="J4" s="1" t="s">
        <v>48</v>
      </c>
      <c r="K4" s="1" t="s">
        <v>49</v>
      </c>
      <c r="M4" s="1" t="s">
        <v>2</v>
      </c>
      <c r="N4" s="1" t="s">
        <v>28</v>
      </c>
      <c r="O4" s="1" t="s">
        <v>48</v>
      </c>
      <c r="P4" s="1" t="s">
        <v>49</v>
      </c>
    </row>
    <row r="5" spans="2:16" x14ac:dyDescent="0.3">
      <c r="B5" t="s">
        <v>9</v>
      </c>
      <c r="C5">
        <v>856.03</v>
      </c>
      <c r="D5">
        <f>C5-$C$9</f>
        <v>94.889999999999986</v>
      </c>
      <c r="E5" s="3">
        <f>C5+((2*2)/(141-1-1))</f>
        <v>856.0587769784172</v>
      </c>
      <c r="H5">
        <v>856.03</v>
      </c>
      <c r="I5">
        <f>H5-$H$9</f>
        <v>94.889999999999986</v>
      </c>
      <c r="J5">
        <f>EXP(-I5/2)</f>
        <v>2.4825517257544032E-21</v>
      </c>
      <c r="K5">
        <f>J5/$J$24</f>
        <v>2.4266125651005946E-21</v>
      </c>
      <c r="M5">
        <v>856.03</v>
      </c>
      <c r="N5">
        <f>M5-$M$20</f>
        <v>62.029999999999973</v>
      </c>
      <c r="O5">
        <f>EXP(-N5/2)</f>
        <v>3.3912253013640474E-14</v>
      </c>
      <c r="P5">
        <f>O5/$O$24</f>
        <v>2.4563230741904939E-14</v>
      </c>
    </row>
    <row r="6" spans="2:16" x14ac:dyDescent="0.3">
      <c r="B6" t="s">
        <v>10</v>
      </c>
      <c r="C6">
        <v>848.62</v>
      </c>
      <c r="D6">
        <f t="shared" ref="D6:D23" si="0">C6-$C$9</f>
        <v>87.480000000000018</v>
      </c>
      <c r="E6" s="3">
        <f t="shared" ref="E6:E23" si="1">C6+((2*2)/(141-1-1))</f>
        <v>848.64877697841723</v>
      </c>
      <c r="H6">
        <v>848.62</v>
      </c>
      <c r="I6">
        <f t="shared" ref="I6:I23" si="2">H6-$H$9</f>
        <v>87.480000000000018</v>
      </c>
      <c r="J6">
        <f t="shared" ref="J6:J23" si="3">EXP(-I6/2)</f>
        <v>1.0091584511851394E-19</v>
      </c>
      <c r="K6">
        <f t="shared" ref="K6:K24" si="4">J6/$J$24</f>
        <v>9.8641915591070165E-20</v>
      </c>
      <c r="M6">
        <v>848.62</v>
      </c>
      <c r="N6">
        <f t="shared" ref="N6:N23" si="5">M6-$M$20</f>
        <v>54.620000000000005</v>
      </c>
      <c r="O6">
        <f t="shared" ref="O6:O23" si="6">EXP(-N6/2)</f>
        <v>1.3785346896264282E-12</v>
      </c>
      <c r="P6">
        <f t="shared" ref="P6:P24" si="7">O6/$O$24</f>
        <v>9.9849649191383113E-13</v>
      </c>
    </row>
    <row r="7" spans="2:16" x14ac:dyDescent="0.3">
      <c r="B7" t="s">
        <v>11</v>
      </c>
      <c r="C7">
        <v>849.19</v>
      </c>
      <c r="D7">
        <f t="shared" si="0"/>
        <v>88.050000000000068</v>
      </c>
      <c r="E7" s="3">
        <f t="shared" si="1"/>
        <v>849.21877697841728</v>
      </c>
      <c r="H7">
        <v>849.19</v>
      </c>
      <c r="I7">
        <f t="shared" si="2"/>
        <v>88.050000000000068</v>
      </c>
      <c r="J7">
        <f t="shared" si="3"/>
        <v>7.5890154015807678E-20</v>
      </c>
      <c r="K7">
        <f t="shared" si="4"/>
        <v>7.4180126597852265E-20</v>
      </c>
    </row>
    <row r="8" spans="2:16" x14ac:dyDescent="0.3">
      <c r="B8" t="s">
        <v>12</v>
      </c>
      <c r="C8">
        <v>792.38</v>
      </c>
      <c r="D8">
        <f t="shared" si="0"/>
        <v>31.240000000000009</v>
      </c>
      <c r="E8" s="3">
        <f t="shared" si="1"/>
        <v>792.40877697841722</v>
      </c>
      <c r="H8">
        <v>792.38</v>
      </c>
      <c r="I8">
        <f t="shared" si="2"/>
        <v>31.240000000000009</v>
      </c>
      <c r="J8">
        <f t="shared" si="3"/>
        <v>1.645584517612598E-7</v>
      </c>
      <c r="K8">
        <f t="shared" si="4"/>
        <v>1.6085046792570938E-7</v>
      </c>
    </row>
    <row r="9" spans="2:16" x14ac:dyDescent="0.3">
      <c r="B9" t="s">
        <v>13</v>
      </c>
      <c r="C9">
        <v>761.14</v>
      </c>
      <c r="D9">
        <f t="shared" si="0"/>
        <v>0</v>
      </c>
      <c r="E9" s="3">
        <f t="shared" si="1"/>
        <v>761.16877697841721</v>
      </c>
      <c r="H9">
        <v>761.14</v>
      </c>
      <c r="I9">
        <f t="shared" si="2"/>
        <v>0</v>
      </c>
      <c r="J9">
        <f t="shared" si="3"/>
        <v>1</v>
      </c>
      <c r="K9">
        <f t="shared" si="4"/>
        <v>0.97746707145172984</v>
      </c>
    </row>
    <row r="10" spans="2:16" x14ac:dyDescent="0.3">
      <c r="B10" t="s">
        <v>14</v>
      </c>
      <c r="C10">
        <v>854.97</v>
      </c>
      <c r="D10">
        <f t="shared" si="0"/>
        <v>93.830000000000041</v>
      </c>
      <c r="E10" s="3">
        <f t="shared" si="1"/>
        <v>854.99877697841725</v>
      </c>
      <c r="H10">
        <v>854.97</v>
      </c>
      <c r="I10">
        <f t="shared" si="2"/>
        <v>93.830000000000041</v>
      </c>
      <c r="J10">
        <f t="shared" si="3"/>
        <v>4.2176873347007804E-21</v>
      </c>
      <c r="K10">
        <f t="shared" si="4"/>
        <v>4.1226504873490234E-21</v>
      </c>
      <c r="M10">
        <v>854.97</v>
      </c>
      <c r="N10">
        <f t="shared" si="5"/>
        <v>60.970000000000027</v>
      </c>
      <c r="O10">
        <f t="shared" si="6"/>
        <v>5.7614622302919048E-14</v>
      </c>
      <c r="P10">
        <f t="shared" si="7"/>
        <v>4.1731266311473576E-14</v>
      </c>
    </row>
    <row r="11" spans="2:16" x14ac:dyDescent="0.3">
      <c r="B11" t="s">
        <v>15</v>
      </c>
      <c r="C11">
        <v>850.61</v>
      </c>
      <c r="D11">
        <f t="shared" si="0"/>
        <v>89.470000000000027</v>
      </c>
      <c r="E11" s="3">
        <f t="shared" si="1"/>
        <v>850.63877697841724</v>
      </c>
      <c r="H11">
        <v>850.61</v>
      </c>
      <c r="I11">
        <f t="shared" si="2"/>
        <v>89.470000000000027</v>
      </c>
      <c r="J11">
        <f t="shared" si="3"/>
        <v>3.7310953866291563E-20</v>
      </c>
      <c r="K11">
        <f t="shared" si="4"/>
        <v>3.6470228808754611E-20</v>
      </c>
      <c r="M11">
        <v>850.61</v>
      </c>
      <c r="N11">
        <f t="shared" si="5"/>
        <v>56.610000000000014</v>
      </c>
      <c r="O11">
        <f t="shared" si="6"/>
        <v>5.0967659387215591E-13</v>
      </c>
      <c r="P11">
        <f t="shared" si="7"/>
        <v>3.6916756235553908E-13</v>
      </c>
    </row>
    <row r="12" spans="2:16" x14ac:dyDescent="0.3">
      <c r="B12" t="s">
        <v>51</v>
      </c>
      <c r="C12">
        <v>823.21</v>
      </c>
      <c r="D12">
        <f t="shared" si="0"/>
        <v>62.07000000000005</v>
      </c>
      <c r="E12" s="3">
        <f t="shared" si="1"/>
        <v>823.23877697841726</v>
      </c>
      <c r="H12">
        <v>823.21</v>
      </c>
      <c r="I12">
        <f t="shared" si="2"/>
        <v>62.07000000000005</v>
      </c>
      <c r="J12">
        <f t="shared" si="3"/>
        <v>3.3240745412812121E-14</v>
      </c>
      <c r="K12">
        <f t="shared" si="4"/>
        <v>3.2491734071533988E-14</v>
      </c>
      <c r="M12">
        <v>823.21</v>
      </c>
      <c r="N12">
        <f t="shared" si="5"/>
        <v>29.210000000000036</v>
      </c>
      <c r="O12">
        <f t="shared" si="6"/>
        <v>4.5407656851892456E-7</v>
      </c>
      <c r="P12">
        <f t="shared" si="7"/>
        <v>3.288955034198542E-7</v>
      </c>
    </row>
    <row r="13" spans="2:16" x14ac:dyDescent="0.3">
      <c r="B13" t="s">
        <v>52</v>
      </c>
      <c r="C13">
        <v>808.09</v>
      </c>
      <c r="D13">
        <f t="shared" si="0"/>
        <v>46.950000000000045</v>
      </c>
      <c r="E13" s="3">
        <f t="shared" si="1"/>
        <v>808.11877697841726</v>
      </c>
      <c r="H13">
        <v>808.09</v>
      </c>
      <c r="I13">
        <f t="shared" si="2"/>
        <v>46.950000000000045</v>
      </c>
      <c r="J13">
        <f t="shared" si="3"/>
        <v>6.3817095941980243E-11</v>
      </c>
      <c r="K13">
        <f t="shared" si="4"/>
        <v>6.2379109878961503E-11</v>
      </c>
      <c r="M13">
        <v>808.09</v>
      </c>
      <c r="N13">
        <f t="shared" si="5"/>
        <v>14.090000000000032</v>
      </c>
      <c r="O13">
        <f t="shared" si="6"/>
        <v>8.7175686279912122E-4</v>
      </c>
      <c r="P13">
        <f t="shared" si="7"/>
        <v>6.314285566093469E-4</v>
      </c>
    </row>
    <row r="14" spans="2:16" x14ac:dyDescent="0.3">
      <c r="B14" t="s">
        <v>53</v>
      </c>
      <c r="C14">
        <v>796.52</v>
      </c>
      <c r="D14">
        <f t="shared" si="0"/>
        <v>35.379999999999995</v>
      </c>
      <c r="E14" s="3">
        <f t="shared" si="1"/>
        <v>796.54877697841721</v>
      </c>
      <c r="H14">
        <v>796.52</v>
      </c>
      <c r="I14">
        <f t="shared" si="2"/>
        <v>35.379999999999995</v>
      </c>
      <c r="J14">
        <f t="shared" si="3"/>
        <v>2.0764936871665619E-8</v>
      </c>
      <c r="K14">
        <f t="shared" si="4"/>
        <v>2.0297042032827036E-8</v>
      </c>
    </row>
    <row r="15" spans="2:16" x14ac:dyDescent="0.3">
      <c r="B15" t="s">
        <v>54</v>
      </c>
      <c r="C15">
        <v>838.14</v>
      </c>
      <c r="D15">
        <f t="shared" si="0"/>
        <v>77</v>
      </c>
      <c r="E15" s="3">
        <f t="shared" si="1"/>
        <v>838.16877697841721</v>
      </c>
      <c r="H15">
        <v>838.14</v>
      </c>
      <c r="I15">
        <f t="shared" si="2"/>
        <v>77</v>
      </c>
      <c r="J15">
        <f t="shared" si="3"/>
        <v>1.9039802832864523E-17</v>
      </c>
      <c r="K15">
        <f t="shared" si="4"/>
        <v>1.8610780316058435E-17</v>
      </c>
      <c r="M15">
        <v>838.14</v>
      </c>
      <c r="N15">
        <f t="shared" si="5"/>
        <v>44.139999999999986</v>
      </c>
      <c r="O15">
        <f t="shared" si="6"/>
        <v>2.6008828106158351E-10</v>
      </c>
      <c r="P15">
        <f t="shared" si="7"/>
        <v>1.8838643538108247E-10</v>
      </c>
    </row>
    <row r="16" spans="2:16" x14ac:dyDescent="0.3">
      <c r="B16" t="s">
        <v>55</v>
      </c>
      <c r="C16">
        <v>821.27</v>
      </c>
      <c r="D16">
        <f t="shared" si="0"/>
        <v>60.129999999999995</v>
      </c>
      <c r="E16" s="3">
        <f t="shared" si="1"/>
        <v>821.29877697841721</v>
      </c>
      <c r="H16">
        <v>821.27</v>
      </c>
      <c r="I16">
        <f t="shared" si="2"/>
        <v>60.129999999999995</v>
      </c>
      <c r="J16">
        <f t="shared" si="3"/>
        <v>8.7687240186532088E-14</v>
      </c>
      <c r="K16">
        <f t="shared" si="4"/>
        <v>8.5711389868813956E-14</v>
      </c>
      <c r="M16">
        <v>821.27</v>
      </c>
      <c r="N16">
        <f t="shared" si="5"/>
        <v>27.269999999999982</v>
      </c>
      <c r="O16">
        <f t="shared" si="6"/>
        <v>1.1978287680470759E-6</v>
      </c>
      <c r="P16">
        <f t="shared" si="7"/>
        <v>8.6760807095292288E-7</v>
      </c>
    </row>
    <row r="17" spans="2:16" x14ac:dyDescent="0.3">
      <c r="B17" t="s">
        <v>56</v>
      </c>
      <c r="C17">
        <v>768.86</v>
      </c>
      <c r="D17">
        <f t="shared" si="0"/>
        <v>7.7200000000000273</v>
      </c>
      <c r="E17" s="3">
        <f t="shared" si="1"/>
        <v>768.88877697841724</v>
      </c>
      <c r="H17">
        <v>768.86</v>
      </c>
      <c r="I17">
        <f t="shared" si="2"/>
        <v>7.7200000000000273</v>
      </c>
      <c r="J17">
        <f t="shared" si="3"/>
        <v>2.1067999523041142E-2</v>
      </c>
      <c r="K17">
        <f t="shared" si="4"/>
        <v>2.0593275795133467E-2</v>
      </c>
    </row>
    <row r="18" spans="2:16" x14ac:dyDescent="0.3">
      <c r="B18" t="s">
        <v>60</v>
      </c>
      <c r="C18">
        <v>773.88</v>
      </c>
      <c r="D18">
        <f t="shared" si="0"/>
        <v>12.740000000000009</v>
      </c>
      <c r="E18" s="3">
        <f t="shared" si="1"/>
        <v>773.90877697841722</v>
      </c>
      <c r="H18">
        <v>773.88</v>
      </c>
      <c r="I18">
        <f t="shared" si="2"/>
        <v>12.740000000000009</v>
      </c>
      <c r="J18">
        <f t="shared" si="3"/>
        <v>1.7121592255655153E-3</v>
      </c>
      <c r="K18">
        <f t="shared" si="4"/>
        <v>1.673579264072586E-3</v>
      </c>
    </row>
    <row r="19" spans="2:16" x14ac:dyDescent="0.3">
      <c r="B19" t="s">
        <v>57</v>
      </c>
      <c r="C19">
        <v>810.18</v>
      </c>
      <c r="D19">
        <f t="shared" si="0"/>
        <v>49.039999999999964</v>
      </c>
      <c r="E19" s="3">
        <f t="shared" si="1"/>
        <v>810.20877697841718</v>
      </c>
      <c r="H19">
        <v>810.18</v>
      </c>
      <c r="I19">
        <f t="shared" si="2"/>
        <v>49.039999999999964</v>
      </c>
      <c r="J19">
        <f t="shared" si="3"/>
        <v>2.24439505792606E-11</v>
      </c>
      <c r="K19">
        <f t="shared" si="4"/>
        <v>2.1938222644517215E-11</v>
      </c>
      <c r="M19">
        <v>810.18</v>
      </c>
      <c r="N19">
        <f t="shared" si="5"/>
        <v>16.17999999999995</v>
      </c>
      <c r="O19">
        <f t="shared" si="6"/>
        <v>3.0658975713315127E-4</v>
      </c>
      <c r="P19">
        <f t="shared" si="7"/>
        <v>2.2206825788121697E-4</v>
      </c>
    </row>
    <row r="20" spans="2:16" x14ac:dyDescent="0.3">
      <c r="B20" t="s">
        <v>58</v>
      </c>
      <c r="C20">
        <v>794</v>
      </c>
      <c r="D20">
        <f t="shared" si="0"/>
        <v>32.860000000000014</v>
      </c>
      <c r="E20" s="3">
        <f t="shared" si="1"/>
        <v>794.02877697841723</v>
      </c>
      <c r="H20">
        <v>794</v>
      </c>
      <c r="I20">
        <f t="shared" si="2"/>
        <v>32.860000000000014</v>
      </c>
      <c r="J20">
        <f t="shared" si="3"/>
        <v>7.3205154631155009E-8</v>
      </c>
      <c r="K20">
        <f t="shared" si="4"/>
        <v>7.155562811248613E-8</v>
      </c>
      <c r="M20">
        <v>794</v>
      </c>
      <c r="N20">
        <f t="shared" si="5"/>
        <v>0</v>
      </c>
      <c r="O20">
        <f t="shared" si="6"/>
        <v>1</v>
      </c>
      <c r="P20">
        <f t="shared" si="7"/>
        <v>0.72431727647304667</v>
      </c>
    </row>
    <row r="21" spans="2:16" x14ac:dyDescent="0.3">
      <c r="B21" t="s">
        <v>59</v>
      </c>
      <c r="C21">
        <v>777.56</v>
      </c>
      <c r="D21">
        <f t="shared" si="0"/>
        <v>16.419999999999959</v>
      </c>
      <c r="E21" s="3">
        <f t="shared" si="1"/>
        <v>777.58877697841717</v>
      </c>
      <c r="H21">
        <v>777.56</v>
      </c>
      <c r="I21">
        <f t="shared" si="2"/>
        <v>16.419999999999959</v>
      </c>
      <c r="J21">
        <f t="shared" si="3"/>
        <v>2.7192072128954056E-4</v>
      </c>
      <c r="K21">
        <f t="shared" si="4"/>
        <v>2.6579355110592924E-4</v>
      </c>
    </row>
    <row r="22" spans="2:16" x14ac:dyDescent="0.3">
      <c r="B22" t="s">
        <v>26</v>
      </c>
      <c r="C22">
        <v>809.93</v>
      </c>
      <c r="D22">
        <f t="shared" si="0"/>
        <v>48.789999999999964</v>
      </c>
      <c r="E22" s="3">
        <f t="shared" si="1"/>
        <v>809.95877697841718</v>
      </c>
      <c r="H22">
        <v>809.93</v>
      </c>
      <c r="I22">
        <f t="shared" si="2"/>
        <v>48.789999999999964</v>
      </c>
      <c r="J22">
        <f t="shared" si="3"/>
        <v>2.5432327879597447E-11</v>
      </c>
      <c r="K22">
        <f t="shared" si="4"/>
        <v>2.4859263052670299E-11</v>
      </c>
      <c r="M22">
        <v>809.93</v>
      </c>
      <c r="N22">
        <f t="shared" si="5"/>
        <v>15.92999999999995</v>
      </c>
      <c r="O22">
        <f t="shared" si="6"/>
        <v>3.4741170902156439E-4</v>
      </c>
      <c r="P22">
        <f t="shared" si="7"/>
        <v>2.5163630289334611E-4</v>
      </c>
    </row>
    <row r="23" spans="2:16" x14ac:dyDescent="0.3">
      <c r="B23" t="s">
        <v>27</v>
      </c>
      <c r="C23">
        <v>795.94</v>
      </c>
      <c r="D23">
        <f t="shared" si="0"/>
        <v>34.800000000000068</v>
      </c>
      <c r="E23" s="3">
        <f t="shared" si="1"/>
        <v>795.96877697841728</v>
      </c>
      <c r="H23">
        <v>795.94</v>
      </c>
      <c r="I23">
        <f t="shared" si="2"/>
        <v>34.800000000000068</v>
      </c>
      <c r="J23">
        <f t="shared" si="3"/>
        <v>2.7750832422406577E-8</v>
      </c>
      <c r="K23">
        <f t="shared" si="4"/>
        <v>2.7125524898277469E-8</v>
      </c>
      <c r="M23">
        <v>795.94</v>
      </c>
      <c r="N23">
        <f t="shared" si="5"/>
        <v>1.9400000000000546</v>
      </c>
      <c r="O23">
        <f t="shared" si="6"/>
        <v>0.37908303810338845</v>
      </c>
      <c r="P23">
        <f t="shared" si="7"/>
        <v>0.27457639371617448</v>
      </c>
    </row>
    <row r="24" spans="2:16" x14ac:dyDescent="0.3">
      <c r="J24">
        <f>SUM(J5:J23)</f>
        <v>1.0230523658610866</v>
      </c>
      <c r="K24">
        <f t="shared" si="4"/>
        <v>1</v>
      </c>
      <c r="O24">
        <f>SUM(O5:O23)</f>
        <v>1.380610448599747</v>
      </c>
      <c r="P24">
        <f t="shared" si="7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2AEA-C6BC-4EE0-B7D8-2524E1A65524}">
  <dimension ref="A6:I15"/>
  <sheetViews>
    <sheetView tabSelected="1" workbookViewId="0">
      <selection activeCell="D7" sqref="D7"/>
    </sheetView>
  </sheetViews>
  <sheetFormatPr defaultRowHeight="14.4" x14ac:dyDescent="0.3"/>
  <sheetData>
    <row r="6" spans="1:9" x14ac:dyDescent="0.3">
      <c r="C6" t="s">
        <v>63</v>
      </c>
      <c r="D6">
        <v>7.7</v>
      </c>
      <c r="E6">
        <v>4.2</v>
      </c>
      <c r="F6">
        <v>3.1</v>
      </c>
      <c r="G6">
        <v>2.7</v>
      </c>
    </row>
    <row r="7" spans="1:9" x14ac:dyDescent="0.3">
      <c r="A7" t="s">
        <v>66</v>
      </c>
      <c r="B7" t="s">
        <v>67</v>
      </c>
      <c r="C7">
        <v>0.36499999999999999</v>
      </c>
      <c r="D7">
        <f>$C$7*((I7*($D$6-2.044)))/(1+(I7*($D$6-2.044)))</f>
        <v>0.33279462535531795</v>
      </c>
      <c r="E7">
        <f>C7*((I7*($E$6-2.044)))/(1+(I7*($E$6-2.044)))</f>
        <v>0.29109858003989464</v>
      </c>
      <c r="F7">
        <f>C7*((I7*($F$6-2.044)))/(1+(I7*($F$6-2.044)))</f>
        <v>0.24039736293027167</v>
      </c>
      <c r="G7">
        <f>C7*((I7*($G$6-2.044)))/(1+(I7*($G$6-2.044)))</f>
        <v>0.19897861826544505</v>
      </c>
      <c r="I7">
        <v>1.827</v>
      </c>
    </row>
    <row r="8" spans="1:9" x14ac:dyDescent="0.3">
      <c r="B8" t="s">
        <v>68</v>
      </c>
      <c r="C8">
        <v>0.36499999999999999</v>
      </c>
      <c r="D8">
        <f t="shared" ref="D8:D9" si="0">$C$7*((I8*($D$6-2.044)))/(1+(I8*($D$6-2.044)))</f>
        <v>0.3290844183446951</v>
      </c>
      <c r="E8">
        <f t="shared" ref="E8:E15" si="1">C8*((I8*($E$6-2.044)))/(1+(I8*($E$6-2.044)))</f>
        <v>0.28375745650741646</v>
      </c>
      <c r="F8">
        <f t="shared" ref="F8:F15" si="2">C8*((I8*($F$6-2.044)))/(1+(I8*($F$6-2.044)))</f>
        <v>0.23034942745838746</v>
      </c>
      <c r="G8">
        <f t="shared" ref="G8:G15" si="3">C8*((I8*($G$6-2.044)))/(1+(I8*($G$6-2.044)))</f>
        <v>0.18804917778467267</v>
      </c>
      <c r="I8">
        <v>1.62</v>
      </c>
    </row>
    <row r="9" spans="1:9" x14ac:dyDescent="0.3">
      <c r="B9" t="s">
        <v>69</v>
      </c>
      <c r="C9">
        <v>0.36499999999999999</v>
      </c>
      <c r="D9">
        <f t="shared" si="0"/>
        <v>0.33861470706108032</v>
      </c>
      <c r="E9">
        <f t="shared" si="1"/>
        <v>0.30305121687776776</v>
      </c>
      <c r="F9">
        <f t="shared" si="2"/>
        <v>0.257522637971487</v>
      </c>
      <c r="G9">
        <f t="shared" si="3"/>
        <v>0.21832317445621077</v>
      </c>
      <c r="I9">
        <v>2.2690000000000001</v>
      </c>
    </row>
    <row r="10" spans="1:9" x14ac:dyDescent="0.3">
      <c r="A10" t="s">
        <v>64</v>
      </c>
      <c r="B10" t="s">
        <v>67</v>
      </c>
      <c r="C10">
        <v>6.3899999999999998E-2</v>
      </c>
      <c r="D10">
        <f>$C$10/(((I10*($D$6-2.044)))/(1+(I10*($D$6-2.044))))</f>
        <v>7.0083764048466765E-2</v>
      </c>
      <c r="E10">
        <f>C10/(((I10*($E$6-2.044)))/(1+(I10*($E$6-2.044))))</f>
        <v>8.0122342049224526E-2</v>
      </c>
      <c r="F10">
        <f>C10/(((I10*($F$6-2.044)))/(1+(I10*($F$6-2.044))))</f>
        <v>9.7020615017166745E-2</v>
      </c>
      <c r="G10">
        <f>C10/(((I10*($G$6-2.044)))/(1+(I10*($G$6-2.044))))</f>
        <v>0.11721611197885375</v>
      </c>
      <c r="I10">
        <v>1.827</v>
      </c>
    </row>
    <row r="11" spans="1:9" x14ac:dyDescent="0.3">
      <c r="B11" t="s">
        <v>68</v>
      </c>
      <c r="C11">
        <v>6.3899999999999998E-2</v>
      </c>
      <c r="D11">
        <f t="shared" ref="D11:D12" si="4">$C$10/(((I11*($D$6-2.044)))/(1+(I11*($D$6-2.044))))</f>
        <v>7.0873911676881965E-2</v>
      </c>
      <c r="E11">
        <f t="shared" ref="E11:E12" si="5">C11/(((I11*($E$6-2.044)))/(1+(I11*($E$6-2.044))))</f>
        <v>8.2195196866625436E-2</v>
      </c>
      <c r="F11">
        <f t="shared" ref="F11:F12" si="6">C11/(((I11*($F$6-2.044)))/(1+(I11*($F$6-2.044))))</f>
        <v>0.10125269360269359</v>
      </c>
      <c r="G11">
        <f t="shared" ref="G11:G12" si="7">C11/(((I11*($G$6-2.044)))/(1+(I11*($G$6-2.044))))</f>
        <v>0.12402872628726286</v>
      </c>
      <c r="I11">
        <v>1.62</v>
      </c>
    </row>
    <row r="12" spans="1:9" x14ac:dyDescent="0.3">
      <c r="B12" t="s">
        <v>69</v>
      </c>
      <c r="C12">
        <v>6.3899999999999998E-2</v>
      </c>
      <c r="D12">
        <f t="shared" si="4"/>
        <v>6.8879170082216307E-2</v>
      </c>
      <c r="E12">
        <f t="shared" si="5"/>
        <v>7.6962238397502519E-2</v>
      </c>
      <c r="F12">
        <f t="shared" si="6"/>
        <v>9.0568736728234289E-2</v>
      </c>
      <c r="G12">
        <f t="shared" si="7"/>
        <v>0.10683016156252351</v>
      </c>
      <c r="I12">
        <v>2.2690000000000001</v>
      </c>
    </row>
    <row r="13" spans="1:9" x14ac:dyDescent="0.3">
      <c r="A13" t="s">
        <v>65</v>
      </c>
      <c r="B13" t="s">
        <v>67</v>
      </c>
      <c r="C13">
        <v>2.9399999999999999E-2</v>
      </c>
      <c r="D13">
        <f>$C$13/(((I13*($D$6-2.044)))/(1+(I13*($D$6-2.044))))</f>
        <v>3.2245112097416637E-2</v>
      </c>
      <c r="E13">
        <f>C13/(((I13*($E$6-2.044)))/(1+(I13*($E$6-2.044))))</f>
        <v>3.686380056724884E-2</v>
      </c>
      <c r="F13">
        <f>C13/(((I13*($F$6-2.044)))/(1+(I13*($F$6-2.044))))</f>
        <v>4.4638592824799719E-2</v>
      </c>
      <c r="G13">
        <f>C13/(((I13*($G$6-2.044)))/(1+(I13*($G$6-2.044))))</f>
        <v>5.3930417717970268E-2</v>
      </c>
      <c r="I13">
        <v>1.827</v>
      </c>
    </row>
    <row r="14" spans="1:9" x14ac:dyDescent="0.3">
      <c r="B14" t="s">
        <v>68</v>
      </c>
      <c r="C14">
        <v>2.9399999999999999E-2</v>
      </c>
      <c r="D14">
        <f t="shared" ref="D14:D15" si="8">$C$13/(((I14*($D$6-2.044)))/(1+(I14*($D$6-2.044))))</f>
        <v>3.2608654198753209E-2</v>
      </c>
      <c r="E14">
        <f t="shared" ref="E14:E15" si="9">C14/(((I14*($E$6-2.044)))/(1+(I14*($E$6-2.044))))</f>
        <v>3.7817508417508416E-2</v>
      </c>
      <c r="F14">
        <f t="shared" ref="F14:F15" si="10">C14/(((I14*($F$6-2.044)))/(1+(I14*($F$6-2.044))))</f>
        <v>4.658574635241302E-2</v>
      </c>
      <c r="G14">
        <f t="shared" ref="G14:G15" si="11">C14/(((I14*($G$6-2.044)))/(1+(I14*($G$6-2.044))))</f>
        <v>5.7064859981933141E-2</v>
      </c>
      <c r="I14">
        <v>1.62</v>
      </c>
    </row>
    <row r="15" spans="1:9" x14ac:dyDescent="0.3">
      <c r="B15" t="s">
        <v>69</v>
      </c>
      <c r="C15">
        <v>2.9399999999999999E-2</v>
      </c>
      <c r="D15">
        <f t="shared" si="8"/>
        <v>3.1690885765526748E-2</v>
      </c>
      <c r="E15">
        <f t="shared" si="9"/>
        <v>3.5409856164109139E-2</v>
      </c>
      <c r="F15">
        <f t="shared" si="10"/>
        <v>4.167012300172282E-2</v>
      </c>
      <c r="G15">
        <f t="shared" si="11"/>
        <v>4.9151905319846492E-2</v>
      </c>
      <c r="I15">
        <v>2.2690000000000001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G Schwemmer</cp:lastModifiedBy>
  <dcterms:created xsi:type="dcterms:W3CDTF">2023-03-26T16:08:28Z</dcterms:created>
  <dcterms:modified xsi:type="dcterms:W3CDTF">2024-01-08T16:36:54Z</dcterms:modified>
</cp:coreProperties>
</file>