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userselu/Documents/git/rotenone_small_impoundments_target/data/"/>
    </mc:Choice>
  </mc:AlternateContent>
  <xr:revisionPtr revIDLastSave="0" documentId="13_ncr:1_{CF07B4BE-76A3-3644-ABE2-866B16FD2FA2}" xr6:coauthVersionLast="47" xr6:coauthVersionMax="47" xr10:uidLastSave="{00000000-0000-0000-0000-000000000000}"/>
  <bookViews>
    <workbookView xWindow="-36980" yWindow="3000" windowWidth="38400" windowHeight="21100" xr2:uid="{50B1A362-B181-46B7-9946-6EADBB31EB3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 i="1" l="1"/>
  <c r="J4" i="1"/>
  <c r="J5" i="1"/>
  <c r="J6" i="1"/>
  <c r="J7" i="1"/>
  <c r="J3" i="1"/>
  <c r="F48" i="1"/>
  <c r="F49" i="1"/>
  <c r="F50" i="1"/>
  <c r="F51" i="1"/>
  <c r="F52" i="1"/>
  <c r="F53" i="1"/>
  <c r="F54" i="1"/>
  <c r="F55" i="1"/>
  <c r="F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2" i="1"/>
  <c r="I21" i="1"/>
  <c r="I17" i="1"/>
  <c r="I19" i="1" s="1"/>
  <c r="E2" i="1"/>
  <c r="E10" i="1"/>
  <c r="E22" i="1"/>
  <c r="E49" i="1"/>
  <c r="E50" i="1"/>
  <c r="E51" i="1"/>
  <c r="E52" i="1"/>
  <c r="E53" i="1"/>
  <c r="E54" i="1"/>
  <c r="E55" i="1"/>
  <c r="E56" i="1"/>
  <c r="E48" i="1"/>
  <c r="E32" i="1"/>
  <c r="E33" i="1"/>
  <c r="E34" i="1"/>
  <c r="E35" i="1"/>
  <c r="E36" i="1"/>
  <c r="E37" i="1"/>
  <c r="E38" i="1"/>
  <c r="E39" i="1"/>
  <c r="E40" i="1"/>
  <c r="E41" i="1"/>
  <c r="E42" i="1"/>
  <c r="E43" i="1"/>
  <c r="E44" i="1"/>
  <c r="E45" i="1"/>
  <c r="E46" i="1"/>
  <c r="E47" i="1"/>
  <c r="E31" i="1"/>
  <c r="E24" i="1"/>
  <c r="E25" i="1"/>
  <c r="E26" i="1"/>
  <c r="E27" i="1"/>
  <c r="E28" i="1"/>
  <c r="E29" i="1"/>
  <c r="E30" i="1"/>
  <c r="E23" i="1"/>
  <c r="E12" i="1"/>
  <c r="E13" i="1"/>
  <c r="E14" i="1"/>
  <c r="E15" i="1"/>
  <c r="E16" i="1"/>
  <c r="E17" i="1"/>
  <c r="E18" i="1"/>
  <c r="E19" i="1"/>
  <c r="E20" i="1"/>
  <c r="E21" i="1"/>
  <c r="E4" i="1"/>
  <c r="E5" i="1"/>
  <c r="E6" i="1"/>
  <c r="E7" i="1"/>
  <c r="E8" i="1"/>
  <c r="E9" i="1"/>
  <c r="E3" i="1"/>
  <c r="E11" i="1"/>
  <c r="C56" i="1"/>
  <c r="C55" i="1"/>
  <c r="C54" i="1"/>
  <c r="C53" i="1"/>
  <c r="C52" i="1"/>
  <c r="C51" i="1"/>
  <c r="C50" i="1"/>
  <c r="C49" i="1"/>
  <c r="C48" i="1"/>
  <c r="C37" i="1"/>
  <c r="C36" i="1"/>
  <c r="C35" i="1"/>
  <c r="C34" i="1"/>
  <c r="C33" i="1"/>
  <c r="C32" i="1"/>
  <c r="C31" i="1"/>
  <c r="I22" i="1" l="1"/>
  <c r="I23" i="1" s="1"/>
  <c r="I25" i="1" s="1"/>
  <c r="I26" i="1" s="1"/>
</calcChain>
</file>

<file path=xl/sharedStrings.xml><?xml version="1.0" encoding="utf-8"?>
<sst xmlns="http://schemas.openxmlformats.org/spreadsheetml/2006/main" count="80" uniqueCount="54">
  <si>
    <t>temp</t>
  </si>
  <si>
    <t>dist</t>
  </si>
  <si>
    <t>depth</t>
  </si>
  <si>
    <t>length</t>
  </si>
  <si>
    <t>volume</t>
  </si>
  <si>
    <t>L</t>
  </si>
  <si>
    <t>L/m3</t>
  </si>
  <si>
    <t>mg/L</t>
  </si>
  <si>
    <t>g of pren</t>
  </si>
  <si>
    <t>mg/pren</t>
  </si>
  <si>
    <t>ug/L</t>
  </si>
  <si>
    <t>diffusion rate</t>
  </si>
  <si>
    <t>slope (rate of loss d^-1)</t>
  </si>
  <si>
    <t>predicted rate of loss at 30C</t>
  </si>
  <si>
    <t>source</t>
  </si>
  <si>
    <t xml:space="preserve">Gilderhus et al (1986) NAJFM 6: 129-130 </t>
  </si>
  <si>
    <t>Dawson et al (1991) NAJFM 11(2):226-23</t>
  </si>
  <si>
    <t>Dawson et al (1991) NAJFM 11(2):226-24</t>
  </si>
  <si>
    <t>Dawson et al (1991) NAJFM 11(2):226-25</t>
  </si>
  <si>
    <t>Dawson et al (1991) NAJFM 11(2):226-26</t>
  </si>
  <si>
    <t>Dawson et al (1991) NAJFM 11(2):226-27</t>
  </si>
  <si>
    <t>Dawson et al (1991) NAJFM 11(2):226-28</t>
  </si>
  <si>
    <t>Dawson et al (1991) NAJFM 11(2):226-29</t>
  </si>
  <si>
    <t>Dawson et al (1991) NAJFM 11(2):226-30</t>
  </si>
  <si>
    <t>Dawson et al (1991) NAJFM 11(2):226-31</t>
  </si>
  <si>
    <t>Dawson et al (1991) NAJFM 11(2):226-32</t>
  </si>
  <si>
    <t>Dawson et al (1991) NAJFM 11(2):226-33</t>
  </si>
  <si>
    <t>Dawson et al (1991) NAJFM 11(2):226-34</t>
  </si>
  <si>
    <t>Dawson et al (1991) NAJFM 11(2):226-35</t>
  </si>
  <si>
    <t>Dawson et al (1991) NAJFM 11(2):226-36</t>
  </si>
  <si>
    <t>Dawson et al (1991) NAJFM 11(2):226-37</t>
  </si>
  <si>
    <t>Dawson et al (1991) NAJFM 11(2):226-38</t>
  </si>
  <si>
    <t>Dawson et al (1991) NAJFM 11(2):226-39</t>
  </si>
  <si>
    <t>Dawson et al (1991) NAJFM 11(2):226-40</t>
  </si>
  <si>
    <t>Dawson et al (1991) NAJFM 11(2):226-41</t>
  </si>
  <si>
    <t>Dawson et al (1991) NAJFM 11(2):226-42</t>
  </si>
  <si>
    <t>Dawson et al (1991) NAJFM 11(2):226-43</t>
  </si>
  <si>
    <t>Dawson et al (1991) NAJFM 11(2):226-44</t>
  </si>
  <si>
    <t>Dawson et al (1991) NAJFM 11(2):226-45</t>
  </si>
  <si>
    <t>Dawson et al (1991) NAJFM 11(2):226-46</t>
  </si>
  <si>
    <t>Dawson et al (1991) NAJFM 11(2):226-47</t>
  </si>
  <si>
    <t>Dawson et al (1991) NAJFM 11(2):226-48</t>
  </si>
  <si>
    <t>Dawson et al (1991) NAJFM 11(2):226-49</t>
  </si>
  <si>
    <t>Dawson et al (1991) NAJFM 11(2):226-50</t>
  </si>
  <si>
    <t>Dawson et al (1991) NAJFM 11(2):226-51</t>
  </si>
  <si>
    <t>ug/L rote</t>
  </si>
  <si>
    <t>days</t>
  </si>
  <si>
    <t>prop</t>
  </si>
  <si>
    <t>ln(ug/L rote)</t>
  </si>
  <si>
    <t>initial @30C</t>
  </si>
  <si>
    <t>after 24 hr @30C</t>
  </si>
  <si>
    <t>assume 1g/ml ballpark</t>
  </si>
  <si>
    <t>Gave it some more though and put together a relationship between temp and rate of decay in eathen ponds based on 2 studies.  Temps ranges from 0 to 24 C.  For each a estimated the rate of decay then related the rate estimates to the temp and got an exponential relationship between temp and that rate of decay.  Based on that I predicted the conc on rotenone (not prenfish) in the shoreline area after 1 day accounting for a guestimate of diffusion/mixing of 50% (ie 50% of rote is lost from the shoreline area due to mixing with the offshore area).  Then I calculated how of of the remaining 50% would be left after 1 day.  If we figure that we put prenfish into a 5mX1.5mX90marea that is a right triangle in cross section then we should  have had an initial density of 75 ug/L and then 37 ug/L after diffusion/mixing losses.  Then that breaks down after 24 hrs to 5 ug/L.  This is pretty low and the inshore-offshore gradient that a fish could detect and thus avoid inshore would be weak due to diffusion/mixing of inshore-offshore.</t>
  </si>
  <si>
    <t>Response:  The concentration of rotenone in the shoreline area 24 hr after treatment should have been very low.  Based on data found in Gilderhus et al (1986) and Dawson et al (1991), there is an exponential relationship between water temperature and rotenone breakdown. If we extrapolate their data to the 30 C temps experienced in our study then the rate of decay is likely at least 85% per day.  If we consider that some portion (likely a large proportion) of the rotenone we applied would diffuse or mix out of the shoreline zone into the rest of the pond, and what was left would decay at a high rate, then the final concentration in the shoreline area would be in the low single digits ug/L one day after treatment.  Moreover, the inshore-offshore concentration gradient that a fish might detect would be very weak due to the diffusion/mixing from inshore to offshore areas.  We also found that bluegill seine catch rates did not decline as much as largemouth bass suggesting more rapid recolonization of bluegill which we would expect given their life history and habitat use.  In our view, adding a section to the discussion on this topic is not necessary due to the fact that (1) rotenone is known to decay rapidly in earthen ponds and at high temps, (we applied a relatively low concentration to start with, and (3) our study design really covers for the possibility that the 24 hr declines in largemouth cpue were overestimated because we came back and seined in mid-summer and we assessed recruitment to age 1 via electrofishing. If all we had were the 24 hr post-treatment seine hauls then the potential for avoidance might be a bigger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</si>
</sst>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5"/>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47594050743664E-2"/>
          <c:y val="5.0925925925925923E-2"/>
          <c:w val="0.89141907261592301"/>
          <c:h val="0.8416746864975212"/>
        </c:manualLayout>
      </c:layout>
      <c:scatterChart>
        <c:scatterStyle val="lineMarker"/>
        <c:varyColors val="0"/>
        <c:ser>
          <c:idx val="0"/>
          <c:order val="0"/>
          <c:tx>
            <c:v>8C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6826136805101524E-4"/>
                  <c:y val="-0.17271218884932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Sheet1!$C$2:$C$9</c:f>
              <c:numCache>
                <c:formatCode>General</c:formatCode>
                <c:ptCount val="8"/>
                <c:pt idx="0">
                  <c:v>0.04</c:v>
                </c:pt>
                <c:pt idx="1">
                  <c:v>0.125</c:v>
                </c:pt>
                <c:pt idx="2">
                  <c:v>0.5</c:v>
                </c:pt>
                <c:pt idx="3">
                  <c:v>1</c:v>
                </c:pt>
                <c:pt idx="4">
                  <c:v>2</c:v>
                </c:pt>
                <c:pt idx="5">
                  <c:v>3</c:v>
                </c:pt>
                <c:pt idx="6">
                  <c:v>5</c:v>
                </c:pt>
                <c:pt idx="7">
                  <c:v>7</c:v>
                </c:pt>
              </c:numCache>
            </c:numRef>
          </c:xVal>
          <c:yVal>
            <c:numRef>
              <c:f>Sheet1!$F$2:$F$9</c:f>
              <c:numCache>
                <c:formatCode>General</c:formatCode>
                <c:ptCount val="8"/>
                <c:pt idx="0">
                  <c:v>5.521460917862246</c:v>
                </c:pt>
                <c:pt idx="1">
                  <c:v>5.4638318050256105</c:v>
                </c:pt>
                <c:pt idx="2">
                  <c:v>5.0689042022202315</c:v>
                </c:pt>
                <c:pt idx="3">
                  <c:v>5.0751738152338266</c:v>
                </c:pt>
                <c:pt idx="4">
                  <c:v>4.3944491546724391</c:v>
                </c:pt>
                <c:pt idx="5">
                  <c:v>4.1743872698956368</c:v>
                </c:pt>
                <c:pt idx="6">
                  <c:v>3.4339872044851463</c:v>
                </c:pt>
                <c:pt idx="7">
                  <c:v>2.7080502011022101</c:v>
                </c:pt>
              </c:numCache>
            </c:numRef>
          </c:yVal>
          <c:smooth val="0"/>
          <c:extLst>
            <c:ext xmlns:c16="http://schemas.microsoft.com/office/drawing/2014/chart" uri="{C3380CC4-5D6E-409C-BE32-E72D297353CC}">
              <c16:uniqueId val="{00000000-BA3F-4AC0-9A85-6A645C9C2204}"/>
            </c:ext>
          </c:extLst>
        </c:ser>
        <c:ser>
          <c:idx val="1"/>
          <c:order val="1"/>
          <c:tx>
            <c:v>22C</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Sheet1!$C$10:$C$21</c:f>
              <c:numCache>
                <c:formatCode>General</c:formatCode>
                <c:ptCount val="12"/>
                <c:pt idx="0">
                  <c:v>0.04</c:v>
                </c:pt>
                <c:pt idx="1">
                  <c:v>0.125</c:v>
                </c:pt>
                <c:pt idx="2">
                  <c:v>0.25</c:v>
                </c:pt>
                <c:pt idx="3">
                  <c:v>0.5</c:v>
                </c:pt>
                <c:pt idx="4">
                  <c:v>0.75</c:v>
                </c:pt>
                <c:pt idx="5">
                  <c:v>1</c:v>
                </c:pt>
                <c:pt idx="6">
                  <c:v>1.5</c:v>
                </c:pt>
                <c:pt idx="7">
                  <c:v>2</c:v>
                </c:pt>
                <c:pt idx="8">
                  <c:v>3</c:v>
                </c:pt>
                <c:pt idx="9">
                  <c:v>4</c:v>
                </c:pt>
                <c:pt idx="10">
                  <c:v>5</c:v>
                </c:pt>
                <c:pt idx="11">
                  <c:v>7</c:v>
                </c:pt>
              </c:numCache>
            </c:numRef>
          </c:xVal>
          <c:yVal>
            <c:numRef>
              <c:f>Sheet1!$F$10:$F$21</c:f>
              <c:numCache>
                <c:formatCode>General</c:formatCode>
                <c:ptCount val="12"/>
                <c:pt idx="0">
                  <c:v>5.521460917862246</c:v>
                </c:pt>
                <c:pt idx="1">
                  <c:v>5.2040066870767951</c:v>
                </c:pt>
                <c:pt idx="2">
                  <c:v>4.8441870864585912</c:v>
                </c:pt>
                <c:pt idx="3">
                  <c:v>4.8040210447332568</c:v>
                </c:pt>
                <c:pt idx="4">
                  <c:v>4.499809670330265</c:v>
                </c:pt>
                <c:pt idx="5">
                  <c:v>4.5217885770490405</c:v>
                </c:pt>
                <c:pt idx="6">
                  <c:v>3.9512437185814275</c:v>
                </c:pt>
                <c:pt idx="7">
                  <c:v>3.7612001156935624</c:v>
                </c:pt>
                <c:pt idx="8">
                  <c:v>2.7080502011022101</c:v>
                </c:pt>
                <c:pt idx="9">
                  <c:v>0.69314718055994529</c:v>
                </c:pt>
                <c:pt idx="10">
                  <c:v>0.69314718055994529</c:v>
                </c:pt>
                <c:pt idx="11">
                  <c:v>-0.69314718055994529</c:v>
                </c:pt>
              </c:numCache>
            </c:numRef>
          </c:yVal>
          <c:smooth val="0"/>
          <c:extLst>
            <c:ext xmlns:c16="http://schemas.microsoft.com/office/drawing/2014/chart" uri="{C3380CC4-5D6E-409C-BE32-E72D297353CC}">
              <c16:uniqueId val="{00000001-BA3F-4AC0-9A85-6A645C9C2204}"/>
            </c:ext>
          </c:extLst>
        </c:ser>
        <c:ser>
          <c:idx val="2"/>
          <c:order val="2"/>
          <c:tx>
            <c:v>15C</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Sheet1!$C$22:$C$30</c:f>
              <c:numCache>
                <c:formatCode>General</c:formatCode>
                <c:ptCount val="9"/>
                <c:pt idx="0">
                  <c:v>0.04</c:v>
                </c:pt>
                <c:pt idx="1">
                  <c:v>0.125</c:v>
                </c:pt>
                <c:pt idx="2">
                  <c:v>1</c:v>
                </c:pt>
                <c:pt idx="3">
                  <c:v>2</c:v>
                </c:pt>
                <c:pt idx="4">
                  <c:v>3</c:v>
                </c:pt>
                <c:pt idx="5">
                  <c:v>4</c:v>
                </c:pt>
                <c:pt idx="6">
                  <c:v>5</c:v>
                </c:pt>
                <c:pt idx="7">
                  <c:v>7</c:v>
                </c:pt>
                <c:pt idx="8">
                  <c:v>10</c:v>
                </c:pt>
              </c:numCache>
            </c:numRef>
          </c:xVal>
          <c:yVal>
            <c:numRef>
              <c:f>Sheet1!$F$22:$F$30</c:f>
              <c:numCache>
                <c:formatCode>General</c:formatCode>
                <c:ptCount val="9"/>
                <c:pt idx="0">
                  <c:v>5.521460917862246</c:v>
                </c:pt>
                <c:pt idx="1">
                  <c:v>5.2203558250783244</c:v>
                </c:pt>
                <c:pt idx="2">
                  <c:v>4.219507705176107</c:v>
                </c:pt>
                <c:pt idx="3">
                  <c:v>3.6635616461296463</c:v>
                </c:pt>
                <c:pt idx="4">
                  <c:v>3.5835189384561099</c:v>
                </c:pt>
                <c:pt idx="5">
                  <c:v>3.0910424533583161</c:v>
                </c:pt>
                <c:pt idx="6">
                  <c:v>2.5649493574615367</c:v>
                </c:pt>
                <c:pt idx="7">
                  <c:v>2.0794415416798357</c:v>
                </c:pt>
                <c:pt idx="8">
                  <c:v>1.0986122886681098</c:v>
                </c:pt>
              </c:numCache>
            </c:numRef>
          </c:yVal>
          <c:smooth val="0"/>
          <c:extLst>
            <c:ext xmlns:c16="http://schemas.microsoft.com/office/drawing/2014/chart" uri="{C3380CC4-5D6E-409C-BE32-E72D297353CC}">
              <c16:uniqueId val="{00000002-BA3F-4AC0-9A85-6A645C9C2204}"/>
            </c:ext>
          </c:extLst>
        </c:ser>
        <c:ser>
          <c:idx val="3"/>
          <c:order val="3"/>
          <c:tx>
            <c:v>0C</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0055746641778081E-2"/>
                  <c:y val="-0.199554349274933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Sheet1!$C$31:$C$47</c:f>
              <c:numCache>
                <c:formatCode>General</c:formatCode>
                <c:ptCount val="17"/>
                <c:pt idx="0">
                  <c:v>4.1666666666666664E-2</c:v>
                </c:pt>
                <c:pt idx="1">
                  <c:v>0.125</c:v>
                </c:pt>
                <c:pt idx="2">
                  <c:v>0.25</c:v>
                </c:pt>
                <c:pt idx="3">
                  <c:v>0.5</c:v>
                </c:pt>
                <c:pt idx="4">
                  <c:v>1</c:v>
                </c:pt>
                <c:pt idx="5">
                  <c:v>2</c:v>
                </c:pt>
                <c:pt idx="6">
                  <c:v>3</c:v>
                </c:pt>
                <c:pt idx="7">
                  <c:v>4</c:v>
                </c:pt>
                <c:pt idx="8">
                  <c:v>5</c:v>
                </c:pt>
                <c:pt idx="9">
                  <c:v>6</c:v>
                </c:pt>
                <c:pt idx="10">
                  <c:v>7</c:v>
                </c:pt>
                <c:pt idx="11">
                  <c:v>9</c:v>
                </c:pt>
                <c:pt idx="12">
                  <c:v>10</c:v>
                </c:pt>
                <c:pt idx="13">
                  <c:v>11</c:v>
                </c:pt>
                <c:pt idx="14">
                  <c:v>14</c:v>
                </c:pt>
                <c:pt idx="15">
                  <c:v>15</c:v>
                </c:pt>
                <c:pt idx="16">
                  <c:v>16</c:v>
                </c:pt>
              </c:numCache>
            </c:numRef>
          </c:xVal>
          <c:yVal>
            <c:numRef>
              <c:f>Sheet1!$F$31:$F$47</c:f>
              <c:numCache>
                <c:formatCode>General</c:formatCode>
                <c:ptCount val="17"/>
                <c:pt idx="0">
                  <c:v>4.7095302013123339</c:v>
                </c:pt>
                <c:pt idx="1">
                  <c:v>4.8283137373023015</c:v>
                </c:pt>
                <c:pt idx="2">
                  <c:v>4.6151205168412597</c:v>
                </c:pt>
                <c:pt idx="3">
                  <c:v>4.5217885770490405</c:v>
                </c:pt>
                <c:pt idx="4">
                  <c:v>4.499809670330265</c:v>
                </c:pt>
                <c:pt idx="5">
                  <c:v>4.2766661190160553</c:v>
                </c:pt>
                <c:pt idx="6">
                  <c:v>4.3174881135363101</c:v>
                </c:pt>
                <c:pt idx="7">
                  <c:v>4.0943445622221004</c:v>
                </c:pt>
                <c:pt idx="8">
                  <c:v>3.9889840465642745</c:v>
                </c:pt>
                <c:pt idx="9">
                  <c:v>3.6635616461296463</c:v>
                </c:pt>
                <c:pt idx="10">
                  <c:v>3.5553480614894135</c:v>
                </c:pt>
                <c:pt idx="11">
                  <c:v>3.4657359027997265</c:v>
                </c:pt>
                <c:pt idx="12">
                  <c:v>3.2580965380214821</c:v>
                </c:pt>
                <c:pt idx="13">
                  <c:v>3.1354942159291497</c:v>
                </c:pt>
                <c:pt idx="14">
                  <c:v>1.791759469228055</c:v>
                </c:pt>
                <c:pt idx="15">
                  <c:v>2.1972245773362196</c:v>
                </c:pt>
                <c:pt idx="16">
                  <c:v>1.3862943611198906</c:v>
                </c:pt>
              </c:numCache>
            </c:numRef>
          </c:yVal>
          <c:smooth val="0"/>
          <c:extLst>
            <c:ext xmlns:c16="http://schemas.microsoft.com/office/drawing/2014/chart" uri="{C3380CC4-5D6E-409C-BE32-E72D297353CC}">
              <c16:uniqueId val="{00000003-BA3F-4AC0-9A85-6A645C9C2204}"/>
            </c:ext>
          </c:extLst>
        </c:ser>
        <c:ser>
          <c:idx val="4"/>
          <c:order val="4"/>
          <c:tx>
            <c:v>24C</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Sheet1!$C$48:$C$56</c:f>
              <c:numCache>
                <c:formatCode>General</c:formatCode>
                <c:ptCount val="9"/>
                <c:pt idx="0">
                  <c:v>4.1666666666666664E-2</c:v>
                </c:pt>
                <c:pt idx="1">
                  <c:v>0.125</c:v>
                </c:pt>
                <c:pt idx="2">
                  <c:v>0.25</c:v>
                </c:pt>
                <c:pt idx="3">
                  <c:v>0.5</c:v>
                </c:pt>
                <c:pt idx="4">
                  <c:v>1</c:v>
                </c:pt>
                <c:pt idx="5">
                  <c:v>1.25</c:v>
                </c:pt>
                <c:pt idx="6">
                  <c:v>1.5</c:v>
                </c:pt>
                <c:pt idx="7">
                  <c:v>2</c:v>
                </c:pt>
                <c:pt idx="8">
                  <c:v>3</c:v>
                </c:pt>
              </c:numCache>
            </c:numRef>
          </c:xVal>
          <c:yVal>
            <c:numRef>
              <c:f>Sheet1!$F$48:$F$56</c:f>
              <c:numCache>
                <c:formatCode>General</c:formatCode>
                <c:ptCount val="9"/>
                <c:pt idx="0">
                  <c:v>5.0751738152338266</c:v>
                </c:pt>
                <c:pt idx="1">
                  <c:v>5.0562458053483077</c:v>
                </c:pt>
                <c:pt idx="2">
                  <c:v>4.9199809258281251</c:v>
                </c:pt>
                <c:pt idx="3">
                  <c:v>4.2046926193909657</c:v>
                </c:pt>
                <c:pt idx="4">
                  <c:v>3.6888794541139363</c:v>
                </c:pt>
                <c:pt idx="5">
                  <c:v>3.4965075614664802</c:v>
                </c:pt>
                <c:pt idx="6">
                  <c:v>3.0910424533583161</c:v>
                </c:pt>
                <c:pt idx="7">
                  <c:v>3.0910424533583161</c:v>
                </c:pt>
                <c:pt idx="8">
                  <c:v>0</c:v>
                </c:pt>
              </c:numCache>
            </c:numRef>
          </c:yVal>
          <c:smooth val="0"/>
          <c:extLst>
            <c:ext xmlns:c16="http://schemas.microsoft.com/office/drawing/2014/chart" uri="{C3380CC4-5D6E-409C-BE32-E72D297353CC}">
              <c16:uniqueId val="{00000004-BA3F-4AC0-9A85-6A645C9C2204}"/>
            </c:ext>
          </c:extLst>
        </c:ser>
        <c:dLbls>
          <c:showLegendKey val="0"/>
          <c:showVal val="0"/>
          <c:showCatName val="0"/>
          <c:showSerName val="0"/>
          <c:showPercent val="0"/>
          <c:showBubbleSize val="0"/>
        </c:dLbls>
        <c:axId val="579780856"/>
        <c:axId val="579781216"/>
      </c:scatterChart>
      <c:valAx>
        <c:axId val="579780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81216"/>
        <c:crosses val="autoZero"/>
        <c:crossBetween val="midCat"/>
      </c:valAx>
      <c:valAx>
        <c:axId val="57978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80856"/>
        <c:crosses val="autoZero"/>
        <c:crossBetween val="midCat"/>
      </c:valAx>
      <c:spPr>
        <a:noFill/>
        <a:ln>
          <a:noFill/>
        </a:ln>
        <a:effectLst/>
      </c:spPr>
    </c:plotArea>
    <c:legend>
      <c:legendPos val="r"/>
      <c:layout>
        <c:manualLayout>
          <c:xMode val="edge"/>
          <c:yMode val="edge"/>
          <c:x val="0.6255374015748032"/>
          <c:y val="0.21614501312335957"/>
          <c:w val="0.13064599777013433"/>
          <c:h val="0.51194891451465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exp"/>
            <c:dispRSqr val="0"/>
            <c:dispEq val="1"/>
            <c:trendlineLbl>
              <c:layout>
                <c:manualLayout>
                  <c:x val="4.31253280839895E-2"/>
                  <c:y val="-0.18049249052201807"/>
                </c:manualLayout>
              </c:layout>
              <c:numFmt formatCode="General"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rendlineLbl>
          </c:trendline>
          <c:xVal>
            <c:numRef>
              <c:f>Sheet1!$H$3:$H$7</c:f>
              <c:numCache>
                <c:formatCode>General</c:formatCode>
                <c:ptCount val="5"/>
                <c:pt idx="0">
                  <c:v>24</c:v>
                </c:pt>
                <c:pt idx="1">
                  <c:v>22</c:v>
                </c:pt>
                <c:pt idx="2">
                  <c:v>15</c:v>
                </c:pt>
                <c:pt idx="3">
                  <c:v>8</c:v>
                </c:pt>
                <c:pt idx="4">
                  <c:v>0</c:v>
                </c:pt>
              </c:numCache>
            </c:numRef>
          </c:xVal>
          <c:yVal>
            <c:numRef>
              <c:f>Sheet1!$J$3:$J$7</c:f>
              <c:numCache>
                <c:formatCode>General</c:formatCode>
                <c:ptCount val="5"/>
                <c:pt idx="0">
                  <c:v>1.55</c:v>
                </c:pt>
                <c:pt idx="1">
                  <c:v>0.91</c:v>
                </c:pt>
                <c:pt idx="2">
                  <c:v>0.41</c:v>
                </c:pt>
                <c:pt idx="3">
                  <c:v>0.4</c:v>
                </c:pt>
                <c:pt idx="4">
                  <c:v>0.18</c:v>
                </c:pt>
              </c:numCache>
            </c:numRef>
          </c:yVal>
          <c:smooth val="0"/>
          <c:extLst>
            <c:ext xmlns:c16="http://schemas.microsoft.com/office/drawing/2014/chart" uri="{C3380CC4-5D6E-409C-BE32-E72D297353CC}">
              <c16:uniqueId val="{00000000-AEB4-403A-8CD7-DDFB009B34A5}"/>
            </c:ext>
          </c:extLst>
        </c:ser>
        <c:dLbls>
          <c:showLegendKey val="0"/>
          <c:showVal val="0"/>
          <c:showCatName val="0"/>
          <c:showSerName val="0"/>
          <c:showPercent val="0"/>
          <c:showBubbleSize val="0"/>
        </c:dLbls>
        <c:axId val="707991224"/>
        <c:axId val="707994104"/>
      </c:scatterChart>
      <c:valAx>
        <c:axId val="707991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94104"/>
        <c:crosses val="autoZero"/>
        <c:crossBetween val="midCat"/>
      </c:valAx>
      <c:valAx>
        <c:axId val="70799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991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333374</xdr:colOff>
      <xdr:row>2</xdr:row>
      <xdr:rowOff>14287</xdr:rowOff>
    </xdr:from>
    <xdr:to>
      <xdr:col>26</xdr:col>
      <xdr:colOff>323849</xdr:colOff>
      <xdr:row>24</xdr:row>
      <xdr:rowOff>9525</xdr:rowOff>
    </xdr:to>
    <xdr:graphicFrame macro="">
      <xdr:nvGraphicFramePr>
        <xdr:cNvPr id="2" name="Chart 1">
          <a:extLst>
            <a:ext uri="{FF2B5EF4-FFF2-40B4-BE49-F238E27FC236}">
              <a16:creationId xmlns:a16="http://schemas.microsoft.com/office/drawing/2014/main" id="{1E179DC4-66D6-8D74-6CE8-59A9674BE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147637</xdr:colOff>
      <xdr:row>24</xdr:row>
      <xdr:rowOff>100012</xdr:rowOff>
    </xdr:from>
    <xdr:to>
      <xdr:col>19</xdr:col>
      <xdr:colOff>452437</xdr:colOff>
      <xdr:row>38</xdr:row>
      <xdr:rowOff>176212</xdr:rowOff>
    </xdr:to>
    <xdr:graphicFrame macro="">
      <xdr:nvGraphicFramePr>
        <xdr:cNvPr id="3" name="Chart 2">
          <a:extLst>
            <a:ext uri="{FF2B5EF4-FFF2-40B4-BE49-F238E27FC236}">
              <a16:creationId xmlns:a16="http://schemas.microsoft.com/office/drawing/2014/main" id="{DF784412-2F21-7207-D135-389DC5691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1C9AA-0CD1-49C3-AC57-DDEBA6153B2F}">
  <dimension ref="A1:K56"/>
  <sheetViews>
    <sheetView tabSelected="1" topLeftCell="A15" workbookViewId="0">
      <selection activeCell="J44" sqref="J44"/>
    </sheetView>
  </sheetViews>
  <sheetFormatPr baseColWidth="10" defaultColWidth="8.83203125" defaultRowHeight="15" x14ac:dyDescent="0.2"/>
  <cols>
    <col min="1" max="1" width="32.5" bestFit="1" customWidth="1"/>
    <col min="9" max="9" width="12.1640625" bestFit="1" customWidth="1"/>
    <col min="10" max="10" width="18.33203125" bestFit="1" customWidth="1"/>
  </cols>
  <sheetData>
    <row r="1" spans="1:11" x14ac:dyDescent="0.2">
      <c r="A1" t="s">
        <v>14</v>
      </c>
      <c r="B1" t="s">
        <v>0</v>
      </c>
      <c r="C1" t="s">
        <v>46</v>
      </c>
      <c r="D1" t="s">
        <v>45</v>
      </c>
      <c r="E1" t="s">
        <v>47</v>
      </c>
      <c r="F1" t="s">
        <v>48</v>
      </c>
      <c r="H1" t="s">
        <v>0</v>
      </c>
      <c r="J1" t="s">
        <v>12</v>
      </c>
    </row>
    <row r="2" spans="1:11" x14ac:dyDescent="0.2">
      <c r="A2" t="s">
        <v>16</v>
      </c>
      <c r="B2">
        <v>8</v>
      </c>
      <c r="C2">
        <v>0.04</v>
      </c>
      <c r="D2">
        <v>250</v>
      </c>
      <c r="E2">
        <f>D2/$D$2</f>
        <v>1</v>
      </c>
      <c r="F2">
        <f>LN(D2)</f>
        <v>5.521460917862246</v>
      </c>
      <c r="H2">
        <v>30</v>
      </c>
      <c r="J2" s="1">
        <f>0.1764*EXP(0.0797*30)</f>
        <v>1.9270664347752595</v>
      </c>
      <c r="K2" t="s">
        <v>13</v>
      </c>
    </row>
    <row r="3" spans="1:11" x14ac:dyDescent="0.2">
      <c r="A3" t="s">
        <v>17</v>
      </c>
      <c r="B3">
        <v>8</v>
      </c>
      <c r="C3">
        <v>0.125</v>
      </c>
      <c r="D3">
        <v>236</v>
      </c>
      <c r="E3">
        <f>D3/$D$2</f>
        <v>0.94399999999999995</v>
      </c>
      <c r="F3">
        <f t="shared" ref="F3:F56" si="0">LN(D3)</f>
        <v>5.4638318050256105</v>
      </c>
      <c r="H3">
        <v>24</v>
      </c>
      <c r="I3">
        <v>-1.55</v>
      </c>
      <c r="J3">
        <f>I3*-1</f>
        <v>1.55</v>
      </c>
    </row>
    <row r="4" spans="1:11" x14ac:dyDescent="0.2">
      <c r="A4" t="s">
        <v>18</v>
      </c>
      <c r="B4">
        <v>8</v>
      </c>
      <c r="C4">
        <v>0.5</v>
      </c>
      <c r="D4">
        <v>159</v>
      </c>
      <c r="E4">
        <f t="shared" ref="E4:E9" si="1">D4/$D$2</f>
        <v>0.63600000000000001</v>
      </c>
      <c r="F4">
        <f t="shared" si="0"/>
        <v>5.0689042022202315</v>
      </c>
      <c r="H4">
        <v>22</v>
      </c>
      <c r="I4">
        <v>-0.91</v>
      </c>
      <c r="J4">
        <f t="shared" ref="J4:J7" si="2">I4*-1</f>
        <v>0.91</v>
      </c>
    </row>
    <row r="5" spans="1:11" x14ac:dyDescent="0.2">
      <c r="A5" t="s">
        <v>19</v>
      </c>
      <c r="B5">
        <v>8</v>
      </c>
      <c r="C5">
        <v>1</v>
      </c>
      <c r="D5">
        <v>160</v>
      </c>
      <c r="E5">
        <f t="shared" si="1"/>
        <v>0.64</v>
      </c>
      <c r="F5">
        <f t="shared" si="0"/>
        <v>5.0751738152338266</v>
      </c>
      <c r="H5">
        <v>15</v>
      </c>
      <c r="I5">
        <v>-0.41</v>
      </c>
      <c r="J5">
        <f t="shared" si="2"/>
        <v>0.41</v>
      </c>
    </row>
    <row r="6" spans="1:11" x14ac:dyDescent="0.2">
      <c r="A6" t="s">
        <v>20</v>
      </c>
      <c r="B6">
        <v>8</v>
      </c>
      <c r="C6">
        <v>2</v>
      </c>
      <c r="D6">
        <v>81</v>
      </c>
      <c r="E6">
        <f t="shared" si="1"/>
        <v>0.32400000000000001</v>
      </c>
      <c r="F6">
        <f t="shared" si="0"/>
        <v>4.3944491546724391</v>
      </c>
      <c r="H6">
        <v>8</v>
      </c>
      <c r="I6">
        <v>-0.4</v>
      </c>
      <c r="J6">
        <f t="shared" si="2"/>
        <v>0.4</v>
      </c>
    </row>
    <row r="7" spans="1:11" x14ac:dyDescent="0.2">
      <c r="A7" t="s">
        <v>21</v>
      </c>
      <c r="B7">
        <v>8</v>
      </c>
      <c r="C7">
        <v>3</v>
      </c>
      <c r="D7">
        <v>65</v>
      </c>
      <c r="E7">
        <f t="shared" si="1"/>
        <v>0.26</v>
      </c>
      <c r="F7">
        <f t="shared" si="0"/>
        <v>4.1743872698956368</v>
      </c>
      <c r="H7">
        <v>0</v>
      </c>
      <c r="I7">
        <v>-0.18</v>
      </c>
      <c r="J7">
        <f t="shared" si="2"/>
        <v>0.18</v>
      </c>
    </row>
    <row r="8" spans="1:11" x14ac:dyDescent="0.2">
      <c r="A8" t="s">
        <v>22</v>
      </c>
      <c r="B8">
        <v>8</v>
      </c>
      <c r="C8">
        <v>5</v>
      </c>
      <c r="D8">
        <v>31</v>
      </c>
      <c r="E8">
        <f t="shared" si="1"/>
        <v>0.124</v>
      </c>
      <c r="F8">
        <f t="shared" si="0"/>
        <v>3.4339872044851463</v>
      </c>
    </row>
    <row r="9" spans="1:11" x14ac:dyDescent="0.2">
      <c r="A9" t="s">
        <v>23</v>
      </c>
      <c r="B9">
        <v>8</v>
      </c>
      <c r="C9">
        <v>7</v>
      </c>
      <c r="D9">
        <v>15</v>
      </c>
      <c r="E9">
        <f t="shared" si="1"/>
        <v>0.06</v>
      </c>
      <c r="F9">
        <f t="shared" si="0"/>
        <v>2.7080502011022101</v>
      </c>
    </row>
    <row r="10" spans="1:11" x14ac:dyDescent="0.2">
      <c r="A10" t="s">
        <v>24</v>
      </c>
      <c r="B10">
        <v>22</v>
      </c>
      <c r="C10">
        <v>0.04</v>
      </c>
      <c r="D10">
        <v>250</v>
      </c>
      <c r="E10">
        <f t="shared" ref="E10:E21" si="3">D10/$D$10</f>
        <v>1</v>
      </c>
      <c r="F10">
        <f t="shared" si="0"/>
        <v>5.521460917862246</v>
      </c>
    </row>
    <row r="11" spans="1:11" x14ac:dyDescent="0.2">
      <c r="A11" t="s">
        <v>25</v>
      </c>
      <c r="B11">
        <v>22</v>
      </c>
      <c r="C11">
        <v>0.125</v>
      </c>
      <c r="D11">
        <v>182</v>
      </c>
      <c r="E11">
        <f t="shared" si="3"/>
        <v>0.72799999999999998</v>
      </c>
      <c r="F11">
        <f t="shared" si="0"/>
        <v>5.2040066870767951</v>
      </c>
    </row>
    <row r="12" spans="1:11" x14ac:dyDescent="0.2">
      <c r="A12" t="s">
        <v>26</v>
      </c>
      <c r="B12">
        <v>22</v>
      </c>
      <c r="C12">
        <v>0.25</v>
      </c>
      <c r="D12">
        <v>127</v>
      </c>
      <c r="E12">
        <f t="shared" si="3"/>
        <v>0.50800000000000001</v>
      </c>
      <c r="F12">
        <f t="shared" si="0"/>
        <v>4.8441870864585912</v>
      </c>
    </row>
    <row r="13" spans="1:11" x14ac:dyDescent="0.2">
      <c r="A13" t="s">
        <v>27</v>
      </c>
      <c r="B13">
        <v>22</v>
      </c>
      <c r="C13">
        <v>0.5</v>
      </c>
      <c r="D13">
        <v>122</v>
      </c>
      <c r="E13">
        <f t="shared" si="3"/>
        <v>0.48799999999999999</v>
      </c>
      <c r="F13">
        <f t="shared" si="0"/>
        <v>4.8040210447332568</v>
      </c>
    </row>
    <row r="14" spans="1:11" x14ac:dyDescent="0.2">
      <c r="A14" t="s">
        <v>28</v>
      </c>
      <c r="B14">
        <v>22</v>
      </c>
      <c r="C14">
        <v>0.75</v>
      </c>
      <c r="D14">
        <v>90</v>
      </c>
      <c r="E14">
        <f t="shared" si="3"/>
        <v>0.36</v>
      </c>
      <c r="F14">
        <f t="shared" si="0"/>
        <v>4.499809670330265</v>
      </c>
      <c r="H14" t="s">
        <v>1</v>
      </c>
      <c r="I14">
        <v>5</v>
      </c>
    </row>
    <row r="15" spans="1:11" x14ac:dyDescent="0.2">
      <c r="A15" t="s">
        <v>29</v>
      </c>
      <c r="B15">
        <v>22</v>
      </c>
      <c r="C15">
        <v>1</v>
      </c>
      <c r="D15">
        <v>92</v>
      </c>
      <c r="E15">
        <f t="shared" si="3"/>
        <v>0.36799999999999999</v>
      </c>
      <c r="F15">
        <f t="shared" si="0"/>
        <v>4.5217885770490405</v>
      </c>
      <c r="H15" t="s">
        <v>2</v>
      </c>
      <c r="I15">
        <v>1.5</v>
      </c>
    </row>
    <row r="16" spans="1:11" x14ac:dyDescent="0.2">
      <c r="A16" t="s">
        <v>30</v>
      </c>
      <c r="B16">
        <v>22</v>
      </c>
      <c r="C16">
        <v>1.5</v>
      </c>
      <c r="D16">
        <v>52</v>
      </c>
      <c r="E16">
        <f t="shared" si="3"/>
        <v>0.20799999999999999</v>
      </c>
      <c r="F16">
        <f t="shared" si="0"/>
        <v>3.9512437185814275</v>
      </c>
      <c r="H16" t="s">
        <v>3</v>
      </c>
      <c r="I16">
        <v>90</v>
      </c>
    </row>
    <row r="17" spans="1:10" x14ac:dyDescent="0.2">
      <c r="A17" t="s">
        <v>31</v>
      </c>
      <c r="B17">
        <v>22</v>
      </c>
      <c r="C17">
        <v>2</v>
      </c>
      <c r="D17">
        <v>43</v>
      </c>
      <c r="E17">
        <f t="shared" si="3"/>
        <v>0.17199999999999999</v>
      </c>
      <c r="F17">
        <f t="shared" si="0"/>
        <v>3.7612001156935624</v>
      </c>
      <c r="H17" t="s">
        <v>4</v>
      </c>
      <c r="I17">
        <f>I14*I15*I16/2</f>
        <v>337.5</v>
      </c>
    </row>
    <row r="18" spans="1:10" x14ac:dyDescent="0.2">
      <c r="A18" t="s">
        <v>32</v>
      </c>
      <c r="B18">
        <v>22</v>
      </c>
      <c r="C18">
        <v>3</v>
      </c>
      <c r="D18">
        <v>15</v>
      </c>
      <c r="E18">
        <f t="shared" si="3"/>
        <v>0.06</v>
      </c>
      <c r="F18">
        <f t="shared" si="0"/>
        <v>2.7080502011022101</v>
      </c>
      <c r="H18" t="s">
        <v>6</v>
      </c>
      <c r="I18">
        <v>1000</v>
      </c>
    </row>
    <row r="19" spans="1:10" x14ac:dyDescent="0.2">
      <c r="A19" t="s">
        <v>33</v>
      </c>
      <c r="B19">
        <v>22</v>
      </c>
      <c r="C19">
        <v>4</v>
      </c>
      <c r="D19">
        <v>2</v>
      </c>
      <c r="E19">
        <f t="shared" si="3"/>
        <v>8.0000000000000002E-3</v>
      </c>
      <c r="F19">
        <f t="shared" si="0"/>
        <v>0.69314718055994529</v>
      </c>
      <c r="H19" t="s">
        <v>5</v>
      </c>
      <c r="I19">
        <f>I17*I18</f>
        <v>337500</v>
      </c>
    </row>
    <row r="20" spans="1:10" x14ac:dyDescent="0.2">
      <c r="A20" t="s">
        <v>34</v>
      </c>
      <c r="B20">
        <v>22</v>
      </c>
      <c r="C20">
        <v>5</v>
      </c>
      <c r="D20">
        <v>2</v>
      </c>
      <c r="E20">
        <f t="shared" si="3"/>
        <v>8.0000000000000002E-3</v>
      </c>
      <c r="F20">
        <f t="shared" si="0"/>
        <v>0.69314718055994529</v>
      </c>
      <c r="H20" t="s">
        <v>8</v>
      </c>
      <c r="I20">
        <v>25</v>
      </c>
      <c r="J20" t="s">
        <v>51</v>
      </c>
    </row>
    <row r="21" spans="1:10" x14ac:dyDescent="0.2">
      <c r="A21" t="s">
        <v>35</v>
      </c>
      <c r="B21">
        <v>22</v>
      </c>
      <c r="C21">
        <v>7</v>
      </c>
      <c r="D21">
        <v>0.5</v>
      </c>
      <c r="E21">
        <f t="shared" si="3"/>
        <v>2E-3</v>
      </c>
      <c r="F21">
        <f t="shared" si="0"/>
        <v>-0.69314718055994529</v>
      </c>
      <c r="H21" t="s">
        <v>9</v>
      </c>
      <c r="I21">
        <f>I20*1000</f>
        <v>25000</v>
      </c>
    </row>
    <row r="22" spans="1:10" x14ac:dyDescent="0.2">
      <c r="A22" t="s">
        <v>36</v>
      </c>
      <c r="B22">
        <v>15</v>
      </c>
      <c r="C22">
        <v>0.04</v>
      </c>
      <c r="D22">
        <v>250</v>
      </c>
      <c r="E22">
        <f t="shared" ref="E22:E30" si="4">D22/$D$22</f>
        <v>1</v>
      </c>
      <c r="F22">
        <f t="shared" si="0"/>
        <v>5.521460917862246</v>
      </c>
      <c r="H22" t="s">
        <v>7</v>
      </c>
      <c r="I22">
        <f>I21/I19</f>
        <v>7.407407407407407E-2</v>
      </c>
    </row>
    <row r="23" spans="1:10" x14ac:dyDescent="0.2">
      <c r="A23" t="s">
        <v>37</v>
      </c>
      <c r="B23">
        <v>15</v>
      </c>
      <c r="C23">
        <v>0.125</v>
      </c>
      <c r="D23">
        <v>185</v>
      </c>
      <c r="E23">
        <f t="shared" si="4"/>
        <v>0.74</v>
      </c>
      <c r="F23">
        <f t="shared" si="0"/>
        <v>5.2203558250783244</v>
      </c>
      <c r="H23" t="s">
        <v>10</v>
      </c>
      <c r="I23">
        <f>I22*1000</f>
        <v>74.074074074074076</v>
      </c>
    </row>
    <row r="24" spans="1:10" x14ac:dyDescent="0.2">
      <c r="A24" t="s">
        <v>38</v>
      </c>
      <c r="B24">
        <v>15</v>
      </c>
      <c r="C24">
        <v>1</v>
      </c>
      <c r="D24">
        <v>68</v>
      </c>
      <c r="E24">
        <f t="shared" si="4"/>
        <v>0.27200000000000002</v>
      </c>
      <c r="F24">
        <f t="shared" si="0"/>
        <v>4.219507705176107</v>
      </c>
      <c r="H24" t="s">
        <v>11</v>
      </c>
      <c r="I24">
        <v>0.5</v>
      </c>
    </row>
    <row r="25" spans="1:10" x14ac:dyDescent="0.2">
      <c r="A25" t="s">
        <v>39</v>
      </c>
      <c r="B25">
        <v>15</v>
      </c>
      <c r="C25">
        <v>2</v>
      </c>
      <c r="D25">
        <v>39</v>
      </c>
      <c r="E25">
        <f t="shared" si="4"/>
        <v>0.156</v>
      </c>
      <c r="F25">
        <f t="shared" si="0"/>
        <v>3.6635616461296463</v>
      </c>
      <c r="H25" t="s">
        <v>49</v>
      </c>
      <c r="I25">
        <f>I23*I24</f>
        <v>37.037037037037038</v>
      </c>
    </row>
    <row r="26" spans="1:10" x14ac:dyDescent="0.2">
      <c r="A26" t="s">
        <v>40</v>
      </c>
      <c r="B26">
        <v>15</v>
      </c>
      <c r="C26">
        <v>3</v>
      </c>
      <c r="D26">
        <v>36</v>
      </c>
      <c r="E26">
        <f t="shared" si="4"/>
        <v>0.14399999999999999</v>
      </c>
      <c r="F26">
        <f t="shared" si="0"/>
        <v>3.5835189384561099</v>
      </c>
      <c r="H26" t="s">
        <v>50</v>
      </c>
      <c r="I26" s="1">
        <f>I25*EXP(-1.92)</f>
        <v>5.4298874863092648</v>
      </c>
    </row>
    <row r="27" spans="1:10" x14ac:dyDescent="0.2">
      <c r="A27" t="s">
        <v>41</v>
      </c>
      <c r="B27">
        <v>15</v>
      </c>
      <c r="C27">
        <v>4</v>
      </c>
      <c r="D27">
        <v>22</v>
      </c>
      <c r="E27">
        <f t="shared" si="4"/>
        <v>8.7999999999999995E-2</v>
      </c>
      <c r="F27">
        <f t="shared" si="0"/>
        <v>3.0910424533583161</v>
      </c>
    </row>
    <row r="28" spans="1:10" x14ac:dyDescent="0.2">
      <c r="A28" t="s">
        <v>42</v>
      </c>
      <c r="B28">
        <v>15</v>
      </c>
      <c r="C28">
        <v>5</v>
      </c>
      <c r="D28">
        <v>13</v>
      </c>
      <c r="E28">
        <f t="shared" si="4"/>
        <v>5.1999999999999998E-2</v>
      </c>
      <c r="F28">
        <f t="shared" si="0"/>
        <v>2.5649493574615367</v>
      </c>
      <c r="J28">
        <v>1.2322</v>
      </c>
    </row>
    <row r="29" spans="1:10" x14ac:dyDescent="0.2">
      <c r="A29" t="s">
        <v>43</v>
      </c>
      <c r="B29">
        <v>15</v>
      </c>
      <c r="C29">
        <v>7</v>
      </c>
      <c r="D29">
        <v>8</v>
      </c>
      <c r="E29">
        <f t="shared" si="4"/>
        <v>3.2000000000000001E-2</v>
      </c>
      <c r="F29">
        <f t="shared" si="0"/>
        <v>2.0794415416798357</v>
      </c>
      <c r="J29">
        <v>-1.5449999999999999</v>
      </c>
    </row>
    <row r="30" spans="1:10" x14ac:dyDescent="0.2">
      <c r="A30" t="s">
        <v>44</v>
      </c>
      <c r="B30">
        <v>15</v>
      </c>
      <c r="C30">
        <v>10</v>
      </c>
      <c r="D30">
        <v>3</v>
      </c>
      <c r="E30">
        <f t="shared" si="4"/>
        <v>1.2E-2</v>
      </c>
      <c r="F30">
        <f t="shared" si="0"/>
        <v>1.0986122886681098</v>
      </c>
    </row>
    <row r="31" spans="1:10" x14ac:dyDescent="0.2">
      <c r="A31" t="s">
        <v>15</v>
      </c>
      <c r="B31">
        <v>0</v>
      </c>
      <c r="C31">
        <f>1/24</f>
        <v>4.1666666666666664E-2</v>
      </c>
      <c r="D31">
        <v>111</v>
      </c>
      <c r="E31">
        <f>D31/$D$31</f>
        <v>1</v>
      </c>
      <c r="F31">
        <f t="shared" si="0"/>
        <v>4.7095302013123339</v>
      </c>
    </row>
    <row r="32" spans="1:10" x14ac:dyDescent="0.2">
      <c r="A32" t="s">
        <v>15</v>
      </c>
      <c r="B32">
        <v>0</v>
      </c>
      <c r="C32">
        <f>3/24</f>
        <v>0.125</v>
      </c>
      <c r="D32">
        <v>125</v>
      </c>
      <c r="E32">
        <f t="shared" ref="E32:E47" si="5">D32/$D$31</f>
        <v>1.1261261261261262</v>
      </c>
      <c r="F32">
        <f t="shared" si="0"/>
        <v>4.8283137373023015</v>
      </c>
    </row>
    <row r="33" spans="1:10" x14ac:dyDescent="0.2">
      <c r="A33" t="s">
        <v>15</v>
      </c>
      <c r="B33">
        <v>0</v>
      </c>
      <c r="C33">
        <f>6/24</f>
        <v>0.25</v>
      </c>
      <c r="D33">
        <v>101</v>
      </c>
      <c r="E33">
        <f t="shared" si="5"/>
        <v>0.90990990990990994</v>
      </c>
      <c r="F33">
        <f t="shared" si="0"/>
        <v>4.6151205168412597</v>
      </c>
    </row>
    <row r="34" spans="1:10" x14ac:dyDescent="0.2">
      <c r="A34" t="s">
        <v>15</v>
      </c>
      <c r="B34">
        <v>0</v>
      </c>
      <c r="C34">
        <f>12/24</f>
        <v>0.5</v>
      </c>
      <c r="D34">
        <v>92</v>
      </c>
      <c r="E34">
        <f t="shared" si="5"/>
        <v>0.8288288288288288</v>
      </c>
      <c r="F34">
        <f t="shared" si="0"/>
        <v>4.5217885770490405</v>
      </c>
    </row>
    <row r="35" spans="1:10" x14ac:dyDescent="0.2">
      <c r="A35" t="s">
        <v>15</v>
      </c>
      <c r="B35">
        <v>0</v>
      </c>
      <c r="C35">
        <f>1</f>
        <v>1</v>
      </c>
      <c r="D35">
        <v>90</v>
      </c>
      <c r="E35">
        <f t="shared" si="5"/>
        <v>0.81081081081081086</v>
      </c>
      <c r="F35">
        <f t="shared" si="0"/>
        <v>4.499809670330265</v>
      </c>
    </row>
    <row r="36" spans="1:10" x14ac:dyDescent="0.2">
      <c r="A36" t="s">
        <v>15</v>
      </c>
      <c r="B36">
        <v>0</v>
      </c>
      <c r="C36">
        <f>48/24</f>
        <v>2</v>
      </c>
      <c r="D36">
        <v>72</v>
      </c>
      <c r="E36">
        <f t="shared" si="5"/>
        <v>0.64864864864864868</v>
      </c>
      <c r="F36">
        <f t="shared" si="0"/>
        <v>4.2766661190160553</v>
      </c>
    </row>
    <row r="37" spans="1:10" x14ac:dyDescent="0.2">
      <c r="A37" t="s">
        <v>15</v>
      </c>
      <c r="B37">
        <v>0</v>
      </c>
      <c r="C37">
        <f>72/24</f>
        <v>3</v>
      </c>
      <c r="D37">
        <v>75</v>
      </c>
      <c r="E37">
        <f t="shared" si="5"/>
        <v>0.67567567567567566</v>
      </c>
      <c r="F37">
        <f t="shared" si="0"/>
        <v>4.3174881135363101</v>
      </c>
    </row>
    <row r="38" spans="1:10" x14ac:dyDescent="0.2">
      <c r="A38" t="s">
        <v>15</v>
      </c>
      <c r="B38">
        <v>0</v>
      </c>
      <c r="C38">
        <v>4</v>
      </c>
      <c r="D38">
        <v>60</v>
      </c>
      <c r="E38">
        <f t="shared" si="5"/>
        <v>0.54054054054054057</v>
      </c>
      <c r="F38">
        <f t="shared" si="0"/>
        <v>4.0943445622221004</v>
      </c>
    </row>
    <row r="39" spans="1:10" x14ac:dyDescent="0.2">
      <c r="A39" t="s">
        <v>15</v>
      </c>
      <c r="B39">
        <v>0</v>
      </c>
      <c r="C39">
        <v>5</v>
      </c>
      <c r="D39">
        <v>54</v>
      </c>
      <c r="E39">
        <f t="shared" si="5"/>
        <v>0.48648648648648651</v>
      </c>
      <c r="F39">
        <f t="shared" si="0"/>
        <v>3.9889840465642745</v>
      </c>
    </row>
    <row r="40" spans="1:10" x14ac:dyDescent="0.2">
      <c r="A40" t="s">
        <v>15</v>
      </c>
      <c r="B40">
        <v>0</v>
      </c>
      <c r="C40">
        <v>6</v>
      </c>
      <c r="D40">
        <v>39</v>
      </c>
      <c r="E40">
        <f t="shared" si="5"/>
        <v>0.35135135135135137</v>
      </c>
      <c r="F40">
        <f t="shared" si="0"/>
        <v>3.6635616461296463</v>
      </c>
    </row>
    <row r="41" spans="1:10" ht="20" x14ac:dyDescent="0.25">
      <c r="A41" t="s">
        <v>15</v>
      </c>
      <c r="B41">
        <v>0</v>
      </c>
      <c r="C41">
        <v>7</v>
      </c>
      <c r="D41">
        <v>35</v>
      </c>
      <c r="E41">
        <f t="shared" si="5"/>
        <v>0.31531531531531531</v>
      </c>
      <c r="F41">
        <f t="shared" si="0"/>
        <v>3.5553480614894135</v>
      </c>
      <c r="J41" s="2" t="s">
        <v>52</v>
      </c>
    </row>
    <row r="42" spans="1:10" x14ac:dyDescent="0.2">
      <c r="A42" t="s">
        <v>15</v>
      </c>
      <c r="B42">
        <v>0</v>
      </c>
      <c r="C42">
        <v>9</v>
      </c>
      <c r="D42">
        <v>32</v>
      </c>
      <c r="E42">
        <f t="shared" si="5"/>
        <v>0.28828828828828829</v>
      </c>
      <c r="F42">
        <f t="shared" si="0"/>
        <v>3.4657359027997265</v>
      </c>
    </row>
    <row r="43" spans="1:10" ht="20" x14ac:dyDescent="0.25">
      <c r="A43" t="s">
        <v>15</v>
      </c>
      <c r="B43">
        <v>0</v>
      </c>
      <c r="C43">
        <v>10</v>
      </c>
      <c r="D43">
        <v>26</v>
      </c>
      <c r="E43">
        <f t="shared" si="5"/>
        <v>0.23423423423423423</v>
      </c>
      <c r="F43">
        <f t="shared" si="0"/>
        <v>3.2580965380214821</v>
      </c>
      <c r="J43" s="2" t="s">
        <v>53</v>
      </c>
    </row>
    <row r="44" spans="1:10" x14ac:dyDescent="0.2">
      <c r="A44" t="s">
        <v>15</v>
      </c>
      <c r="B44">
        <v>0</v>
      </c>
      <c r="C44">
        <v>11</v>
      </c>
      <c r="D44">
        <v>23</v>
      </c>
      <c r="E44">
        <f t="shared" si="5"/>
        <v>0.2072072072072072</v>
      </c>
      <c r="F44">
        <f t="shared" si="0"/>
        <v>3.1354942159291497</v>
      </c>
    </row>
    <row r="45" spans="1:10" x14ac:dyDescent="0.2">
      <c r="A45" t="s">
        <v>15</v>
      </c>
      <c r="B45">
        <v>0</v>
      </c>
      <c r="C45">
        <v>14</v>
      </c>
      <c r="D45">
        <v>6</v>
      </c>
      <c r="E45">
        <f t="shared" si="5"/>
        <v>5.4054054054054057E-2</v>
      </c>
      <c r="F45">
        <f t="shared" si="0"/>
        <v>1.791759469228055</v>
      </c>
    </row>
    <row r="46" spans="1:10" x14ac:dyDescent="0.2">
      <c r="A46" t="s">
        <v>15</v>
      </c>
      <c r="B46">
        <v>0</v>
      </c>
      <c r="C46">
        <v>15</v>
      </c>
      <c r="D46">
        <v>9</v>
      </c>
      <c r="E46">
        <f t="shared" si="5"/>
        <v>8.1081081081081086E-2</v>
      </c>
      <c r="F46">
        <f t="shared" si="0"/>
        <v>2.1972245773362196</v>
      </c>
    </row>
    <row r="47" spans="1:10" x14ac:dyDescent="0.2">
      <c r="A47" t="s">
        <v>15</v>
      </c>
      <c r="B47">
        <v>0</v>
      </c>
      <c r="C47">
        <v>16</v>
      </c>
      <c r="D47">
        <v>4</v>
      </c>
      <c r="E47">
        <f t="shared" si="5"/>
        <v>3.6036036036036036E-2</v>
      </c>
      <c r="F47">
        <f t="shared" si="0"/>
        <v>1.3862943611198906</v>
      </c>
    </row>
    <row r="48" spans="1:10" x14ac:dyDescent="0.2">
      <c r="A48" t="s">
        <v>15</v>
      </c>
      <c r="B48">
        <v>24</v>
      </c>
      <c r="C48">
        <f>1/24</f>
        <v>4.1666666666666664E-2</v>
      </c>
      <c r="D48">
        <v>160</v>
      </c>
      <c r="E48">
        <f>D48/$D$48</f>
        <v>1</v>
      </c>
      <c r="F48">
        <f>LN(D48)</f>
        <v>5.0751738152338266</v>
      </c>
    </row>
    <row r="49" spans="1:6" x14ac:dyDescent="0.2">
      <c r="A49" t="s">
        <v>15</v>
      </c>
      <c r="B49">
        <v>24</v>
      </c>
      <c r="C49">
        <f>3/24</f>
        <v>0.125</v>
      </c>
      <c r="D49">
        <v>157</v>
      </c>
      <c r="E49">
        <f t="shared" ref="E49:E56" si="6">D49/$D$48</f>
        <v>0.98124999999999996</v>
      </c>
      <c r="F49">
        <f t="shared" si="0"/>
        <v>5.0562458053483077</v>
      </c>
    </row>
    <row r="50" spans="1:6" x14ac:dyDescent="0.2">
      <c r="A50" t="s">
        <v>15</v>
      </c>
      <c r="B50">
        <v>24</v>
      </c>
      <c r="C50">
        <f>6/24</f>
        <v>0.25</v>
      </c>
      <c r="D50">
        <v>137</v>
      </c>
      <c r="E50">
        <f t="shared" si="6"/>
        <v>0.85624999999999996</v>
      </c>
      <c r="F50">
        <f t="shared" si="0"/>
        <v>4.9199809258281251</v>
      </c>
    </row>
    <row r="51" spans="1:6" x14ac:dyDescent="0.2">
      <c r="A51" t="s">
        <v>15</v>
      </c>
      <c r="B51">
        <v>24</v>
      </c>
      <c r="C51">
        <f>12/24</f>
        <v>0.5</v>
      </c>
      <c r="D51">
        <v>67</v>
      </c>
      <c r="E51">
        <f t="shared" si="6"/>
        <v>0.41875000000000001</v>
      </c>
      <c r="F51">
        <f t="shared" si="0"/>
        <v>4.2046926193909657</v>
      </c>
    </row>
    <row r="52" spans="1:6" x14ac:dyDescent="0.2">
      <c r="A52" t="s">
        <v>15</v>
      </c>
      <c r="B52">
        <v>24</v>
      </c>
      <c r="C52">
        <f>1</f>
        <v>1</v>
      </c>
      <c r="D52">
        <v>40</v>
      </c>
      <c r="E52">
        <f t="shared" si="6"/>
        <v>0.25</v>
      </c>
      <c r="F52">
        <f t="shared" si="0"/>
        <v>3.6888794541139363</v>
      </c>
    </row>
    <row r="53" spans="1:6" x14ac:dyDescent="0.2">
      <c r="A53" t="s">
        <v>15</v>
      </c>
      <c r="B53">
        <v>24</v>
      </c>
      <c r="C53">
        <f>30/24</f>
        <v>1.25</v>
      </c>
      <c r="D53">
        <v>33</v>
      </c>
      <c r="E53">
        <f t="shared" si="6"/>
        <v>0.20624999999999999</v>
      </c>
      <c r="F53">
        <f t="shared" si="0"/>
        <v>3.4965075614664802</v>
      </c>
    </row>
    <row r="54" spans="1:6" x14ac:dyDescent="0.2">
      <c r="A54" t="s">
        <v>15</v>
      </c>
      <c r="B54">
        <v>24</v>
      </c>
      <c r="C54">
        <f>36/24</f>
        <v>1.5</v>
      </c>
      <c r="D54">
        <v>22</v>
      </c>
      <c r="E54">
        <f t="shared" si="6"/>
        <v>0.13750000000000001</v>
      </c>
      <c r="F54">
        <f t="shared" si="0"/>
        <v>3.0910424533583161</v>
      </c>
    </row>
    <row r="55" spans="1:6" x14ac:dyDescent="0.2">
      <c r="A55" t="s">
        <v>15</v>
      </c>
      <c r="B55">
        <v>24</v>
      </c>
      <c r="C55">
        <f>48/24</f>
        <v>2</v>
      </c>
      <c r="D55">
        <v>22</v>
      </c>
      <c r="E55">
        <f t="shared" si="6"/>
        <v>0.13750000000000001</v>
      </c>
      <c r="F55">
        <f t="shared" si="0"/>
        <v>3.0910424533583161</v>
      </c>
    </row>
    <row r="56" spans="1:6" x14ac:dyDescent="0.2">
      <c r="A56" t="s">
        <v>15</v>
      </c>
      <c r="B56">
        <v>24</v>
      </c>
      <c r="C56">
        <f>72/24</f>
        <v>3</v>
      </c>
      <c r="D56">
        <v>1</v>
      </c>
      <c r="E56">
        <f t="shared" si="6"/>
        <v>6.2500000000000003E-3</v>
      </c>
      <c r="F56">
        <f t="shared" si="0"/>
        <v>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Catalano</dc:creator>
  <cp:lastModifiedBy>Reviewer</cp:lastModifiedBy>
  <dcterms:created xsi:type="dcterms:W3CDTF">2023-08-31T14:36:09Z</dcterms:created>
  <dcterms:modified xsi:type="dcterms:W3CDTF">2023-09-05T13:15:47Z</dcterms:modified>
</cp:coreProperties>
</file>