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
    </mc:Choice>
  </mc:AlternateContent>
  <xr:revisionPtr revIDLastSave="0" documentId="13_ncr:1_{9C6C340F-1CFA-4171-85EC-0373FC226164}" xr6:coauthVersionLast="47" xr6:coauthVersionMax="47" xr10:uidLastSave="{00000000-0000-0000-0000-000000000000}"/>
  <bookViews>
    <workbookView xWindow="-96" yWindow="-96" windowWidth="23232" windowHeight="12552" tabRatio="920" firstSheet="7" activeTab="8" xr2:uid="{00000000-000D-0000-FFFF-FFFF00000000}"/>
  </bookViews>
  <sheets>
    <sheet name="Directory" sheetId="4" r:id="rId1"/>
    <sheet name="Heroin and Rx Price" sheetId="27" r:id="rId2"/>
    <sheet name="Buprenorphine IQVIA" sheetId="8" r:id="rId3"/>
    <sheet name="Buprenorphine Capacity" sheetId="9" r:id="rId4"/>
    <sheet name="Methadone NSSATS" sheetId="23" r:id="rId5"/>
    <sheet name="Vivitrol IQVIA" sheetId="22" r:id="rId6"/>
    <sheet name="Nx kits HR + IQVIA" sheetId="25" r:id="rId7"/>
    <sheet name="Fentanyl NFLIS" sheetId="24" r:id="rId8"/>
    <sheet name="Opioid Rx Data IQVIA SH" sheetId="2" r:id="rId9"/>
    <sheet name="Opioid Fatal ODs NVSS" sheetId="3" r:id="rId10"/>
    <sheet name="Initiation Data" sheetId="18" r:id="rId11"/>
    <sheet name="NSDUH OUD HUD estimates" sheetId="19" r:id="rId12"/>
    <sheet name="RAND Adjusted Estimates" sheetId="20" r:id="rId13"/>
    <sheet name="Projections using 2020" sheetId="29" r:id="rId14"/>
    <sheet name="Projections using 2019" sheetId="31" r:id="rId15"/>
  </sheets>
  <externalReferences>
    <externalReference r:id="rId16"/>
  </externalReferences>
  <definedNames>
    <definedName name="_xlnm._FilterDatabase" localSheetId="6" hidden="1">'[1]LEO Nx estimates'!$A$30:$U$35</definedName>
    <definedName name="test">#REF!</definedName>
  </definedNames>
  <calcPr calcId="181029"/>
</workbook>
</file>

<file path=xl/calcChain.xml><?xml version="1.0" encoding="utf-8"?>
<calcChain xmlns="http://schemas.openxmlformats.org/spreadsheetml/2006/main">
  <c r="C57" i="29" l="1"/>
  <c r="D57" i="29"/>
  <c r="E57" i="29"/>
  <c r="F57" i="29"/>
  <c r="G57" i="29"/>
  <c r="H57" i="29"/>
  <c r="I57" i="29"/>
  <c r="J57" i="29"/>
  <c r="K57" i="29"/>
  <c r="L57" i="29"/>
  <c r="M57" i="29"/>
  <c r="N57" i="29"/>
  <c r="O57" i="29"/>
  <c r="P57" i="29"/>
  <c r="Q57" i="29"/>
  <c r="R57" i="29"/>
  <c r="S57" i="29"/>
  <c r="T57" i="29"/>
  <c r="U57" i="29"/>
  <c r="V57" i="29"/>
  <c r="W57" i="29"/>
  <c r="X57" i="29"/>
  <c r="Y57" i="29"/>
  <c r="Z57" i="29"/>
  <c r="AA57" i="29"/>
  <c r="AB57" i="29"/>
  <c r="AC57" i="29"/>
  <c r="AD57" i="29"/>
  <c r="AE57" i="29"/>
  <c r="AF57" i="29"/>
  <c r="AG57" i="29"/>
  <c r="AH57" i="29"/>
  <c r="B57" i="29"/>
  <c r="W72" i="31" l="1"/>
  <c r="W75" i="31"/>
  <c r="W65" i="31"/>
  <c r="AH58" i="31"/>
  <c r="X58" i="31"/>
  <c r="Y58" i="31"/>
  <c r="Z58" i="31"/>
  <c r="AA58" i="31"/>
  <c r="AB58" i="31"/>
  <c r="AC58" i="31"/>
  <c r="AD58" i="31"/>
  <c r="AE58" i="31"/>
  <c r="AF58" i="31"/>
  <c r="AG58" i="31"/>
  <c r="W58" i="31"/>
  <c r="X49" i="31"/>
  <c r="Y49" i="31"/>
  <c r="Z49" i="31"/>
  <c r="AA49" i="31"/>
  <c r="AB49" i="31"/>
  <c r="AC49" i="31"/>
  <c r="AD49" i="31"/>
  <c r="AE49" i="31"/>
  <c r="AF49" i="31"/>
  <c r="AG49" i="31"/>
  <c r="AH49" i="31"/>
  <c r="W49" i="31"/>
  <c r="W68" i="31"/>
  <c r="X65" i="31" s="1"/>
  <c r="W61" i="31"/>
  <c r="W52" i="31"/>
  <c r="W38" i="31"/>
  <c r="W35" i="31" s="1"/>
  <c r="W6" i="31"/>
  <c r="W9" i="31"/>
  <c r="AH72" i="31"/>
  <c r="AG72" i="31"/>
  <c r="AF72" i="31"/>
  <c r="AE72" i="31"/>
  <c r="AD72" i="31"/>
  <c r="AC72" i="31"/>
  <c r="AB72" i="31"/>
  <c r="AA72" i="31"/>
  <c r="Z72" i="31"/>
  <c r="Y72" i="31"/>
  <c r="X72" i="31"/>
  <c r="V72" i="31"/>
  <c r="U72" i="31"/>
  <c r="T72" i="31"/>
  <c r="S72" i="31"/>
  <c r="R72" i="31"/>
  <c r="Q72" i="31"/>
  <c r="P72" i="31"/>
  <c r="O72" i="31"/>
  <c r="N72" i="31"/>
  <c r="M72" i="31"/>
  <c r="L72" i="31"/>
  <c r="K72" i="31"/>
  <c r="J72" i="31"/>
  <c r="I72" i="31"/>
  <c r="H72" i="31"/>
  <c r="G72" i="31"/>
  <c r="F72" i="31"/>
  <c r="E72" i="31"/>
  <c r="D72" i="31"/>
  <c r="C72" i="31"/>
  <c r="B72" i="31"/>
  <c r="AH65" i="31"/>
  <c r="AG65" i="31"/>
  <c r="AF65" i="31"/>
  <c r="AE65" i="31"/>
  <c r="AD65" i="31"/>
  <c r="AC65" i="31"/>
  <c r="AB65" i="31"/>
  <c r="AA65" i="31"/>
  <c r="Z65" i="31"/>
  <c r="Y65" i="31"/>
  <c r="V65" i="31"/>
  <c r="U65" i="31"/>
  <c r="T65" i="31"/>
  <c r="S65" i="31"/>
  <c r="R65" i="31"/>
  <c r="Q65" i="31"/>
  <c r="P65" i="31"/>
  <c r="O65" i="31"/>
  <c r="N65" i="31"/>
  <c r="M65" i="31"/>
  <c r="L65" i="31"/>
  <c r="K65" i="31"/>
  <c r="J65" i="31"/>
  <c r="I65" i="31"/>
  <c r="H65" i="31"/>
  <c r="G65" i="31"/>
  <c r="F65" i="31"/>
  <c r="E65" i="31"/>
  <c r="D65" i="31"/>
  <c r="C65" i="31"/>
  <c r="B65" i="31"/>
  <c r="V58" i="31"/>
  <c r="U58" i="31"/>
  <c r="T58" i="31"/>
  <c r="S58" i="31"/>
  <c r="R58" i="31"/>
  <c r="Q58" i="31"/>
  <c r="P58" i="31"/>
  <c r="O58" i="31"/>
  <c r="N58" i="31"/>
  <c r="M58" i="31"/>
  <c r="L58" i="31"/>
  <c r="K58" i="31"/>
  <c r="J58" i="31"/>
  <c r="I58" i="31"/>
  <c r="H58" i="31"/>
  <c r="G58" i="31"/>
  <c r="F58" i="31"/>
  <c r="E58" i="31"/>
  <c r="D58" i="31"/>
  <c r="C58" i="31"/>
  <c r="B58" i="31"/>
  <c r="AF54" i="31"/>
  <c r="V49" i="31"/>
  <c r="U49" i="31"/>
  <c r="T49" i="31"/>
  <c r="S49" i="31"/>
  <c r="R49" i="31"/>
  <c r="Q49" i="31"/>
  <c r="P49" i="31"/>
  <c r="O49" i="31"/>
  <c r="N49" i="31"/>
  <c r="M49" i="31"/>
  <c r="L49" i="31"/>
  <c r="K49" i="31"/>
  <c r="J49" i="31"/>
  <c r="I49" i="31"/>
  <c r="H49" i="31"/>
  <c r="G49" i="31"/>
  <c r="F49" i="31"/>
  <c r="E49" i="31"/>
  <c r="D49" i="31"/>
  <c r="C49" i="31"/>
  <c r="B49" i="31"/>
  <c r="W45" i="31"/>
  <c r="AH42" i="31"/>
  <c r="AG42" i="31"/>
  <c r="AF42" i="31"/>
  <c r="AE42" i="31"/>
  <c r="AD42" i="31"/>
  <c r="AC42" i="31"/>
  <c r="AB42" i="31"/>
  <c r="AA42" i="31"/>
  <c r="Z42" i="31"/>
  <c r="Y42" i="31"/>
  <c r="X42" i="31"/>
  <c r="W42" i="31"/>
  <c r="V42" i="31"/>
  <c r="U42" i="31"/>
  <c r="T42" i="31"/>
  <c r="S42" i="31"/>
  <c r="R42" i="31"/>
  <c r="Q42" i="31"/>
  <c r="P42" i="31"/>
  <c r="O42" i="31"/>
  <c r="N42" i="31"/>
  <c r="M42" i="31"/>
  <c r="L42" i="31"/>
  <c r="K42" i="31"/>
  <c r="J42" i="31"/>
  <c r="I42" i="31"/>
  <c r="H42" i="31"/>
  <c r="G42" i="31"/>
  <c r="F42" i="31"/>
  <c r="E42" i="31"/>
  <c r="D42" i="31"/>
  <c r="C42" i="31"/>
  <c r="B42" i="31"/>
  <c r="A42" i="31"/>
  <c r="AH35" i="31"/>
  <c r="AG35" i="31"/>
  <c r="AF35" i="31"/>
  <c r="AE35" i="31"/>
  <c r="AD35" i="31"/>
  <c r="AC35" i="31"/>
  <c r="AB35" i="31"/>
  <c r="AA35" i="31"/>
  <c r="Z35" i="31"/>
  <c r="Y35" i="31"/>
  <c r="X35" i="31"/>
  <c r="V35" i="31"/>
  <c r="U35" i="31"/>
  <c r="T35" i="31"/>
  <c r="S35" i="31"/>
  <c r="R35" i="31"/>
  <c r="Q35" i="31"/>
  <c r="P35" i="31"/>
  <c r="O35" i="31"/>
  <c r="N35" i="31"/>
  <c r="M35" i="31"/>
  <c r="L35" i="31"/>
  <c r="K35" i="31"/>
  <c r="J35" i="31"/>
  <c r="I35" i="31"/>
  <c r="H35" i="31"/>
  <c r="G35" i="31"/>
  <c r="F35" i="31"/>
  <c r="E35" i="31"/>
  <c r="D35" i="31"/>
  <c r="C35" i="31"/>
  <c r="B35" i="31"/>
  <c r="A35" i="31"/>
  <c r="Z31" i="31"/>
  <c r="W30" i="31"/>
  <c r="AH27" i="31"/>
  <c r="AG27" i="31"/>
  <c r="AF27" i="31"/>
  <c r="AE27" i="31"/>
  <c r="AD27" i="31"/>
  <c r="AC27" i="31"/>
  <c r="AB27" i="31"/>
  <c r="AA27" i="31"/>
  <c r="Z27" i="31"/>
  <c r="Y27" i="31"/>
  <c r="X27" i="31"/>
  <c r="W27" i="31"/>
  <c r="V27" i="31"/>
  <c r="U27" i="31"/>
  <c r="T27" i="31"/>
  <c r="S27" i="31"/>
  <c r="R27" i="31"/>
  <c r="Q27" i="31"/>
  <c r="P27" i="31"/>
  <c r="O27" i="31"/>
  <c r="N27" i="31"/>
  <c r="M27" i="31"/>
  <c r="L27" i="31"/>
  <c r="K27" i="31"/>
  <c r="J27" i="31"/>
  <c r="I27" i="31"/>
  <c r="H27" i="31"/>
  <c r="G27" i="31"/>
  <c r="F27" i="31"/>
  <c r="E27" i="31"/>
  <c r="D27" i="31"/>
  <c r="C27" i="31"/>
  <c r="B27" i="31"/>
  <c r="A27" i="31"/>
  <c r="Z23" i="31"/>
  <c r="W22" i="31"/>
  <c r="AH19" i="31"/>
  <c r="AG19" i="31"/>
  <c r="AF19" i="31"/>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6" i="31"/>
  <c r="W15" i="31"/>
  <c r="AH12" i="31"/>
  <c r="AG12" i="31"/>
  <c r="AF12" i="31"/>
  <c r="AE12" i="31"/>
  <c r="AD12" i="31"/>
  <c r="AC12" i="31"/>
  <c r="AB12" i="31"/>
  <c r="AA12"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A12" i="31"/>
  <c r="X6" i="31"/>
  <c r="AH6" i="31"/>
  <c r="AG6" i="31"/>
  <c r="AF6" i="31"/>
  <c r="AE6" i="31"/>
  <c r="AD6" i="31"/>
  <c r="AC6" i="31"/>
  <c r="AB6" i="31"/>
  <c r="AA6" i="31"/>
  <c r="Z6" i="31"/>
  <c r="Y6" i="31"/>
  <c r="V6" i="31"/>
  <c r="U6" i="31"/>
  <c r="T6" i="31"/>
  <c r="S6" i="31"/>
  <c r="R6" i="31"/>
  <c r="Q6" i="31"/>
  <c r="P6" i="31"/>
  <c r="O6" i="31"/>
  <c r="N6" i="31"/>
  <c r="M6" i="31"/>
  <c r="L6" i="31"/>
  <c r="K6" i="31"/>
  <c r="J6" i="31"/>
  <c r="I6" i="31"/>
  <c r="H6" i="31"/>
  <c r="G6" i="31"/>
  <c r="F6" i="31"/>
  <c r="E6" i="31"/>
  <c r="D6" i="31"/>
  <c r="C6" i="31"/>
  <c r="B6" i="31"/>
  <c r="A6" i="31"/>
  <c r="W45" i="29"/>
  <c r="W42" i="29" s="1"/>
  <c r="W45" i="2"/>
  <c r="W47" i="2" s="1"/>
  <c r="X45" i="2"/>
  <c r="Y45" i="2" s="1"/>
  <c r="Y47" i="2"/>
  <c r="X47" i="2"/>
  <c r="W51" i="2"/>
  <c r="AF55" i="31" l="1"/>
  <c r="Y63" i="29"/>
  <c r="Z63" i="29"/>
  <c r="AA63" i="29"/>
  <c r="AB63" i="29"/>
  <c r="AC63" i="29"/>
  <c r="AD63" i="29"/>
  <c r="AE63" i="29"/>
  <c r="AF63" i="29"/>
  <c r="AG63" i="29"/>
  <c r="AH35" i="29"/>
  <c r="Y35" i="29"/>
  <c r="Z35" i="29"/>
  <c r="AA35" i="29"/>
  <c r="AB35" i="29"/>
  <c r="AC35" i="29"/>
  <c r="AD35" i="29"/>
  <c r="AE35" i="29"/>
  <c r="AF35" i="29"/>
  <c r="AG35" i="29"/>
  <c r="X35" i="29"/>
  <c r="W27" i="29"/>
  <c r="X38" i="29"/>
  <c r="W30" i="29"/>
  <c r="W22" i="29"/>
  <c r="X80" i="29" l="1"/>
  <c r="X73" i="29"/>
  <c r="X70" i="29" s="1"/>
  <c r="X77" i="29"/>
  <c r="AH77" i="29"/>
  <c r="AG77" i="29"/>
  <c r="AF77" i="29"/>
  <c r="AE77" i="29"/>
  <c r="AD77" i="29"/>
  <c r="AC77" i="29"/>
  <c r="AB77" i="29"/>
  <c r="AA77" i="29"/>
  <c r="Z77" i="29"/>
  <c r="Y77" i="29"/>
  <c r="W77" i="29"/>
  <c r="V77" i="29"/>
  <c r="U77" i="29"/>
  <c r="T77" i="29"/>
  <c r="S77" i="29"/>
  <c r="R77" i="29"/>
  <c r="Q77" i="29"/>
  <c r="P77" i="29"/>
  <c r="O77" i="29"/>
  <c r="N77" i="29"/>
  <c r="M77" i="29"/>
  <c r="L77" i="29"/>
  <c r="K77" i="29"/>
  <c r="J77" i="29"/>
  <c r="I77" i="29"/>
  <c r="H77" i="29"/>
  <c r="G77" i="29"/>
  <c r="F77" i="29"/>
  <c r="E77" i="29"/>
  <c r="D77" i="29"/>
  <c r="C77" i="29"/>
  <c r="B77" i="29"/>
  <c r="AH70" i="29"/>
  <c r="AG70" i="29"/>
  <c r="AF70" i="29"/>
  <c r="AE70" i="29"/>
  <c r="AD70" i="29"/>
  <c r="AC70" i="29"/>
  <c r="AB70" i="29"/>
  <c r="AA70" i="29"/>
  <c r="Z70" i="29"/>
  <c r="Y70" i="29"/>
  <c r="W70" i="29"/>
  <c r="V70" i="29"/>
  <c r="U70" i="29"/>
  <c r="T70" i="29"/>
  <c r="S70" i="29"/>
  <c r="R70" i="29"/>
  <c r="Q70" i="29"/>
  <c r="P70" i="29"/>
  <c r="O70" i="29"/>
  <c r="N70" i="29"/>
  <c r="M70" i="29"/>
  <c r="L70" i="29"/>
  <c r="K70" i="29"/>
  <c r="J70" i="29"/>
  <c r="I70" i="29"/>
  <c r="H70" i="29"/>
  <c r="G70" i="29"/>
  <c r="F70" i="29"/>
  <c r="E70" i="29"/>
  <c r="D70" i="29"/>
  <c r="C70" i="29"/>
  <c r="B70" i="29"/>
  <c r="X66" i="29"/>
  <c r="X63" i="29" s="1"/>
  <c r="AH63" i="29"/>
  <c r="W63" i="29"/>
  <c r="V63" i="29"/>
  <c r="U63" i="29"/>
  <c r="T63" i="29"/>
  <c r="S63" i="29"/>
  <c r="R63" i="29"/>
  <c r="Q63" i="29"/>
  <c r="P63" i="29"/>
  <c r="O63" i="29"/>
  <c r="N63" i="29"/>
  <c r="M63" i="29"/>
  <c r="L63" i="29"/>
  <c r="K63" i="29"/>
  <c r="J63" i="29"/>
  <c r="I63" i="29"/>
  <c r="H63" i="29"/>
  <c r="G63" i="29"/>
  <c r="F63" i="29"/>
  <c r="E63" i="29"/>
  <c r="D63" i="29"/>
  <c r="C63" i="29"/>
  <c r="B63" i="29"/>
  <c r="X52" i="29"/>
  <c r="X49" i="29" s="1"/>
  <c r="AH49" i="29"/>
  <c r="AG49" i="29"/>
  <c r="AF49" i="29"/>
  <c r="AE49" i="29"/>
  <c r="AD49" i="29"/>
  <c r="AC49" i="29"/>
  <c r="AB49" i="29"/>
  <c r="AA49" i="29"/>
  <c r="Z49" i="29"/>
  <c r="Y49" i="29"/>
  <c r="W49" i="29"/>
  <c r="V49" i="29"/>
  <c r="U49" i="29"/>
  <c r="T49" i="29"/>
  <c r="S49" i="29"/>
  <c r="R49" i="29"/>
  <c r="Q49" i="29"/>
  <c r="P49" i="29"/>
  <c r="O49" i="29"/>
  <c r="N49" i="29"/>
  <c r="M49" i="29"/>
  <c r="L49" i="29"/>
  <c r="K49" i="29"/>
  <c r="J49" i="29"/>
  <c r="I49" i="29"/>
  <c r="H49" i="29"/>
  <c r="G49" i="29"/>
  <c r="F49" i="29"/>
  <c r="E49" i="29"/>
  <c r="D49" i="29"/>
  <c r="C49" i="29"/>
  <c r="B49" i="29"/>
  <c r="AH42" i="29"/>
  <c r="AF54" i="29" s="1"/>
  <c r="AG42" i="29"/>
  <c r="AF42" i="29"/>
  <c r="AE42" i="29"/>
  <c r="AD42" i="29"/>
  <c r="AC42" i="29"/>
  <c r="AB42" i="29"/>
  <c r="AA42" i="29"/>
  <c r="Z42" i="29"/>
  <c r="Y42" i="29"/>
  <c r="A42" i="29"/>
  <c r="V35" i="29"/>
  <c r="U35" i="29"/>
  <c r="T35" i="29"/>
  <c r="S35" i="29"/>
  <c r="R35" i="29"/>
  <c r="Q35" i="29"/>
  <c r="P35" i="29"/>
  <c r="O35" i="29"/>
  <c r="N35" i="29"/>
  <c r="M35" i="29"/>
  <c r="L35" i="29"/>
  <c r="K35" i="29"/>
  <c r="J35" i="29"/>
  <c r="I35" i="29"/>
  <c r="H35" i="29"/>
  <c r="G35" i="29"/>
  <c r="F35" i="29"/>
  <c r="E35" i="29"/>
  <c r="D35" i="29"/>
  <c r="C35" i="29"/>
  <c r="B35" i="29"/>
  <c r="A35" i="29"/>
  <c r="AH27" i="29"/>
  <c r="Z31" i="29" s="1"/>
  <c r="AG27" i="29"/>
  <c r="AF27" i="29"/>
  <c r="AE27" i="29"/>
  <c r="AD27" i="29"/>
  <c r="AC27" i="29"/>
  <c r="AB27" i="29"/>
  <c r="AA27" i="29"/>
  <c r="Z27" i="29"/>
  <c r="Y27" i="29"/>
  <c r="X27" i="29"/>
  <c r="V27" i="29"/>
  <c r="U27" i="29"/>
  <c r="T27" i="29"/>
  <c r="S27" i="29"/>
  <c r="R27" i="29"/>
  <c r="Q27" i="29"/>
  <c r="P27" i="29"/>
  <c r="O27" i="29"/>
  <c r="N27" i="29"/>
  <c r="M27" i="29"/>
  <c r="L27" i="29"/>
  <c r="K27" i="29"/>
  <c r="J27" i="29"/>
  <c r="I27" i="29"/>
  <c r="H27" i="29"/>
  <c r="G27" i="29"/>
  <c r="F27" i="29"/>
  <c r="E27" i="29"/>
  <c r="D27" i="29"/>
  <c r="C27" i="29"/>
  <c r="B27" i="29"/>
  <c r="A27" i="29"/>
  <c r="AH19" i="29"/>
  <c r="Z23" i="29" s="1"/>
  <c r="AG19" i="29"/>
  <c r="AF19" i="29"/>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W15" i="29"/>
  <c r="AH12" i="29"/>
  <c r="Z16" i="29" s="1"/>
  <c r="AG12" i="29"/>
  <c r="AF12" i="29"/>
  <c r="AE12" i="29"/>
  <c r="AD12" i="29"/>
  <c r="AC12" i="29"/>
  <c r="AB12" i="29"/>
  <c r="AA12" i="29"/>
  <c r="Z12" i="29"/>
  <c r="Y12" i="29"/>
  <c r="X12" i="29"/>
  <c r="W12" i="29"/>
  <c r="V12" i="29"/>
  <c r="U12" i="29"/>
  <c r="T12" i="29"/>
  <c r="S12" i="29"/>
  <c r="R12" i="29"/>
  <c r="Q12" i="29"/>
  <c r="P12" i="29"/>
  <c r="O12" i="29"/>
  <c r="N12" i="29"/>
  <c r="M12" i="29"/>
  <c r="L12" i="29"/>
  <c r="K12" i="29"/>
  <c r="J12" i="29"/>
  <c r="I12" i="29"/>
  <c r="H12" i="29"/>
  <c r="G12" i="29"/>
  <c r="F12" i="29"/>
  <c r="E12" i="29"/>
  <c r="D12" i="29"/>
  <c r="C12" i="29"/>
  <c r="B12" i="29"/>
  <c r="A12" i="29"/>
  <c r="X9" i="29"/>
  <c r="X6" i="29" s="1"/>
  <c r="AH6" i="29"/>
  <c r="AG6" i="29"/>
  <c r="AF6" i="29"/>
  <c r="AE6" i="29"/>
  <c r="AD6" i="29"/>
  <c r="AC6" i="29"/>
  <c r="AB6" i="29"/>
  <c r="AA6" i="29"/>
  <c r="Z6" i="29"/>
  <c r="Y6" i="29"/>
  <c r="W6" i="29"/>
  <c r="V6" i="29"/>
  <c r="U6" i="29"/>
  <c r="T6" i="29"/>
  <c r="S6" i="29"/>
  <c r="R6" i="29"/>
  <c r="Q6" i="29"/>
  <c r="P6" i="29"/>
  <c r="O6" i="29"/>
  <c r="N6" i="29"/>
  <c r="M6" i="29"/>
  <c r="L6" i="29"/>
  <c r="K6" i="29"/>
  <c r="J6" i="29"/>
  <c r="I6" i="29"/>
  <c r="H6" i="29"/>
  <c r="G6" i="29"/>
  <c r="F6" i="29"/>
  <c r="E6" i="29"/>
  <c r="D6" i="29"/>
  <c r="C6" i="29"/>
  <c r="B6" i="29"/>
  <c r="A6" i="29"/>
  <c r="AF55" i="29" l="1"/>
  <c r="Z7" i="19"/>
  <c r="AA7" i="19"/>
  <c r="AB7" i="19"/>
  <c r="AC7" i="19"/>
  <c r="AD7" i="19"/>
  <c r="AE7" i="19"/>
  <c r="AF7" i="19"/>
  <c r="AG7" i="19"/>
  <c r="C7" i="19"/>
  <c r="D7" i="19"/>
  <c r="E7" i="19"/>
  <c r="F7" i="19"/>
  <c r="G7" i="19"/>
  <c r="H7" i="19"/>
  <c r="I7" i="19"/>
  <c r="J7" i="19"/>
  <c r="K7" i="19"/>
  <c r="L7" i="19"/>
  <c r="M7" i="19"/>
  <c r="N7" i="19"/>
  <c r="O7" i="19"/>
  <c r="P7" i="19"/>
  <c r="Q7" i="19"/>
  <c r="R7" i="19"/>
  <c r="S7" i="19"/>
  <c r="T7" i="19"/>
  <c r="U7" i="19"/>
  <c r="V7" i="19"/>
  <c r="W7" i="19"/>
  <c r="X7" i="19"/>
  <c r="Y7" i="19"/>
  <c r="B7" i="19"/>
  <c r="X71" i="19"/>
  <c r="AR69" i="19"/>
  <c r="AS70" i="19" s="1"/>
  <c r="AS71" i="19" s="1"/>
  <c r="Y71" i="19"/>
  <c r="Z71" i="19"/>
  <c r="AA71" i="19"/>
  <c r="AB71" i="19"/>
  <c r="AC71" i="19"/>
  <c r="AD71" i="19"/>
  <c r="AE71" i="19"/>
  <c r="AF71" i="19"/>
  <c r="AG71" i="19"/>
  <c r="AH71" i="19"/>
  <c r="AI71" i="19"/>
  <c r="AJ71" i="19"/>
  <c r="AK71" i="19"/>
  <c r="AL71" i="19"/>
  <c r="AM71" i="19"/>
  <c r="AN71" i="19"/>
  <c r="AO71" i="19"/>
  <c r="AP71" i="19"/>
  <c r="AQ71" i="19"/>
  <c r="AR71" i="19"/>
  <c r="BC70" i="19" l="1"/>
  <c r="BC71" i="19" s="1"/>
  <c r="AX70" i="19"/>
  <c r="AX71" i="19" s="1"/>
  <c r="BB70" i="19"/>
  <c r="BB71" i="19" s="1"/>
  <c r="AV70" i="19"/>
  <c r="AV71" i="19" s="1"/>
  <c r="AZ70" i="19"/>
  <c r="AZ71" i="19" s="1"/>
  <c r="AU70" i="19"/>
  <c r="AU71" i="19" s="1"/>
  <c r="AY70" i="19"/>
  <c r="AY71" i="19" s="1"/>
  <c r="AT70" i="19"/>
  <c r="AT71" i="19" s="1"/>
  <c r="BA70" i="19"/>
  <c r="BA71" i="19" s="1"/>
  <c r="AW70" i="19"/>
  <c r="AW71" i="19" s="1"/>
  <c r="C15" i="22" l="1"/>
  <c r="D23" i="22" s="1"/>
  <c r="E23" i="22" s="1"/>
  <c r="U29" i="22" s="1"/>
  <c r="U2" i="22" s="1"/>
  <c r="E13" i="22"/>
  <c r="E12" i="22"/>
  <c r="E11" i="22"/>
  <c r="E10" i="22"/>
  <c r="E9" i="22"/>
  <c r="E8" i="22"/>
  <c r="E7" i="22"/>
  <c r="L2" i="22"/>
  <c r="K2" i="22"/>
  <c r="J2" i="22"/>
  <c r="I2" i="22"/>
  <c r="H2" i="22"/>
  <c r="G2" i="22"/>
  <c r="F2" i="22"/>
  <c r="E2" i="22"/>
  <c r="D2" i="22"/>
  <c r="C2" i="22"/>
  <c r="B2" i="22"/>
  <c r="D16" i="22" l="1"/>
  <c r="E16" i="22" s="1"/>
  <c r="N29" i="22" s="1"/>
  <c r="N2" i="22" s="1"/>
  <c r="D20" i="22"/>
  <c r="E20" i="22" s="1"/>
  <c r="R29" i="22" s="1"/>
  <c r="R2" i="22" s="1"/>
  <c r="D24" i="22"/>
  <c r="E24" i="22" s="1"/>
  <c r="V29" i="22" s="1"/>
  <c r="V2" i="22" s="1"/>
  <c r="D17" i="22"/>
  <c r="E17" i="22" s="1"/>
  <c r="O29" i="22" s="1"/>
  <c r="O2" i="22" s="1"/>
  <c r="D21" i="22"/>
  <c r="E21" i="22" s="1"/>
  <c r="S29" i="22" s="1"/>
  <c r="S2" i="22" s="1"/>
  <c r="D25" i="22"/>
  <c r="E25" i="22" s="1"/>
  <c r="W29" i="22" s="1"/>
  <c r="W2" i="22" s="1"/>
  <c r="D18" i="22"/>
  <c r="E18" i="22" s="1"/>
  <c r="P29" i="22" s="1"/>
  <c r="P2" i="22" s="1"/>
  <c r="D22" i="22"/>
  <c r="E22" i="22" s="1"/>
  <c r="T29" i="22" s="1"/>
  <c r="T2" i="22" s="1"/>
  <c r="D15" i="22"/>
  <c r="E15" i="22" s="1"/>
  <c r="M29" i="22" s="1"/>
  <c r="M2" i="22" s="1"/>
  <c r="D19" i="22"/>
  <c r="E19" i="22" s="1"/>
  <c r="Q29" i="22" s="1"/>
  <c r="Q2" i="22" s="1"/>
  <c r="B51" i="2"/>
  <c r="Q28" i="25" l="1"/>
  <c r="Q27" i="25"/>
  <c r="R27" i="25" s="1"/>
  <c r="AO2" i="25" s="1"/>
  <c r="C45" i="18"/>
  <c r="D45" i="18"/>
  <c r="C47" i="18"/>
  <c r="C46" i="18"/>
  <c r="E5" i="18"/>
  <c r="B5" i="18"/>
  <c r="E4" i="18"/>
  <c r="E3" i="18"/>
  <c r="B2" i="18"/>
  <c r="W17" i="18"/>
  <c r="W30" i="18"/>
  <c r="W41" i="24"/>
  <c r="AB12" i="24"/>
  <c r="AB29" i="24"/>
  <c r="AB18" i="24"/>
  <c r="AB33" i="24"/>
  <c r="AB16" i="24"/>
  <c r="AB14" i="24"/>
  <c r="AB13" i="24"/>
  <c r="AB24" i="24"/>
  <c r="AB15" i="24"/>
  <c r="AB10" i="24"/>
  <c r="AB11" i="24"/>
  <c r="AB22" i="24"/>
  <c r="AB8" i="24"/>
  <c r="AB7" i="24"/>
  <c r="Z34" i="24"/>
  <c r="X34" i="24"/>
  <c r="V34" i="24"/>
  <c r="T34" i="24"/>
  <c r="R34" i="24"/>
  <c r="P34" i="24"/>
  <c r="N34" i="24"/>
  <c r="L34" i="24"/>
  <c r="J34" i="24"/>
  <c r="H34" i="24"/>
  <c r="F34" i="24"/>
  <c r="M32" i="2" l="1"/>
  <c r="L30" i="2"/>
  <c r="L39" i="2"/>
  <c r="M39" i="2"/>
  <c r="N39" i="2"/>
  <c r="O39" i="2"/>
  <c r="P39" i="2"/>
  <c r="Q39" i="2"/>
  <c r="R39" i="2"/>
  <c r="S39" i="2"/>
  <c r="T39" i="2"/>
  <c r="U39" i="2"/>
  <c r="V39" i="2"/>
  <c r="C3" i="2"/>
  <c r="D3" i="2"/>
  <c r="E3" i="2"/>
  <c r="F3" i="2"/>
  <c r="G3" i="2"/>
  <c r="H3" i="2"/>
  <c r="I3" i="2"/>
  <c r="J3" i="2"/>
  <c r="K3" i="2"/>
  <c r="L3" i="2"/>
  <c r="M3" i="2"/>
  <c r="N3" i="2"/>
  <c r="O3" i="2"/>
  <c r="P3" i="2"/>
  <c r="Q3" i="2"/>
  <c r="R3" i="2"/>
  <c r="S3" i="2"/>
  <c r="T3" i="2"/>
  <c r="U3" i="2"/>
  <c r="V3" i="2"/>
  <c r="W3" i="2"/>
  <c r="B3" i="2"/>
  <c r="M31" i="2"/>
  <c r="B74" i="2"/>
  <c r="X33" i="2" l="1"/>
  <c r="X32" i="2"/>
  <c r="X31" i="2"/>
  <c r="X30" i="2"/>
  <c r="W4" i="2" l="1"/>
  <c r="W68" i="2" l="1"/>
  <c r="L68" i="2"/>
  <c r="M25" i="2"/>
  <c r="N25" i="2"/>
  <c r="O25" i="2"/>
  <c r="P25" i="2"/>
  <c r="Q25" i="2"/>
  <c r="R25" i="2"/>
  <c r="S25" i="2"/>
  <c r="T25" i="2"/>
  <c r="U25" i="2"/>
  <c r="V25" i="2"/>
  <c r="X35" i="2" s="1"/>
  <c r="L25" i="2"/>
  <c r="X34" i="2" l="1"/>
  <c r="W5" i="2"/>
  <c r="V30" i="2"/>
  <c r="T34" i="2"/>
  <c r="T33" i="2"/>
  <c r="T32" i="2"/>
  <c r="T31" i="2"/>
  <c r="T30" i="2"/>
  <c r="S30" i="2"/>
  <c r="U30" i="2"/>
  <c r="U31" i="2"/>
  <c r="V31" i="2"/>
  <c r="U32" i="2"/>
  <c r="V32" i="2"/>
  <c r="U33" i="2"/>
  <c r="V33" i="2"/>
  <c r="U34" i="2"/>
  <c r="V34" i="2"/>
  <c r="O30" i="2"/>
  <c r="T45" i="2" l="1"/>
  <c r="T47" i="2" s="1"/>
  <c r="U45" i="2"/>
  <c r="U47" i="2" s="1"/>
  <c r="V45" i="2"/>
  <c r="V47" i="2" s="1"/>
  <c r="E6" i="18"/>
  <c r="L34" i="19"/>
  <c r="O33" i="19" s="1"/>
  <c r="L35" i="19"/>
  <c r="K35" i="19"/>
  <c r="K34" i="19"/>
  <c r="L33" i="19"/>
  <c r="O34" i="19" s="1"/>
  <c r="K33" i="19"/>
  <c r="O36" i="19" s="1"/>
  <c r="J35" i="19"/>
  <c r="O32" i="19" s="1"/>
  <c r="J34" i="19"/>
  <c r="O35" i="19" s="1"/>
  <c r="J33" i="19"/>
  <c r="J24" i="19"/>
  <c r="T45" i="18"/>
  <c r="S45" i="18"/>
  <c r="N38" i="18"/>
  <c r="B21" i="20" l="1"/>
  <c r="C21" i="20"/>
  <c r="D21" i="20"/>
  <c r="B20" i="20"/>
  <c r="C20" i="20"/>
  <c r="D20" i="20"/>
  <c r="C94" i="2" l="1"/>
  <c r="B94" i="2"/>
  <c r="B90" i="2"/>
  <c r="D75" i="2" l="1"/>
  <c r="D76" i="2"/>
  <c r="D77" i="2"/>
  <c r="D78" i="2"/>
  <c r="D79" i="2"/>
  <c r="D80" i="2"/>
  <c r="D81" i="2"/>
  <c r="D82" i="2"/>
  <c r="D83" i="2"/>
  <c r="D74" i="2"/>
  <c r="C75" i="2"/>
  <c r="C76" i="2"/>
  <c r="C77" i="2"/>
  <c r="C78" i="2"/>
  <c r="C79" i="2"/>
  <c r="C80" i="2"/>
  <c r="C81" i="2"/>
  <c r="C82" i="2"/>
  <c r="C83" i="2"/>
  <c r="C74" i="2"/>
  <c r="B75" i="2"/>
  <c r="B76" i="2"/>
  <c r="B77" i="2"/>
  <c r="B78" i="2"/>
  <c r="B79" i="2"/>
  <c r="B80" i="2"/>
  <c r="B81" i="2"/>
  <c r="B82" i="2"/>
  <c r="B83" i="2"/>
  <c r="B84" i="2" l="1"/>
  <c r="B58" i="2" s="1"/>
  <c r="C84" i="2"/>
  <c r="C58" i="2" s="1"/>
  <c r="D84" i="2"/>
  <c r="D58" i="2" s="1"/>
  <c r="K7" i="27" l="1"/>
  <c r="L7" i="27"/>
  <c r="M7" i="27"/>
  <c r="N7" i="27"/>
  <c r="P7" i="27"/>
  <c r="R7" i="27"/>
  <c r="F7" i="27"/>
  <c r="F10" i="27" s="1"/>
  <c r="G7" i="27"/>
  <c r="G10" i="27" s="1"/>
  <c r="H7" i="27"/>
  <c r="H10" i="27" s="1"/>
  <c r="I7" i="27"/>
  <c r="I10" i="27" s="1"/>
  <c r="J7" i="27"/>
  <c r="C7" i="27"/>
  <c r="C10" i="27" s="1"/>
  <c r="D7" i="27"/>
  <c r="D10" i="27" s="1"/>
  <c r="E7" i="27"/>
  <c r="E10" i="27" s="1"/>
  <c r="B7" i="27"/>
  <c r="B10" i="27" s="1"/>
  <c r="D11" i="27" l="1"/>
  <c r="C11" i="27"/>
  <c r="G11" i="27"/>
  <c r="B11" i="27"/>
  <c r="C12" i="27" s="1"/>
  <c r="C2" i="27" s="1"/>
  <c r="B12" i="27"/>
  <c r="B2" i="27" s="1"/>
  <c r="F11" i="27"/>
  <c r="H11" i="27"/>
  <c r="E11" i="27"/>
  <c r="I11" i="27"/>
  <c r="C9" i="25"/>
  <c r="H8" i="25"/>
  <c r="H9" i="25"/>
  <c r="H10" i="25"/>
  <c r="H11" i="25"/>
  <c r="H12" i="25"/>
  <c r="H13" i="25"/>
  <c r="H14" i="25"/>
  <c r="H15" i="25"/>
  <c r="H16" i="25"/>
  <c r="H17" i="25"/>
  <c r="H18" i="25"/>
  <c r="H19" i="25"/>
  <c r="H20" i="25"/>
  <c r="H21" i="25"/>
  <c r="H22" i="25"/>
  <c r="G8" i="25"/>
  <c r="B22" i="20"/>
  <c r="C22" i="20"/>
  <c r="D22" i="20"/>
  <c r="D19" i="20"/>
  <c r="C19" i="20"/>
  <c r="B4" i="19"/>
  <c r="C5" i="18"/>
  <c r="D5" i="18"/>
  <c r="C2" i="18"/>
  <c r="D2" i="18"/>
  <c r="B4" i="2"/>
  <c r="C4" i="2"/>
  <c r="D4" i="2"/>
  <c r="B5" i="2"/>
  <c r="C5" i="2"/>
  <c r="D5" i="2"/>
  <c r="U10" i="3"/>
  <c r="U11" i="3"/>
  <c r="U12" i="3"/>
  <c r="T10" i="3"/>
  <c r="T11" i="3"/>
  <c r="T12" i="3"/>
  <c r="S10" i="3"/>
  <c r="S11" i="3"/>
  <c r="S12" i="3"/>
  <c r="R10" i="3"/>
  <c r="Q10" i="3" s="1"/>
  <c r="R11" i="3"/>
  <c r="R12" i="3"/>
  <c r="B2" i="24"/>
  <c r="C2" i="24"/>
  <c r="D2" i="24"/>
  <c r="R28" i="25" l="1"/>
  <c r="AP2" i="25" s="1"/>
  <c r="C22" i="25"/>
  <c r="I12" i="27"/>
  <c r="I2" i="27" s="1"/>
  <c r="F12" i="27"/>
  <c r="F2" i="27" s="1"/>
  <c r="G12" i="27"/>
  <c r="G2" i="27" s="1"/>
  <c r="D12" i="27"/>
  <c r="D2" i="27" s="1"/>
  <c r="H12" i="27"/>
  <c r="H2" i="27" s="1"/>
  <c r="Q12" i="3"/>
  <c r="E12" i="27"/>
  <c r="E2" i="27" s="1"/>
  <c r="B19" i="20"/>
  <c r="X10" i="3"/>
  <c r="AB10" i="3" s="1"/>
  <c r="V10" i="3"/>
  <c r="Z10" i="3" s="1"/>
  <c r="AD10" i="3" s="1"/>
  <c r="B52" i="3" s="1"/>
  <c r="B3" i="3" s="1"/>
  <c r="X12" i="3"/>
  <c r="AB12" i="3" s="1"/>
  <c r="AF12" i="3" s="1"/>
  <c r="D53" i="3" s="1"/>
  <c r="D4" i="3" s="1"/>
  <c r="Y11" i="3"/>
  <c r="W12" i="3"/>
  <c r="AA12" i="3" s="1"/>
  <c r="AE12" i="3" s="1"/>
  <c r="D51" i="3" s="1"/>
  <c r="D2" i="3" s="1"/>
  <c r="X11" i="3"/>
  <c r="AB11" i="3" s="1"/>
  <c r="AF11" i="3" s="1"/>
  <c r="C53" i="3" s="1"/>
  <c r="C4" i="3" s="1"/>
  <c r="Y10" i="3"/>
  <c r="V12" i="3"/>
  <c r="Z12" i="3" s="1"/>
  <c r="AD12" i="3" s="1"/>
  <c r="D52" i="3" s="1"/>
  <c r="D3" i="3" s="1"/>
  <c r="W11" i="3"/>
  <c r="AA11" i="3" s="1"/>
  <c r="AE11" i="3" s="1"/>
  <c r="C51" i="3" s="1"/>
  <c r="C2" i="3" s="1"/>
  <c r="Q11" i="3"/>
  <c r="V11" i="3"/>
  <c r="Z11" i="3" s="1"/>
  <c r="AD11" i="3" s="1"/>
  <c r="C52" i="3" s="1"/>
  <c r="C3" i="3" s="1"/>
  <c r="W10" i="3"/>
  <c r="AA10" i="3" s="1"/>
  <c r="AE10" i="3" s="1"/>
  <c r="B51" i="3" s="1"/>
  <c r="B2" i="3" s="1"/>
  <c r="Y12" i="3"/>
  <c r="AC12" i="3" s="1"/>
  <c r="AG12" i="3" s="1"/>
  <c r="D54" i="3" s="1"/>
  <c r="D5" i="3" s="1"/>
  <c r="AF10" i="3"/>
  <c r="B53" i="3" s="1"/>
  <c r="B4" i="3" s="1"/>
  <c r="D3" i="23"/>
  <c r="B3" i="23"/>
  <c r="W35" i="29" l="1"/>
  <c r="AC10" i="3"/>
  <c r="AG10" i="3" s="1"/>
  <c r="B54" i="3" s="1"/>
  <c r="B5" i="3" s="1"/>
  <c r="AC11" i="3"/>
  <c r="AG11" i="3" s="1"/>
  <c r="C54" i="3" s="1"/>
  <c r="C5" i="3" s="1"/>
  <c r="D35" i="24"/>
  <c r="E2" i="24" l="1"/>
  <c r="F2" i="24"/>
  <c r="G2" i="24"/>
  <c r="H2" i="24"/>
  <c r="I2" i="24"/>
  <c r="V68" i="2"/>
  <c r="Z36" i="24"/>
  <c r="X36" i="24"/>
  <c r="V36" i="24"/>
  <c r="T36" i="24"/>
  <c r="R36" i="24"/>
  <c r="P36" i="24"/>
  <c r="N36" i="24"/>
  <c r="L36" i="24"/>
  <c r="J36" i="24"/>
  <c r="H36" i="24"/>
  <c r="F36" i="24"/>
  <c r="D36" i="24"/>
  <c r="B36" i="24"/>
  <c r="V5" i="2" l="1"/>
  <c r="V4" i="2"/>
  <c r="AB31" i="24" l="1"/>
  <c r="AB32" i="24"/>
  <c r="AB30" i="24"/>
  <c r="AB26" i="24"/>
  <c r="AB27" i="24"/>
  <c r="AB25" i="24"/>
  <c r="AB19" i="24"/>
  <c r="AB17" i="24"/>
  <c r="AB20" i="24"/>
  <c r="AB9" i="24"/>
  <c r="AB21" i="24"/>
  <c r="AB23" i="24"/>
  <c r="AB28" i="24"/>
  <c r="Z35" i="24"/>
  <c r="X35" i="24"/>
  <c r="V35" i="24"/>
  <c r="T35" i="24"/>
  <c r="R35" i="24"/>
  <c r="P35" i="24"/>
  <c r="N35" i="24"/>
  <c r="L35" i="24"/>
  <c r="L37" i="24" s="1"/>
  <c r="M37" i="24" s="1"/>
  <c r="O41" i="24" s="1"/>
  <c r="J35" i="24"/>
  <c r="H35" i="24"/>
  <c r="F35" i="24"/>
  <c r="D37" i="24"/>
  <c r="E37" i="24" s="1"/>
  <c r="K41" i="24" s="1"/>
  <c r="Z38" i="24"/>
  <c r="X38" i="24"/>
  <c r="V38" i="24"/>
  <c r="T38" i="24"/>
  <c r="R38" i="24"/>
  <c r="P38" i="24"/>
  <c r="N38" i="24"/>
  <c r="L38" i="24"/>
  <c r="J38" i="24"/>
  <c r="H38" i="24"/>
  <c r="F38" i="24"/>
  <c r="D38" i="24"/>
  <c r="B38" i="24"/>
  <c r="B35" i="24"/>
  <c r="P37" i="24" l="1"/>
  <c r="Q37" i="24" s="1"/>
  <c r="Q41" i="24" s="1"/>
  <c r="Q34" i="24"/>
  <c r="T37" i="24"/>
  <c r="U37" i="24" s="1"/>
  <c r="S41" i="24" s="1"/>
  <c r="U34" i="24"/>
  <c r="F37" i="24"/>
  <c r="G37" i="24" s="1"/>
  <c r="L41" i="24" s="1"/>
  <c r="G34" i="24"/>
  <c r="N37" i="24"/>
  <c r="O37" i="24" s="1"/>
  <c r="P41" i="24" s="1"/>
  <c r="P2" i="24" s="1"/>
  <c r="O34" i="24"/>
  <c r="V37" i="24"/>
  <c r="W37" i="24" s="1"/>
  <c r="T41" i="24" s="1"/>
  <c r="W34" i="24"/>
  <c r="AB34" i="24"/>
  <c r="H37" i="24"/>
  <c r="I37" i="24" s="1"/>
  <c r="M41" i="24" s="1"/>
  <c r="I34" i="24"/>
  <c r="X37" i="24"/>
  <c r="Y37" i="24" s="1"/>
  <c r="U41" i="24" s="1"/>
  <c r="Y34" i="24"/>
  <c r="J37" i="24"/>
  <c r="K37" i="24" s="1"/>
  <c r="N41" i="24" s="1"/>
  <c r="N2" i="24" s="1"/>
  <c r="K34" i="24"/>
  <c r="R37" i="24"/>
  <c r="S37" i="24" s="1"/>
  <c r="R41" i="24" s="1"/>
  <c r="S34" i="24"/>
  <c r="Z37" i="24"/>
  <c r="AA37" i="24" s="1"/>
  <c r="V41" i="24" s="1"/>
  <c r="AA34" i="24"/>
  <c r="Q2" i="24"/>
  <c r="K2" i="24"/>
  <c r="O2" i="24"/>
  <c r="S2" i="24"/>
  <c r="U2" i="24"/>
  <c r="R2" i="24"/>
  <c r="L2" i="24"/>
  <c r="T2" i="24"/>
  <c r="AB36" i="24"/>
  <c r="B37" i="24"/>
  <c r="C37" i="24" s="1"/>
  <c r="J41" i="24" s="1"/>
  <c r="Q23" i="24"/>
  <c r="Q36" i="24"/>
  <c r="Y23" i="24"/>
  <c r="Y36" i="24"/>
  <c r="C23" i="24"/>
  <c r="C36" i="24"/>
  <c r="K23" i="24"/>
  <c r="K36" i="24"/>
  <c r="S23" i="24"/>
  <c r="S36" i="24"/>
  <c r="AA15" i="24"/>
  <c r="AA36" i="24"/>
  <c r="I16" i="24"/>
  <c r="I36" i="24"/>
  <c r="E21" i="24"/>
  <c r="E36" i="24"/>
  <c r="M23" i="24"/>
  <c r="M36" i="24"/>
  <c r="U23" i="24"/>
  <c r="U36" i="24"/>
  <c r="G13" i="24"/>
  <c r="G36" i="24"/>
  <c r="O23" i="24"/>
  <c r="O36" i="24"/>
  <c r="W23" i="24"/>
  <c r="W36" i="24"/>
  <c r="Q35" i="24"/>
  <c r="O33" i="24"/>
  <c r="Y14" i="24"/>
  <c r="Y35" i="24"/>
  <c r="Y10" i="24"/>
  <c r="Q31" i="24"/>
  <c r="Q27" i="24"/>
  <c r="G25" i="24"/>
  <c r="O9" i="24"/>
  <c r="Y29" i="24"/>
  <c r="O26" i="24"/>
  <c r="O15" i="24"/>
  <c r="Y25" i="24"/>
  <c r="K32" i="24"/>
  <c r="K19" i="24"/>
  <c r="M27" i="24"/>
  <c r="M16" i="24"/>
  <c r="U33" i="24"/>
  <c r="U25" i="24"/>
  <c r="U18" i="24"/>
  <c r="U10" i="24"/>
  <c r="K28" i="24"/>
  <c r="K13" i="24"/>
  <c r="M26" i="24"/>
  <c r="M12" i="24"/>
  <c r="O31" i="24"/>
  <c r="O25" i="24"/>
  <c r="O17" i="24"/>
  <c r="O11" i="24"/>
  <c r="U32" i="24"/>
  <c r="U24" i="24"/>
  <c r="U19" i="24"/>
  <c r="U8" i="24"/>
  <c r="K35" i="24"/>
  <c r="G17" i="24"/>
  <c r="K24" i="24"/>
  <c r="M7" i="24"/>
  <c r="O7" i="24"/>
  <c r="O30" i="24"/>
  <c r="O18" i="24"/>
  <c r="O10" i="24"/>
  <c r="S27" i="24"/>
  <c r="U29" i="24"/>
  <c r="U21" i="24"/>
  <c r="U14" i="24"/>
  <c r="Y33" i="24"/>
  <c r="Y21" i="24"/>
  <c r="K9" i="24"/>
  <c r="M31" i="24"/>
  <c r="M20" i="24"/>
  <c r="O35" i="24"/>
  <c r="O28" i="24"/>
  <c r="O22" i="24"/>
  <c r="O16" i="24"/>
  <c r="Q7" i="24"/>
  <c r="S20" i="24"/>
  <c r="U28" i="24"/>
  <c r="U9" i="24"/>
  <c r="U13" i="24"/>
  <c r="Y32" i="24"/>
  <c r="Y18" i="24"/>
  <c r="AB35" i="24"/>
  <c r="AA29" i="24"/>
  <c r="AA35" i="24"/>
  <c r="AA27" i="24"/>
  <c r="AA20" i="24"/>
  <c r="AA12" i="24"/>
  <c r="AA23" i="24"/>
  <c r="AA7" i="24"/>
  <c r="AA26" i="24"/>
  <c r="AA17" i="24"/>
  <c r="AA11" i="24"/>
  <c r="AA21" i="24"/>
  <c r="AA14" i="24"/>
  <c r="AA28" i="24"/>
  <c r="AA9" i="24"/>
  <c r="AA13" i="24"/>
  <c r="AA33" i="24"/>
  <c r="AA25" i="24"/>
  <c r="AA18" i="24"/>
  <c r="AA10" i="24"/>
  <c r="AA32" i="24"/>
  <c r="AA24" i="24"/>
  <c r="AA19" i="24"/>
  <c r="AA8" i="24"/>
  <c r="AA31" i="24"/>
  <c r="AA16" i="24"/>
  <c r="AA30" i="24"/>
  <c r="AA22" i="24"/>
  <c r="Y24" i="24"/>
  <c r="Y19" i="24"/>
  <c r="Y8" i="24"/>
  <c r="Y30" i="24"/>
  <c r="Y22" i="24"/>
  <c r="Y15" i="24"/>
  <c r="Y9" i="24"/>
  <c r="Y7" i="24"/>
  <c r="Y27" i="24"/>
  <c r="Y20" i="24"/>
  <c r="Y12" i="24"/>
  <c r="Y28" i="24"/>
  <c r="Y13" i="24"/>
  <c r="Y26" i="24"/>
  <c r="Y17" i="24"/>
  <c r="Y11" i="24"/>
  <c r="Y31" i="24"/>
  <c r="Y16" i="24"/>
  <c r="W29" i="24"/>
  <c r="W14" i="24"/>
  <c r="W28" i="24"/>
  <c r="W13" i="24"/>
  <c r="W35" i="24"/>
  <c r="W26" i="24"/>
  <c r="W17" i="24"/>
  <c r="W11" i="24"/>
  <c r="W33" i="24"/>
  <c r="W25" i="24"/>
  <c r="W18" i="24"/>
  <c r="W10" i="24"/>
  <c r="W32" i="24"/>
  <c r="W24" i="24"/>
  <c r="W19" i="24"/>
  <c r="W8" i="24"/>
  <c r="W31" i="24"/>
  <c r="W16" i="24"/>
  <c r="W30" i="24"/>
  <c r="W22" i="24"/>
  <c r="W15" i="24"/>
  <c r="W21" i="24"/>
  <c r="W9" i="24"/>
  <c r="W7" i="24"/>
  <c r="W27" i="24"/>
  <c r="W20" i="24"/>
  <c r="W12" i="24"/>
  <c r="U30" i="24"/>
  <c r="U22" i="24"/>
  <c r="U15" i="24"/>
  <c r="U27" i="24"/>
  <c r="U20" i="24"/>
  <c r="U12" i="24"/>
  <c r="U35" i="24"/>
  <c r="U7" i="24"/>
  <c r="U26" i="24"/>
  <c r="U17" i="24"/>
  <c r="U11" i="24"/>
  <c r="U31" i="24"/>
  <c r="U16" i="24"/>
  <c r="S12" i="24"/>
  <c r="S7" i="24"/>
  <c r="S26" i="24"/>
  <c r="S17" i="24"/>
  <c r="S11" i="24"/>
  <c r="S33" i="24"/>
  <c r="S25" i="24"/>
  <c r="S18" i="24"/>
  <c r="S10" i="24"/>
  <c r="S35" i="24"/>
  <c r="S19" i="24"/>
  <c r="S31" i="24"/>
  <c r="S16" i="24"/>
  <c r="S32" i="24"/>
  <c r="S30" i="24"/>
  <c r="S22" i="24"/>
  <c r="S15" i="24"/>
  <c r="S8" i="24"/>
  <c r="S29" i="24"/>
  <c r="S21" i="24"/>
  <c r="S14" i="24"/>
  <c r="S24" i="24"/>
  <c r="S28" i="24"/>
  <c r="S9" i="24"/>
  <c r="S13" i="24"/>
  <c r="Q32" i="24"/>
  <c r="Q24" i="24"/>
  <c r="Q19" i="24"/>
  <c r="Q8" i="24"/>
  <c r="Q16" i="24"/>
  <c r="Q30" i="24"/>
  <c r="Q22" i="24"/>
  <c r="Q15" i="24"/>
  <c r="Q29" i="24"/>
  <c r="Q21" i="24"/>
  <c r="Q14" i="24"/>
  <c r="Q28" i="24"/>
  <c r="Q9" i="24"/>
  <c r="Q13" i="24"/>
  <c r="Q20" i="24"/>
  <c r="Q26" i="24"/>
  <c r="Q17" i="24"/>
  <c r="Q11" i="24"/>
  <c r="Q12" i="24"/>
  <c r="Q33" i="24"/>
  <c r="Q25" i="24"/>
  <c r="Q18" i="24"/>
  <c r="Q10" i="24"/>
  <c r="O13" i="24"/>
  <c r="O27" i="24"/>
  <c r="O20" i="24"/>
  <c r="O12" i="24"/>
  <c r="O32" i="24"/>
  <c r="O24" i="24"/>
  <c r="O19" i="24"/>
  <c r="O8" i="24"/>
  <c r="O29" i="24"/>
  <c r="O21" i="24"/>
  <c r="O14" i="24"/>
  <c r="M32" i="24"/>
  <c r="M24" i="24"/>
  <c r="M19" i="24"/>
  <c r="M8" i="24"/>
  <c r="M30" i="24"/>
  <c r="M15" i="24"/>
  <c r="M29" i="24"/>
  <c r="M21" i="24"/>
  <c r="M14" i="24"/>
  <c r="M22" i="24"/>
  <c r="M28" i="24"/>
  <c r="M9" i="24"/>
  <c r="M13" i="24"/>
  <c r="M17" i="24"/>
  <c r="M11" i="24"/>
  <c r="M33" i="24"/>
  <c r="M25" i="24"/>
  <c r="M18" i="24"/>
  <c r="M10" i="24"/>
  <c r="M35" i="24"/>
  <c r="K16" i="24"/>
  <c r="K29" i="24"/>
  <c r="K21" i="24"/>
  <c r="K14" i="24"/>
  <c r="K20" i="24"/>
  <c r="K7" i="24"/>
  <c r="K26" i="24"/>
  <c r="K17" i="24"/>
  <c r="K11" i="24"/>
  <c r="K27" i="24"/>
  <c r="K12" i="24"/>
  <c r="K33" i="24"/>
  <c r="K25" i="24"/>
  <c r="K18" i="24"/>
  <c r="K10" i="24"/>
  <c r="K8" i="24"/>
  <c r="K31" i="24"/>
  <c r="K30" i="24"/>
  <c r="K22" i="24"/>
  <c r="K15" i="24"/>
  <c r="I23" i="24"/>
  <c r="G23" i="24"/>
  <c r="G20" i="24"/>
  <c r="G12" i="24"/>
  <c r="E23" i="24"/>
  <c r="AB38" i="24"/>
  <c r="AC31" i="24" s="1"/>
  <c r="G7" i="24"/>
  <c r="G18" i="24"/>
  <c r="G35" i="24"/>
  <c r="G33" i="24"/>
  <c r="G11" i="24"/>
  <c r="G27" i="24"/>
  <c r="G10" i="24"/>
  <c r="G26" i="24"/>
  <c r="E31" i="24"/>
  <c r="E30" i="24"/>
  <c r="E22" i="24"/>
  <c r="E16" i="24"/>
  <c r="E15" i="24"/>
  <c r="E14" i="24"/>
  <c r="E29" i="24"/>
  <c r="I28" i="24"/>
  <c r="I9" i="24"/>
  <c r="I13" i="24"/>
  <c r="I7" i="24"/>
  <c r="I27" i="24"/>
  <c r="I20" i="24"/>
  <c r="I12" i="24"/>
  <c r="I30" i="24"/>
  <c r="I15" i="24"/>
  <c r="I29" i="24"/>
  <c r="I14" i="24"/>
  <c r="I35" i="24"/>
  <c r="I26" i="24"/>
  <c r="I11" i="24"/>
  <c r="I25" i="24"/>
  <c r="I10" i="24"/>
  <c r="I32" i="24"/>
  <c r="I24" i="24"/>
  <c r="I19" i="24"/>
  <c r="I8" i="24"/>
  <c r="I22" i="24"/>
  <c r="I21" i="24"/>
  <c r="I17" i="24"/>
  <c r="I33" i="24"/>
  <c r="I18" i="24"/>
  <c r="I31" i="24"/>
  <c r="G32" i="24"/>
  <c r="G24" i="24"/>
  <c r="G19" i="24"/>
  <c r="G8" i="24"/>
  <c r="G31" i="24"/>
  <c r="G16" i="24"/>
  <c r="G30" i="24"/>
  <c r="G22" i="24"/>
  <c r="G15" i="24"/>
  <c r="G29" i="24"/>
  <c r="G21" i="24"/>
  <c r="G14" i="24"/>
  <c r="G28" i="24"/>
  <c r="G9" i="24"/>
  <c r="E12" i="24"/>
  <c r="E28" i="24"/>
  <c r="E9" i="24"/>
  <c r="E13" i="24"/>
  <c r="E7" i="24"/>
  <c r="E27" i="24"/>
  <c r="E20" i="24"/>
  <c r="E35" i="24"/>
  <c r="E26" i="24"/>
  <c r="E17" i="24"/>
  <c r="E11" i="24"/>
  <c r="E33" i="24"/>
  <c r="E25" i="24"/>
  <c r="E18" i="24"/>
  <c r="E10" i="24"/>
  <c r="E32" i="24"/>
  <c r="E24" i="24"/>
  <c r="E19" i="24"/>
  <c r="E8" i="24"/>
  <c r="C11" i="24"/>
  <c r="C17" i="24"/>
  <c r="C26" i="24"/>
  <c r="C7" i="24"/>
  <c r="C12" i="24"/>
  <c r="C20" i="24"/>
  <c r="C27" i="24"/>
  <c r="C13" i="24"/>
  <c r="C9" i="24"/>
  <c r="C28" i="24"/>
  <c r="C14" i="24"/>
  <c r="C29" i="24"/>
  <c r="C15" i="24"/>
  <c r="C22" i="24"/>
  <c r="C30" i="24"/>
  <c r="C33" i="24"/>
  <c r="C16" i="24"/>
  <c r="C31" i="24"/>
  <c r="C8" i="24"/>
  <c r="C19" i="24"/>
  <c r="C24" i="24"/>
  <c r="C32" i="24"/>
  <c r="C10" i="24"/>
  <c r="C18" i="24"/>
  <c r="C25" i="24"/>
  <c r="C35" i="24"/>
  <c r="C21" i="24"/>
  <c r="J17" i="19"/>
  <c r="H17" i="19"/>
  <c r="G17" i="19"/>
  <c r="M2" i="24" l="1"/>
  <c r="V2" i="24"/>
  <c r="AB37" i="24"/>
  <c r="AC37" i="24" s="1"/>
  <c r="AC34" i="24"/>
  <c r="AC36" i="24"/>
  <c r="J2" i="24"/>
  <c r="AC11" i="24"/>
  <c r="AC23" i="24"/>
  <c r="AC19" i="24"/>
  <c r="AC8" i="24"/>
  <c r="AC24" i="24"/>
  <c r="AC26" i="24"/>
  <c r="AC10" i="24"/>
  <c r="AC7" i="24"/>
  <c r="AC18" i="24"/>
  <c r="AC12" i="24"/>
  <c r="AC13" i="24"/>
  <c r="AC16" i="24"/>
  <c r="AC9" i="24"/>
  <c r="AC27" i="24"/>
  <c r="AC15" i="24"/>
  <c r="AC25" i="24"/>
  <c r="AC20" i="24"/>
  <c r="AC32" i="24"/>
  <c r="AC14" i="24"/>
  <c r="AC22" i="24"/>
  <c r="AC33" i="24"/>
  <c r="AC21" i="24"/>
  <c r="AC30" i="24"/>
  <c r="AC35" i="24"/>
  <c r="AC17" i="24"/>
  <c r="AC29" i="24"/>
  <c r="AC28" i="24"/>
  <c r="W2" i="24" l="1"/>
  <c r="M51" i="2"/>
  <c r="N51" i="2"/>
  <c r="O51" i="2"/>
  <c r="P51" i="2"/>
  <c r="Q51" i="2"/>
  <c r="R51" i="2"/>
  <c r="S51" i="2"/>
  <c r="T51" i="2"/>
  <c r="U51" i="2"/>
  <c r="V51" i="2"/>
  <c r="L51" i="2"/>
  <c r="T30" i="3" l="1"/>
  <c r="U30" i="3"/>
  <c r="S30" i="3"/>
  <c r="R30" i="3"/>
  <c r="V29" i="18"/>
  <c r="V5" i="18"/>
  <c r="V6" i="18"/>
  <c r="T39" i="18"/>
  <c r="T47" i="18" s="1"/>
  <c r="V8" i="18" s="1"/>
  <c r="S39" i="18"/>
  <c r="S47" i="18" s="1"/>
  <c r="T38" i="18"/>
  <c r="T46" i="18" s="1"/>
  <c r="V7" i="18" s="1"/>
  <c r="S38" i="18"/>
  <c r="S46" i="18" s="1"/>
  <c r="Q30" i="3" l="1"/>
  <c r="Y30" i="3"/>
  <c r="AC30" i="3" s="1"/>
  <c r="AG30" i="3" s="1"/>
  <c r="V54" i="3" s="1"/>
  <c r="V5" i="3" s="1"/>
  <c r="V30" i="3"/>
  <c r="Z30" i="3" s="1"/>
  <c r="AD30" i="3" s="1"/>
  <c r="V52" i="3" s="1"/>
  <c r="V3" i="3" s="1"/>
  <c r="X30" i="3"/>
  <c r="AB30" i="3" s="1"/>
  <c r="AF30" i="3" s="1"/>
  <c r="V53" i="3" s="1"/>
  <c r="V4" i="3" s="1"/>
  <c r="W30" i="3"/>
  <c r="AA30" i="3" s="1"/>
  <c r="AE30" i="3" s="1"/>
  <c r="T48" i="18"/>
  <c r="E45" i="18"/>
  <c r="L29" i="18"/>
  <c r="J29" i="18"/>
  <c r="I29" i="18"/>
  <c r="G27" i="18"/>
  <c r="G29" i="18"/>
  <c r="K29" i="18" s="1"/>
  <c r="S43" i="18"/>
  <c r="V51" i="3" l="1"/>
  <c r="V2" i="3" s="1"/>
  <c r="J380" i="19"/>
  <c r="U380" i="19" s="1"/>
  <c r="AR26" i="19" s="1"/>
  <c r="K380" i="19"/>
  <c r="L380" i="19"/>
  <c r="J381" i="19"/>
  <c r="K381" i="19"/>
  <c r="L381" i="19"/>
  <c r="Q380" i="19" s="1"/>
  <c r="AR22" i="19" s="1"/>
  <c r="V3" i="19" s="1"/>
  <c r="J382" i="19"/>
  <c r="K382" i="19"/>
  <c r="L382" i="19"/>
  <c r="V21" i="20" l="1"/>
  <c r="M382" i="19"/>
  <c r="K383" i="19"/>
  <c r="L384" i="19"/>
  <c r="AZ24" i="19" s="1"/>
  <c r="R380" i="19"/>
  <c r="AR23" i="19" s="1"/>
  <c r="V4" i="19" s="1"/>
  <c r="T380" i="19"/>
  <c r="AR25" i="19" s="1"/>
  <c r="V6" i="19" s="1"/>
  <c r="J383" i="19"/>
  <c r="L383" i="19"/>
  <c r="P380" i="19"/>
  <c r="AR21" i="19" s="1"/>
  <c r="V2" i="19" s="1"/>
  <c r="M380" i="19"/>
  <c r="K384" i="19"/>
  <c r="AY24" i="19" s="1"/>
  <c r="J384" i="19"/>
  <c r="AX24" i="19" s="1"/>
  <c r="S380" i="19"/>
  <c r="AR24" i="19" s="1"/>
  <c r="V5" i="19" s="1"/>
  <c r="M381" i="19"/>
  <c r="N381" i="19"/>
  <c r="J386" i="19"/>
  <c r="BD24" i="19" s="1"/>
  <c r="K386" i="19"/>
  <c r="BE24" i="19" s="1"/>
  <c r="V8" i="19" s="1"/>
  <c r="V20" i="20" l="1"/>
  <c r="V22" i="20" s="1"/>
  <c r="V19" i="20"/>
  <c r="BA24" i="19"/>
  <c r="V9" i="19" s="1"/>
  <c r="U9" i="27" l="1"/>
  <c r="M9" i="27"/>
  <c r="M10" i="27" s="1"/>
  <c r="N9" i="27"/>
  <c r="N10" i="27" s="1"/>
  <c r="O9" i="27"/>
  <c r="O10" i="27" s="1"/>
  <c r="P9" i="27"/>
  <c r="P10" i="27" s="1"/>
  <c r="Q9" i="27"/>
  <c r="Q10" i="27" s="1"/>
  <c r="R9" i="27"/>
  <c r="R10" i="27" s="1"/>
  <c r="S9" i="27"/>
  <c r="S10" i="27" s="1"/>
  <c r="T9" i="27"/>
  <c r="T10" i="27" s="1"/>
  <c r="T12" i="27" s="1"/>
  <c r="T2" i="27" s="1"/>
  <c r="L9" i="27"/>
  <c r="L10" i="27" s="1"/>
  <c r="K9" i="27"/>
  <c r="K10" i="27" s="1"/>
  <c r="J9" i="27"/>
  <c r="J10" i="27" s="1"/>
  <c r="K12" i="27" l="1"/>
  <c r="K2" i="27" s="1"/>
  <c r="K11" i="27"/>
  <c r="L12" i="27"/>
  <c r="L2" i="27" s="1"/>
  <c r="L11" i="27"/>
  <c r="P12" i="27"/>
  <c r="P2" i="27" s="1"/>
  <c r="P11" i="27"/>
  <c r="U10" i="27"/>
  <c r="U12" i="27" s="1"/>
  <c r="R12" i="27"/>
  <c r="R2" i="27" s="1"/>
  <c r="R11" i="27"/>
  <c r="N12" i="27"/>
  <c r="N2" i="27" s="1"/>
  <c r="N11" i="27"/>
  <c r="Q12" i="27"/>
  <c r="Q2" i="27" s="1"/>
  <c r="Q11" i="27"/>
  <c r="M12" i="27"/>
  <c r="M2" i="27" s="1"/>
  <c r="M11" i="27"/>
  <c r="J12" i="27"/>
  <c r="J2" i="27" s="1"/>
  <c r="J11" i="27"/>
  <c r="S12" i="27"/>
  <c r="S2" i="27" s="1"/>
  <c r="S11" i="27"/>
  <c r="O12" i="27"/>
  <c r="O2" i="27" s="1"/>
  <c r="O11" i="27"/>
  <c r="T11" i="27"/>
  <c r="Q11" i="25"/>
  <c r="Q12" i="25"/>
  <c r="Q13" i="25"/>
  <c r="Q14" i="25"/>
  <c r="Q15" i="25"/>
  <c r="Q16" i="25"/>
  <c r="Q17" i="25"/>
  <c r="R17" i="25" s="1"/>
  <c r="AE2" i="25" s="1"/>
  <c r="Q18" i="25"/>
  <c r="Q19" i="25"/>
  <c r="Q20" i="25"/>
  <c r="Q21" i="25"/>
  <c r="R21" i="25" s="1"/>
  <c r="AI2" i="25" s="1"/>
  <c r="Q22" i="25"/>
  <c r="Q23" i="25"/>
  <c r="Q24" i="25"/>
  <c r="Q25" i="25"/>
  <c r="Q26" i="25"/>
  <c r="Q10" i="25"/>
  <c r="U2" i="27" l="1"/>
  <c r="V2" i="27"/>
  <c r="U11" i="27"/>
  <c r="E3" i="9"/>
  <c r="F3" i="9"/>
  <c r="G3" i="9"/>
  <c r="H3" i="9"/>
  <c r="I3" i="9"/>
  <c r="E2" i="9"/>
  <c r="S72" i="9" l="1"/>
  <c r="U4" i="9" s="1"/>
  <c r="S52" i="9"/>
  <c r="S71" i="9" s="1"/>
  <c r="U3" i="9" s="1"/>
  <c r="S51" i="9"/>
  <c r="T70" i="9"/>
  <c r="V2" i="9" s="1"/>
  <c r="T71" i="9"/>
  <c r="V3" i="9" s="1"/>
  <c r="T72" i="9"/>
  <c r="V4" i="9" s="1"/>
  <c r="R72" i="9"/>
  <c r="T4" i="9" s="1"/>
  <c r="R52" i="9"/>
  <c r="R71" i="9" s="1"/>
  <c r="T3" i="9" s="1"/>
  <c r="R51" i="9"/>
  <c r="R70" i="9" s="1"/>
  <c r="T2" i="9" s="1"/>
  <c r="R54" i="9" l="1"/>
  <c r="T5" i="9"/>
  <c r="V5" i="9"/>
  <c r="S54" i="9"/>
  <c r="S70" i="9"/>
  <c r="U2" i="9" s="1"/>
  <c r="U5" i="9" s="1"/>
  <c r="G70" i="9"/>
  <c r="I2" i="9" s="1"/>
  <c r="I71" i="9"/>
  <c r="K3" i="9" s="1"/>
  <c r="I70" i="9"/>
  <c r="K2" i="9" s="1"/>
  <c r="D70" i="9"/>
  <c r="F2" i="9" s="1"/>
  <c r="I19" i="9"/>
  <c r="H19" i="9"/>
  <c r="G19" i="9"/>
  <c r="D9" i="9"/>
  <c r="U3" i="23" l="1"/>
  <c r="U70" i="9" l="1"/>
  <c r="W2" i="9" s="1"/>
  <c r="U71" i="9"/>
  <c r="W3" i="9" s="1"/>
  <c r="U72" i="9"/>
  <c r="W4" i="9" s="1"/>
  <c r="W5" i="9" l="1"/>
  <c r="U73" i="9"/>
  <c r="U77" i="9"/>
  <c r="U78" i="9"/>
  <c r="U79" i="9"/>
  <c r="U67" i="9"/>
  <c r="U80" i="9" l="1"/>
  <c r="V28" i="18"/>
  <c r="L28" i="18"/>
  <c r="J28" i="18"/>
  <c r="I28" i="18"/>
  <c r="G28" i="18"/>
  <c r="K28" i="18" s="1"/>
  <c r="V27" i="18"/>
  <c r="L27" i="18"/>
  <c r="J27" i="18"/>
  <c r="I27" i="18"/>
  <c r="K27" i="18"/>
  <c r="V26" i="18"/>
  <c r="V30" i="18" s="1"/>
  <c r="V4" i="18" s="1"/>
  <c r="V3" i="18" s="1"/>
  <c r="L26" i="18"/>
  <c r="J26" i="18"/>
  <c r="I26" i="18"/>
  <c r="G26" i="18"/>
  <c r="K26" i="18" s="1"/>
  <c r="I25" i="18"/>
  <c r="I24" i="18"/>
  <c r="W23" i="18"/>
  <c r="L23" i="18"/>
  <c r="J23" i="18"/>
  <c r="I23" i="18"/>
  <c r="G23" i="18"/>
  <c r="K23" i="18" s="1"/>
  <c r="I22" i="18"/>
  <c r="W21" i="18"/>
  <c r="L21" i="18"/>
  <c r="J21" i="18"/>
  <c r="I21" i="18"/>
  <c r="G21" i="18"/>
  <c r="K21" i="18" s="1"/>
  <c r="I20" i="18"/>
  <c r="W19" i="18"/>
  <c r="L19" i="18"/>
  <c r="J19" i="18"/>
  <c r="I19" i="18"/>
  <c r="G19" i="18"/>
  <c r="K19" i="18" s="1"/>
  <c r="I18" i="18"/>
  <c r="L17" i="18"/>
  <c r="J17" i="18"/>
  <c r="I17" i="18"/>
  <c r="G17" i="18"/>
  <c r="K17" i="18" s="1"/>
  <c r="I16" i="18"/>
  <c r="L15" i="18"/>
  <c r="J15" i="18"/>
  <c r="I15" i="18"/>
  <c r="G15" i="18"/>
  <c r="K15" i="18" s="1"/>
  <c r="I14" i="18"/>
  <c r="L13" i="18"/>
  <c r="J13" i="18"/>
  <c r="I13" i="18"/>
  <c r="G13" i="18"/>
  <c r="K13" i="18" s="1"/>
  <c r="B4" i="18" l="1"/>
  <c r="Q4" i="18"/>
  <c r="Q3" i="18" s="1"/>
  <c r="O4" i="18"/>
  <c r="O3" i="18" s="1"/>
  <c r="H4" i="18"/>
  <c r="H3" i="18" s="1"/>
  <c r="D4" i="18" l="1"/>
  <c r="D3" i="18" s="1"/>
  <c r="C4" i="18"/>
  <c r="C3" i="18" s="1"/>
  <c r="B3" i="18"/>
  <c r="L4" i="18"/>
  <c r="L3" i="18" s="1"/>
  <c r="F4" i="18"/>
  <c r="F3" i="18" s="1"/>
  <c r="J4" i="18"/>
  <c r="J3" i="18" s="1"/>
  <c r="P4" i="18"/>
  <c r="P3" i="18" s="1"/>
  <c r="N4" i="18"/>
  <c r="N3" i="18" s="1"/>
  <c r="I4" i="18"/>
  <c r="I3" i="18" s="1"/>
  <c r="K4" i="18"/>
  <c r="K3" i="18" s="1"/>
  <c r="M4" i="18"/>
  <c r="M3" i="18" s="1"/>
  <c r="G4" i="18"/>
  <c r="G3" i="18" s="1"/>
  <c r="R4" i="18"/>
  <c r="R3" i="18" s="1"/>
  <c r="U4" i="18"/>
  <c r="U3" i="18" s="1"/>
  <c r="S4" i="18"/>
  <c r="S3" i="18" s="1"/>
  <c r="T4" i="18"/>
  <c r="T3" i="18" s="1"/>
  <c r="T68" i="2" l="1"/>
  <c r="U68" i="2"/>
  <c r="M68" i="2"/>
  <c r="N68" i="2"/>
  <c r="O68" i="2"/>
  <c r="P68" i="2"/>
  <c r="Q68" i="2"/>
  <c r="R68" i="2"/>
  <c r="S68" i="2"/>
  <c r="U4" i="2" l="1"/>
  <c r="T4" i="2"/>
  <c r="S4" i="2"/>
  <c r="O4" i="2"/>
  <c r="P4" i="2"/>
  <c r="Q4" i="2"/>
  <c r="R4" i="2"/>
  <c r="F4" i="2"/>
  <c r="G4" i="2"/>
  <c r="H4" i="2"/>
  <c r="I4" i="2"/>
  <c r="J4" i="2"/>
  <c r="K4" i="2"/>
  <c r="L4" i="2"/>
  <c r="M4" i="2"/>
  <c r="N4" i="2"/>
  <c r="E4" i="2"/>
  <c r="E5" i="2" l="1"/>
  <c r="F5" i="2"/>
  <c r="G5" i="2"/>
  <c r="H5" i="2"/>
  <c r="I5" i="2"/>
  <c r="J5" i="2"/>
  <c r="K5" i="2"/>
  <c r="F5" i="18" l="1"/>
  <c r="G5" i="18"/>
  <c r="H5" i="18"/>
  <c r="I5" i="18"/>
  <c r="J5" i="18"/>
  <c r="K5" i="18"/>
  <c r="L5" i="18"/>
  <c r="M5" i="18"/>
  <c r="N5" i="18"/>
  <c r="O5" i="18"/>
  <c r="P5" i="18"/>
  <c r="Q5" i="18"/>
  <c r="R5" i="18"/>
  <c r="S5" i="18"/>
  <c r="T5" i="18"/>
  <c r="U5" i="18"/>
  <c r="B6" i="18"/>
  <c r="Q47" i="9" l="1"/>
  <c r="R22" i="25" l="1"/>
  <c r="AJ2" i="25" s="1"/>
  <c r="G22" i="25"/>
  <c r="G21" i="25"/>
  <c r="G20" i="25"/>
  <c r="G19" i="25"/>
  <c r="C18" i="25"/>
  <c r="R18" i="25" s="1"/>
  <c r="AF2" i="25" s="1"/>
  <c r="G18" i="25"/>
  <c r="G17" i="25"/>
  <c r="G16" i="25"/>
  <c r="G15" i="25"/>
  <c r="G14" i="25"/>
  <c r="G13" i="25"/>
  <c r="G12" i="25"/>
  <c r="G11" i="25"/>
  <c r="G10" i="25"/>
  <c r="G9" i="25"/>
  <c r="C19" i="25" l="1"/>
  <c r="R19" i="25" s="1"/>
  <c r="AG2" i="25" s="1"/>
  <c r="C23" i="25"/>
  <c r="R23" i="25" s="1"/>
  <c r="AK2" i="25" s="1"/>
  <c r="C24" i="25" l="1"/>
  <c r="R24" i="25" s="1"/>
  <c r="AL2" i="25" s="1"/>
  <c r="C20" i="25"/>
  <c r="R20" i="25" s="1"/>
  <c r="AH2" i="25" s="1"/>
  <c r="C25" i="25" l="1"/>
  <c r="R25" i="25" l="1"/>
  <c r="AM2" i="25" s="1"/>
  <c r="C26" i="25"/>
  <c r="R26" i="25"/>
  <c r="AN2" i="25" s="1"/>
  <c r="L362" i="19" l="1"/>
  <c r="K362" i="19"/>
  <c r="J362" i="19"/>
  <c r="L361" i="19"/>
  <c r="Q360" i="19" s="1"/>
  <c r="AQ22" i="19" s="1"/>
  <c r="U3" i="19" s="1"/>
  <c r="K361" i="19"/>
  <c r="J361" i="19"/>
  <c r="L360" i="19"/>
  <c r="K360" i="19"/>
  <c r="S360" i="19" s="1"/>
  <c r="AQ24" i="19" s="1"/>
  <c r="U5" i="19" s="1"/>
  <c r="J360" i="19"/>
  <c r="U360" i="19" s="1"/>
  <c r="AQ26" i="19" s="1"/>
  <c r="L341" i="19"/>
  <c r="K341" i="19"/>
  <c r="J341" i="19"/>
  <c r="L340" i="19"/>
  <c r="K340" i="19"/>
  <c r="J340" i="19"/>
  <c r="AP57" i="19" s="1"/>
  <c r="L339" i="19"/>
  <c r="P339" i="19" s="1"/>
  <c r="AP21" i="19" s="1"/>
  <c r="K339" i="19"/>
  <c r="S339" i="19" s="1"/>
  <c r="AP24" i="19" s="1"/>
  <c r="T5" i="19" s="1"/>
  <c r="J339" i="19"/>
  <c r="L320" i="19"/>
  <c r="K320" i="19"/>
  <c r="J320" i="19"/>
  <c r="L319" i="19"/>
  <c r="K319" i="19"/>
  <c r="J319" i="19"/>
  <c r="L318" i="19"/>
  <c r="K318" i="19"/>
  <c r="J318" i="19"/>
  <c r="L299" i="19"/>
  <c r="K299" i="19"/>
  <c r="J299" i="19"/>
  <c r="AN59" i="19" s="1"/>
  <c r="L298" i="19"/>
  <c r="Q297" i="19" s="1"/>
  <c r="AN22" i="19" s="1"/>
  <c r="R3" i="19" s="1"/>
  <c r="K298" i="19"/>
  <c r="J298" i="19"/>
  <c r="L297" i="19"/>
  <c r="K297" i="19"/>
  <c r="S297" i="19" s="1"/>
  <c r="AN24" i="19" s="1"/>
  <c r="R5" i="19" s="1"/>
  <c r="J297" i="19"/>
  <c r="L278" i="19"/>
  <c r="K278" i="19"/>
  <c r="J278" i="19"/>
  <c r="AM59" i="19" s="1"/>
  <c r="L277" i="19"/>
  <c r="Q276" i="19" s="1"/>
  <c r="AM22" i="19" s="1"/>
  <c r="Q3" i="19" s="1"/>
  <c r="K277" i="19"/>
  <c r="J277" i="19"/>
  <c r="L276" i="19"/>
  <c r="K276" i="19"/>
  <c r="S276" i="19" s="1"/>
  <c r="AM24" i="19" s="1"/>
  <c r="Q5" i="19" s="1"/>
  <c r="J276" i="19"/>
  <c r="U276" i="19" s="1"/>
  <c r="AM26" i="19" s="1"/>
  <c r="L257" i="19"/>
  <c r="K257" i="19"/>
  <c r="J257" i="19"/>
  <c r="L256" i="19"/>
  <c r="Q255" i="19" s="1"/>
  <c r="AL22" i="19" s="1"/>
  <c r="P3" i="19" s="1"/>
  <c r="K256" i="19"/>
  <c r="J256" i="19"/>
  <c r="L255" i="19"/>
  <c r="K255" i="19"/>
  <c r="J255" i="19"/>
  <c r="L236" i="19"/>
  <c r="K236" i="19"/>
  <c r="J236" i="19"/>
  <c r="L235" i="19"/>
  <c r="K235" i="19"/>
  <c r="J235" i="19"/>
  <c r="AK57" i="19" s="1"/>
  <c r="L234" i="19"/>
  <c r="K234" i="19"/>
  <c r="J234" i="19"/>
  <c r="L215" i="19"/>
  <c r="K215" i="19"/>
  <c r="J215" i="19"/>
  <c r="L214" i="19"/>
  <c r="Q213" i="19" s="1"/>
  <c r="AJ22" i="19" s="1"/>
  <c r="N3" i="19" s="1"/>
  <c r="K214" i="19"/>
  <c r="J214" i="19"/>
  <c r="L213" i="19"/>
  <c r="K213" i="19"/>
  <c r="S213" i="19" s="1"/>
  <c r="AJ24" i="19" s="1"/>
  <c r="N5" i="19" s="1"/>
  <c r="J213" i="19"/>
  <c r="L194" i="19"/>
  <c r="K194" i="19"/>
  <c r="J194" i="19"/>
  <c r="AI59" i="19" s="1"/>
  <c r="L193" i="19"/>
  <c r="Q192" i="19" s="1"/>
  <c r="AI22" i="19" s="1"/>
  <c r="M3" i="19" s="1"/>
  <c r="K193" i="19"/>
  <c r="J193" i="19"/>
  <c r="L192" i="19"/>
  <c r="K192" i="19"/>
  <c r="S192" i="19" s="1"/>
  <c r="AI24" i="19" s="1"/>
  <c r="M5" i="19" s="1"/>
  <c r="J192" i="19"/>
  <c r="U192" i="19" s="1"/>
  <c r="AI26" i="19" s="1"/>
  <c r="L173" i="19"/>
  <c r="K173" i="19"/>
  <c r="J173" i="19"/>
  <c r="AH59" i="19" s="1"/>
  <c r="L172" i="19"/>
  <c r="Q171" i="19" s="1"/>
  <c r="AH22" i="19" s="1"/>
  <c r="L3" i="19" s="1"/>
  <c r="K172" i="19"/>
  <c r="J172" i="19"/>
  <c r="AH57" i="19" s="1"/>
  <c r="L171" i="19"/>
  <c r="P171" i="19" s="1"/>
  <c r="AH21" i="19" s="1"/>
  <c r="K171" i="19"/>
  <c r="J171" i="19"/>
  <c r="L152" i="19"/>
  <c r="K152" i="19"/>
  <c r="J152" i="19"/>
  <c r="L151" i="19"/>
  <c r="Q150" i="19" s="1"/>
  <c r="AG22" i="19" s="1"/>
  <c r="K3" i="19" s="1"/>
  <c r="K151" i="19"/>
  <c r="J151" i="19"/>
  <c r="L150" i="19"/>
  <c r="K150" i="19"/>
  <c r="J150" i="19"/>
  <c r="L131" i="19"/>
  <c r="K131" i="19"/>
  <c r="J131" i="19"/>
  <c r="L130" i="19"/>
  <c r="Q129" i="19" s="1"/>
  <c r="AF22" i="19" s="1"/>
  <c r="J3" i="19" s="1"/>
  <c r="K130" i="19"/>
  <c r="J130" i="19"/>
  <c r="L129" i="19"/>
  <c r="K129" i="19"/>
  <c r="S129" i="19" s="1"/>
  <c r="AF24" i="19" s="1"/>
  <c r="J5" i="19" s="1"/>
  <c r="J129" i="19"/>
  <c r="L110" i="19"/>
  <c r="K110" i="19"/>
  <c r="J110" i="19"/>
  <c r="AE59" i="19" s="1"/>
  <c r="L109" i="19"/>
  <c r="Q108" i="19" s="1"/>
  <c r="AE22" i="19" s="1"/>
  <c r="I3" i="19" s="1"/>
  <c r="K109" i="19"/>
  <c r="J109" i="19"/>
  <c r="L108" i="19"/>
  <c r="K108" i="19"/>
  <c r="S108" i="19" s="1"/>
  <c r="AE24" i="19" s="1"/>
  <c r="I5" i="19" s="1"/>
  <c r="J108" i="19"/>
  <c r="U108" i="19" s="1"/>
  <c r="AE26" i="19" s="1"/>
  <c r="L89" i="19"/>
  <c r="K89" i="19"/>
  <c r="J89" i="19"/>
  <c r="L88" i="19"/>
  <c r="K88" i="19"/>
  <c r="J88" i="19"/>
  <c r="L87" i="19"/>
  <c r="P87" i="19" s="1"/>
  <c r="AD21" i="19" s="1"/>
  <c r="K87" i="19"/>
  <c r="J87" i="19"/>
  <c r="U87" i="19" s="1"/>
  <c r="AD26" i="19" s="1"/>
  <c r="L68" i="19"/>
  <c r="K68" i="19"/>
  <c r="J68" i="19"/>
  <c r="AC59" i="19" s="1"/>
  <c r="L67" i="19"/>
  <c r="Q66" i="19" s="1"/>
  <c r="AC22" i="19" s="1"/>
  <c r="G3" i="19" s="1"/>
  <c r="K67" i="19"/>
  <c r="J67" i="19"/>
  <c r="L66" i="19"/>
  <c r="P66" i="19" s="1"/>
  <c r="AC21" i="19" s="1"/>
  <c r="G2" i="19" s="1"/>
  <c r="K66" i="19"/>
  <c r="S66" i="19" s="1"/>
  <c r="AC24" i="19" s="1"/>
  <c r="G5" i="19" s="1"/>
  <c r="J66" i="19"/>
  <c r="U66" i="19" s="1"/>
  <c r="AC26" i="19" s="1"/>
  <c r="AF57" i="19"/>
  <c r="L47" i="19"/>
  <c r="K47" i="19"/>
  <c r="J47" i="19"/>
  <c r="L46" i="19"/>
  <c r="K46" i="19"/>
  <c r="J46" i="19"/>
  <c r="AB57" i="19" s="1"/>
  <c r="L45" i="19"/>
  <c r="P45" i="19" s="1"/>
  <c r="AB21" i="19" s="1"/>
  <c r="F2" i="19" s="1"/>
  <c r="K45" i="19"/>
  <c r="J45" i="19"/>
  <c r="L26" i="19"/>
  <c r="K26" i="19"/>
  <c r="J26" i="19"/>
  <c r="L25" i="19"/>
  <c r="Q24" i="19" s="1"/>
  <c r="AA22" i="19" s="1"/>
  <c r="E3" i="19" s="1"/>
  <c r="K25" i="19"/>
  <c r="J25" i="19"/>
  <c r="AA57" i="19" s="1"/>
  <c r="L24" i="19"/>
  <c r="K24" i="19"/>
  <c r="S24" i="19" s="1"/>
  <c r="AA24" i="19" s="1"/>
  <c r="E5" i="19" s="1"/>
  <c r="U24" i="19"/>
  <c r="AA26" i="19" s="1"/>
  <c r="K30" i="19" l="1"/>
  <c r="BE5" i="19" s="1"/>
  <c r="N130" i="19"/>
  <c r="N298" i="19"/>
  <c r="AL58" i="19"/>
  <c r="I21" i="20"/>
  <c r="J21" i="20"/>
  <c r="AO56" i="19"/>
  <c r="N319" i="19"/>
  <c r="N340" i="19"/>
  <c r="E21" i="20"/>
  <c r="AB56" i="19"/>
  <c r="AB60" i="19" s="1"/>
  <c r="N46" i="19"/>
  <c r="L21" i="20"/>
  <c r="AI56" i="19"/>
  <c r="N193" i="19"/>
  <c r="AQ56" i="19"/>
  <c r="N361" i="19"/>
  <c r="K21" i="20"/>
  <c r="M21" i="20"/>
  <c r="U21" i="20"/>
  <c r="N67" i="19"/>
  <c r="N21" i="20"/>
  <c r="AK56" i="19"/>
  <c r="AK60" i="19" s="1"/>
  <c r="N235" i="19"/>
  <c r="Q21" i="20"/>
  <c r="AG56" i="19"/>
  <c r="N151" i="19"/>
  <c r="R21" i="20"/>
  <c r="AA56" i="19"/>
  <c r="N25" i="19"/>
  <c r="AH56" i="19"/>
  <c r="AH60" i="19" s="1"/>
  <c r="N172" i="19"/>
  <c r="AJ56" i="19"/>
  <c r="N214" i="19"/>
  <c r="G21" i="20"/>
  <c r="AD56" i="19"/>
  <c r="N88" i="19"/>
  <c r="N256" i="19"/>
  <c r="AE56" i="19"/>
  <c r="N109" i="19"/>
  <c r="P21" i="20"/>
  <c r="AM56" i="19"/>
  <c r="N277" i="19"/>
  <c r="T297" i="19"/>
  <c r="AN25" i="19" s="1"/>
  <c r="R6" i="19" s="1"/>
  <c r="T129" i="19"/>
  <c r="AF25" i="19" s="1"/>
  <c r="J6" i="19" s="1"/>
  <c r="AO58" i="19"/>
  <c r="AE58" i="19"/>
  <c r="AE61" i="19" s="1"/>
  <c r="AI58" i="19"/>
  <c r="AI61" i="19" s="1"/>
  <c r="K90" i="19"/>
  <c r="M67" i="19"/>
  <c r="AC58" i="19"/>
  <c r="AC61" i="19" s="1"/>
  <c r="AG58" i="19"/>
  <c r="M257" i="19"/>
  <c r="M297" i="19"/>
  <c r="J324" i="19"/>
  <c r="BD21" i="19" s="1"/>
  <c r="R24" i="19"/>
  <c r="AA23" i="19" s="1"/>
  <c r="E4" i="19" s="1"/>
  <c r="T150" i="19"/>
  <c r="AG25" i="19" s="1"/>
  <c r="K6" i="19" s="1"/>
  <c r="AK58" i="19"/>
  <c r="K300" i="19"/>
  <c r="T2" i="19"/>
  <c r="L2" i="19"/>
  <c r="H2" i="19"/>
  <c r="J49" i="19"/>
  <c r="AX6" i="19" s="1"/>
  <c r="AF56" i="19"/>
  <c r="AF60" i="19" s="1"/>
  <c r="M171" i="19"/>
  <c r="J217" i="19"/>
  <c r="AX16" i="19" s="1"/>
  <c r="J240" i="19"/>
  <c r="BD17" i="19" s="1"/>
  <c r="M362" i="19"/>
  <c r="AB58" i="19"/>
  <c r="R150" i="19"/>
  <c r="AG23" i="19" s="1"/>
  <c r="K4" i="19" s="1"/>
  <c r="J219" i="19"/>
  <c r="BD16" i="19" s="1"/>
  <c r="R234" i="19"/>
  <c r="AK23" i="19" s="1"/>
  <c r="O4" i="19" s="1"/>
  <c r="K321" i="19"/>
  <c r="J342" i="19"/>
  <c r="AP58" i="19"/>
  <c r="J366" i="19"/>
  <c r="BD23" i="19" s="1"/>
  <c r="AQ58" i="19"/>
  <c r="AA58" i="19"/>
  <c r="J135" i="19"/>
  <c r="BD12" i="19" s="1"/>
  <c r="L153" i="19"/>
  <c r="J322" i="19"/>
  <c r="AX21" i="19" s="1"/>
  <c r="J30" i="19"/>
  <c r="BD5" i="19" s="1"/>
  <c r="T24" i="19"/>
  <c r="AA25" i="19" s="1"/>
  <c r="E6" i="19" s="1"/>
  <c r="K174" i="19"/>
  <c r="J261" i="19"/>
  <c r="BD18" i="19" s="1"/>
  <c r="AJ57" i="19"/>
  <c r="AJ60" i="19" s="1"/>
  <c r="J133" i="19"/>
  <c r="AX12" i="19" s="1"/>
  <c r="M151" i="19"/>
  <c r="AO57" i="19"/>
  <c r="AQ59" i="19"/>
  <c r="K324" i="19"/>
  <c r="BE21" i="19" s="1"/>
  <c r="S8" i="19" s="1"/>
  <c r="M45" i="19"/>
  <c r="AN56" i="19"/>
  <c r="K114" i="19"/>
  <c r="BE9" i="19" s="1"/>
  <c r="I8" i="19" s="1"/>
  <c r="L132" i="19"/>
  <c r="K177" i="19"/>
  <c r="BE14" i="19" s="1"/>
  <c r="L8" i="19" s="1"/>
  <c r="J198" i="19"/>
  <c r="BD15" i="19" s="1"/>
  <c r="L216" i="19"/>
  <c r="L280" i="19"/>
  <c r="AZ19" i="19" s="1"/>
  <c r="M319" i="19"/>
  <c r="K345" i="19"/>
  <c r="BE22" i="19" s="1"/>
  <c r="T8" i="19" s="1"/>
  <c r="L90" i="19"/>
  <c r="AL59" i="19"/>
  <c r="R66" i="19"/>
  <c r="AC23" i="19" s="1"/>
  <c r="M89" i="19"/>
  <c r="M173" i="19"/>
  <c r="L301" i="19"/>
  <c r="AZ20" i="19" s="1"/>
  <c r="K322" i="19"/>
  <c r="AY21" i="19" s="1"/>
  <c r="M341" i="19"/>
  <c r="K48" i="19"/>
  <c r="L342" i="19"/>
  <c r="AG57" i="19"/>
  <c r="AG60" i="19" s="1"/>
  <c r="AH58" i="19"/>
  <c r="AH61" i="19" s="1"/>
  <c r="M194" i="19"/>
  <c r="T213" i="19"/>
  <c r="AJ25" i="19" s="1"/>
  <c r="N6" i="19" s="1"/>
  <c r="L237" i="19"/>
  <c r="K282" i="19"/>
  <c r="BE19" i="19" s="1"/>
  <c r="Q8" i="19" s="1"/>
  <c r="M318" i="19"/>
  <c r="T234" i="19"/>
  <c r="AK25" i="19" s="1"/>
  <c r="O6" i="19" s="1"/>
  <c r="K240" i="19"/>
  <c r="BE17" i="19" s="1"/>
  <c r="O8" i="19" s="1"/>
  <c r="M298" i="19"/>
  <c r="AM58" i="19"/>
  <c r="AM61" i="19" s="1"/>
  <c r="K133" i="19"/>
  <c r="AY12" i="19" s="1"/>
  <c r="L279" i="19"/>
  <c r="L27" i="19"/>
  <c r="L321" i="19"/>
  <c r="L91" i="19"/>
  <c r="AZ8" i="19" s="1"/>
  <c r="K217" i="19"/>
  <c r="AY16" i="19" s="1"/>
  <c r="AD58" i="19"/>
  <c r="L133" i="19"/>
  <c r="AZ12" i="19" s="1"/>
  <c r="L217" i="19"/>
  <c r="AZ16" i="19" s="1"/>
  <c r="K156" i="19"/>
  <c r="BE13" i="19" s="1"/>
  <c r="K8" i="19" s="1"/>
  <c r="K258" i="19"/>
  <c r="Q318" i="19"/>
  <c r="AO22" i="19" s="1"/>
  <c r="S3" i="19" s="1"/>
  <c r="L343" i="19"/>
  <c r="AZ22" i="19" s="1"/>
  <c r="T45" i="19"/>
  <c r="AB25" i="19" s="1"/>
  <c r="F6" i="19" s="1"/>
  <c r="J51" i="19"/>
  <c r="BD6" i="19" s="1"/>
  <c r="R87" i="19"/>
  <c r="AD23" i="19" s="1"/>
  <c r="H4" i="19" s="1"/>
  <c r="K112" i="19"/>
  <c r="AY9" i="19" s="1"/>
  <c r="M150" i="19"/>
  <c r="S171" i="19"/>
  <c r="AH24" i="19" s="1"/>
  <c r="L5" i="19" s="1"/>
  <c r="K196" i="19"/>
  <c r="AY15" i="19" s="1"/>
  <c r="M234" i="19"/>
  <c r="M235" i="19"/>
  <c r="M255" i="19"/>
  <c r="L259" i="19"/>
  <c r="AZ18" i="19" s="1"/>
  <c r="J301" i="19"/>
  <c r="AX20" i="19" s="1"/>
  <c r="R318" i="19"/>
  <c r="AO23" i="19" s="1"/>
  <c r="S4" i="19" s="1"/>
  <c r="L322" i="19"/>
  <c r="AZ21" i="19" s="1"/>
  <c r="K72" i="19"/>
  <c r="BE7" i="19" s="1"/>
  <c r="G8" i="19" s="1"/>
  <c r="K198" i="19"/>
  <c r="BE15" i="19" s="1"/>
  <c r="M8" i="19" s="1"/>
  <c r="M278" i="19"/>
  <c r="L49" i="19"/>
  <c r="AZ6" i="19" s="1"/>
  <c r="AJ59" i="19"/>
  <c r="J258" i="19"/>
  <c r="K366" i="19"/>
  <c r="BE23" i="19" s="1"/>
  <c r="U8" i="19" s="1"/>
  <c r="K49" i="19"/>
  <c r="AY6" i="19" s="1"/>
  <c r="AP56" i="19"/>
  <c r="AP60" i="19" s="1"/>
  <c r="M339" i="19"/>
  <c r="K51" i="19"/>
  <c r="BE6" i="19" s="1"/>
  <c r="F8" i="19" s="1"/>
  <c r="AL57" i="19"/>
  <c r="J69" i="19"/>
  <c r="AD59" i="19"/>
  <c r="J70" i="19"/>
  <c r="AX7" i="19" s="1"/>
  <c r="S87" i="19"/>
  <c r="AD24" i="19" s="1"/>
  <c r="H5" i="19" s="1"/>
  <c r="M110" i="19"/>
  <c r="M130" i="19"/>
  <c r="K153" i="19"/>
  <c r="J154" i="19"/>
  <c r="AX13" i="19" s="1"/>
  <c r="J177" i="19"/>
  <c r="BD14" i="19" s="1"/>
  <c r="L195" i="19"/>
  <c r="L196" i="19"/>
  <c r="AZ15" i="19" s="1"/>
  <c r="M214" i="19"/>
  <c r="K237" i="19"/>
  <c r="J238" i="19"/>
  <c r="AX17" i="19" s="1"/>
  <c r="P255" i="19"/>
  <c r="AL21" i="19" s="1"/>
  <c r="L300" i="19"/>
  <c r="K301" i="19"/>
  <c r="AY20" i="19" s="1"/>
  <c r="T318" i="19"/>
  <c r="AO25" i="19" s="1"/>
  <c r="S6" i="19" s="1"/>
  <c r="R339" i="19"/>
  <c r="AP23" i="19" s="1"/>
  <c r="T4" i="19" s="1"/>
  <c r="L364" i="19"/>
  <c r="AZ23" i="19" s="1"/>
  <c r="L175" i="19"/>
  <c r="AZ14" i="19" s="1"/>
  <c r="M87" i="19"/>
  <c r="L28" i="19"/>
  <c r="AZ5" i="19" s="1"/>
  <c r="AN57" i="19"/>
  <c r="AP59" i="19"/>
  <c r="J90" i="19"/>
  <c r="L111" i="19"/>
  <c r="J111" i="19"/>
  <c r="K132" i="19"/>
  <c r="J196" i="19"/>
  <c r="AX15" i="19" s="1"/>
  <c r="K216" i="19"/>
  <c r="R255" i="19"/>
  <c r="AL23" i="19" s="1"/>
  <c r="P4" i="19" s="1"/>
  <c r="L258" i="19"/>
  <c r="K261" i="19"/>
  <c r="BE18" i="19" s="1"/>
  <c r="P8" i="19" s="1"/>
  <c r="K342" i="19"/>
  <c r="T66" i="19"/>
  <c r="AC25" i="19" s="1"/>
  <c r="G6" i="19" s="1"/>
  <c r="J280" i="19"/>
  <c r="AX19" i="19" s="1"/>
  <c r="AC56" i="19"/>
  <c r="AC57" i="19"/>
  <c r="AA60" i="19"/>
  <c r="M46" i="19"/>
  <c r="AL56" i="19"/>
  <c r="AD57" i="19"/>
  <c r="L69" i="19"/>
  <c r="AF59" i="19"/>
  <c r="L70" i="19"/>
  <c r="AZ7" i="19" s="1"/>
  <c r="K93" i="19"/>
  <c r="BE8" i="19" s="1"/>
  <c r="H8" i="19" s="1"/>
  <c r="M129" i="19"/>
  <c r="L154" i="19"/>
  <c r="AZ13" i="19" s="1"/>
  <c r="R192" i="19"/>
  <c r="AI23" i="19" s="1"/>
  <c r="M4" i="19" s="1"/>
  <c r="M213" i="19"/>
  <c r="Q234" i="19"/>
  <c r="AK22" i="19" s="1"/>
  <c r="O3" i="19" s="1"/>
  <c r="L238" i="19"/>
  <c r="AZ17" i="19" s="1"/>
  <c r="S255" i="19"/>
  <c r="AL24" i="19" s="1"/>
  <c r="P5" i="19" s="1"/>
  <c r="K280" i="19"/>
  <c r="AY19" i="19" s="1"/>
  <c r="J303" i="19"/>
  <c r="BD20" i="19" s="1"/>
  <c r="J345" i="19"/>
  <c r="BD22" i="19" s="1"/>
  <c r="L363" i="19"/>
  <c r="K70" i="19"/>
  <c r="AY7" i="19" s="1"/>
  <c r="K154" i="19"/>
  <c r="AY13" i="19" s="1"/>
  <c r="L174" i="19"/>
  <c r="J363" i="19"/>
  <c r="M24" i="19"/>
  <c r="M25" i="19"/>
  <c r="S45" i="19"/>
  <c r="AB24" i="19" s="1"/>
  <c r="F5" i="19" s="1"/>
  <c r="AE57" i="19"/>
  <c r="AE60" i="19" s="1"/>
  <c r="AM57" i="19"/>
  <c r="AA59" i="19"/>
  <c r="Q87" i="19"/>
  <c r="AD22" i="19" s="1"/>
  <c r="H3" i="19" s="1"/>
  <c r="M88" i="19"/>
  <c r="J91" i="19"/>
  <c r="AX8" i="19" s="1"/>
  <c r="M108" i="19"/>
  <c r="K111" i="19"/>
  <c r="U129" i="19"/>
  <c r="AF26" i="19" s="1"/>
  <c r="M131" i="19"/>
  <c r="K135" i="19"/>
  <c r="BE12" i="19" s="1"/>
  <c r="J8" i="19" s="1"/>
  <c r="S150" i="19"/>
  <c r="AG24" i="19" s="1"/>
  <c r="K5" i="19" s="1"/>
  <c r="M172" i="19"/>
  <c r="J175" i="19"/>
  <c r="AX14" i="19" s="1"/>
  <c r="M192" i="19"/>
  <c r="K195" i="19"/>
  <c r="U213" i="19"/>
  <c r="AJ26" i="19" s="1"/>
  <c r="M215" i="19"/>
  <c r="K219" i="19"/>
  <c r="BE16" i="19" s="1"/>
  <c r="N8" i="19" s="1"/>
  <c r="S234" i="19"/>
  <c r="AK24" i="19" s="1"/>
  <c r="O5" i="19" s="1"/>
  <c r="M256" i="19"/>
  <c r="J259" i="19"/>
  <c r="AX18" i="19" s="1"/>
  <c r="M276" i="19"/>
  <c r="K279" i="19"/>
  <c r="U297" i="19"/>
  <c r="AN26" i="19" s="1"/>
  <c r="M299" i="19"/>
  <c r="K303" i="19"/>
  <c r="BE20" i="19" s="1"/>
  <c r="R8" i="19" s="1"/>
  <c r="S318" i="19"/>
  <c r="AO24" i="19" s="1"/>
  <c r="S5" i="19" s="1"/>
  <c r="Q339" i="19"/>
  <c r="AP22" i="19" s="1"/>
  <c r="T3" i="19" s="1"/>
  <c r="M340" i="19"/>
  <c r="J343" i="19"/>
  <c r="AX22" i="19" s="1"/>
  <c r="M360" i="19"/>
  <c r="K363" i="19"/>
  <c r="K238" i="19"/>
  <c r="AY17" i="19" s="1"/>
  <c r="J27" i="19"/>
  <c r="M66" i="19"/>
  <c r="AB59" i="19"/>
  <c r="M68" i="19"/>
  <c r="J72" i="19"/>
  <c r="BD7" i="19" s="1"/>
  <c r="K91" i="19"/>
  <c r="AY8" i="19" s="1"/>
  <c r="P108" i="19"/>
  <c r="AE21" i="19" s="1"/>
  <c r="J132" i="19"/>
  <c r="J156" i="19"/>
  <c r="BD13" i="19" s="1"/>
  <c r="R171" i="19"/>
  <c r="AH23" i="19" s="1"/>
  <c r="L4" i="19" s="1"/>
  <c r="K175" i="19"/>
  <c r="AY14" i="19" s="1"/>
  <c r="P192" i="19"/>
  <c r="AI21" i="19" s="1"/>
  <c r="J216" i="19"/>
  <c r="K259" i="19"/>
  <c r="AY18" i="19" s="1"/>
  <c r="P276" i="19"/>
  <c r="AM21" i="19" s="1"/>
  <c r="J300" i="19"/>
  <c r="K343" i="19"/>
  <c r="AY22" i="19" s="1"/>
  <c r="P360" i="19"/>
  <c r="AQ21" i="19" s="1"/>
  <c r="R45" i="19"/>
  <c r="AB23" i="19" s="1"/>
  <c r="F4" i="19" s="1"/>
  <c r="M26" i="19"/>
  <c r="K27" i="19"/>
  <c r="J28" i="19"/>
  <c r="AX5" i="19" s="1"/>
  <c r="U45" i="19"/>
  <c r="AB26" i="19" s="1"/>
  <c r="M47" i="19"/>
  <c r="AF58" i="19"/>
  <c r="AN58" i="19"/>
  <c r="AN61" i="19" s="1"/>
  <c r="AK59" i="19"/>
  <c r="M109" i="19"/>
  <c r="J112" i="19"/>
  <c r="AX9" i="19" s="1"/>
  <c r="U150" i="19"/>
  <c r="AG26" i="19" s="1"/>
  <c r="M152" i="19"/>
  <c r="M193" i="19"/>
  <c r="U234" i="19"/>
  <c r="AK26" i="19" s="1"/>
  <c r="M236" i="19"/>
  <c r="M277" i="19"/>
  <c r="U318" i="19"/>
  <c r="AO26" i="19" s="1"/>
  <c r="M320" i="19"/>
  <c r="M361" i="19"/>
  <c r="J364" i="19"/>
  <c r="AX23" i="19" s="1"/>
  <c r="J279" i="19"/>
  <c r="P24" i="19"/>
  <c r="AA21" i="19" s="1"/>
  <c r="K28" i="19"/>
  <c r="AY5" i="19" s="1"/>
  <c r="J48" i="19"/>
  <c r="T87" i="19"/>
  <c r="AD25" i="19" s="1"/>
  <c r="H6" i="19" s="1"/>
  <c r="J93" i="19"/>
  <c r="BD8" i="19" s="1"/>
  <c r="R108" i="19"/>
  <c r="AE23" i="19" s="1"/>
  <c r="I4" i="19" s="1"/>
  <c r="P129" i="19"/>
  <c r="AF21" i="19" s="1"/>
  <c r="J153" i="19"/>
  <c r="T171" i="19"/>
  <c r="AH25" i="19" s="1"/>
  <c r="L6" i="19" s="1"/>
  <c r="P213" i="19"/>
  <c r="AJ21" i="19" s="1"/>
  <c r="J237" i="19"/>
  <c r="T255" i="19"/>
  <c r="AL25" i="19" s="1"/>
  <c r="P6" i="19" s="1"/>
  <c r="R276" i="19"/>
  <c r="AM23" i="19" s="1"/>
  <c r="Q4" i="19" s="1"/>
  <c r="P297" i="19"/>
  <c r="AN21" i="19" s="1"/>
  <c r="J321" i="19"/>
  <c r="T339" i="19"/>
  <c r="AP25" i="19" s="1"/>
  <c r="T6" i="19" s="1"/>
  <c r="R360" i="19"/>
  <c r="AQ23" i="19" s="1"/>
  <c r="U4" i="19" s="1"/>
  <c r="K364" i="19"/>
  <c r="AY23" i="19" s="1"/>
  <c r="J195" i="19"/>
  <c r="AI57" i="19"/>
  <c r="AQ57" i="19"/>
  <c r="K69" i="19"/>
  <c r="L112" i="19"/>
  <c r="AZ9" i="19" s="1"/>
  <c r="BA9" i="19" s="1"/>
  <c r="I9" i="19" s="1"/>
  <c r="U171" i="19"/>
  <c r="AH26" i="19" s="1"/>
  <c r="U255" i="19"/>
  <c r="AL26" i="19" s="1"/>
  <c r="U339" i="19"/>
  <c r="AP26" i="19" s="1"/>
  <c r="L48" i="19"/>
  <c r="T108" i="19"/>
  <c r="AE25" i="19" s="1"/>
  <c r="I6" i="19" s="1"/>
  <c r="J114" i="19"/>
  <c r="BD9" i="19" s="1"/>
  <c r="R129" i="19"/>
  <c r="AF23" i="19" s="1"/>
  <c r="J4" i="19" s="1"/>
  <c r="P150" i="19"/>
  <c r="AG21" i="19" s="1"/>
  <c r="J174" i="19"/>
  <c r="T192" i="19"/>
  <c r="AI25" i="19" s="1"/>
  <c r="M6" i="19" s="1"/>
  <c r="R213" i="19"/>
  <c r="AJ23" i="19" s="1"/>
  <c r="N4" i="19" s="1"/>
  <c r="P234" i="19"/>
  <c r="AK21" i="19" s="1"/>
  <c r="T276" i="19"/>
  <c r="AM25" i="19" s="1"/>
  <c r="Q6" i="19" s="1"/>
  <c r="J282" i="19"/>
  <c r="BD19" i="19" s="1"/>
  <c r="R297" i="19"/>
  <c r="AN23" i="19" s="1"/>
  <c r="R4" i="19" s="1"/>
  <c r="P318" i="19"/>
  <c r="AO21" i="19" s="1"/>
  <c r="T360" i="19"/>
  <c r="AQ25" i="19" s="1"/>
  <c r="U6" i="19" s="1"/>
  <c r="Q45" i="19"/>
  <c r="AB22" i="19" s="1"/>
  <c r="F3" i="19" s="1"/>
  <c r="AJ58" i="19"/>
  <c r="AG59" i="19"/>
  <c r="AO59" i="19"/>
  <c r="AO60" i="19" l="1"/>
  <c r="F19" i="20"/>
  <c r="M19" i="20"/>
  <c r="AL61" i="19"/>
  <c r="T19" i="20"/>
  <c r="S19" i="20"/>
  <c r="O19" i="20"/>
  <c r="R19" i="20"/>
  <c r="N19" i="20"/>
  <c r="J19" i="20"/>
  <c r="I19" i="20"/>
  <c r="L19" i="20"/>
  <c r="H19" i="20"/>
  <c r="K19" i="20"/>
  <c r="U19" i="20"/>
  <c r="Q19" i="20"/>
  <c r="P19" i="20"/>
  <c r="AD60" i="19"/>
  <c r="AQ60" i="19"/>
  <c r="BA12" i="19"/>
  <c r="J9" i="19" s="1"/>
  <c r="N17" i="19"/>
  <c r="E19" i="20"/>
  <c r="N15" i="19"/>
  <c r="AM60" i="19"/>
  <c r="S20" i="20"/>
  <c r="O20" i="20"/>
  <c r="Q20" i="20"/>
  <c r="I20" i="20"/>
  <c r="AI60" i="19"/>
  <c r="P20" i="20"/>
  <c r="H20" i="20"/>
  <c r="J20" i="20"/>
  <c r="G20" i="20"/>
  <c r="N20" i="20"/>
  <c r="R20" i="20"/>
  <c r="T21" i="20"/>
  <c r="H21" i="20"/>
  <c r="F20" i="20"/>
  <c r="E20" i="20"/>
  <c r="F21" i="20"/>
  <c r="M20" i="20"/>
  <c r="L20" i="20"/>
  <c r="U20" i="20"/>
  <c r="T20" i="20"/>
  <c r="O21" i="20"/>
  <c r="S21" i="20"/>
  <c r="K20" i="20"/>
  <c r="AB61" i="19"/>
  <c r="BA15" i="19"/>
  <c r="M9" i="19" s="1"/>
  <c r="BA21" i="19"/>
  <c r="S9" i="19" s="1"/>
  <c r="AO61" i="19"/>
  <c r="AQ61" i="19"/>
  <c r="BA14" i="19"/>
  <c r="L9" i="19" s="1"/>
  <c r="BA22" i="19"/>
  <c r="T9" i="19" s="1"/>
  <c r="BA23" i="19"/>
  <c r="U9" i="19" s="1"/>
  <c r="BA8" i="19"/>
  <c r="H9" i="19" s="1"/>
  <c r="E8" i="19"/>
  <c r="BA13" i="19"/>
  <c r="K9" i="19" s="1"/>
  <c r="BA18" i="19"/>
  <c r="P9" i="19" s="1"/>
  <c r="BA16" i="19"/>
  <c r="N9" i="19" s="1"/>
  <c r="BA7" i="19"/>
  <c r="G9" i="19" s="1"/>
  <c r="BA6" i="19"/>
  <c r="F9" i="19" s="1"/>
  <c r="BA20" i="19"/>
  <c r="R9" i="19" s="1"/>
  <c r="BA19" i="19"/>
  <c r="Q9" i="19" s="1"/>
  <c r="BA17" i="19"/>
  <c r="O9" i="19" s="1"/>
  <c r="BA5" i="19"/>
  <c r="E9" i="19" s="1"/>
  <c r="AK61" i="19"/>
  <c r="AG61" i="19"/>
  <c r="AA61" i="19"/>
  <c r="AN60" i="19"/>
  <c r="K2" i="19"/>
  <c r="I2" i="19"/>
  <c r="R2" i="19"/>
  <c r="N2" i="19"/>
  <c r="U2" i="19"/>
  <c r="AP61" i="19"/>
  <c r="P2" i="19"/>
  <c r="S2" i="19"/>
  <c r="G4" i="19"/>
  <c r="E2" i="19"/>
  <c r="O2" i="19"/>
  <c r="J2" i="19"/>
  <c r="Q2" i="19"/>
  <c r="M2" i="19"/>
  <c r="AL60" i="19"/>
  <c r="AJ61" i="19"/>
  <c r="AC60" i="19"/>
  <c r="AF61" i="19"/>
  <c r="AD61" i="19"/>
  <c r="G19" i="20" l="1"/>
  <c r="H24" i="20" s="1"/>
  <c r="N24" i="20"/>
  <c r="S24" i="20"/>
  <c r="Q24" i="20"/>
  <c r="F24" i="20"/>
  <c r="O24" i="20"/>
  <c r="K24" i="20"/>
  <c r="T24" i="20"/>
  <c r="I24" i="20"/>
  <c r="O22" i="20"/>
  <c r="Q22" i="20"/>
  <c r="R24" i="20"/>
  <c r="K22" i="20"/>
  <c r="F22" i="20"/>
  <c r="J24" i="20"/>
  <c r="H22" i="20"/>
  <c r="L24" i="20"/>
  <c r="E22" i="20"/>
  <c r="M22" i="20"/>
  <c r="R22" i="20"/>
  <c r="L22" i="20"/>
  <c r="N22" i="20"/>
  <c r="U22" i="20"/>
  <c r="T22" i="20"/>
  <c r="G24" i="20"/>
  <c r="G22" i="20"/>
  <c r="J22" i="20"/>
  <c r="S22" i="20"/>
  <c r="I22" i="20"/>
  <c r="M24" i="20"/>
  <c r="P22" i="20"/>
  <c r="P24" i="20"/>
  <c r="R45" i="18"/>
  <c r="Q45" i="18"/>
  <c r="P45" i="18"/>
  <c r="N45" i="18"/>
  <c r="M45" i="18"/>
  <c r="L45" i="18"/>
  <c r="K45" i="18"/>
  <c r="J45" i="18"/>
  <c r="I45" i="18"/>
  <c r="H45" i="18"/>
  <c r="G45" i="18"/>
  <c r="F45" i="18"/>
  <c r="R43" i="18"/>
  <c r="Q43" i="18"/>
  <c r="P43" i="18"/>
  <c r="O43" i="18"/>
  <c r="M43" i="18"/>
  <c r="K43" i="18"/>
  <c r="I43" i="18"/>
  <c r="G43" i="18"/>
  <c r="E43" i="18"/>
  <c r="C43" i="18"/>
  <c r="R39" i="18"/>
  <c r="R47" i="18" s="1"/>
  <c r="Q39" i="18"/>
  <c r="Q47" i="18" s="1"/>
  <c r="N39" i="18"/>
  <c r="M47" i="18" s="1"/>
  <c r="L39" i="18"/>
  <c r="L47" i="18" s="1"/>
  <c r="J39" i="18"/>
  <c r="J47" i="18" s="1"/>
  <c r="H39" i="18"/>
  <c r="H47" i="18" s="1"/>
  <c r="F39" i="18"/>
  <c r="F47" i="18" s="1"/>
  <c r="D39" i="18"/>
  <c r="D47" i="18" s="1"/>
  <c r="R38" i="18"/>
  <c r="R46" i="18" s="1"/>
  <c r="Q38" i="18"/>
  <c r="Q46" i="18" s="1"/>
  <c r="M46" i="18"/>
  <c r="L38" i="18"/>
  <c r="L46" i="18" s="1"/>
  <c r="J38" i="18"/>
  <c r="I46" i="18" s="1"/>
  <c r="H38" i="18"/>
  <c r="H46" i="18" s="1"/>
  <c r="F38" i="18"/>
  <c r="E46" i="18" s="1"/>
  <c r="D38" i="18"/>
  <c r="D46" i="18" s="1"/>
  <c r="X22" i="20" l="1"/>
  <c r="O6" i="18"/>
  <c r="O8" i="18"/>
  <c r="H6" i="18"/>
  <c r="P6" i="18"/>
  <c r="F6" i="18"/>
  <c r="O7" i="18"/>
  <c r="G6" i="18"/>
  <c r="S7" i="18"/>
  <c r="T7" i="18"/>
  <c r="S8" i="18"/>
  <c r="I6" i="18"/>
  <c r="R6" i="18"/>
  <c r="N7" i="18"/>
  <c r="N8" i="18"/>
  <c r="U8" i="18"/>
  <c r="K6" i="18"/>
  <c r="T6" i="18"/>
  <c r="L8" i="18"/>
  <c r="F7" i="18"/>
  <c r="T8" i="18"/>
  <c r="J6" i="18"/>
  <c r="S6" i="18"/>
  <c r="F8" i="18"/>
  <c r="H8" i="18"/>
  <c r="L6" i="18"/>
  <c r="U6" i="18"/>
  <c r="N6" i="18"/>
  <c r="U7" i="18"/>
  <c r="G7" i="18"/>
  <c r="J7" i="18"/>
  <c r="K7" i="18"/>
  <c r="J8" i="18"/>
  <c r="M6" i="18"/>
  <c r="N47" i="18"/>
  <c r="P47" i="18"/>
  <c r="D48" i="18"/>
  <c r="L48" i="18"/>
  <c r="F46" i="18"/>
  <c r="N46" i="18"/>
  <c r="P46" i="18"/>
  <c r="E47" i="18"/>
  <c r="M48" i="18"/>
  <c r="H48" i="18"/>
  <c r="G47" i="18"/>
  <c r="R48" i="18"/>
  <c r="Q48" i="18"/>
  <c r="S48" i="18"/>
  <c r="G46" i="18"/>
  <c r="J46" i="18"/>
  <c r="I47" i="18"/>
  <c r="K46" i="18"/>
  <c r="K47" i="18"/>
  <c r="B27" i="20" l="1"/>
  <c r="B5" i="20" s="1"/>
  <c r="C6" i="18"/>
  <c r="C27" i="20" s="1"/>
  <c r="C5" i="20" s="1"/>
  <c r="D6" i="18"/>
  <c r="D27" i="20" s="1"/>
  <c r="D5" i="20" s="1"/>
  <c r="S33" i="20"/>
  <c r="S2" i="20" s="1"/>
  <c r="D30" i="20"/>
  <c r="D8" i="20" s="1"/>
  <c r="B30" i="20"/>
  <c r="B8" i="20" s="1"/>
  <c r="B35" i="20"/>
  <c r="B4" i="20" s="1"/>
  <c r="C30" i="20"/>
  <c r="C8" i="20" s="1"/>
  <c r="D35" i="20"/>
  <c r="D4" i="20" s="1"/>
  <c r="C34" i="20"/>
  <c r="C3" i="20" s="1"/>
  <c r="D34" i="20"/>
  <c r="D3" i="20" s="1"/>
  <c r="C35" i="20"/>
  <c r="C4" i="20" s="1"/>
  <c r="B34" i="20"/>
  <c r="B3" i="20" s="1"/>
  <c r="D33" i="20"/>
  <c r="D2" i="20" s="1"/>
  <c r="C33" i="20"/>
  <c r="C2" i="20" s="1"/>
  <c r="B33" i="20"/>
  <c r="B2" i="20" s="1"/>
  <c r="E34" i="20"/>
  <c r="E3" i="20" s="1"/>
  <c r="Q33" i="20"/>
  <c r="Q2" i="20" s="1"/>
  <c r="L34" i="20"/>
  <c r="L3" i="20" s="1"/>
  <c r="O34" i="20"/>
  <c r="O3" i="20" s="1"/>
  <c r="S35" i="20"/>
  <c r="S4" i="20" s="1"/>
  <c r="J33" i="20"/>
  <c r="J2" i="20" s="1"/>
  <c r="V34" i="20"/>
  <c r="V3" i="20" s="1"/>
  <c r="I35" i="20"/>
  <c r="I4" i="20" s="1"/>
  <c r="U33" i="20"/>
  <c r="U2" i="20" s="1"/>
  <c r="P34" i="20"/>
  <c r="P3" i="20" s="1"/>
  <c r="L35" i="20"/>
  <c r="L4" i="20" s="1"/>
  <c r="Q34" i="20"/>
  <c r="Q3" i="20" s="1"/>
  <c r="T35" i="20"/>
  <c r="T4" i="20" s="1"/>
  <c r="F35" i="20"/>
  <c r="F4" i="20" s="1"/>
  <c r="R33" i="20"/>
  <c r="R2" i="20" s="1"/>
  <c r="N33" i="20"/>
  <c r="N2" i="20" s="1"/>
  <c r="V35" i="20"/>
  <c r="V4" i="20" s="1"/>
  <c r="H34" i="20"/>
  <c r="H3" i="20" s="1"/>
  <c r="I34" i="20"/>
  <c r="I3" i="20" s="1"/>
  <c r="T33" i="20"/>
  <c r="T2" i="20" s="1"/>
  <c r="Q35" i="20"/>
  <c r="Q4" i="20" s="1"/>
  <c r="P35" i="20"/>
  <c r="P4" i="20" s="1"/>
  <c r="M34" i="20"/>
  <c r="M3" i="20" s="1"/>
  <c r="K34" i="20"/>
  <c r="K3" i="20" s="1"/>
  <c r="T34" i="20"/>
  <c r="T3" i="20" s="1"/>
  <c r="J34" i="20"/>
  <c r="J3" i="20" s="1"/>
  <c r="R35" i="20"/>
  <c r="R4" i="20" s="1"/>
  <c r="I33" i="20"/>
  <c r="I2" i="20" s="1"/>
  <c r="J35" i="20"/>
  <c r="J4" i="20" s="1"/>
  <c r="P33" i="20"/>
  <c r="P2" i="20" s="1"/>
  <c r="K35" i="20"/>
  <c r="K4" i="20" s="1"/>
  <c r="V33" i="20"/>
  <c r="V2" i="20" s="1"/>
  <c r="S34" i="20"/>
  <c r="S3" i="20" s="1"/>
  <c r="F34" i="20"/>
  <c r="F3" i="20" s="1"/>
  <c r="N34" i="20"/>
  <c r="N3" i="20" s="1"/>
  <c r="H33" i="20"/>
  <c r="H2" i="20" s="1"/>
  <c r="E33" i="20"/>
  <c r="E2" i="20" s="1"/>
  <c r="F33" i="20"/>
  <c r="F2" i="20" s="1"/>
  <c r="N35" i="20"/>
  <c r="N4" i="20" s="1"/>
  <c r="U35" i="20"/>
  <c r="U4" i="20" s="1"/>
  <c r="M33" i="20"/>
  <c r="M2" i="20" s="1"/>
  <c r="O35" i="20"/>
  <c r="O4" i="20" s="1"/>
  <c r="G34" i="20"/>
  <c r="G3" i="20" s="1"/>
  <c r="G33" i="20"/>
  <c r="G2" i="20" s="1"/>
  <c r="K33" i="20"/>
  <c r="K2" i="20" s="1"/>
  <c r="O33" i="20"/>
  <c r="O2" i="20" s="1"/>
  <c r="M35" i="20"/>
  <c r="M4" i="20" s="1"/>
  <c r="U34" i="20"/>
  <c r="U3" i="20" s="1"/>
  <c r="H35" i="20"/>
  <c r="H4" i="20" s="1"/>
  <c r="R34" i="20"/>
  <c r="R3" i="20" s="1"/>
  <c r="E35" i="20"/>
  <c r="E4" i="20" s="1"/>
  <c r="G35" i="20"/>
  <c r="G4" i="20" s="1"/>
  <c r="L33" i="20"/>
  <c r="L2" i="20" s="1"/>
  <c r="F30" i="20"/>
  <c r="F8" i="20" s="1"/>
  <c r="T28" i="20"/>
  <c r="T6" i="20" s="1"/>
  <c r="U28" i="20"/>
  <c r="U6" i="20" s="1"/>
  <c r="G30" i="20"/>
  <c r="G8" i="20" s="1"/>
  <c r="O30" i="20"/>
  <c r="O8" i="20" s="1"/>
  <c r="E30" i="20"/>
  <c r="E8" i="20" s="1"/>
  <c r="H30" i="20"/>
  <c r="H8" i="20" s="1"/>
  <c r="P30" i="20"/>
  <c r="P8" i="20" s="1"/>
  <c r="H29" i="20"/>
  <c r="H7" i="20" s="1"/>
  <c r="F28" i="20"/>
  <c r="F6" i="20" s="1"/>
  <c r="N28" i="20"/>
  <c r="N6" i="20" s="1"/>
  <c r="V28" i="20"/>
  <c r="V6" i="20" s="1"/>
  <c r="L27" i="20"/>
  <c r="L5" i="20" s="1"/>
  <c r="T27" i="20"/>
  <c r="T5" i="20" s="1"/>
  <c r="R30" i="20"/>
  <c r="R8" i="20" s="1"/>
  <c r="J29" i="20"/>
  <c r="J7" i="20" s="1"/>
  <c r="F27" i="20"/>
  <c r="F5" i="20" s="1"/>
  <c r="V27" i="20"/>
  <c r="V5" i="20" s="1"/>
  <c r="P27" i="20"/>
  <c r="P5" i="20" s="1"/>
  <c r="M30" i="20"/>
  <c r="M8" i="20" s="1"/>
  <c r="S28" i="20"/>
  <c r="S6" i="20" s="1"/>
  <c r="N30" i="20"/>
  <c r="N8" i="20" s="1"/>
  <c r="F29" i="20"/>
  <c r="F7" i="20" s="1"/>
  <c r="R27" i="20"/>
  <c r="R5" i="20" s="1"/>
  <c r="I30" i="20"/>
  <c r="I8" i="20" s="1"/>
  <c r="Q30" i="20"/>
  <c r="Q8" i="20" s="1"/>
  <c r="G28" i="20"/>
  <c r="G6" i="20" s="1"/>
  <c r="O28" i="20"/>
  <c r="O6" i="20" s="1"/>
  <c r="M27" i="20"/>
  <c r="M5" i="20" s="1"/>
  <c r="U27" i="20"/>
  <c r="U5" i="20" s="1"/>
  <c r="J30" i="20"/>
  <c r="J8" i="20" s="1"/>
  <c r="N27" i="20"/>
  <c r="N5" i="20" s="1"/>
  <c r="H27" i="20"/>
  <c r="H5" i="20" s="1"/>
  <c r="U30" i="20"/>
  <c r="U8" i="20" s="1"/>
  <c r="U29" i="20"/>
  <c r="U7" i="20" s="1"/>
  <c r="V29" i="20"/>
  <c r="V7" i="20" s="1"/>
  <c r="O29" i="20"/>
  <c r="O7" i="20" s="1"/>
  <c r="S27" i="20"/>
  <c r="S5" i="20" s="1"/>
  <c r="I27" i="20"/>
  <c r="I5" i="20" s="1"/>
  <c r="K30" i="20"/>
  <c r="K8" i="20" s="1"/>
  <c r="S30" i="20"/>
  <c r="S8" i="20" s="1"/>
  <c r="S29" i="20"/>
  <c r="S7" i="20" s="1"/>
  <c r="G27" i="20"/>
  <c r="G5" i="20" s="1"/>
  <c r="O27" i="20"/>
  <c r="O5" i="20" s="1"/>
  <c r="E27" i="20"/>
  <c r="E5" i="20" s="1"/>
  <c r="L30" i="20"/>
  <c r="L8" i="20" s="1"/>
  <c r="T30" i="20"/>
  <c r="T8" i="20" s="1"/>
  <c r="L29" i="20"/>
  <c r="L7" i="20" s="1"/>
  <c r="T29" i="20"/>
  <c r="T7" i="20" s="1"/>
  <c r="J28" i="20"/>
  <c r="J6" i="20" s="1"/>
  <c r="K28" i="20"/>
  <c r="K6" i="20" s="1"/>
  <c r="V30" i="20"/>
  <c r="V8" i="20" s="1"/>
  <c r="N29" i="20"/>
  <c r="N7" i="20" s="1"/>
  <c r="J27" i="20"/>
  <c r="J5" i="20" s="1"/>
  <c r="K27" i="20"/>
  <c r="K5" i="20" s="1"/>
  <c r="I8" i="18"/>
  <c r="I29" i="20" s="1"/>
  <c r="I7" i="20" s="1"/>
  <c r="I48" i="18"/>
  <c r="K8" i="18"/>
  <c r="K29" i="20" s="1"/>
  <c r="K7" i="20" s="1"/>
  <c r="P8" i="18"/>
  <c r="P29" i="20" s="1"/>
  <c r="P7" i="20" s="1"/>
  <c r="J48" i="18"/>
  <c r="L7" i="18"/>
  <c r="L28" i="20" s="1"/>
  <c r="L6" i="20" s="1"/>
  <c r="R7" i="18"/>
  <c r="R28" i="20" s="1"/>
  <c r="R6" i="20" s="1"/>
  <c r="M7" i="18"/>
  <c r="M28" i="20" s="1"/>
  <c r="M6" i="20" s="1"/>
  <c r="E7" i="18"/>
  <c r="R8" i="18"/>
  <c r="R29" i="20" s="1"/>
  <c r="R7" i="20" s="1"/>
  <c r="E48" i="18"/>
  <c r="G8" i="18"/>
  <c r="G29" i="20" s="1"/>
  <c r="G7" i="20" s="1"/>
  <c r="I7" i="18"/>
  <c r="I28" i="20" s="1"/>
  <c r="I6" i="20" s="1"/>
  <c r="P7" i="18"/>
  <c r="P28" i="20" s="1"/>
  <c r="P6" i="20" s="1"/>
  <c r="M8" i="18"/>
  <c r="M29" i="20" s="1"/>
  <c r="M7" i="20" s="1"/>
  <c r="F48" i="18"/>
  <c r="H7" i="18"/>
  <c r="H28" i="20" s="1"/>
  <c r="H6" i="20" s="1"/>
  <c r="E8" i="18"/>
  <c r="E29" i="20" s="1"/>
  <c r="E7" i="20" s="1"/>
  <c r="G48" i="18"/>
  <c r="P48" i="18"/>
  <c r="N48" i="18"/>
  <c r="C48" i="18"/>
  <c r="K48" i="18"/>
  <c r="F9" i="20" l="1"/>
  <c r="F10" i="20"/>
  <c r="B9" i="20"/>
  <c r="B10" i="20"/>
  <c r="R9" i="20"/>
  <c r="R10" i="20"/>
  <c r="J9" i="20"/>
  <c r="J10" i="20"/>
  <c r="C9" i="20"/>
  <c r="C10" i="20"/>
  <c r="E9" i="20"/>
  <c r="E10" i="20"/>
  <c r="U9" i="20"/>
  <c r="U10" i="20"/>
  <c r="K9" i="20"/>
  <c r="K10" i="20"/>
  <c r="Q9" i="20"/>
  <c r="Q10" i="20"/>
  <c r="O9" i="20"/>
  <c r="O10" i="20"/>
  <c r="H9" i="20"/>
  <c r="H10" i="20"/>
  <c r="P9" i="20"/>
  <c r="P10" i="20"/>
  <c r="S9" i="20"/>
  <c r="S10" i="20"/>
  <c r="T9" i="20"/>
  <c r="T10" i="20"/>
  <c r="G9" i="20"/>
  <c r="G10" i="20"/>
  <c r="N9" i="20"/>
  <c r="N10" i="20"/>
  <c r="M9" i="20"/>
  <c r="M10" i="20"/>
  <c r="I9" i="20"/>
  <c r="I10" i="20"/>
  <c r="V9" i="20"/>
  <c r="V10" i="20"/>
  <c r="L9" i="20"/>
  <c r="L10" i="20"/>
  <c r="D9" i="20"/>
  <c r="D10" i="20"/>
  <c r="E28" i="20"/>
  <c r="E6" i="20" s="1"/>
  <c r="D7" i="18"/>
  <c r="D28" i="20" s="1"/>
  <c r="D6" i="20" s="1"/>
  <c r="B7" i="18"/>
  <c r="B28" i="20" s="1"/>
  <c r="B6" i="20" s="1"/>
  <c r="C7" i="18"/>
  <c r="C28" i="20" s="1"/>
  <c r="C6" i="20" s="1"/>
  <c r="O45" i="18"/>
  <c r="O46" i="18"/>
  <c r="O47" i="18"/>
  <c r="B8" i="18" l="1"/>
  <c r="B29" i="20" s="1"/>
  <c r="B7" i="20" s="1"/>
  <c r="C8" i="18"/>
  <c r="C29" i="20" s="1"/>
  <c r="C7" i="20" s="1"/>
  <c r="D8" i="18"/>
  <c r="D29" i="20" s="1"/>
  <c r="D7" i="20" s="1"/>
  <c r="Q8" i="18"/>
  <c r="Q29" i="20" s="1"/>
  <c r="Q7" i="20" s="1"/>
  <c r="Q7" i="18"/>
  <c r="Q28" i="20" s="1"/>
  <c r="Q6" i="20" s="1"/>
  <c r="Q6" i="18"/>
  <c r="Q27" i="20" s="1"/>
  <c r="Q5" i="20" s="1"/>
  <c r="O48" i="18"/>
  <c r="U13" i="3" l="1"/>
  <c r="T13" i="3"/>
  <c r="S13" i="3"/>
  <c r="R13" i="3"/>
  <c r="R14" i="3"/>
  <c r="S14" i="3"/>
  <c r="T14" i="3"/>
  <c r="U14" i="3"/>
  <c r="R15" i="3"/>
  <c r="S15" i="3"/>
  <c r="T15" i="3"/>
  <c r="U15" i="3"/>
  <c r="R16" i="3"/>
  <c r="S16" i="3"/>
  <c r="T16" i="3"/>
  <c r="U16" i="3"/>
  <c r="R17" i="3"/>
  <c r="S17" i="3"/>
  <c r="T17" i="3"/>
  <c r="U17" i="3"/>
  <c r="R18" i="3"/>
  <c r="S18" i="3"/>
  <c r="T18" i="3"/>
  <c r="U18" i="3"/>
  <c r="R19" i="3"/>
  <c r="S19" i="3"/>
  <c r="T19" i="3"/>
  <c r="U19" i="3"/>
  <c r="R20" i="3"/>
  <c r="S20" i="3"/>
  <c r="T20" i="3"/>
  <c r="U20" i="3"/>
  <c r="R21" i="3"/>
  <c r="S21" i="3"/>
  <c r="T21" i="3"/>
  <c r="U21" i="3"/>
  <c r="R22" i="3"/>
  <c r="S22" i="3"/>
  <c r="T22" i="3"/>
  <c r="U22" i="3"/>
  <c r="R23" i="3"/>
  <c r="S23" i="3"/>
  <c r="T23" i="3"/>
  <c r="U23" i="3"/>
  <c r="R24" i="3"/>
  <c r="S24" i="3"/>
  <c r="T24" i="3"/>
  <c r="U24" i="3"/>
  <c r="R25" i="3"/>
  <c r="S25" i="3"/>
  <c r="T25" i="3"/>
  <c r="U25" i="3"/>
  <c r="R26" i="3"/>
  <c r="S26" i="3"/>
  <c r="T26" i="3"/>
  <c r="U26" i="3"/>
  <c r="R27" i="3"/>
  <c r="S27" i="3"/>
  <c r="T27" i="3"/>
  <c r="U27" i="3"/>
  <c r="R28" i="3"/>
  <c r="S28" i="3"/>
  <c r="T28" i="3"/>
  <c r="U28" i="3"/>
  <c r="R29" i="3"/>
  <c r="S29" i="3"/>
  <c r="T29" i="3"/>
  <c r="U29" i="3"/>
  <c r="Q29" i="3" l="1"/>
  <c r="Q28" i="3"/>
  <c r="Q27" i="3"/>
  <c r="Q26" i="3"/>
  <c r="Q25" i="3"/>
  <c r="Q24" i="3"/>
  <c r="Q23" i="3"/>
  <c r="Q22" i="3"/>
  <c r="Q21" i="3"/>
  <c r="Q20" i="3"/>
  <c r="Q19" i="3"/>
  <c r="Q18" i="3"/>
  <c r="Q17" i="3"/>
  <c r="Q16" i="3"/>
  <c r="Q15" i="3"/>
  <c r="Q14" i="3"/>
  <c r="Q13" i="3"/>
  <c r="X13" i="3"/>
  <c r="Y26" i="3"/>
  <c r="AC26" i="3" s="1"/>
  <c r="AG26" i="3" s="1"/>
  <c r="R54" i="3" s="1"/>
  <c r="R5" i="3" s="1"/>
  <c r="Y18" i="3"/>
  <c r="V13" i="3"/>
  <c r="Z13" i="3" s="1"/>
  <c r="AD13" i="3" s="1"/>
  <c r="E52" i="3" s="1"/>
  <c r="E3" i="3" s="1"/>
  <c r="W13" i="3"/>
  <c r="AA13" i="3" s="1"/>
  <c r="AE13" i="3" s="1"/>
  <c r="Y13" i="3"/>
  <c r="Y29" i="3"/>
  <c r="AC29" i="3" s="1"/>
  <c r="AG29" i="3" s="1"/>
  <c r="U54" i="3" s="1"/>
  <c r="U5" i="3" s="1"/>
  <c r="Y27" i="3"/>
  <c r="AC27" i="3" s="1"/>
  <c r="AG27" i="3" s="1"/>
  <c r="S54" i="3" s="1"/>
  <c r="S5" i="3" s="1"/>
  <c r="Y25" i="3"/>
  <c r="AC25" i="3" s="1"/>
  <c r="AG25" i="3" s="1"/>
  <c r="Q54" i="3" s="1"/>
  <c r="Q5" i="3" s="1"/>
  <c r="Y23" i="3"/>
  <c r="AC23" i="3" s="1"/>
  <c r="AG23" i="3" s="1"/>
  <c r="O54" i="3" s="1"/>
  <c r="O5" i="3" s="1"/>
  <c r="Y21" i="3"/>
  <c r="AC21" i="3" s="1"/>
  <c r="AG21" i="3" s="1"/>
  <c r="M54" i="3" s="1"/>
  <c r="M5" i="3" s="1"/>
  <c r="Y19" i="3"/>
  <c r="AC19" i="3" s="1"/>
  <c r="AG19" i="3" s="1"/>
  <c r="K54" i="3" s="1"/>
  <c r="K5" i="3" s="1"/>
  <c r="Y17" i="3"/>
  <c r="Y15" i="3"/>
  <c r="Y24" i="3"/>
  <c r="AC24" i="3" s="1"/>
  <c r="AG24" i="3" s="1"/>
  <c r="P54" i="3" s="1"/>
  <c r="P5" i="3" s="1"/>
  <c r="Y16" i="3"/>
  <c r="Y22" i="3"/>
  <c r="AC22" i="3" s="1"/>
  <c r="AG22" i="3" s="1"/>
  <c r="N54" i="3" s="1"/>
  <c r="N5" i="3" s="1"/>
  <c r="Y14" i="3"/>
  <c r="Y28" i="3"/>
  <c r="AC28" i="3" s="1"/>
  <c r="AG28" i="3" s="1"/>
  <c r="T54" i="3" s="1"/>
  <c r="T5" i="3" s="1"/>
  <c r="Y20" i="3"/>
  <c r="AC20" i="3" s="1"/>
  <c r="AG20" i="3" s="1"/>
  <c r="L54" i="3" s="1"/>
  <c r="L5" i="3" s="1"/>
  <c r="X28" i="3"/>
  <c r="AB28" i="3" s="1"/>
  <c r="AF28" i="3" s="1"/>
  <c r="T53" i="3" s="1"/>
  <c r="T4" i="3" s="1"/>
  <c r="X26" i="3"/>
  <c r="AB26" i="3" s="1"/>
  <c r="AF26" i="3" s="1"/>
  <c r="R53" i="3" s="1"/>
  <c r="R4" i="3" s="1"/>
  <c r="X24" i="3"/>
  <c r="AB24" i="3" s="1"/>
  <c r="AF24" i="3" s="1"/>
  <c r="P53" i="3" s="1"/>
  <c r="P4" i="3" s="1"/>
  <c r="X22" i="3"/>
  <c r="AB22" i="3" s="1"/>
  <c r="AF22" i="3" s="1"/>
  <c r="N53" i="3" s="1"/>
  <c r="N4" i="3" s="1"/>
  <c r="X20" i="3"/>
  <c r="AB20" i="3" s="1"/>
  <c r="AF20" i="3" s="1"/>
  <c r="L53" i="3" s="1"/>
  <c r="L4" i="3" s="1"/>
  <c r="X18" i="3"/>
  <c r="AB18" i="3" s="1"/>
  <c r="AF18" i="3" s="1"/>
  <c r="J53" i="3" s="1"/>
  <c r="J4" i="3" s="1"/>
  <c r="X16" i="3"/>
  <c r="AB16" i="3" s="1"/>
  <c r="AF16" i="3" s="1"/>
  <c r="H53" i="3" s="1"/>
  <c r="H4" i="3" s="1"/>
  <c r="X14" i="3"/>
  <c r="AB14" i="3" s="1"/>
  <c r="AF14" i="3" s="1"/>
  <c r="F53" i="3" s="1"/>
  <c r="F4" i="3" s="1"/>
  <c r="X29" i="3"/>
  <c r="AB29" i="3" s="1"/>
  <c r="AF29" i="3" s="1"/>
  <c r="U53" i="3" s="1"/>
  <c r="U4" i="3" s="1"/>
  <c r="X27" i="3"/>
  <c r="AB27" i="3" s="1"/>
  <c r="AF27" i="3" s="1"/>
  <c r="S53" i="3" s="1"/>
  <c r="S4" i="3" s="1"/>
  <c r="X25" i="3"/>
  <c r="AB25" i="3" s="1"/>
  <c r="AF25" i="3" s="1"/>
  <c r="Q53" i="3" s="1"/>
  <c r="Q4" i="3" s="1"/>
  <c r="X23" i="3"/>
  <c r="AB23" i="3" s="1"/>
  <c r="AF23" i="3" s="1"/>
  <c r="O53" i="3" s="1"/>
  <c r="O4" i="3" s="1"/>
  <c r="X21" i="3"/>
  <c r="AB21" i="3" s="1"/>
  <c r="AF21" i="3" s="1"/>
  <c r="M53" i="3" s="1"/>
  <c r="M4" i="3" s="1"/>
  <c r="X19" i="3"/>
  <c r="AB19" i="3" s="1"/>
  <c r="AF19" i="3" s="1"/>
  <c r="K53" i="3" s="1"/>
  <c r="K4" i="3" s="1"/>
  <c r="X17" i="3"/>
  <c r="AB17" i="3" s="1"/>
  <c r="AF17" i="3" s="1"/>
  <c r="I53" i="3" s="1"/>
  <c r="I4" i="3" s="1"/>
  <c r="X15" i="3"/>
  <c r="AB15" i="3" s="1"/>
  <c r="AF15" i="3" s="1"/>
  <c r="G53" i="3" s="1"/>
  <c r="G4" i="3" s="1"/>
  <c r="W29" i="3"/>
  <c r="AA29" i="3" s="1"/>
  <c r="AE29" i="3" s="1"/>
  <c r="W28" i="3"/>
  <c r="AA28" i="3" s="1"/>
  <c r="AE28" i="3" s="1"/>
  <c r="T51" i="3" s="1"/>
  <c r="T2" i="3" s="1"/>
  <c r="W27" i="3"/>
  <c r="AA27" i="3" s="1"/>
  <c r="AE27" i="3" s="1"/>
  <c r="S51" i="3" s="1"/>
  <c r="S2" i="3" s="1"/>
  <c r="W26" i="3"/>
  <c r="AA26" i="3" s="1"/>
  <c r="AE26" i="3" s="1"/>
  <c r="R51" i="3" s="1"/>
  <c r="R2" i="3" s="1"/>
  <c r="W25" i="3"/>
  <c r="AA25" i="3" s="1"/>
  <c r="AE25" i="3" s="1"/>
  <c r="Q51" i="3" s="1"/>
  <c r="Q2" i="3" s="1"/>
  <c r="W24" i="3"/>
  <c r="AA24" i="3" s="1"/>
  <c r="AE24" i="3" s="1"/>
  <c r="P51" i="3" s="1"/>
  <c r="P2" i="3" s="1"/>
  <c r="W23" i="3"/>
  <c r="AA23" i="3" s="1"/>
  <c r="AE23" i="3" s="1"/>
  <c r="O51" i="3" s="1"/>
  <c r="O2" i="3" s="1"/>
  <c r="W22" i="3"/>
  <c r="AA22" i="3" s="1"/>
  <c r="AE22" i="3" s="1"/>
  <c r="N51" i="3" s="1"/>
  <c r="N2" i="3" s="1"/>
  <c r="W21" i="3"/>
  <c r="AA21" i="3" s="1"/>
  <c r="AE21" i="3" s="1"/>
  <c r="M51" i="3" s="1"/>
  <c r="M2" i="3" s="1"/>
  <c r="W20" i="3"/>
  <c r="AA20" i="3" s="1"/>
  <c r="AE20" i="3" s="1"/>
  <c r="L51" i="3" s="1"/>
  <c r="L2" i="3" s="1"/>
  <c r="W19" i="3"/>
  <c r="AA19" i="3" s="1"/>
  <c r="AE19" i="3" s="1"/>
  <c r="K51" i="3" s="1"/>
  <c r="K2" i="3" s="1"/>
  <c r="W18" i="3"/>
  <c r="AA18" i="3" s="1"/>
  <c r="AE18" i="3" s="1"/>
  <c r="J51" i="3" s="1"/>
  <c r="J2" i="3" s="1"/>
  <c r="W17" i="3"/>
  <c r="AA17" i="3" s="1"/>
  <c r="AE17" i="3" s="1"/>
  <c r="I51" i="3" s="1"/>
  <c r="I2" i="3" s="1"/>
  <c r="W16" i="3"/>
  <c r="AA16" i="3" s="1"/>
  <c r="AE16" i="3" s="1"/>
  <c r="H51" i="3" s="1"/>
  <c r="H2" i="3" s="1"/>
  <c r="W15" i="3"/>
  <c r="AA15" i="3" s="1"/>
  <c r="AE15" i="3" s="1"/>
  <c r="G51" i="3" s="1"/>
  <c r="G2" i="3" s="1"/>
  <c r="W14" i="3"/>
  <c r="AA14" i="3" s="1"/>
  <c r="AE14" i="3" s="1"/>
  <c r="V29" i="3"/>
  <c r="Z29" i="3" s="1"/>
  <c r="AD29" i="3" s="1"/>
  <c r="U52" i="3" s="1"/>
  <c r="U3" i="3" s="1"/>
  <c r="V28" i="3"/>
  <c r="Z28" i="3" s="1"/>
  <c r="AD28" i="3" s="1"/>
  <c r="T52" i="3" s="1"/>
  <c r="T3" i="3" s="1"/>
  <c r="V27" i="3"/>
  <c r="Z27" i="3" s="1"/>
  <c r="AD27" i="3" s="1"/>
  <c r="S52" i="3" s="1"/>
  <c r="S3" i="3" s="1"/>
  <c r="V26" i="3"/>
  <c r="Z26" i="3" s="1"/>
  <c r="AD26" i="3" s="1"/>
  <c r="R52" i="3" s="1"/>
  <c r="R3" i="3" s="1"/>
  <c r="V25" i="3"/>
  <c r="Z25" i="3" s="1"/>
  <c r="AD25" i="3" s="1"/>
  <c r="Q52" i="3" s="1"/>
  <c r="Q3" i="3" s="1"/>
  <c r="V24" i="3"/>
  <c r="Z24" i="3" s="1"/>
  <c r="AD24" i="3" s="1"/>
  <c r="P52" i="3" s="1"/>
  <c r="P3" i="3" s="1"/>
  <c r="V23" i="3"/>
  <c r="Z23" i="3" s="1"/>
  <c r="AD23" i="3" s="1"/>
  <c r="O52" i="3" s="1"/>
  <c r="O3" i="3" s="1"/>
  <c r="V22" i="3"/>
  <c r="Z22" i="3" s="1"/>
  <c r="AD22" i="3" s="1"/>
  <c r="N52" i="3" s="1"/>
  <c r="N3" i="3" s="1"/>
  <c r="V21" i="3"/>
  <c r="Z21" i="3" s="1"/>
  <c r="AD21" i="3" s="1"/>
  <c r="M52" i="3" s="1"/>
  <c r="M3" i="3" s="1"/>
  <c r="V20" i="3"/>
  <c r="Z20" i="3" s="1"/>
  <c r="AD20" i="3" s="1"/>
  <c r="L52" i="3" s="1"/>
  <c r="L3" i="3" s="1"/>
  <c r="V19" i="3"/>
  <c r="Z19" i="3" s="1"/>
  <c r="AD19" i="3" s="1"/>
  <c r="K52" i="3" s="1"/>
  <c r="K3" i="3" s="1"/>
  <c r="V18" i="3"/>
  <c r="Z18" i="3" s="1"/>
  <c r="AD18" i="3" s="1"/>
  <c r="J52" i="3" s="1"/>
  <c r="J3" i="3" s="1"/>
  <c r="V17" i="3"/>
  <c r="Z17" i="3" s="1"/>
  <c r="AD17" i="3" s="1"/>
  <c r="I52" i="3" s="1"/>
  <c r="I3" i="3" s="1"/>
  <c r="V16" i="3"/>
  <c r="Z16" i="3" s="1"/>
  <c r="AD16" i="3" s="1"/>
  <c r="H52" i="3" s="1"/>
  <c r="H3" i="3" s="1"/>
  <c r="V15" i="3"/>
  <c r="Z15" i="3" s="1"/>
  <c r="AD15" i="3" s="1"/>
  <c r="G52" i="3" s="1"/>
  <c r="G3" i="3" s="1"/>
  <c r="V14" i="3"/>
  <c r="Z14" i="3" s="1"/>
  <c r="AD14" i="3" s="1"/>
  <c r="F52" i="3" s="1"/>
  <c r="F3" i="3" s="1"/>
  <c r="F51" i="3" l="1"/>
  <c r="F2" i="3" s="1"/>
  <c r="U51" i="3"/>
  <c r="U2" i="3" s="1"/>
  <c r="AC14" i="3"/>
  <c r="AG14" i="3" s="1"/>
  <c r="F54" i="3" s="1"/>
  <c r="F5" i="3" s="1"/>
  <c r="AC16" i="3"/>
  <c r="AG16" i="3" s="1"/>
  <c r="H54" i="3" s="1"/>
  <c r="H5" i="3" s="1"/>
  <c r="AC15" i="3"/>
  <c r="AG15" i="3" s="1"/>
  <c r="G54" i="3" s="1"/>
  <c r="G5" i="3" s="1"/>
  <c r="AC17" i="3"/>
  <c r="AG17" i="3" s="1"/>
  <c r="I54" i="3" s="1"/>
  <c r="I5" i="3" s="1"/>
  <c r="AC18" i="3"/>
  <c r="AG18" i="3" s="1"/>
  <c r="J54" i="3" s="1"/>
  <c r="J5" i="3" s="1"/>
  <c r="AC13" i="3"/>
  <c r="AG13" i="3" s="1"/>
  <c r="E54" i="3" s="1"/>
  <c r="E5" i="3" s="1"/>
  <c r="E51" i="3"/>
  <c r="E2" i="3" s="1"/>
  <c r="AB13" i="3"/>
  <c r="AF13" i="3" s="1"/>
  <c r="E53" i="3" s="1"/>
  <c r="E4" i="3" s="1"/>
  <c r="L5" i="2"/>
  <c r="M5" i="2"/>
  <c r="N5" i="2"/>
  <c r="O5" i="2"/>
  <c r="P5" i="2"/>
  <c r="Q5" i="2"/>
  <c r="R5" i="2"/>
  <c r="S5" i="2"/>
  <c r="T5" i="2"/>
  <c r="U5" i="2"/>
  <c r="G78" i="9" l="1"/>
  <c r="F78" i="9"/>
  <c r="E78" i="9"/>
  <c r="D78" i="9"/>
  <c r="C78" i="9"/>
  <c r="C77" i="9"/>
  <c r="S79" i="9"/>
  <c r="O72" i="9"/>
  <c r="N72" i="9"/>
  <c r="M72" i="9"/>
  <c r="L72" i="9"/>
  <c r="K72" i="9"/>
  <c r="J72" i="9"/>
  <c r="I72" i="9"/>
  <c r="H72" i="9"/>
  <c r="G72" i="9"/>
  <c r="F72" i="9"/>
  <c r="E72" i="9"/>
  <c r="D72" i="9"/>
  <c r="C72" i="9"/>
  <c r="E4" i="9" s="1"/>
  <c r="E5" i="9" s="1"/>
  <c r="S78" i="9"/>
  <c r="O71" i="9"/>
  <c r="N71" i="9"/>
  <c r="M71" i="9"/>
  <c r="L71" i="9"/>
  <c r="K71" i="9"/>
  <c r="J71" i="9"/>
  <c r="I78" i="9"/>
  <c r="H71" i="9"/>
  <c r="O70" i="9"/>
  <c r="Q2" i="9" s="1"/>
  <c r="N70" i="9"/>
  <c r="P2" i="9" s="1"/>
  <c r="M70" i="9"/>
  <c r="O2" i="9" s="1"/>
  <c r="L70" i="9"/>
  <c r="N2" i="9" s="1"/>
  <c r="K70" i="9"/>
  <c r="M2" i="9" s="1"/>
  <c r="J70" i="9"/>
  <c r="L2" i="9" s="1"/>
  <c r="H70" i="9"/>
  <c r="J2" i="9" s="1"/>
  <c r="F70" i="9"/>
  <c r="H2" i="9" s="1"/>
  <c r="E70" i="9"/>
  <c r="G2" i="9" s="1"/>
  <c r="D77" i="9"/>
  <c r="Q72" i="9"/>
  <c r="P72" i="9"/>
  <c r="Q46" i="9"/>
  <c r="Q71" i="9" s="1"/>
  <c r="Q45" i="9"/>
  <c r="Q70" i="9" s="1"/>
  <c r="S2" i="9" s="1"/>
  <c r="O42" i="9"/>
  <c r="N36" i="9"/>
  <c r="M30" i="9"/>
  <c r="L30" i="9"/>
  <c r="K30" i="9"/>
  <c r="J30" i="9"/>
  <c r="I30" i="9"/>
  <c r="H30" i="9"/>
  <c r="G30" i="9"/>
  <c r="F30" i="9"/>
  <c r="E30" i="9"/>
  <c r="D30" i="9"/>
  <c r="L25" i="9"/>
  <c r="K25" i="9"/>
  <c r="J25" i="9"/>
  <c r="I25" i="9"/>
  <c r="H25" i="9"/>
  <c r="G25" i="9"/>
  <c r="F25" i="9"/>
  <c r="E25" i="9"/>
  <c r="G79" i="9" l="1"/>
  <c r="I4" i="9"/>
  <c r="I5" i="9" s="1"/>
  <c r="O79" i="9"/>
  <c r="Q4" i="9"/>
  <c r="N78" i="9"/>
  <c r="P3" i="9"/>
  <c r="H79" i="9"/>
  <c r="J4" i="9"/>
  <c r="M78" i="9"/>
  <c r="O3" i="9"/>
  <c r="O78" i="9"/>
  <c r="Q3" i="9"/>
  <c r="Q5" i="9" s="1"/>
  <c r="I79" i="9"/>
  <c r="K4" i="9"/>
  <c r="K5" i="9" s="1"/>
  <c r="H78" i="9"/>
  <c r="J3" i="9"/>
  <c r="J79" i="9"/>
  <c r="L4" i="9"/>
  <c r="Q78" i="9"/>
  <c r="S3" i="9"/>
  <c r="K79" i="9"/>
  <c r="M4" i="9"/>
  <c r="Q79" i="9"/>
  <c r="S4" i="9"/>
  <c r="J78" i="9"/>
  <c r="L3" i="9"/>
  <c r="L5" i="9" s="1"/>
  <c r="D79" i="9"/>
  <c r="D80" i="9" s="1"/>
  <c r="F4" i="9"/>
  <c r="F5" i="9" s="1"/>
  <c r="L79" i="9"/>
  <c r="N4" i="9"/>
  <c r="K78" i="9"/>
  <c r="M3" i="9"/>
  <c r="E79" i="9"/>
  <c r="G4" i="9"/>
  <c r="G5" i="9" s="1"/>
  <c r="M79" i="9"/>
  <c r="O4" i="9"/>
  <c r="P79" i="9"/>
  <c r="R4" i="9"/>
  <c r="L78" i="9"/>
  <c r="N3" i="9"/>
  <c r="N5" i="9" s="1"/>
  <c r="F79" i="9"/>
  <c r="H4" i="9"/>
  <c r="H5" i="9" s="1"/>
  <c r="N79" i="9"/>
  <c r="P4" i="9"/>
  <c r="T78" i="9"/>
  <c r="T79" i="9"/>
  <c r="R78" i="9"/>
  <c r="R79" i="9"/>
  <c r="P48" i="9"/>
  <c r="P40" i="9"/>
  <c r="P39" i="9"/>
  <c r="Q77" i="9"/>
  <c r="Q73" i="9"/>
  <c r="R77" i="9"/>
  <c r="D73" i="9"/>
  <c r="E77" i="9"/>
  <c r="E73" i="9"/>
  <c r="F77" i="9"/>
  <c r="F73" i="9"/>
  <c r="G77" i="9"/>
  <c r="G73" i="9"/>
  <c r="H77" i="9"/>
  <c r="H73" i="9"/>
  <c r="I77" i="9"/>
  <c r="I73" i="9"/>
  <c r="J77" i="9"/>
  <c r="J73" i="9"/>
  <c r="K77" i="9"/>
  <c r="K73" i="9"/>
  <c r="L77" i="9"/>
  <c r="L73" i="9"/>
  <c r="M77" i="9"/>
  <c r="M73" i="9"/>
  <c r="N77" i="9"/>
  <c r="N73" i="9"/>
  <c r="O77" i="9"/>
  <c r="O73" i="9"/>
  <c r="S77" i="9"/>
  <c r="S73" i="9"/>
  <c r="T77" i="9"/>
  <c r="T73" i="9"/>
  <c r="C79" i="9"/>
  <c r="C73" i="9"/>
  <c r="S5" i="9" l="1"/>
  <c r="P5" i="9"/>
  <c r="M5" i="9"/>
  <c r="O5" i="9"/>
  <c r="J5" i="9"/>
  <c r="Q80" i="9"/>
  <c r="S80" i="9"/>
  <c r="N80" i="9"/>
  <c r="L80" i="9"/>
  <c r="J80" i="9"/>
  <c r="H80" i="9"/>
  <c r="F80" i="9"/>
  <c r="C80" i="9"/>
  <c r="T80" i="9"/>
  <c r="O80" i="9"/>
  <c r="M80" i="9"/>
  <c r="K80" i="9"/>
  <c r="I80" i="9"/>
  <c r="G80" i="9"/>
  <c r="E80" i="9"/>
  <c r="R73" i="9"/>
  <c r="R80" i="9"/>
  <c r="P46" i="9"/>
  <c r="P71" i="9" s="1"/>
  <c r="P45" i="9"/>
  <c r="P70" i="9" s="1"/>
  <c r="R2" i="9" s="1"/>
  <c r="P78" i="9" l="1"/>
  <c r="R3" i="9"/>
  <c r="R5" i="9" s="1"/>
  <c r="P77" i="9"/>
  <c r="P73" i="9"/>
  <c r="P80" i="9" l="1"/>
  <c r="S34" i="2"/>
  <c r="R34" i="2"/>
  <c r="Q34" i="2"/>
  <c r="P34" i="2"/>
  <c r="O34" i="2"/>
  <c r="N34" i="2"/>
  <c r="M34" i="2"/>
  <c r="L34" i="2"/>
  <c r="S33" i="2"/>
  <c r="R33" i="2"/>
  <c r="Q33" i="2"/>
  <c r="P33" i="2"/>
  <c r="O33" i="2"/>
  <c r="N33" i="2"/>
  <c r="M33" i="2"/>
  <c r="L33" i="2"/>
  <c r="S32" i="2"/>
  <c r="R32" i="2"/>
  <c r="Q32" i="2"/>
  <c r="P32" i="2"/>
  <c r="O32" i="2"/>
  <c r="N32" i="2"/>
  <c r="L32" i="2"/>
  <c r="S31" i="2"/>
  <c r="R31" i="2"/>
  <c r="Q31" i="2"/>
  <c r="P31" i="2"/>
  <c r="O31" i="2"/>
  <c r="N31" i="2"/>
  <c r="L31" i="2"/>
  <c r="R30" i="2"/>
  <c r="Q30" i="2"/>
  <c r="P30" i="2"/>
  <c r="N30" i="2"/>
  <c r="M30" i="2"/>
  <c r="B30" i="2" l="1"/>
  <c r="M45" i="2"/>
  <c r="M47" i="2" s="1"/>
  <c r="S45" i="2"/>
  <c r="S47" i="2" s="1"/>
  <c r="O45" i="2"/>
  <c r="O47" i="2" s="1"/>
  <c r="L45" i="2"/>
  <c r="L47" i="2" s="1"/>
  <c r="R45" i="2"/>
  <c r="R47" i="2" s="1"/>
  <c r="Q45" i="2"/>
  <c r="Q47" i="2" s="1"/>
  <c r="N45" i="2"/>
  <c r="N47" i="2" s="1"/>
  <c r="P45" i="2"/>
  <c r="P47" i="2" s="1"/>
  <c r="C30" i="2"/>
  <c r="J34" i="2"/>
  <c r="J32" i="2"/>
  <c r="K32" i="2"/>
  <c r="B32" i="2"/>
  <c r="I32" i="2"/>
  <c r="D32" i="2"/>
  <c r="E32" i="2"/>
  <c r="F32" i="2"/>
  <c r="C32" i="2"/>
  <c r="G32" i="2"/>
  <c r="H32" i="2"/>
  <c r="K34" i="2"/>
  <c r="D34" i="2"/>
  <c r="B34" i="2"/>
  <c r="E34" i="2"/>
  <c r="F34" i="2"/>
  <c r="I34" i="2"/>
  <c r="G34" i="2"/>
  <c r="H34" i="2"/>
  <c r="C34" i="2"/>
  <c r="J31" i="2"/>
  <c r="K31" i="2"/>
  <c r="D31" i="2"/>
  <c r="B31" i="2"/>
  <c r="E31" i="2"/>
  <c r="C31" i="2"/>
  <c r="I31" i="2"/>
  <c r="F31" i="2"/>
  <c r="G31" i="2"/>
  <c r="H31" i="2"/>
  <c r="J33" i="2"/>
  <c r="B33" i="2"/>
  <c r="K33" i="2"/>
  <c r="D33" i="2"/>
  <c r="E33" i="2"/>
  <c r="F33" i="2"/>
  <c r="G33" i="2"/>
  <c r="C33" i="2"/>
  <c r="H33" i="2"/>
  <c r="I33" i="2"/>
  <c r="D30" i="2"/>
  <c r="H30" i="2"/>
  <c r="E30" i="2"/>
  <c r="G30" i="2"/>
  <c r="I30" i="2"/>
  <c r="J30" i="2"/>
  <c r="K30" i="2"/>
  <c r="F30" i="2"/>
  <c r="B39" i="2" l="1"/>
  <c r="B45" i="2"/>
  <c r="F39" i="2"/>
  <c r="F51" i="2" s="1"/>
  <c r="H39" i="2"/>
  <c r="H51" i="2" s="1"/>
  <c r="C39" i="2"/>
  <c r="C51" i="2" s="1"/>
  <c r="K39" i="2"/>
  <c r="K51" i="2" s="1"/>
  <c r="J39" i="2"/>
  <c r="J51" i="2" s="1"/>
  <c r="G39" i="2"/>
  <c r="G51" i="2" s="1"/>
  <c r="D39" i="2"/>
  <c r="D51" i="2" s="1"/>
  <c r="I39" i="2"/>
  <c r="I51" i="2" s="1"/>
  <c r="E39" i="2"/>
  <c r="E51" i="2" s="1"/>
  <c r="G45" i="2"/>
  <c r="I45" i="2"/>
  <c r="H45" i="2"/>
  <c r="K45" i="2"/>
  <c r="E45" i="2"/>
  <c r="F45" i="2"/>
  <c r="D45" i="2"/>
  <c r="J45" i="2"/>
  <c r="C45" i="2"/>
  <c r="B47" i="2" l="1"/>
  <c r="B46" i="2"/>
  <c r="F47" i="2"/>
  <c r="K47" i="2"/>
  <c r="H47" i="2"/>
  <c r="C47" i="2"/>
  <c r="I47" i="2"/>
  <c r="E47" i="2"/>
  <c r="G47" i="2"/>
  <c r="J47" i="2"/>
  <c r="D47" i="2"/>
  <c r="L2" i="2" l="1"/>
  <c r="W46" i="2"/>
  <c r="M2" i="2"/>
  <c r="L42" i="29" l="1"/>
  <c r="M42" i="29"/>
  <c r="P46" i="2"/>
  <c r="R46" i="2"/>
  <c r="R2" i="2"/>
  <c r="O2" i="2"/>
  <c r="Q2" i="2"/>
  <c r="N2" i="2"/>
  <c r="L46" i="2"/>
  <c r="N46" i="2"/>
  <c r="S2" i="2"/>
  <c r="P2" i="2"/>
  <c r="S46" i="2"/>
  <c r="Q46" i="2"/>
  <c r="O46" i="2"/>
  <c r="D2" i="2"/>
  <c r="C46" i="2"/>
  <c r="G2" i="2"/>
  <c r="M46" i="2"/>
  <c r="B2" i="2"/>
  <c r="G42" i="29" l="1"/>
  <c r="O42" i="29"/>
  <c r="R42" i="29"/>
  <c r="B42" i="29"/>
  <c r="D42" i="29"/>
  <c r="P42" i="29"/>
  <c r="N42" i="29"/>
  <c r="S42" i="29"/>
  <c r="Q42" i="29"/>
  <c r="C2" i="2"/>
  <c r="J2" i="2"/>
  <c r="E46" i="2"/>
  <c r="E2" i="2"/>
  <c r="G46" i="2"/>
  <c r="I2" i="2"/>
  <c r="I46" i="2"/>
  <c r="D46" i="2"/>
  <c r="J46" i="2"/>
  <c r="K2" i="2"/>
  <c r="F2" i="2"/>
  <c r="K46" i="2"/>
  <c r="H2" i="2"/>
  <c r="F46" i="2"/>
  <c r="H46" i="2"/>
  <c r="J42" i="29" l="1"/>
  <c r="K42" i="29"/>
  <c r="E42" i="29"/>
  <c r="I42" i="29"/>
  <c r="H42" i="29"/>
  <c r="C42" i="29"/>
  <c r="F42" i="29"/>
  <c r="V46" i="2"/>
  <c r="U46" i="2" l="1"/>
  <c r="U2" i="2"/>
  <c r="T2" i="2"/>
  <c r="T46" i="2"/>
  <c r="V2" i="2"/>
  <c r="C10" i="25"/>
  <c r="C11" i="25" s="1"/>
  <c r="C12" i="25" s="1"/>
  <c r="T42" i="29" l="1"/>
  <c r="U42" i="29"/>
  <c r="V42" i="29"/>
  <c r="R10" i="25"/>
  <c r="X2" i="25" s="1"/>
  <c r="Q9" i="25"/>
  <c r="C13" i="25"/>
  <c r="R12" i="25"/>
  <c r="Z2" i="25" s="1"/>
  <c r="R11" i="25"/>
  <c r="Y2" i="25" s="1"/>
  <c r="R9" i="25" l="1"/>
  <c r="W2" i="25" s="1"/>
  <c r="R13" i="25"/>
  <c r="AA2" i="25" s="1"/>
  <c r="C14" i="25"/>
  <c r="C15" i="25" l="1"/>
  <c r="R14" i="25"/>
  <c r="AB2" i="25" s="1"/>
  <c r="C7" i="25" l="1"/>
  <c r="C16" i="25"/>
  <c r="R15" i="25"/>
  <c r="AC2" i="25" s="1"/>
  <c r="C8" i="25" l="1"/>
  <c r="R16" i="25"/>
  <c r="AD2" i="25" s="1"/>
  <c r="Q8" i="25" l="1"/>
  <c r="Q7" i="25" s="1"/>
  <c r="R7" i="25" s="1"/>
  <c r="U2" i="25" s="1"/>
  <c r="R8" i="25" l="1"/>
  <c r="V2" i="25" s="1"/>
  <c r="X42" i="2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tc={018578F1-A137-4636-A740-58C058FBC390}</author>
  </authors>
  <commentList>
    <comment ref="E98" authorId="0" shapeId="0" xr:uid="{018578F1-A137-4636-A740-58C058FBC39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@Stafford, Celia A. can you check these against the new table we got from OSE?</t>
        </r>
      </text>
    </comment>
  </commentList>
</comments>
</file>

<file path=xl/sharedStrings.xml><?xml version="1.0" encoding="utf-8"?>
<sst xmlns="http://schemas.openxmlformats.org/spreadsheetml/2006/main" count="1857" uniqueCount="606">
  <si>
    <t xml:space="preserve">This workbook contains data transformations and source data for variables and time series in the model. Time Series are indicated in a light green, and calculated constants are blue. </t>
  </si>
  <si>
    <t>Variable</t>
  </si>
  <si>
    <t>Sheet</t>
  </si>
  <si>
    <t>Total prescription opioid Rx IQVIA</t>
  </si>
  <si>
    <t>Opioid Rx Data IQVIA SH</t>
  </si>
  <si>
    <t>Total Rx MME prescribed IQVIA</t>
  </si>
  <si>
    <t>Patients with opioid prescription IQVIA SH</t>
  </si>
  <si>
    <t>Total overdose deaths base heroin NVSS</t>
  </si>
  <si>
    <t>Opioid Fatal ODs NVSS</t>
  </si>
  <si>
    <t>Total overdose deaths base Rx NVSS</t>
  </si>
  <si>
    <t>Total overdose deaths synth heroin NVSS</t>
  </si>
  <si>
    <t>Total overdose deaths synth Rx NVSS</t>
  </si>
  <si>
    <t>Fentanyl penetration curve NFLIS</t>
  </si>
  <si>
    <t>Fentanyl NFLIS</t>
  </si>
  <si>
    <t>Probability Nx LEO NCHRC</t>
  </si>
  <si>
    <t>LEO Nx estimates</t>
  </si>
  <si>
    <t>Bup 30 capacity DATA</t>
  </si>
  <si>
    <t>Buprenorphine Capacity</t>
  </si>
  <si>
    <t>Bup 100 capacity DATA</t>
  </si>
  <si>
    <t>Bup 275 capacity DATA</t>
  </si>
  <si>
    <t>Tx point patients OTP MMT NSSATS</t>
  </si>
  <si>
    <t>Methadone NSSATS</t>
  </si>
  <si>
    <t>Tx point patients Viv SH Metys</t>
  </si>
  <si>
    <t>Vivitrol Capacity</t>
  </si>
  <si>
    <t>Tx point patients Viv IQVIA</t>
  </si>
  <si>
    <t>Tx annual BUP patients IQVIA TPT</t>
  </si>
  <si>
    <t>Buprenorphine IQVIA</t>
  </si>
  <si>
    <t>Rx OUD no PY heroin NSDUH</t>
  </si>
  <si>
    <t>NSDUH OUD HUD estimates</t>
  </si>
  <si>
    <t>Rx OUD with PY heroin NSDUH</t>
  </si>
  <si>
    <t>HUD NSDUH</t>
  </si>
  <si>
    <t>Rx misuse no PY heroin NSDUH</t>
  </si>
  <si>
    <t>Nondisordered heroin use NSDUH</t>
  </si>
  <si>
    <t>Population</t>
  </si>
  <si>
    <t>HUD NSDUH RAND</t>
  </si>
  <si>
    <t>RAND Adjusted Estimates</t>
  </si>
  <si>
    <t>Nondisordered heroin use NSDUH RAND</t>
  </si>
  <si>
    <t>Rx OUD + H NSDUH RAND</t>
  </si>
  <si>
    <t>Initiating heroin with Rx OUD NSDUH RDAS RAND</t>
  </si>
  <si>
    <t>Initiating heroin with Rx misuse NSDUH RDAS RAND</t>
  </si>
  <si>
    <t>Initiating heroin no Rx NSDUH RDAS RAND</t>
  </si>
  <si>
    <t>Total heroin initiation SAMHSA RAND</t>
  </si>
  <si>
    <t>Total Rx misuse initiation SAMHSA</t>
  </si>
  <si>
    <t>Initiation data</t>
  </si>
  <si>
    <t>Initiating Rx misuse diverted RDAS SAMHSA</t>
  </si>
  <si>
    <t>Initiating Rx misuse own Rx RDAS SAMHSA</t>
  </si>
  <si>
    <t>Total heroin initiation SAMHSA</t>
  </si>
  <si>
    <t>Initiating heroin with Rx OUD NSDUH RDAS</t>
  </si>
  <si>
    <t>Initiating heroin with Rx misuse NSDUH RDAS</t>
  </si>
  <si>
    <t>Initiating heroin no Rx NSDUH RDAS</t>
  </si>
  <si>
    <t>Probability of calling emergency services</t>
  </si>
  <si>
    <t>Lit Reviews</t>
  </si>
  <si>
    <t>Prescription Data IQVIA SH</t>
  </si>
  <si>
    <t>Heroin price index DATA</t>
  </si>
  <si>
    <t>Heroin and Rx Price</t>
  </si>
  <si>
    <t>Avg duration per opioid Rx</t>
  </si>
  <si>
    <t>MMT OTP capacity utilization NSSATS</t>
  </si>
  <si>
    <t>Methadone Capacity</t>
  </si>
  <si>
    <t>Treatment Duration</t>
  </si>
  <si>
    <t>Remission Estimates</t>
  </si>
  <si>
    <t>DEA Effects</t>
  </si>
  <si>
    <t>Initial MMT fraction with HUD</t>
  </si>
  <si>
    <t>TEDS Estimates</t>
  </si>
  <si>
    <t>Initial MMT fraction with Rx OUD with H</t>
  </si>
  <si>
    <t>Affordability Loss Fraction</t>
  </si>
  <si>
    <t>Treatment Barriers</t>
  </si>
  <si>
    <t>NONAffordability Loss Fraction</t>
  </si>
  <si>
    <t>Barrier Loss Fraction</t>
  </si>
  <si>
    <t>Note 2019 values are carried forward from 2018 for now</t>
  </si>
  <si>
    <t xml:space="preserve">Rx Price is from StreetRx , provided by Jack Homer *** With the new FDA RADARS contract this may be updated at a future date. This price is not currently in the model as it is not a data source that is trusted by OSE - as mentioned, could be updated with RADARS data in future. </t>
  </si>
  <si>
    <t>Rx price StreetRx</t>
  </si>
  <si>
    <t>This is a sheet documenting the heroin retail prices and wholesale prices over time and their index calculations.</t>
  </si>
  <si>
    <t>Source</t>
  </si>
  <si>
    <t>Comments</t>
  </si>
  <si>
    <t>Heroin retail price ($/mg)</t>
  </si>
  <si>
    <t>Unick et al. 2014 / STRIDE</t>
  </si>
  <si>
    <t xml:space="preserve">Sources: Unick et al 2014 (STRIDE 1993-2008; read from graph), and Jack Homer analysis of DEA STRIDE 2008-2016; use Unick defn of retail&lt;1 gram.  2008 value here splits difference between Unick's .675 and our .522.  '2011' value is from pooled 2010-2012; '2015' value is from pooled 2014-2016.																	</t>
  </si>
  <si>
    <t>Heroin retail price indexed to 2007</t>
  </si>
  <si>
    <t xml:space="preserve">Retail price of heroin normalized to 2007. To do this, each heroin retail price from row 2 was divided by the the heroin retail price for 2007 in I2 (0.60 $/mg). Ex: E3=E2/I2. </t>
  </si>
  <si>
    <t xml:space="preserve">Heroin wholesale price ($/kg) </t>
  </si>
  <si>
    <t>https://dataunodc.un.org/drugs/heroin_and_cocaine_prices_in_eu_and_usa-2017; https://dataunodc.un.org/data/drugs/Wholesale%20drug%20price</t>
  </si>
  <si>
    <t>Wholesale price of heroin in the United States, in inflation-adjusted 2017 US$ per kilogram. For 2018, used average of low and high range across 3 types of heroin from here https://dataunodc.un.org/data/drugs/Wholesale%20drug%20price</t>
  </si>
  <si>
    <t>Heroin wholesale price indexed to 2007</t>
  </si>
  <si>
    <t>Wholesale price of heroin normalized to 2007. To do this, each heroin wholesale price from row 8 was divided by the heroin wholesale price for 2007 in G8 (84173 $/kg). Ex: J5=J4/I4.</t>
  </si>
  <si>
    <t>Average heroin price indexed to 2007</t>
  </si>
  <si>
    <t>Synthesis of retail price and wholesale price time series normalized to 2007. To do this, the heroin retail price indexed to 2007 and the heroin wholesale price indexed to 2007 were averaged (Ex: J6=(J3+J5)/2). If both indexes were not available, the available index was recorded (Ex: D6=D3 and N6=N5).</t>
  </si>
  <si>
    <t>Combined heroin price indexed to 2002</t>
  </si>
  <si>
    <t>Synthesis that was normalized to 2007 re-indexed to 2002. To do this, each of the syntheses in row 10 were divided by the synthesis in B10 (1.12605042).</t>
  </si>
  <si>
    <t>Combined heroin price indexed to 1999</t>
  </si>
  <si>
    <t>Nationally estimated number of patients with a dispensed prescription for buprenorphine from U.S. outpatient retail pharmacies from 2003 through 2019</t>
  </si>
  <si>
    <t>Calendar Year</t>
  </si>
  <si>
    <t>http://www.ncbi.nlm.nih.gov/pubmed/17088229</t>
  </si>
  <si>
    <t>Patient Count - buprenorphine products associated with USC 78300 (SPECIFIC ANTAGONISTS)</t>
  </si>
  <si>
    <t>Source: IQVIA Total Patient Tracker™ (TPT). Years 2003-2019. Data extracted August 2020.</t>
  </si>
  <si>
    <t>IQVIA Total Patient Tracker™ (TPT) is a national-level projected service designed to estimate the total number of unique (non-duplicated) patients across all drugs and therapeutic classes in the retail outpatient setting from U.S. retail pharmacies. Data are available back to January 2002 and are available 20 days after the close of the month. TPT uses prescription activity as part of its projection and integrates information from pharmacies and payers to eliminate duplicate patients and multiple prescription fills, producing quick and reliable unique patient counts. IQVIA has 92% coverage and a sample of ~58,900 retail pharmacies. IQVIA captures about 3.8 billion transactions annually. TPT is projected to the known universe of retail pharmacies.</t>
  </si>
  <si>
    <t>Bup 30 providers DATA</t>
  </si>
  <si>
    <t>Bup 100 providers DATA</t>
  </si>
  <si>
    <t>Bup 275 providers DATA</t>
  </si>
  <si>
    <t>Bup providers DATA</t>
  </si>
  <si>
    <t>This sheet contains capacity estimates for Buprenorphine based upon a number of different studies that in some cases overlap years. The capacity estimates at the bottom of the sheet starting at line 39 are a combination of these studies to give an approximation of time series data between 2002-2017.</t>
  </si>
  <si>
    <t>As of May 18, 2021: 100158 https://www.samhsa.gov/medication-assisted-treatment/practitioner-resources/DATA-program-data</t>
  </si>
  <si>
    <t>Kissin 2006 Experiences of a National Sample of Qualified Addiction Specialists Who Have and Have Not Prescribed Buprenorphine for Opioid Dependence  http://www.ncbi.nlm.nih.gov/pubmed/17088229</t>
  </si>
  <si>
    <t>Number of providers waivered to treat 30 patients at a given time</t>
  </si>
  <si>
    <t>Total waivered providers</t>
  </si>
  <si>
    <t>Fiellin 2007 The First Three Years of Buprenorphine in the United States: Experience to Date and Future Directions</t>
  </si>
  <si>
    <t>Arfken 2010 Expanding treatment capacity for opioid dependence with office-based
treatment with buprenorphine: National surveys of physicians</t>
  </si>
  <si>
    <t>Number of providers waivered to treat 100 patients at a given time</t>
  </si>
  <si>
    <t>Number of providers waivered to treat 275 patients at a given time</t>
  </si>
  <si>
    <t>*of those on locator list, 80-87% prescribed to at least 1 patient in last 90 days (from 2004-08); % with current patients was 76% in 2004 to 86% in 2008; of those not on locator list, 65-67% had prescribed in last 90 days (from 2006-08) and % with current patients was 63% in 2006 and 2008</t>
  </si>
  <si>
    <t>Stein et al 2015 Where Is Buprenorphine Dispensed to Treat Opioid Use Disorders? The Role of Private Offices, Opioid Treatment Programs, and Substance Abuse Treatment Facilities in Urban and Rural Counties. https://onlinelibrary.wiley.com/doi/epdf/10.1111/1468-0009.12137</t>
  </si>
  <si>
    <t>Jones et al 2015: https://dx.doi.org/10.2105%2FAJPH.2015.302664</t>
  </si>
  <si>
    <t>Knudsen 2015 https://doi.org/10.15288/jsad.2015.76.644</t>
  </si>
  <si>
    <t>2014 Buprenorphine Summit https://www.samhsa.gov/sites/default/files/proceedings_of_2014_buprenorphine_summit_030915_508.pdf</t>
  </si>
  <si>
    <t>Fraction of each</t>
  </si>
  <si>
    <t>HHS, 2016. Proposed Rule: Medication Assisted Treatment for Opioid Use Disorders. Federal Register document citation no. 81 FR 17639. (https://www.federalregister.gov/documents/2016/03/30/2016-07128/medication-assisted-treatment-for-opioid-use-disorders)</t>
  </si>
  <si>
    <t>McBain 2019 used to estimate fractions https://doi.org/10.7326/M19-2403</t>
  </si>
  <si>
    <t>*estimates</t>
  </si>
  <si>
    <t>Abraham 2020 Availability of Medications for the Treatment of Alcohol and Opioid
Use Disorder in the USA</t>
  </si>
  <si>
    <t>*analysis from last quarter of 2017</t>
  </si>
  <si>
    <t>*analysis from first quarter of 2019</t>
  </si>
  <si>
    <t>CRS Report 2018 (Buprenorphine and the Opioid Crisis: A Primer for Congress. https://fas.org/sgp/crs/misc/R45279.pdf) and 2019 (Location of Medication-Assisted Treatment for Opioid Addiction: In Brief. https://fas.org/sgp/crs/misc/R45782.pdf)</t>
  </si>
  <si>
    <t xml:space="preserve">Source for 2020 data: https://www.samhsa.gov/medication-assisted-treatment/practitioner-resources/DATA-program-data as of 12/30/20 </t>
  </si>
  <si>
    <t>Total Providers*</t>
  </si>
  <si>
    <t>These are additional data calculations not used directly in model</t>
  </si>
  <si>
    <t>Waiver-level of providers for calculations</t>
  </si>
  <si>
    <t>Bup 30 capacity</t>
  </si>
  <si>
    <t>Bup 100 capacity</t>
  </si>
  <si>
    <t>Bup 275 capacity</t>
  </si>
  <si>
    <t>Total theoretical capacity</t>
  </si>
  <si>
    <t>*Average estimates of waivered providers for 2002-2019 are derived from multiple sources</t>
  </si>
  <si>
    <t xml:space="preserve">**The count of buprenorphine-waivered providers at each patient-limit level (30, 100, or 275), multiplied by that limit level. </t>
  </si>
  <si>
    <t>This table contains data from NSSATS on numbers of patients receiving methadone.</t>
  </si>
  <si>
    <t>Clients Not Counted in 2018</t>
  </si>
  <si>
    <t xml:space="preserve"> </t>
  </si>
  <si>
    <t>Average of 1998 and 2000 numbers - client counts not collected in '99</t>
  </si>
  <si>
    <t>Average of 2000 and 2002, survey updates resulted in no data collection in 2001</t>
  </si>
  <si>
    <t>reports contradict - went with later</t>
  </si>
  <si>
    <t>imputed</t>
  </si>
  <si>
    <t>https://www.samhsa.gov/data/sites/default/files/report_3192/ShortReport-3192.html</t>
  </si>
  <si>
    <t>https://wwwdasis.samhsa.gov/dasis2/nssats/NSSATS_2019/2019-NSSATS-R.pdf</t>
  </si>
  <si>
    <t>This is the sum of inpatient, outpatient, and residential methadone clients from source data</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</si>
  <si>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</si>
  <si>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</si>
  <si>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</si>
  <si>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</si>
  <si>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</si>
  <si>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</si>
  <si>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</si>
  <si>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</si>
  <si>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</si>
  <si>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</si>
  <si>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</si>
  <si>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</si>
  <si>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</si>
  <si>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</si>
  <si>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</si>
  <si>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</si>
  <si>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</si>
  <si>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</si>
  <si>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</si>
  <si>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</si>
  <si>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</si>
  <si>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</si>
  <si>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This sheet contains the total number of vivitrol units per IQVIA NSP. It is assumed that the vivitrol units between 2006-2010 are being used for the treatment of Alcohol Use Disorder, and that any growth following 2010 can be attributed to treatment of OUD. One ext. unit is one injection</t>
  </si>
  <si>
    <t>year</t>
  </si>
  <si>
    <t xml:space="preserve">total number of Vivitrol units </t>
  </si>
  <si>
    <t>Average # of units between 06-10</t>
  </si>
  <si>
    <t>Assumed Vivitrol units for OUD</t>
  </si>
  <si>
    <t>Tx point in time Vivitrol unit based IQVIA</t>
  </si>
  <si>
    <t>VIVITROL: Extended-release naltrexone; injectable</t>
  </si>
  <si>
    <t>data used: IQVIA's National Sales Perspectives (NSP)</t>
  </si>
  <si>
    <t>NSP: units sold from manufacturers (intermediaries) to various channels</t>
  </si>
  <si>
    <t>channels included: mail, retail, all non-retail (all NSP channels)</t>
  </si>
  <si>
    <t xml:space="preserve">Provided by OSE via Lukas Glos - FDA </t>
  </si>
  <si>
    <t>Nx kits distributed HR IQVIA</t>
  </si>
  <si>
    <t>Harm Reduction Programs, Kits, and Reversals Reported</t>
  </si>
  <si>
    <t>RETAIL (IQVIA NPA)</t>
  </si>
  <si>
    <t>MAIL (IQVIA NPA)</t>
  </si>
  <si>
    <t>IQVIA NPA</t>
  </si>
  <si>
    <t>All Sources</t>
  </si>
  <si>
    <t>Year</t>
  </si>
  <si>
    <t>Known Vials/Units Distributed per Year</t>
  </si>
  <si>
    <t>Estimated annual units distributed</t>
  </si>
  <si>
    <t>Number of Program Respondents reporting distribution of nx</t>
  </si>
  <si>
    <t>Growth over prior year</t>
  </si>
  <si>
    <t>% Growth</t>
  </si>
  <si>
    <t>Nasal Sprays</t>
  </si>
  <si>
    <t>Injectable: auto-injectors (EVZIO)</t>
  </si>
  <si>
    <t>Injectable: disposable syringes</t>
  </si>
  <si>
    <t>Injectable: ampuls, vials</t>
  </si>
  <si>
    <t>Total Retail and Mail Prescriptions</t>
  </si>
  <si>
    <t>Wheeler 2012</t>
  </si>
  <si>
    <t>Wheeler 2012*</t>
  </si>
  <si>
    <t>Wheeler 2015</t>
  </si>
  <si>
    <t>Wheeler 2020**</t>
  </si>
  <si>
    <t>Wheeler 2012: https://www.cdc.gov/mmwr/preview/mmwrhtml/mm6106a1.htm?s_cid=mm6106a1_w#tab</t>
  </si>
  <si>
    <t>Wheeler 2015: https://www.cdc.gov/mmwr/preview/mmwrhtml/mm6423a2.htm</t>
  </si>
  <si>
    <t>Wheeler 2020: https://medium.com/@ejwharmreduction/harm-reduction-programs-distribute-one-million-doses-of-naloxone-in-2019-4884d3535256</t>
  </si>
  <si>
    <t>*During recent 12-month period (2009 or July 2009–June 2010)</t>
  </si>
  <si>
    <t>**Injectable only, through OSNN naloxone buyer's club</t>
  </si>
  <si>
    <t>% of all OD reversals that were for opioid other than Rx, from Wheeler 2015</t>
  </si>
  <si>
    <t>Patients</t>
  </si>
  <si>
    <t>Share</t>
  </si>
  <si>
    <t>Naloxone HCL Total</t>
  </si>
  <si>
    <t>Narcan</t>
  </si>
  <si>
    <t>&lt;0.1%</t>
  </si>
  <si>
    <t xml:space="preserve">Narcan HCL </t>
  </si>
  <si>
    <t>Naloxone HC1 C Ject</t>
  </si>
  <si>
    <t>Evzio</t>
  </si>
  <si>
    <t>-</t>
  </si>
  <si>
    <t>The IQVIA National Sales Perspectives™ (NSP) database was used to determine the setting of care for the utilization of naloxone products based on the estimated number of naloxone units (e.g., auto-injector, nasal spray, vial) sold from manufacturers to various U.S. settings of care from 2016 through 2020. The sales distribution data do not reflect what is being sold to or administered to patients directly; rather, these data provide a national estimate of units sold from the manufacturer into various channels of distribution. Of note, donations and some direct sales of naloxone are not captured in this data source.</t>
  </si>
  <si>
    <r>
      <t>The IQVIA</t>
    </r>
    <r>
      <rPr>
        <sz val="12"/>
        <color theme="1"/>
        <rFont val="Times New Roman"/>
        <family val="1"/>
        <charset val="1"/>
      </rPr>
      <t xml:space="preserve"> Total Patient Tracker™ (TPT) database was used to obtain the nationally estimated number of unique patients who received a dispensed prescription for a naloxone product from U.S. outpatient retail pharmacies, from 2006 through 2020.</t>
    </r>
  </si>
  <si>
    <t>Here we calculate the fraction of all illicit opioids that are not Rx that are fentanyl, its analogues, or any other synthetic. Thus, we exclude from the total anything that would have originally been prescribed, because we are only attempting to represent the peentration of fentanyl into what is essentially the "powder" market, and not into, for instance, counterfeit pills. The estimates below are derived from NFLIS tables. The year in this URL can be replaced to find the Table 1 used for each year back to 2007. https://www.nflis.deadiversion.usdoj.gov/DesktopModules/Statictables/NFLISPublicData_2019_Table1.pdf</t>
  </si>
  <si>
    <t>National Forensic Laboratory Information System: NFLIS-Drug 2020 Midyear Report (usdoj.gov)</t>
  </si>
  <si>
    <t>National Forensic Laboratory Information System: NFLIS-Drug March 2020 Snapshot (usdoj.gov)</t>
  </si>
  <si>
    <t xml:space="preserve">*ANPP should not be included as it's a precursor of fentanyl and not an analgesic </t>
  </si>
  <si>
    <t>Substance</t>
  </si>
  <si>
    <t>Count</t>
  </si>
  <si>
    <t>% of opioids</t>
  </si>
  <si>
    <t>Heroin</t>
  </si>
  <si>
    <t>Oxycodone</t>
  </si>
  <si>
    <t>Dihydroxycodeinone</t>
  </si>
  <si>
    <t>Hydrocodone</t>
  </si>
  <si>
    <t>Buprenorphine</t>
  </si>
  <si>
    <t>Morphine</t>
  </si>
  <si>
    <t>Methadone</t>
  </si>
  <si>
    <t>Codeine</t>
  </si>
  <si>
    <t>Tramadol</t>
  </si>
  <si>
    <t>Hydromorphone</t>
  </si>
  <si>
    <t>Dihydrocodeine</t>
  </si>
  <si>
    <t>Oxymorphone</t>
  </si>
  <si>
    <t>6-Monoacetylmorphine</t>
  </si>
  <si>
    <t>Monoacetyl morphine</t>
  </si>
  <si>
    <t>Opiates</t>
  </si>
  <si>
    <t>Fentanyl</t>
  </si>
  <si>
    <t>Xylazine</t>
  </si>
  <si>
    <t>Acetyl fentanyl</t>
  </si>
  <si>
    <t xml:space="preserve">Fluoroisobutyryl fentanyl </t>
  </si>
  <si>
    <t>Methoxyacetyl fentanyl</t>
  </si>
  <si>
    <t xml:space="preserve">Cyclopropyl fentanyl </t>
  </si>
  <si>
    <t xml:space="preserve">4-Fluoroisobutyryl fentanyl </t>
  </si>
  <si>
    <t>Carfentanil</t>
  </si>
  <si>
    <t>Furanyl fentanyl</t>
  </si>
  <si>
    <t>Acryl fentanyl</t>
  </si>
  <si>
    <t>3-methylfentanyl</t>
  </si>
  <si>
    <t>valeryl fentanyl</t>
  </si>
  <si>
    <t>Sum non-fentanyl synthetics</t>
  </si>
  <si>
    <t>Sum Synthetics</t>
  </si>
  <si>
    <t>Sum Rx opioids</t>
  </si>
  <si>
    <t>Powder market</t>
  </si>
  <si>
    <t>Total</t>
  </si>
  <si>
    <t>Patients receiving opioid prescription IQVIA SH</t>
  </si>
  <si>
    <t>ADF fraction of prescribed Rx opioids base</t>
  </si>
  <si>
    <t>All data were provided by OSE via Lukas Glos at FDA</t>
  </si>
  <si>
    <t>Rows 8 through 51 indicate how we calculated the number of patients receiving an opioid prescription using a combination of data from IQVIA and Symphony Health. Though IQVIA TPT does provide an estimate of unique patients receiving an opioid Rx, and Symphony Health numbers are a smaller subset than what IQVIA covers, FDA OSE trusts the distribution of prescriptions but not the total, whereas it does not trust the total from IQVIA TPT.</t>
  </si>
  <si>
    <t>Nationally estimated patients, all opioid analgesic dosage forms, and nationally estimated opioid analgesic prescriptions - Symphony Health. Data derived from patients with an incident opioid analgesic prescription (defined as no opioid analgesic prescription dispensed in prior 12 months). Data includes one year of follow up and includes the incident opioid analgesic prescription. Cohort year indicates the year of the incident opioid analgesic prescription plus one year follow up. Data are only available starting in 2009, through 2019.</t>
  </si>
  <si>
    <t>Patients with 1 Rx</t>
  </si>
  <si>
    <t>Patients with 2 Rxs</t>
  </si>
  <si>
    <t>Patients with 3 Rxs</t>
  </si>
  <si>
    <t>Patients with 4 Rxs</t>
  </si>
  <si>
    <t>Patients with 5+ Rxs</t>
  </si>
  <si>
    <t>Total Patients</t>
  </si>
  <si>
    <t>Prescriptions for patients with 1 Rx</t>
  </si>
  <si>
    <t>Prescriptions for patients with 2 Rxs</t>
  </si>
  <si>
    <t>Prescriptions for patients with 3 Rxs</t>
  </si>
  <si>
    <t>Prescriptions for patients with 4 Rxs</t>
  </si>
  <si>
    <t>Prescriptions for patients with 5+ Rxs</t>
  </si>
  <si>
    <t>Total prescriptions</t>
  </si>
  <si>
    <t>Avg Rx per person for patients with 5+ rx</t>
  </si>
  <si>
    <t>The fractions below are used to estimate the distribution of individuals receiving different numbers of opioid prescriptions per year in the total IQVIA dataset which is larger than Symphony Health. This allows us to arrive at average prescription duration and total patients in the entire population rather than just the Symphony health subset</t>
  </si>
  <si>
    <t xml:space="preserve">It is assumed that the duration of an Rx for an individual with less than 5 Rxs per year is .5 months. The duration of an Rx for someone who gets more than 5 per year is 1 month. This assumes basically that chronic users would likely get 30 day or more prescriptions whereas acute users would have an Rx of a couple of weeks or a half month.  </t>
  </si>
  <si>
    <t>Assumed months of Rx by group</t>
  </si>
  <si>
    <t>Fraction of SH estimated opioid receiving patients with 1 Rx</t>
  </si>
  <si>
    <t>Fraction of SH estimated opioid receiving patients with 2 Rx</t>
  </si>
  <si>
    <t>Fraction of SH estimated opioid receiving patients with 3 Rx</t>
  </si>
  <si>
    <t>Fraction of SH estimated opioid receiving patients with 4 Rx</t>
  </si>
  <si>
    <t>Fraction of SH estimated opioid receiving patients with 5+ Rx</t>
  </si>
  <si>
    <t xml:space="preserve">Fraction of total Rx with that number of prescriptions - prior to 2009 these data were extrapolated using a trend function. </t>
  </si>
  <si>
    <t>Annual Nrx per person - Total Rx/Total People</t>
  </si>
  <si>
    <t>*** 2009 rx/person with 5+ is carried back as the value for pre 2009 estimates</t>
  </si>
  <si>
    <t>***** 2019 rx/person with 5+ is carried forward as the value for post 2019 estimates</t>
  </si>
  <si>
    <t>Average duration of use (in months) is then calculated by multiplying the fractions by the expected duration of use for that group - ie, individuals receiving 1 opioid rx received .5 months of Rx, and individuals receiving 2 opioid rx received 1 month of rx etc. . Average duration of prescription is then calculated by dividing the Nrx per persion by the durations of use in months per person.  The distinction between duration of use and prescription is important because one can imagine policies that might shift one and not the other - even if Nrx remains the same, post surgical prescriptions could decrease to 3-5 days rather than 2 weeks, decreasing the overall supply of opioids to the street.</t>
  </si>
  <si>
    <t>Average duration of use</t>
  </si>
  <si>
    <t>Duration of Use (in months)</t>
  </si>
  <si>
    <t>Person months of opioid use - Expected months of rx use per person *patients receiving opioid prescription</t>
  </si>
  <si>
    <t>Average duration of prescription</t>
  </si>
  <si>
    <t>Duration of Prescription (months)</t>
  </si>
  <si>
    <t>To calculate the number of patients receiving an opioid prescription per year, we then divide total prescriptions from IQVIA by the average annual Nrx per person</t>
  </si>
  <si>
    <t xml:space="preserve">Patients receiving opioid prescription </t>
  </si>
  <si>
    <t>The data below were received from OSE except where indicated and used directly in the model. No adjustments were necessary.</t>
  </si>
  <si>
    <t>Estimated number of opioid analgesic prescriptions dispensed from U.S. outpatient pharmacies, retail and mail only included here. Included are all opioid analgesics, all formulations from IQVIA's National Prescription Audit (NPA).</t>
  </si>
  <si>
    <t>*1999-2001 come from  Pezalla 2017 (NPA), minus 2.6% as this is how much Pezalla's estimates exceeded OSE's in 2002 (193.89 billion)</t>
  </si>
  <si>
    <t>Peak prescribing**</t>
  </si>
  <si>
    <t>* Morphine milligram equivalents derived from multiplying units by a conversion factor using CDC and other sources</t>
  </si>
  <si>
    <t>*Source for 1999-2001: Dasgupta 2006 &amp; ARCOS 1999-2001 reports</t>
  </si>
  <si>
    <t xml:space="preserve">These data are for prescriptions dispensed from retail or mail-order pharmacies. </t>
  </si>
  <si>
    <t>MMEs of abuse-deterrent formulation opioid analgesics dispensed from U.S. outpatient pharmacies, 2009-2019 annually.</t>
  </si>
  <si>
    <t>See "MMEs for ADF OAs 2009-2019.xlsx" for original file provided by FDA</t>
  </si>
  <si>
    <t>Data source: IQVIA National Prescription Audit™, data years 2009-2019, data extracted October 2020.</t>
  </si>
  <si>
    <t xml:space="preserve">MME conversion factors: Source: https://www.cdc.gov/drugoverdose/pdf/calculating_total_daily_dose-a.pdf </t>
  </si>
  <si>
    <t>Provided by Lukas Glos - FDA (calculated By OSE)</t>
  </si>
  <si>
    <t>ADF opioid products included:</t>
  </si>
  <si>
    <t>HYSINGLA ER</t>
  </si>
  <si>
    <t>ARYMO ER</t>
  </si>
  <si>
    <t>MORPHABOND ER</t>
  </si>
  <si>
    <t>EMBEDA</t>
  </si>
  <si>
    <t>OXYCONTIN</t>
  </si>
  <si>
    <t>ROXYBOND</t>
  </si>
  <si>
    <t>XTAMPZA ER</t>
  </si>
  <si>
    <t>From old data from Lukas - Only includes Embeda prior to 2011**</t>
  </si>
  <si>
    <r>
      <t xml:space="preserve">There was a change in the underlying data and methodology of the proprietary database, IQVIA NPA (from which IQVIA TPT is derived). The change was implemented to manage prescription claims that were voided or reversed.  The data have been historically adjusted for 2017 and 2018 but not for prior data years -- data prior to 2017 have not been adjusted to the new methodology. Therefore, there exists a trend break between 2017/2018 data years and prior data years. Any changes over time must be interpreted in the context of the changes in methodology. This methods change resulted in a 1.7% and 2.0% difference in the number of </t>
    </r>
    <r>
      <rPr>
        <b/>
        <u/>
        <sz val="11"/>
        <color rgb="FFFF0000"/>
        <rFont val="Calibri"/>
        <family val="2"/>
        <scheme val="minor"/>
      </rPr>
      <t>opioid analgesic prescriptions dispensed</t>
    </r>
    <r>
      <rPr>
        <b/>
        <sz val="11"/>
        <color rgb="FFFF0000"/>
        <rFont val="Calibri"/>
        <family val="2"/>
        <scheme val="minor"/>
      </rPr>
      <t xml:space="preserve"> in 2017 and 2018, respectively. It is unclear how this methods change may impact the estimated number of patients who received dispensed prescriptions for opioid analgesic and results over time should be interpreted accordingly.</t>
    </r>
  </si>
  <si>
    <t>Calculations for 1999-2001 MMEs based on Dasgupta 2006 &amp; ARCOS 1999-2001 reports</t>
  </si>
  <si>
    <t>Meperidine</t>
  </si>
  <si>
    <t>Propoxyphene</t>
  </si>
  <si>
    <t>Pentazocine</t>
  </si>
  <si>
    <r>
      <t xml:space="preserve">Dasgupta 2006 kgs / </t>
    </r>
    <r>
      <rPr>
        <b/>
        <sz val="11"/>
        <color rgb="FFFF0000"/>
        <rFont val="Calibri"/>
        <family val="2"/>
        <scheme val="minor"/>
      </rPr>
      <t>ARCOS kgs purchased by pharmacy</t>
    </r>
    <r>
      <rPr>
        <b/>
        <sz val="11"/>
        <color theme="1"/>
        <rFont val="Calibri"/>
        <family val="2"/>
        <scheme val="minor"/>
      </rPr>
      <t xml:space="preserve"> </t>
    </r>
  </si>
  <si>
    <t xml:space="preserve">Fentanyl </t>
  </si>
  <si>
    <t>*Hydromorphone from ARCOS is higher, at 223, 257, and 306 for 1999-2001</t>
  </si>
  <si>
    <t>Hydrocodone was 19725 in Dasgupta but not reported in ARCOS for 1999</t>
  </si>
  <si>
    <t>Methadone in ARCOS only 1893 total; codeine in Dasgupta was 35,433 but not reported in ARCOS in earlier years</t>
  </si>
  <si>
    <t>FDA conversion 2018 https://www.fda.gov/media/111695/download</t>
  </si>
  <si>
    <t>Fentanyl (patch)</t>
  </si>
  <si>
    <t>Propoxyphene*</t>
  </si>
  <si>
    <t>*https://www.ncbi.nlm.nih.gov/pmc/articles/PMC6514531/</t>
  </si>
  <si>
    <t>ARCOS kgs - pharmacy only</t>
  </si>
  <si>
    <t>Total overdose deaths synth no H NVSS</t>
  </si>
  <si>
    <t xml:space="preserve">This sheet contains overdose death data from NBER NVSS. It has been separated into mutually exclusive buckets based upon the decision rules listed below. </t>
  </si>
  <si>
    <t>FATAL OVERDOSES:</t>
  </si>
  <si>
    <t>see detailed description of mutual exclusive categories below</t>
  </si>
  <si>
    <t>Pure Deaths per category</t>
  </si>
  <si>
    <t>Percentage of total that are not other only</t>
  </si>
  <si>
    <t>Additional in each category allocated from "Other"</t>
  </si>
  <si>
    <t>Actual Total Deaths per Category</t>
  </si>
  <si>
    <t xml:space="preserve">(1) rx opioids only </t>
  </si>
  <si>
    <t>(2) rx opioids w/ synth</t>
  </si>
  <si>
    <t>(3) rx opioids w/ heroin</t>
  </si>
  <si>
    <t>(4) rx opioids w/ other</t>
  </si>
  <si>
    <t>(5) rx multiple</t>
  </si>
  <si>
    <t>(6) heroin only</t>
  </si>
  <si>
    <t>(7) heroin w/ synth</t>
  </si>
  <si>
    <t>(8) heroin w/ other</t>
  </si>
  <si>
    <t>(9) heroin multiple</t>
  </si>
  <si>
    <t>(10) synth only</t>
  </si>
  <si>
    <t>(11) synth w/ other</t>
  </si>
  <si>
    <t>(12) other only</t>
  </si>
  <si>
    <t>total fatal overdoses</t>
  </si>
  <si>
    <t>Total check</t>
  </si>
  <si>
    <t>Rx deaths</t>
  </si>
  <si>
    <t>Heroin deaths</t>
  </si>
  <si>
    <t>Synth no H Deaths</t>
  </si>
  <si>
    <t>Synth + H deaths</t>
  </si>
  <si>
    <t>Rx deaths % of total</t>
  </si>
  <si>
    <t>Heroin deaths % of total</t>
  </si>
  <si>
    <t>Synth no H Deaths % of total</t>
  </si>
  <si>
    <t>Synth + H deaths % of total</t>
  </si>
  <si>
    <t xml:space="preserve">Mutually exclusive fatal overdose categories; used following decision rules:  </t>
  </si>
  <si>
    <t>(1)</t>
  </si>
  <si>
    <t>rx (incl. methadone) only; no heroin, synth or other</t>
  </si>
  <si>
    <t>(2)</t>
  </si>
  <si>
    <t>rx (incl. methadone) w/ synth; no heroin or other</t>
  </si>
  <si>
    <t>(3)</t>
  </si>
  <si>
    <t>rx (incl. methadone) w/ heroin; no synth or other</t>
  </si>
  <si>
    <t>(4)</t>
  </si>
  <si>
    <t>rx (incl. methadone) w/ other; no heroin or synth</t>
  </si>
  <si>
    <t>Combined overdose categories as follows:</t>
  </si>
  <si>
    <t>(5)</t>
  </si>
  <si>
    <t>rx multiple (incl. methadone), includes at least 3 substances; but not heroin</t>
  </si>
  <si>
    <t>Includes Rx only (1), Rx + other (4)</t>
  </si>
  <si>
    <t>(6)</t>
  </si>
  <si>
    <t>heroin only; no rx (incl. methadone), synth or other</t>
  </si>
  <si>
    <t>Includes Heroin only (6), Rx + heroin (3), heroin + other (8)</t>
  </si>
  <si>
    <t>(7)</t>
  </si>
  <si>
    <t>heroin w/ synth; no rx (incl. methadone) or other</t>
  </si>
  <si>
    <t>Includes Rx+synth (2), Rx multiple (5), synth only(10), synth w/ other (11)</t>
  </si>
  <si>
    <t>(8)</t>
  </si>
  <si>
    <t>heroin w/ other; no rx (incl. methadone) or synth</t>
  </si>
  <si>
    <t>Includes Heroin+synth (7), heroin multiple (9)</t>
  </si>
  <si>
    <t>(9)</t>
  </si>
  <si>
    <t>heroin multiple; includes at least 3 substances (can include rx and/or methadone)</t>
  </si>
  <si>
    <t>Unspecified opioids (12) distributed proportionally across all other categories</t>
  </si>
  <si>
    <t>(10)</t>
  </si>
  <si>
    <t>synth only; no rx (incl. methadone), heroin or other</t>
  </si>
  <si>
    <t>(11)</t>
  </si>
  <si>
    <t>synth w/ other, no rx (incl. methadone) or heroin</t>
  </si>
  <si>
    <t>(12)</t>
  </si>
  <si>
    <t>other only,  no rx (incl. methadone), heroin or synth</t>
  </si>
  <si>
    <t xml:space="preserve">Provided by Lukas Glos - FDA </t>
  </si>
  <si>
    <t>Initiating NDHU with Rx misuse NSDUH RDAS</t>
  </si>
  <si>
    <t>Initiating NDHU no Rx NSDUH RDAS</t>
  </si>
  <si>
    <t xml:space="preserve">This sheet contains a number of estimates compiled from the restricted NSDUH data access tool called RDAS (found here: https://rdas.samhsa.gov/#/) in combination with SAMHSA annual reports. Because ages, and survey dates are inaccessible in the public use files, it is not possible to accurately get at dates and years of initiation. This leads to slight inconsistencies as the RDAS numbers are rounded. </t>
  </si>
  <si>
    <t xml:space="preserve">This sheet contains a number of estimates compiled from the restricted NSDUH data access tool called RDAS (found here: https://rdas.samhsa.gov/#/). Because ages, and survey dates are inaccessible in the public use files, it is not possible to accurately get at dates and years of initiation. This leads to slight inconsistencies as the RDAS numbers are rounded. The numbers actually used in the model are in the subsequent tabs entitled "Rx Initiation" and "Heroin Initiation".  RDAS only reports rx initiation by source for every 2-year period, with no overlap until 2015. We divided the individuals who initiate where their last source was either 1 or 2 doctors or medical by total past year initiates. There is a clear trend break in 2015 which is why these have been separated into two different averages below. SAMHSA reports total initiates in their annual reports, so these percentages in S7 and T7 have been applied to the total initiate numbers below. </t>
  </si>
  <si>
    <t>Total Past Year Heroin Users</t>
  </si>
  <si>
    <t>Lifetime but not Past Year Heroin</t>
  </si>
  <si>
    <t>Total Past Year Heroin Initiates</t>
  </si>
  <si>
    <t>Heroin Initiates with Lifetime Rx</t>
  </si>
  <si>
    <t>Heroin Initiates with past year Rx OUD</t>
  </si>
  <si>
    <t>Heroin Initiates with past year Rx Misuse</t>
  </si>
  <si>
    <t>Heroin Initiates with Any Past Year Rx Use</t>
  </si>
  <si>
    <t>Past year heroin initiate with no RX</t>
  </si>
  <si>
    <t>PY Heroin Initiate % with OUD</t>
  </si>
  <si>
    <t>PY Heroin Initiate % with Rx misuse</t>
  </si>
  <si>
    <t>PY Heroin Initiate % direct</t>
  </si>
  <si>
    <t>Total with HUD</t>
  </si>
  <si>
    <t>Total Past Year Rx Misusers</t>
  </si>
  <si>
    <t>Lifetime but not past year misuse</t>
  </si>
  <si>
    <t>Total Past Year Rx Initiates</t>
  </si>
  <si>
    <t>Total Rx Initiates with Lifetime Heroin</t>
  </si>
  <si>
    <t xml:space="preserve">Total Initiates with Past Year Heroin </t>
  </si>
  <si>
    <t>Total with past year OUD</t>
  </si>
  <si>
    <t>Past year initiates of Rx where source = 1 or 2 doctors</t>
  </si>
  <si>
    <t xml:space="preserve">Past year initiates of Rx where source = diverted (not equal to 1 or 2 doctors) </t>
  </si>
  <si>
    <t>Percentage of initiates with source populated = medical</t>
  </si>
  <si>
    <t>Percentage of total initiates where source = medical</t>
  </si>
  <si>
    <t>2002-2003</t>
  </si>
  <si>
    <t>Source question not asked</t>
  </si>
  <si>
    <t>2003-2004</t>
  </si>
  <si>
    <t>2004-2005</t>
  </si>
  <si>
    <t>2005-2006</t>
  </si>
  <si>
    <t>2006-2007</t>
  </si>
  <si>
    <t>Suppressed</t>
  </si>
  <si>
    <t>2007-2008</t>
  </si>
  <si>
    <t>2008-2009</t>
  </si>
  <si>
    <t>2009-2010</t>
  </si>
  <si>
    <t>2010-2011</t>
  </si>
  <si>
    <t>2011-2012</t>
  </si>
  <si>
    <t>2012-2013</t>
  </si>
  <si>
    <t>2013-2014</t>
  </si>
  <si>
    <t>2014-2015</t>
  </si>
  <si>
    <t>2015-2016</t>
  </si>
  <si>
    <t>2016-2017</t>
  </si>
  <si>
    <t>2017-2018</t>
  </si>
  <si>
    <t>2018-2019</t>
  </si>
  <si>
    <t>Variables Used</t>
  </si>
  <si>
    <t>IRHERRC</t>
  </si>
  <si>
    <t>RECHER2</t>
  </si>
  <si>
    <t>RECHER2, IRPNRNMREC or IRANLRC</t>
  </si>
  <si>
    <t>RECHER2, UDPYPNR</t>
  </si>
  <si>
    <t>ABODHER</t>
  </si>
  <si>
    <t>IRPNRNMREC, IRANLRC</t>
  </si>
  <si>
    <t>RECANL_B, RECPNRNM</t>
  </si>
  <si>
    <t>RECANL_B, RECPNRNM, IRHERRC</t>
  </si>
  <si>
    <t>ABODANL, UDPYPNR</t>
  </si>
  <si>
    <t>SRCPNRNM</t>
  </si>
  <si>
    <t>Raw Heroin Initiation</t>
  </si>
  <si>
    <t>Calendar year</t>
  </si>
  <si>
    <t>RDAS Variables Used</t>
  </si>
  <si>
    <t>Initiating heroin with Rx OUD</t>
  </si>
  <si>
    <t>Initiating NDHU with Rx misuse</t>
  </si>
  <si>
    <t>heroin initiates with any past year rx misuse/oud - Initiating heroin with Rx OUD</t>
  </si>
  <si>
    <t>Initiating NDHU no Rx</t>
  </si>
  <si>
    <t>heroin initiates with any past year rx misuse/oud</t>
  </si>
  <si>
    <t>Total Past Year Heroin Initiates RDAS</t>
  </si>
  <si>
    <t>RECHER2 2nd year used</t>
  </si>
  <si>
    <t>SAMHSA Reports</t>
  </si>
  <si>
    <t>Average of every 2-year initiation reported by SAMHSA</t>
  </si>
  <si>
    <t>summed heroin initiation</t>
  </si>
  <si>
    <t>Sum of above rows = SAMHSA report totals</t>
  </si>
  <si>
    <t xml:space="preserve">RDAS only reports heroin initiation by Rx misuse status for every 2-year period, with no overlap until 2016. However, they also report total heroin initiation, which can be compared to total heroin initiation in the SAMHSA annual reports. It appears that the total heroin initiation in RDAS is roughly the average of the two years. Thus, the different types of initiation can be roughly averaged across the years. We took the proportion of each type of initiation out of RDAS' 2-year numbers and applied those to the total reported in SAMHSA's annual reports to arrive at annual estimats of heroin initiation by subcategory. </t>
  </si>
  <si>
    <t>Estimates of initiates pre-2002</t>
  </si>
  <si>
    <t>pain relievers https://www.painphysicianjournal.com/current/pdf?article=MTcwNA%3D%3D&amp;journal=68</t>
  </si>
  <si>
    <t>heroin https://www.painphysicianjournal.com/current/pdf?article=MTcwNA%3D%3D&amp;journal=68 and https://web.archive.org/web/20040917212014/http://www.oas.samhsa.gov/NHSDA/98SummHtml/NHSDA98Summ-09.htm#P577_46064</t>
  </si>
  <si>
    <t>pain relievers retrospective? https://web.archive.org/web/20040811040057/http://www.oas.samhsa.gov/nhsda/2k2nsduh/Results/apph.htm#tabh.39</t>
  </si>
  <si>
    <t>***Note on total Population Calculations</t>
  </si>
  <si>
    <t>Numbers from 1999 - 2019 are taken directly from NSDUH and represent the 12+ non institutionalized and non-military population of the United States. For future years out to 2030, the projected population is estimated with a simple linear trend function applied to the 1999-2019 data</t>
  </si>
  <si>
    <t>Rx OUD with PY heroin</t>
  </si>
  <si>
    <t xml:space="preserve">Percent of HUD that are: </t>
  </si>
  <si>
    <t xml:space="preserve">Percent of NDHU that are: </t>
  </si>
  <si>
    <t>NonuserHUD</t>
  </si>
  <si>
    <t>AbuseHUD</t>
  </si>
  <si>
    <t>OUDHUD</t>
  </si>
  <si>
    <t>Use Rx</t>
  </si>
  <si>
    <t>AbuseAbuse</t>
  </si>
  <si>
    <t>NonuserAbuse</t>
  </si>
  <si>
    <t>Rx misuse no PY heroin</t>
  </si>
  <si>
    <t>Nondisordered heroin use</t>
  </si>
  <si>
    <t>Fraction of NDHU who use Rx NSDUH</t>
  </si>
  <si>
    <t>Fraction of HUD who use Rx NSDUH</t>
  </si>
  <si>
    <t>NSDUH Total Pop</t>
  </si>
  <si>
    <t>HUD NSDUH - Prior to 2002</t>
  </si>
  <si>
    <t xml:space="preserve"> https://www.painphysicianjournal.com/current/pdf?article=MTcwNA%3D%3D&amp;journal=68 https://web.archive.org/web/20041014120811/http://www.oas.samhsa.gov/NHSDA/98MF.pdf</t>
  </si>
  <si>
    <t>Pain reliever misuse (with or without H use)</t>
  </si>
  <si>
    <t xml:space="preserve"> https://web.archive.org/web/20040910214422/http://www.oas.samhsa.gov/NHSDA/1997Main/nhsda1997mfWeb-15.htm#Table2.2</t>
  </si>
  <si>
    <t>past year heroin</t>
  </si>
  <si>
    <t>OUD NSDUH - Prior to 2002</t>
  </si>
  <si>
    <t>Table of HerTYPE by RxTYPE</t>
  </si>
  <si>
    <t>Controlling for YEAR=2002</t>
  </si>
  <si>
    <t>Rx OUD with no PY heroin</t>
  </si>
  <si>
    <t>HerTYPE</t>
  </si>
  <si>
    <t>RxTYPE</t>
  </si>
  <si>
    <t>Frequency</t>
  </si>
  <si>
    <t>Weighted</t>
  </si>
  <si>
    <t>Std Err of</t>
  </si>
  <si>
    <t>Percent</t>
  </si>
  <si>
    <t>RX TYPE</t>
  </si>
  <si>
    <t>Wgt Freq</t>
  </si>
  <si>
    <t>Nonuser</t>
  </si>
  <si>
    <t>Past Year Abuse</t>
  </si>
  <si>
    <t>Past Year Rx Use Disorder</t>
  </si>
  <si>
    <t>OUD with no PY heroin</t>
  </si>
  <si>
    <t>OUD with PY heroin</t>
  </si>
  <si>
    <t>HUD</t>
  </si>
  <si>
    <t>Rx abuse</t>
  </si>
  <si>
    <t>Heroin abuse</t>
  </si>
  <si>
    <t>Abuse</t>
  </si>
  <si>
    <t>Heroin Type</t>
  </si>
  <si>
    <t>Frac of NDHU w Rx Misuse</t>
  </si>
  <si>
    <t>OUD</t>
  </si>
  <si>
    <t>Past Year Heroin Use Disorder</t>
  </si>
  <si>
    <t>OUD+H</t>
  </si>
  <si>
    <t>OUD No H</t>
  </si>
  <si>
    <t>NDHU</t>
  </si>
  <si>
    <t>Rx Abuse</t>
  </si>
  <si>
    <t>Controlling for YEAR=2003</t>
  </si>
  <si>
    <t>NDHU + Rx</t>
  </si>
  <si>
    <t>NDHU Only</t>
  </si>
  <si>
    <t xml:space="preserve">HUD + Rx </t>
  </si>
  <si>
    <t>HUD Only</t>
  </si>
  <si>
    <t>Fraction of NDHU with Rx use</t>
  </si>
  <si>
    <t>Fraction of HUD with Rx use</t>
  </si>
  <si>
    <t>Controlling for YEAR=2004</t>
  </si>
  <si>
    <t>NSDUH numbers (12+) Actual</t>
  </si>
  <si>
    <t>CENSUS PROJECTIONS FOR TOTAL POP</t>
  </si>
  <si>
    <t>Fraction of total projected pop that’s NSDUH in 2019</t>
  </si>
  <si>
    <t xml:space="preserve"> NSDUH/Projection 2019 </t>
  </si>
  <si>
    <t>2019 Fraction * Census projected pop</t>
  </si>
  <si>
    <t>Controlling for YEAR=2005</t>
  </si>
  <si>
    <t xml:space="preserve">*Numbers from 1999 - 2019 are taken directly from NSDUH and represent the 12+ non institutionalized and non-military population of the United States. For future years out to 2030, the projected population is estimated with a simple linear trend function applied to the 1999-2019 data </t>
  </si>
  <si>
    <t>Controlling for YEAR=2006</t>
  </si>
  <si>
    <t>Controlling for YEAR=2007</t>
  </si>
  <si>
    <t>Controlling for YEAR=2008</t>
  </si>
  <si>
    <t>Controlling for YEAR=2009</t>
  </si>
  <si>
    <t>Controlling for YEAR=2010</t>
  </si>
  <si>
    <t>Controlling for YEAR=2011</t>
  </si>
  <si>
    <t>Controlling for YEAR=2012</t>
  </si>
  <si>
    <t>Controlling for YEAR=2013</t>
  </si>
  <si>
    <t>Controlling for YEAR=2014</t>
  </si>
  <si>
    <t>Controlling for YEAR=2015</t>
  </si>
  <si>
    <t>Controlling for YEAR=2016</t>
  </si>
  <si>
    <t>Controlling for YEAR=2017</t>
  </si>
  <si>
    <t>Controlling for YEAR=2018</t>
  </si>
  <si>
    <t>Controlling for YEAR=2019</t>
  </si>
  <si>
    <t>Weighted
Frequency</t>
  </si>
  <si>
    <t>Std Err of
Wgt Freq</t>
  </si>
  <si>
    <t>Std Err of
Percent</t>
  </si>
  <si>
    <t> </t>
  </si>
  <si>
    <t>Initiating NDHU no Rx NSDUH RDAS RAND</t>
  </si>
  <si>
    <t>Rx misuse with PY Heroin</t>
  </si>
  <si>
    <t>NDHU without PY Rx</t>
  </si>
  <si>
    <t xml:space="preserve">This sheet contains the calculations and data transformations used to arrive at the RAND adjusted heroin use estimates. </t>
  </si>
  <si>
    <t>2019 RAND report estimates of chronic heroin users (in millions)</t>
  </si>
  <si>
    <t>NSDUH: average 10-15 days of use in past month</t>
  </si>
  <si>
    <t>NSDUH data (in millions)</t>
  </si>
  <si>
    <t>NSDUH: average somewhere between 31 (rx + NDHU) and 52 (NDHU only) days of use in past year, or 2-5 days per month</t>
  </si>
  <si>
    <t>NSDUH: avg 17 days of H use in past year but given transience of this group (often quickly moving onto HUD) it's unlikely these 17 days are evenly spread across the prior 12 months</t>
  </si>
  <si>
    <t>Rx OUD with H</t>
  </si>
  <si>
    <t>Total Rx OUD + H + NDHU</t>
  </si>
  <si>
    <t>average multiplier for  all heroin users based on ratio of all chronic heroin users to all heroin users</t>
  </si>
  <si>
    <t>Ratio of RAND estimates for all chronic heroin users to all heroin users</t>
  </si>
  <si>
    <t>Ratio of chronic heroin users to all heroin users applied to initiation</t>
  </si>
  <si>
    <t>Initiating NDHU with Rx misuse NSDUH RDAS RAND</t>
  </si>
  <si>
    <t xml:space="preserve">Ratio of chronic heroin users to all heroin users applied to stocks </t>
  </si>
  <si>
    <t>HUD revised with RAND</t>
  </si>
  <si>
    <t>NDHU revised with RAND</t>
  </si>
  <si>
    <t>Rx OUD+H revised with RAND</t>
  </si>
  <si>
    <t>2019 RAND report estimates of chronic heroin users by frequency</t>
  </si>
  <si>
    <t>21 + days in past month</t>
  </si>
  <si>
    <t>11-20 days in past month</t>
  </si>
  <si>
    <t>4-10 days in past month</t>
  </si>
  <si>
    <t>Not used for calculations but potentially useful</t>
  </si>
  <si>
    <t>slope</t>
  </si>
  <si>
    <t>intercept</t>
  </si>
  <si>
    <t>Number of years after 2019 including 2019</t>
  </si>
  <si>
    <t>logistic</t>
  </si>
  <si>
    <t>Number of years after 2016 including 2016</t>
  </si>
  <si>
    <t>Divided by 86.6% capacity utilization</t>
  </si>
  <si>
    <t>linear</t>
  </si>
  <si>
    <t>*IQVIA data show a drop in Viv units in 2020 which we attribute to COVID, so are not using it for projections.</t>
  </si>
  <si>
    <t>Number of years after 2017 including 2017</t>
  </si>
  <si>
    <t>Divided by 88% capacity utilization</t>
  </si>
  <si>
    <t># of opioid prescriptions</t>
  </si>
  <si>
    <t xml:space="preserve">Calculation for projections in 2031 </t>
  </si>
  <si>
    <t>Rx per person</t>
  </si>
  <si>
    <t>MME per rx</t>
  </si>
  <si>
    <t>MMEs</t>
  </si>
  <si>
    <t>number of years after 2018 including 2018</t>
  </si>
  <si>
    <t>years since 2016 including 2016</t>
  </si>
  <si>
    <t>number of years after 2019 including 2019</t>
  </si>
  <si>
    <t>years since 2019 including 2019</t>
  </si>
  <si>
    <t>ADF % of prescribed MMEs</t>
  </si>
  <si>
    <t>Number of years after 2018 including 2018</t>
  </si>
  <si>
    <t>Doe-Simkins 2021**</t>
  </si>
  <si>
    <t>2020 value: Maya Doe-Simkins report of Buyers' club purchases on 5/24/2021</t>
  </si>
  <si>
    <t>*Strong reason to believe 2020 slowed growth in Nx Rx  is an anomaly due to COVID</t>
  </si>
  <si>
    <t xml:space="preserve">*Note that 2020 IQVIA data has been received but the growth was minimal, and questions remain about whether that might be due to COVID. </t>
  </si>
  <si>
    <t>Average duration of use in years</t>
  </si>
  <si>
    <t>Average duration of prescription in years</t>
  </si>
  <si>
    <t>If using trend for 2020 (do not recommend due to COVID: =@TREND($L30:$V30,$L29:$V29,W29))</t>
  </si>
  <si>
    <t>Number of years after 2017including 2017</t>
  </si>
  <si>
    <t>In most years we assumed a logarithmic curve going forward based on recent years' trends showing a slowing of growth or decline. Growth in buprenorphine providers has been exponential in recent years, with 2020 showing especially large gains. However, the 2021 data available on SAMHSA's website show signs of slowing (indeed, 2020 might have been an anomalous year in terms of rapid growth). Thus, we still used a logarithmic function but based only on 2019-20 data. Another exception is methadone capacity, which is based on utilization, and has had a steady  linear growth since at least 1999. We therefore assumed continued linear growth. Fentanyl, Vivitrol, and naloxone kits are also starting to show signs of slowing growth, while prescription opioid-related declines are also slowing.</t>
  </si>
  <si>
    <t>These were calculated to test whether the relative impacts of strategies change when projections are based on data only through 2019. We have not yet run a full model with all 2019 data. Prior to receiving 2020 data, we were using 2020 buprenorphine waivered providers data and fentanyl penetration data from NFLIS. Thus, these earlier versions of the model relied largely on 2019 data. We thus tested the effects of strategies when 2031 values were based on data only available through 2019. FOr buprenoprhine providers, it is not clear this makes sense, as projections estimate we would reach actual 2020 values in 2026. This is because these are cumulative figures that never decline. Nonetheless, implications did not change. Nor did they wi</t>
  </si>
  <si>
    <t>MME per Rx</t>
  </si>
  <si>
    <t>Additional data provided by OSE May 2021 but not used in model</t>
  </si>
  <si>
    <r>
      <t xml:space="preserve">This sheet contains details and logic for how we calculated estimates of naloxone kit distribution and utilization rate. We start with the only published national data on naloxone kit distribution, all to harm reduction programs (Wheeler 2012, 2015). Using the annual percentage growth in programs and estimates of kits distributed in 2009 and 2013 (Wheeler 2012, 2015) and 2019 (Wheeler 2020), we estimate kits distributed in the years for which there are no published data. After mid-2014, the only publicly-available data are on injectable naloxone kits distributed by the OSNN naloxone buyer's club (Wheeler 2020 and personal communicatoin, Maya Doe-Simkins 2021), a different sample of harm reduction programs than is reported on in 2012 and 2015. We add to this estimates of consumer-level prescriptions available from pharmacy data, i.e., outside of harm reduction programs; we assume mail and retail channels, but not long-term care channels, are the most likely source for naloxone for potential overdose bystanders/laypersons. We then use this total in the model along with other parameters to match our expert-estimated </t>
    </r>
    <r>
      <rPr>
        <sz val="12"/>
        <rFont val="Calibri"/>
        <family val="2"/>
        <scheme val="minor"/>
      </rPr>
      <t xml:space="preserve">probability of </t>
    </r>
    <r>
      <rPr>
        <sz val="12"/>
        <color theme="1"/>
        <rFont val="Calibri"/>
        <family val="2"/>
        <scheme val="minor"/>
      </rPr>
      <t>naloxone administration per witnessed overdose, which is different for Rx vs heroin. We chose NPA (total # of prescriptions) rather than NSP (sales and distribution from manufacturers) for two reasons. First, its numbers per 100 million population more closely approximate the estimated P(Nx) than NSP. Second, we did not want to assume that all naloxone distributed to pharmacies is necessarily purchased, even by consumers. By using NPA, we might underestimate naloxone availability if these channels do not include pharmacy-purchased naloxone through standing orders (it's unclear). Moreover, these are prescriptions, not units, and each prescription might contain two units, which would mean an underestimate. However, this is somewhat offset by the fact that we are not accounting for overdose reversals that involve more than one dose/unit, which would lead to an overestimate of the availability of naloxone.</t>
    </r>
  </si>
  <si>
    <r>
      <t>The fractions calculated above are then used to calculate the average number of Rx per perso</t>
    </r>
    <r>
      <rPr>
        <sz val="14"/>
        <color theme="1"/>
        <rFont val="Calibri"/>
        <family val="2"/>
        <scheme val="minor"/>
      </rPr>
      <t>n</t>
    </r>
    <r>
      <rPr>
        <b/>
        <sz val="14"/>
        <color theme="1"/>
        <rFont val="Calibri"/>
        <family val="2"/>
        <scheme val="minor"/>
      </rPr>
      <t xml:space="preserve"> by multiplying the fraction of individuals receiving that number of prescriptions by the number of opioid Rx received by that group. Prior to 2009 and the average number of Rx for individuals receiving 5+ opioid Rx per year were extrapolated using a trend function on the fractions above</t>
    </r>
  </si>
  <si>
    <t>Estimated opioid analgesic oral morphine milligram equivalents* (MME) dispensed from U.S. outpatient pharmacies IQVIA</t>
  </si>
  <si>
    <t>ADF fraction of prescribed Rx opioids base IQVIA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</si>
</sst>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quot;M&quot;"/>
    <numFmt numFmtId="166" formatCode="_(* #,##0_);_(* \(#,##0\);_(* &quot;-&quot;??_);_(@_)"/>
    <numFmt numFmtId="167" formatCode="_(* #,##0.0000_);_(* \(#,##0.0000\);_(* &quot;-&quot;??_);_(@_)"/>
    <numFmt numFmtId="168" formatCode="#,##0;\(#,##0\)"/>
    <numFmt numFmtId="169" formatCode="0.0000"/>
    <numFmt numFmtId="170" formatCode="#,##0.00000"/>
    <numFmt numFmtId="171" formatCode="0.0"/>
    <numFmt numFmtId="172" formatCode="_(* #,##0.000_);_(* \(#,##0.000\);_(* &quot;-&quot;??_);_(@_)"/>
    <numFmt numFmtId="173" formatCode="0.00000"/>
    <numFmt numFmtId="174" formatCode="#,##0.0000"/>
  </numFmts>
  <fonts count="82">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
    </font>
    <font>
      <sz val="11"/>
      <color rgb="FF000000"/>
      <name val="Calibri"/>
      <family val="2"/>
    </font>
    <font>
      <b/>
      <u/>
      <sz val="11"/>
      <color theme="1"/>
      <name val="Calibri"/>
      <family val="2"/>
      <scheme val="minor"/>
    </font>
    <font>
      <b/>
      <sz val="10"/>
      <color rgb="FF000000"/>
      <name val="Arial"/>
      <family val="2"/>
    </font>
    <font>
      <b/>
      <sz val="10"/>
      <color rgb="FFFF0000"/>
      <name val="Calibri"/>
      <family val="2"/>
      <scheme val="minor"/>
    </font>
    <font>
      <sz val="11"/>
      <name val="Calibri"/>
      <family val="2"/>
      <scheme val="minor"/>
    </font>
    <font>
      <sz val="10"/>
      <color rgb="FFFF0000"/>
      <name val="Calibri"/>
      <family val="2"/>
      <scheme val="minor"/>
    </font>
    <font>
      <b/>
      <sz val="11"/>
      <color rgb="FF000000"/>
      <name val="Calibri"/>
      <family val="2"/>
    </font>
    <font>
      <sz val="10"/>
      <color rgb="FF000000"/>
      <name val="Arial"/>
      <family val="2"/>
    </font>
    <font>
      <sz val="11"/>
      <color rgb="FF000000"/>
      <name val="Calibri"/>
      <family val="2"/>
      <scheme val="minor"/>
    </font>
    <font>
      <b/>
      <sz val="16"/>
      <color theme="1"/>
      <name val="Calibri"/>
      <family val="2"/>
      <scheme val="minor"/>
    </font>
    <font>
      <b/>
      <sz val="12"/>
      <color rgb="FFFF0000"/>
      <name val="Calibri"/>
      <family val="2"/>
      <scheme val="minor"/>
    </font>
    <font>
      <b/>
      <sz val="11"/>
      <color rgb="FFFF0000"/>
      <name val="Calibri"/>
      <family val="2"/>
      <scheme val="minor"/>
    </font>
    <font>
      <b/>
      <i/>
      <u/>
      <sz val="11"/>
      <color theme="1"/>
      <name val="Calibri"/>
      <family val="2"/>
      <scheme val="minor"/>
    </font>
    <font>
      <u/>
      <sz val="11"/>
      <color theme="10"/>
      <name val="Calibri"/>
      <family val="2"/>
      <scheme val="minor"/>
    </font>
    <font>
      <sz val="11"/>
      <color theme="4"/>
      <name val="Calibri"/>
      <family val="2"/>
      <scheme val="minor"/>
    </font>
    <font>
      <sz val="11"/>
      <color theme="9"/>
      <name val="Calibri"/>
      <family val="2"/>
      <scheme val="minor"/>
    </font>
    <font>
      <b/>
      <sz val="11"/>
      <name val="Calibri"/>
      <family val="2"/>
      <scheme val="minor"/>
    </font>
    <font>
      <i/>
      <sz val="11"/>
      <color theme="1"/>
      <name val="Calibri"/>
      <family val="2"/>
      <scheme val="minor"/>
    </font>
    <font>
      <sz val="10"/>
      <color rgb="FF2F2F2F"/>
      <name val="Arial"/>
      <family val="2"/>
    </font>
    <font>
      <b/>
      <sz val="10"/>
      <color rgb="FF2F2F2F"/>
      <name val="Arial"/>
      <family val="2"/>
    </font>
    <font>
      <b/>
      <u/>
      <sz val="10"/>
      <color rgb="FF000000"/>
      <name val="Arial"/>
      <family val="2"/>
    </font>
    <font>
      <b/>
      <sz val="12"/>
      <color theme="1"/>
      <name val="Calibri"/>
      <family val="2"/>
      <scheme val="minor"/>
    </font>
    <font>
      <u/>
      <sz val="12"/>
      <color theme="10"/>
      <name val="Calibri"/>
      <family val="2"/>
      <scheme val="minor"/>
    </font>
    <font>
      <sz val="11"/>
      <color rgb="FF000000"/>
      <name val="Calibri"/>
      <family val="2"/>
      <charset val="1"/>
    </font>
    <font>
      <b/>
      <sz val="11"/>
      <color rgb="FF000000"/>
      <name val="Calibri"/>
      <family val="2"/>
      <charset val="1"/>
    </font>
    <font>
      <b/>
      <u/>
      <sz val="11"/>
      <color rgb="FF000000"/>
      <name val="Calibri"/>
      <family val="2"/>
    </font>
    <font>
      <sz val="12"/>
      <color rgb="FF000000"/>
      <name val="Calibri"/>
      <family val="2"/>
      <scheme val="minor"/>
    </font>
    <font>
      <b/>
      <sz val="12"/>
      <color rgb="FF000000"/>
      <name val="Calibri"/>
      <family val="2"/>
      <scheme val="minor"/>
    </font>
    <font>
      <i/>
      <sz val="11"/>
      <name val="Calibri"/>
      <family val="2"/>
      <scheme val="minor"/>
    </font>
    <font>
      <i/>
      <sz val="11"/>
      <color theme="9"/>
      <name val="Calibri"/>
      <family val="2"/>
      <scheme val="minor"/>
    </font>
    <font>
      <i/>
      <sz val="11"/>
      <color theme="8"/>
      <name val="Calibri"/>
      <family val="2"/>
      <scheme val="minor"/>
    </font>
    <font>
      <sz val="11"/>
      <color theme="8"/>
      <name val="Calibri"/>
      <family val="2"/>
      <scheme val="minor"/>
    </font>
    <font>
      <b/>
      <sz val="11"/>
      <color theme="4"/>
      <name val="Calibri"/>
      <family val="2"/>
      <scheme val="minor"/>
    </font>
    <font>
      <sz val="11"/>
      <color theme="8" tint="-0.249977111117893"/>
      <name val="Calibri"/>
      <family val="2"/>
      <scheme val="minor"/>
    </font>
    <font>
      <b/>
      <sz val="18"/>
      <color theme="1"/>
      <name val="Calibri"/>
      <family val="2"/>
      <scheme val="minor"/>
    </font>
    <font>
      <sz val="8"/>
      <name val="Calibri"/>
      <family val="2"/>
      <scheme val="minor"/>
    </font>
    <font>
      <b/>
      <sz val="11"/>
      <color rgb="FF000000"/>
      <name val="Arial"/>
      <family val="2"/>
    </font>
    <font>
      <sz val="11"/>
      <color rgb="FF000000"/>
      <name val="Arial"/>
      <family val="2"/>
    </font>
    <font>
      <sz val="9"/>
      <color theme="1"/>
      <name val="Calibri"/>
      <family val="2"/>
      <scheme val="minor"/>
    </font>
    <font>
      <b/>
      <sz val="11"/>
      <color rgb="FF000000"/>
      <name val="Calibri"/>
      <family val="2"/>
      <scheme val="minor"/>
    </font>
    <font>
      <b/>
      <sz val="12"/>
      <color rgb="FF000000"/>
      <name val="Cambria"/>
      <family val="1"/>
    </font>
    <font>
      <b/>
      <sz val="11"/>
      <color rgb="FF000000"/>
      <name val="Cambria"/>
      <family val="1"/>
    </font>
    <font>
      <sz val="11"/>
      <color rgb="FF000000"/>
      <name val="Cambria"/>
      <family val="1"/>
    </font>
    <font>
      <sz val="12"/>
      <color theme="9"/>
      <name val="Calibri"/>
      <family val="2"/>
      <scheme val="minor"/>
    </font>
    <font>
      <sz val="12"/>
      <color rgb="FF70AD47"/>
      <name val="Calibri"/>
      <family val="2"/>
      <scheme val="minor"/>
    </font>
    <font>
      <sz val="11"/>
      <color rgb="FFFF0000"/>
      <name val="Calibri"/>
      <family val="2"/>
      <scheme val="minor"/>
    </font>
    <font>
      <i/>
      <sz val="12"/>
      <color theme="9"/>
      <name val="Calibri"/>
      <family val="2"/>
      <scheme val="minor"/>
    </font>
    <font>
      <i/>
      <sz val="12"/>
      <color theme="1"/>
      <name val="Calibri"/>
      <family val="2"/>
      <scheme val="minor"/>
    </font>
    <font>
      <b/>
      <i/>
      <u/>
      <sz val="12"/>
      <color theme="1"/>
      <name val="Calibri"/>
      <family val="2"/>
      <scheme val="minor"/>
    </font>
    <font>
      <i/>
      <sz val="11"/>
      <color rgb="FFFF0000"/>
      <name val="Calibri"/>
      <family val="2"/>
      <scheme val="minor"/>
    </font>
    <font>
      <b/>
      <i/>
      <u/>
      <sz val="11"/>
      <color rgb="FFFF0000"/>
      <name val="Calibri"/>
      <family val="2"/>
      <scheme val="minor"/>
    </font>
    <font>
      <b/>
      <i/>
      <u/>
      <sz val="14"/>
      <color rgb="FFFF0000"/>
      <name val="Calibri"/>
      <family val="2"/>
      <scheme val="minor"/>
    </font>
    <font>
      <b/>
      <i/>
      <sz val="11"/>
      <color rgb="FFFF0000"/>
      <name val="Calibri"/>
      <family val="2"/>
      <scheme val="minor"/>
    </font>
    <font>
      <b/>
      <i/>
      <u val="singleAccounting"/>
      <sz val="14"/>
      <color rgb="FFFF0000"/>
      <name val="Calibri"/>
      <family val="2"/>
      <scheme val="minor"/>
    </font>
    <font>
      <b/>
      <i/>
      <sz val="16"/>
      <color theme="9"/>
      <name val="Calibri"/>
      <family val="2"/>
      <scheme val="minor"/>
    </font>
    <font>
      <b/>
      <i/>
      <u/>
      <sz val="20"/>
      <color rgb="FFFF0000"/>
      <name val="Calibri"/>
      <family val="2"/>
      <scheme val="minor"/>
    </font>
    <font>
      <sz val="11"/>
      <color rgb="FF101010"/>
      <name val="Calibri"/>
      <family val="2"/>
      <scheme val="minor"/>
    </font>
    <font>
      <b/>
      <sz val="16"/>
      <color rgb="FFFF0000"/>
      <name val="Calibri"/>
      <family val="2"/>
      <scheme val="minor"/>
    </font>
    <font>
      <sz val="13.5"/>
      <color rgb="FF000000"/>
      <name val="Times New Roman"/>
      <family val="1"/>
    </font>
    <font>
      <b/>
      <sz val="13.5"/>
      <color rgb="FF000000"/>
      <name val="Times New Roman"/>
      <family val="1"/>
    </font>
    <font>
      <b/>
      <sz val="12"/>
      <color rgb="FF000000"/>
      <name val="Times New Roman"/>
      <family val="1"/>
      <charset val="1"/>
    </font>
    <font>
      <sz val="12"/>
      <color rgb="FF000000"/>
      <name val="Times New Roman"/>
      <family val="1"/>
      <charset val="1"/>
    </font>
    <font>
      <sz val="12"/>
      <color theme="1"/>
      <name val="Times New Roman"/>
      <family val="1"/>
      <charset val="1"/>
    </font>
    <font>
      <b/>
      <u/>
      <sz val="11"/>
      <color rgb="FFFF0000"/>
      <name val="Calibri"/>
      <family val="2"/>
      <scheme val="minor"/>
    </font>
    <font>
      <b/>
      <sz val="14"/>
      <color theme="1"/>
      <name val="Calibri"/>
      <family val="2"/>
      <scheme val="minor"/>
    </font>
    <font>
      <b/>
      <u/>
      <sz val="14"/>
      <color theme="1"/>
      <name val="Calibri"/>
      <family val="2"/>
      <scheme val="minor"/>
    </font>
    <font>
      <b/>
      <sz val="11"/>
      <color rgb="FF2F2F2F"/>
      <name val="Calibri"/>
      <family val="2"/>
      <scheme val="minor"/>
    </font>
    <font>
      <sz val="11"/>
      <color rgb="FF2F2F2F"/>
      <name val="Calibri"/>
      <family val="2"/>
      <scheme val="minor"/>
    </font>
    <font>
      <sz val="10"/>
      <color theme="1"/>
      <name val="Calibri"/>
      <family val="2"/>
      <scheme val="minor"/>
    </font>
    <font>
      <sz val="8.5"/>
      <color rgb="FF000000"/>
      <name val="Calibri"/>
      <family val="2"/>
      <scheme val="minor"/>
    </font>
    <font>
      <sz val="11"/>
      <color rgb="FF444444"/>
      <name val="Calibri"/>
      <family val="2"/>
      <scheme val="minor"/>
    </font>
    <font>
      <b/>
      <sz val="10"/>
      <color rgb="FF000000"/>
      <name val="Calibri"/>
      <family val="2"/>
      <scheme val="minor"/>
    </font>
    <font>
      <sz val="10"/>
      <color rgb="FF000000"/>
      <name val="Calibri"/>
      <family val="2"/>
      <scheme val="minor"/>
    </font>
    <font>
      <sz val="11"/>
      <color rgb="FF000000"/>
      <name val="Calibri"/>
      <family val="2"/>
    </font>
    <font>
      <b/>
      <sz val="11"/>
      <color rgb="FF666666"/>
      <name val="Lucida Sans"/>
      <family val="2"/>
    </font>
    <font>
      <sz val="12"/>
      <name val="Calibri"/>
      <family val="2"/>
      <scheme val="minor"/>
    </font>
    <font>
      <sz val="14"/>
      <color theme="1"/>
      <name val="Calibri"/>
      <family val="2"/>
      <scheme val="minor"/>
    </font>
  </fonts>
  <fills count="30">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rgb="FFFFC000"/>
        <bgColor indexed="64"/>
      </patternFill>
    </fill>
    <fill>
      <patternFill patternType="solid">
        <fgColor rgb="FF0070C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tint="0.59999389629810485"/>
        <bgColor theme="0" tint="-0.14999847407452621"/>
      </patternFill>
    </fill>
    <fill>
      <patternFill patternType="solid">
        <fgColor theme="9" tint="0.39997558519241921"/>
        <bgColor indexed="64"/>
      </patternFill>
    </fill>
    <fill>
      <patternFill patternType="solid">
        <fgColor theme="4"/>
        <bgColor indexed="64"/>
      </patternFill>
    </fill>
    <fill>
      <patternFill patternType="solid">
        <fgColor rgb="FFED7D31"/>
        <bgColor rgb="FF000000"/>
      </patternFill>
    </fill>
    <fill>
      <patternFill patternType="solid">
        <fgColor rgb="FFC6E0B4"/>
        <bgColor rgb="FF000000"/>
      </patternFill>
    </fill>
    <fill>
      <patternFill patternType="solid">
        <fgColor rgb="FFFFFF00"/>
        <bgColor rgb="FF000000"/>
      </patternFill>
    </fill>
    <fill>
      <patternFill patternType="solid">
        <fgColor rgb="FFD9D9D9"/>
        <bgColor rgb="FFD9D9D9"/>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1" tint="0.14999847407452621"/>
        <bgColor indexed="64"/>
      </patternFill>
    </fill>
    <fill>
      <patternFill patternType="solid">
        <fgColor theme="1"/>
        <bgColor indexed="64"/>
      </patternFill>
    </fill>
    <fill>
      <patternFill patternType="solid">
        <fgColor theme="0"/>
        <bgColor theme="0" tint="-0.14999847407452621"/>
      </patternFill>
    </fill>
    <fill>
      <patternFill patternType="solid">
        <fgColor theme="0" tint="-4.9989318521683403E-2"/>
        <bgColor indexed="64"/>
      </patternFill>
    </fill>
    <fill>
      <patternFill patternType="solid">
        <fgColor theme="0" tint="-0.14999847407452621"/>
        <bgColor theme="0" tint="-0.14999847407452621"/>
      </patternFill>
    </fill>
    <fill>
      <patternFill patternType="solid">
        <fgColor rgb="FFF2F2F2"/>
        <bgColor indexed="64"/>
      </patternFill>
    </fill>
  </fills>
  <borders count="67">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right style="thin">
        <color indexed="64"/>
      </right>
      <top style="thin">
        <color indexed="64"/>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style="thin">
        <color theme="1"/>
      </top>
      <bottom style="thin">
        <color theme="1"/>
      </bottom>
      <diagonal/>
    </border>
    <border>
      <left/>
      <right/>
      <top style="thin">
        <color theme="1"/>
      </top>
      <bottom style="thin">
        <color indexed="64"/>
      </bottom>
      <diagonal/>
    </border>
    <border>
      <left style="thin">
        <color rgb="FFC1C1C1"/>
      </left>
      <right/>
      <top style="thin">
        <color rgb="FFC1C1C1"/>
      </top>
      <bottom/>
      <diagonal/>
    </border>
    <border>
      <left/>
      <right/>
      <top style="thin">
        <color rgb="FFC1C1C1"/>
      </top>
      <bottom/>
      <diagonal/>
    </border>
    <border>
      <left style="thin">
        <color rgb="FFC1C1C1"/>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top style="thin">
        <color theme="1"/>
      </top>
      <bottom/>
      <diagonal/>
    </border>
    <border>
      <left/>
      <right/>
      <top style="thin">
        <color indexed="64"/>
      </top>
      <bottom style="thin">
        <color theme="1"/>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rgb="FF000000"/>
      </right>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s>
  <cellStyleXfs count="11">
    <xf numFmtId="0" fontId="0" fillId="0" borderId="0"/>
    <xf numFmtId="0" fontId="1"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2" fillId="0" borderId="0"/>
    <xf numFmtId="43" fontId="12" fillId="0" borderId="0" applyFont="0" applyFill="0" applyBorder="0" applyAlignment="0" applyProtection="0"/>
    <xf numFmtId="0" fontId="27" fillId="0" borderId="0" applyNumberFormat="0" applyFill="0" applyBorder="0" applyAlignment="0" applyProtection="0"/>
    <xf numFmtId="0" fontId="3" fillId="0" borderId="0"/>
  </cellStyleXfs>
  <cellXfs count="733">
    <xf numFmtId="0" fontId="0" fillId="0" borderId="0" xfId="0"/>
    <xf numFmtId="0" fontId="2" fillId="0" borderId="0" xfId="0" applyFont="1"/>
    <xf numFmtId="0" fontId="1" fillId="0" borderId="0" xfId="1"/>
    <xf numFmtId="164" fontId="1" fillId="0" borderId="0" xfId="1" applyNumberFormat="1"/>
    <xf numFmtId="0" fontId="2" fillId="0" borderId="1" xfId="1" applyFont="1" applyBorder="1"/>
    <xf numFmtId="43" fontId="0" fillId="0" borderId="0" xfId="2" applyFont="1"/>
    <xf numFmtId="0" fontId="2" fillId="0" borderId="3" xfId="1" applyFont="1" applyBorder="1" applyAlignment="1">
      <alignment vertical="center" wrapText="1"/>
    </xf>
    <xf numFmtId="0" fontId="2" fillId="0" borderId="4" xfId="1" applyFont="1" applyBorder="1" applyAlignment="1">
      <alignment horizontal="right" vertical="center" wrapText="1"/>
    </xf>
    <xf numFmtId="0" fontId="1" fillId="0" borderId="0" xfId="1" applyAlignment="1">
      <alignment vertical="center" wrapText="1"/>
    </xf>
    <xf numFmtId="49" fontId="2" fillId="0" borderId="0" xfId="1" applyNumberFormat="1" applyFont="1" applyAlignment="1">
      <alignment horizontal="right" vertical="center" wrapText="1"/>
    </xf>
    <xf numFmtId="1" fontId="1" fillId="0" borderId="3" xfId="1" applyNumberFormat="1" applyBorder="1" applyAlignment="1">
      <alignment horizontal="right" vertical="center"/>
    </xf>
    <xf numFmtId="1" fontId="1" fillId="0" borderId="2" xfId="1" applyNumberFormat="1" applyBorder="1" applyAlignment="1">
      <alignment horizontal="right" vertical="center"/>
    </xf>
    <xf numFmtId="1" fontId="1" fillId="0" borderId="0" xfId="1" applyNumberFormat="1"/>
    <xf numFmtId="0" fontId="16" fillId="0" borderId="0" xfId="1" applyFont="1"/>
    <xf numFmtId="49" fontId="9" fillId="0" borderId="0" xfId="1" applyNumberFormat="1" applyFont="1"/>
    <xf numFmtId="49" fontId="1" fillId="0" borderId="0" xfId="1" applyNumberFormat="1"/>
    <xf numFmtId="0" fontId="6" fillId="0" borderId="0" xfId="1" applyFont="1"/>
    <xf numFmtId="0" fontId="1" fillId="0" borderId="0" xfId="1" applyAlignment="1">
      <alignment vertical="center"/>
    </xf>
    <xf numFmtId="0" fontId="0" fillId="0" borderId="0" xfId="0" applyAlignment="1">
      <alignment vertical="center"/>
    </xf>
    <xf numFmtId="3" fontId="0" fillId="0" borderId="0" xfId="0" applyNumberFormat="1"/>
    <xf numFmtId="3" fontId="13" fillId="0" borderId="0" xfId="0" applyNumberFormat="1" applyFont="1"/>
    <xf numFmtId="1" fontId="0" fillId="0" borderId="0" xfId="0" applyNumberFormat="1"/>
    <xf numFmtId="0" fontId="20" fillId="0" borderId="0" xfId="0" applyFont="1"/>
    <xf numFmtId="0" fontId="18" fillId="0" borderId="0" xfId="6"/>
    <xf numFmtId="169" fontId="0" fillId="0" borderId="0" xfId="0" applyNumberFormat="1"/>
    <xf numFmtId="0" fontId="0" fillId="7" borderId="0" xfId="0" applyFill="1"/>
    <xf numFmtId="0" fontId="0" fillId="8" borderId="0" xfId="0" applyFill="1"/>
    <xf numFmtId="170" fontId="0" fillId="0" borderId="0" xfId="0" applyNumberFormat="1"/>
    <xf numFmtId="0" fontId="0" fillId="9" borderId="0" xfId="0" applyFill="1"/>
    <xf numFmtId="0" fontId="13" fillId="9" borderId="0" xfId="0" applyFont="1" applyFill="1"/>
    <xf numFmtId="0" fontId="13" fillId="0" borderId="0" xfId="0" applyFont="1"/>
    <xf numFmtId="10" fontId="18" fillId="0" borderId="0" xfId="6" applyNumberFormat="1"/>
    <xf numFmtId="9" fontId="0" fillId="0" borderId="0" xfId="5" applyFont="1"/>
    <xf numFmtId="1" fontId="20" fillId="9" borderId="0" xfId="0" applyNumberFormat="1" applyFont="1" applyFill="1"/>
    <xf numFmtId="0" fontId="20" fillId="9" borderId="0" xfId="0" applyFont="1" applyFill="1"/>
    <xf numFmtId="1" fontId="0" fillId="9" borderId="0" xfId="0" applyNumberFormat="1" applyFill="1"/>
    <xf numFmtId="1" fontId="13" fillId="9" borderId="0" xfId="0" applyNumberFormat="1" applyFont="1" applyFill="1"/>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top"/>
    </xf>
    <xf numFmtId="0" fontId="2" fillId="0" borderId="19" xfId="0" applyFont="1" applyBorder="1" applyAlignment="1">
      <alignment horizontal="right" vertical="center"/>
    </xf>
    <xf numFmtId="0" fontId="2" fillId="0" borderId="22" xfId="0" applyFont="1" applyBorder="1" applyAlignment="1">
      <alignment horizontal="right" vertical="center"/>
    </xf>
    <xf numFmtId="0" fontId="2" fillId="0" borderId="20" xfId="0" applyFont="1" applyBorder="1" applyAlignment="1">
      <alignment horizontal="right" vertical="center"/>
    </xf>
    <xf numFmtId="0" fontId="2" fillId="0" borderId="22" xfId="0" applyFont="1" applyBorder="1" applyAlignment="1">
      <alignment vertical="center"/>
    </xf>
    <xf numFmtId="0" fontId="2" fillId="0" borderId="20" xfId="0" applyFont="1" applyBorder="1" applyAlignment="1">
      <alignment vertical="center"/>
    </xf>
    <xf numFmtId="0" fontId="2" fillId="0" borderId="0" xfId="0" applyFont="1" applyAlignment="1">
      <alignment horizontal="right" vertical="center"/>
    </xf>
    <xf numFmtId="0" fontId="2" fillId="0" borderId="0" xfId="0" applyFont="1" applyAlignment="1">
      <alignment vertical="center"/>
    </xf>
    <xf numFmtId="0" fontId="12" fillId="0" borderId="0" xfId="7"/>
    <xf numFmtId="0" fontId="25" fillId="0" borderId="0" xfId="7" applyFont="1"/>
    <xf numFmtId="0" fontId="0" fillId="0" borderId="0" xfId="0" applyAlignment="1">
      <alignment wrapText="1"/>
    </xf>
    <xf numFmtId="0" fontId="28" fillId="13" borderId="0" xfId="0" applyFont="1" applyFill="1" applyAlignment="1">
      <alignment wrapText="1"/>
    </xf>
    <xf numFmtId="0" fontId="28" fillId="14" borderId="0" xfId="0" applyFont="1" applyFill="1"/>
    <xf numFmtId="0" fontId="30" fillId="0" borderId="0" xfId="7" applyFont="1"/>
    <xf numFmtId="0" fontId="9" fillId="9" borderId="0" xfId="0" applyFont="1" applyFill="1"/>
    <xf numFmtId="0" fontId="2" fillId="9" borderId="1" xfId="0" applyFont="1" applyFill="1" applyBorder="1"/>
    <xf numFmtId="9" fontId="2" fillId="0" borderId="0" xfId="5" applyFont="1"/>
    <xf numFmtId="0" fontId="2" fillId="0" borderId="1" xfId="0" applyFont="1" applyBorder="1"/>
    <xf numFmtId="0" fontId="2" fillId="0" borderId="0" xfId="0" applyFont="1" applyAlignment="1">
      <alignment horizontal="right"/>
    </xf>
    <xf numFmtId="0" fontId="0" fillId="7" borderId="32" xfId="0" applyFill="1" applyBorder="1"/>
    <xf numFmtId="0" fontId="31" fillId="0" borderId="0" xfId="0" applyFont="1"/>
    <xf numFmtId="0" fontId="11" fillId="0" borderId="0" xfId="7" applyFont="1" applyAlignment="1">
      <alignment horizontal="center" vertical="center" wrapText="1"/>
    </xf>
    <xf numFmtId="0" fontId="0" fillId="0" borderId="1" xfId="0" applyBorder="1"/>
    <xf numFmtId="0" fontId="12" fillId="8" borderId="14" xfId="3" applyFill="1" applyBorder="1"/>
    <xf numFmtId="0" fontId="32" fillId="0" borderId="1" xfId="0" applyFont="1" applyBorder="1"/>
    <xf numFmtId="0" fontId="0" fillId="9" borderId="1" xfId="0" applyFill="1" applyBorder="1"/>
    <xf numFmtId="0" fontId="0" fillId="9" borderId="7" xfId="0" applyFill="1" applyBorder="1"/>
    <xf numFmtId="0" fontId="0" fillId="9" borderId="10" xfId="0" applyFill="1" applyBorder="1"/>
    <xf numFmtId="0" fontId="0" fillId="9" borderId="9" xfId="0" applyFill="1" applyBorder="1"/>
    <xf numFmtId="0" fontId="13" fillId="9" borderId="1" xfId="0" applyFont="1" applyFill="1" applyBorder="1"/>
    <xf numFmtId="0" fontId="0" fillId="9" borderId="8" xfId="0" applyFill="1" applyBorder="1"/>
    <xf numFmtId="0" fontId="2" fillId="9" borderId="11" xfId="0" applyFont="1" applyFill="1" applyBorder="1"/>
    <xf numFmtId="0" fontId="0" fillId="9" borderId="11" xfId="0" applyFill="1" applyBorder="1"/>
    <xf numFmtId="0" fontId="13" fillId="9" borderId="11" xfId="0" applyFont="1" applyFill="1" applyBorder="1"/>
    <xf numFmtId="0" fontId="0" fillId="15" borderId="0" xfId="0" applyFill="1"/>
    <xf numFmtId="0" fontId="0" fillId="8" borderId="14" xfId="0" applyFill="1" applyBorder="1"/>
    <xf numFmtId="0" fontId="0" fillId="8" borderId="15" xfId="0" applyFill="1" applyBorder="1"/>
    <xf numFmtId="0" fontId="3" fillId="8" borderId="14" xfId="0" applyFont="1" applyFill="1" applyBorder="1" applyAlignment="1">
      <alignment wrapText="1"/>
    </xf>
    <xf numFmtId="0" fontId="6" fillId="0" borderId="0" xfId="0" applyFont="1"/>
    <xf numFmtId="0" fontId="28" fillId="8" borderId="14" xfId="0" applyFont="1" applyFill="1" applyBorder="1"/>
    <xf numFmtId="0" fontId="28" fillId="8" borderId="15" xfId="0" applyFont="1" applyFill="1" applyBorder="1"/>
    <xf numFmtId="0" fontId="4" fillId="8" borderId="14" xfId="0" applyFont="1" applyFill="1" applyBorder="1"/>
    <xf numFmtId="0" fontId="0" fillId="8" borderId="33" xfId="0" applyFill="1" applyBorder="1" applyAlignment="1">
      <alignment wrapText="1"/>
    </xf>
    <xf numFmtId="0" fontId="0" fillId="8" borderId="13" xfId="0" applyFill="1" applyBorder="1"/>
    <xf numFmtId="0" fontId="17" fillId="0" borderId="0" xfId="1" applyFont="1"/>
    <xf numFmtId="0" fontId="0" fillId="8" borderId="0" xfId="0" applyFill="1" applyAlignment="1">
      <alignment wrapText="1"/>
    </xf>
    <xf numFmtId="166" fontId="21" fillId="8" borderId="0" xfId="4" applyNumberFormat="1" applyFont="1" applyFill="1" applyAlignment="1">
      <alignment horizontal="left"/>
    </xf>
    <xf numFmtId="166" fontId="9" fillId="0" borderId="3" xfId="4" applyNumberFormat="1" applyFont="1" applyFill="1" applyBorder="1" applyAlignment="1">
      <alignment horizontal="right"/>
    </xf>
    <xf numFmtId="166" fontId="9" fillId="0" borderId="2" xfId="4" applyNumberFormat="1" applyFont="1" applyFill="1" applyBorder="1" applyAlignment="1">
      <alignment horizontal="right"/>
    </xf>
    <xf numFmtId="166" fontId="9" fillId="0" borderId="0" xfId="4" applyNumberFormat="1" applyFont="1" applyFill="1" applyAlignment="1">
      <alignment horizontal="right"/>
    </xf>
    <xf numFmtId="166" fontId="9" fillId="0" borderId="10" xfId="4" applyNumberFormat="1" applyFont="1" applyFill="1" applyBorder="1" applyAlignment="1">
      <alignment horizontal="right"/>
    </xf>
    <xf numFmtId="166" fontId="9" fillId="0" borderId="2" xfId="4" applyNumberFormat="1" applyFont="1" applyFill="1" applyBorder="1"/>
    <xf numFmtId="166" fontId="9" fillId="0" borderId="0" xfId="4" applyNumberFormat="1" applyFont="1" applyFill="1"/>
    <xf numFmtId="166" fontId="0" fillId="0" borderId="0" xfId="4" applyNumberFormat="1" applyFont="1"/>
    <xf numFmtId="166" fontId="9" fillId="0" borderId="34" xfId="4" applyNumberFormat="1" applyFont="1" applyFill="1" applyBorder="1" applyAlignment="1">
      <alignment horizontal="right"/>
    </xf>
    <xf numFmtId="0" fontId="2" fillId="0" borderId="3" xfId="0" applyFont="1" applyBorder="1" applyAlignment="1">
      <alignment horizontal="right" vertical="center"/>
    </xf>
    <xf numFmtId="1" fontId="0" fillId="16" borderId="0" xfId="0" applyNumberFormat="1" applyFill="1"/>
    <xf numFmtId="0" fontId="28" fillId="0" borderId="0" xfId="0" applyFont="1"/>
    <xf numFmtId="0" fontId="0" fillId="0" borderId="27" xfId="0" applyBorder="1" applyAlignment="1">
      <alignment vertical="top"/>
    </xf>
    <xf numFmtId="0" fontId="0" fillId="0" borderId="0" xfId="0" applyAlignment="1">
      <alignment horizontal="left"/>
    </xf>
    <xf numFmtId="1" fontId="0" fillId="0" borderId="0" xfId="0" applyNumberFormat="1" applyAlignment="1">
      <alignment horizontal="right"/>
    </xf>
    <xf numFmtId="0" fontId="22" fillId="0" borderId="0" xfId="0" applyFont="1" applyAlignment="1">
      <alignment vertical="top"/>
    </xf>
    <xf numFmtId="166" fontId="20" fillId="0" borderId="0" xfId="4" applyNumberFormat="1" applyFont="1" applyBorder="1" applyAlignment="1">
      <alignment vertical="top"/>
    </xf>
    <xf numFmtId="166" fontId="19" fillId="0" borderId="0" xfId="4" applyNumberFormat="1" applyFont="1" applyBorder="1" applyAlignment="1">
      <alignment vertical="top"/>
    </xf>
    <xf numFmtId="166" fontId="37" fillId="0" borderId="0" xfId="4" applyNumberFormat="1" applyFont="1" applyFill="1" applyBorder="1" applyAlignment="1">
      <alignment vertical="top"/>
    </xf>
    <xf numFmtId="166" fontId="19" fillId="0" borderId="20" xfId="4" applyNumberFormat="1" applyFont="1" applyBorder="1" applyAlignment="1">
      <alignment vertical="top"/>
    </xf>
    <xf numFmtId="0" fontId="0" fillId="0" borderId="20" xfId="0" applyBorder="1" applyAlignment="1">
      <alignment horizontal="right" vertical="top"/>
    </xf>
    <xf numFmtId="0" fontId="0" fillId="0" borderId="20" xfId="0" applyBorder="1" applyAlignment="1">
      <alignment vertical="top"/>
    </xf>
    <xf numFmtId="0" fontId="18" fillId="0" borderId="0" xfId="6" applyAlignment="1">
      <alignment vertical="top"/>
    </xf>
    <xf numFmtId="0" fontId="2" fillId="0" borderId="0" xfId="0" applyFont="1" applyAlignment="1">
      <alignment vertical="top"/>
    </xf>
    <xf numFmtId="0" fontId="28" fillId="0" borderId="0" xfId="0" applyFont="1" applyAlignment="1">
      <alignment wrapText="1"/>
    </xf>
    <xf numFmtId="0" fontId="28" fillId="0" borderId="31" xfId="0" applyFont="1" applyBorder="1" applyAlignment="1">
      <alignment wrapText="1"/>
    </xf>
    <xf numFmtId="166" fontId="0" fillId="0" borderId="0" xfId="4" applyNumberFormat="1" applyFont="1" applyFill="1"/>
    <xf numFmtId="166" fontId="0" fillId="0" borderId="0" xfId="0" applyNumberFormat="1"/>
    <xf numFmtId="0" fontId="42" fillId="0" borderId="0" xfId="0" applyFont="1" applyAlignment="1">
      <alignment vertical="top" wrapText="1"/>
    </xf>
    <xf numFmtId="166" fontId="0" fillId="5" borderId="27" xfId="4" applyNumberFormat="1" applyFont="1" applyFill="1" applyBorder="1"/>
    <xf numFmtId="166" fontId="0" fillId="11" borderId="29" xfId="4" applyNumberFormat="1" applyFont="1" applyFill="1" applyBorder="1"/>
    <xf numFmtId="166" fontId="0" fillId="12" borderId="30" xfId="4" applyNumberFormat="1" applyFont="1" applyFill="1" applyBorder="1"/>
    <xf numFmtId="166" fontId="0" fillId="12" borderId="0" xfId="0" applyNumberFormat="1" applyFill="1"/>
    <xf numFmtId="166" fontId="0" fillId="3" borderId="0" xfId="0" applyNumberFormat="1" applyFill="1"/>
    <xf numFmtId="166" fontId="0" fillId="10" borderId="0" xfId="0" applyNumberFormat="1" applyFill="1"/>
    <xf numFmtId="166" fontId="0" fillId="11" borderId="0" xfId="0" applyNumberFormat="1" applyFill="1"/>
    <xf numFmtId="166" fontId="0" fillId="4" borderId="0" xfId="0" applyNumberFormat="1" applyFill="1"/>
    <xf numFmtId="166" fontId="0" fillId="5" borderId="0" xfId="0" applyNumberFormat="1" applyFill="1"/>
    <xf numFmtId="166" fontId="0" fillId="4" borderId="14" xfId="4" applyNumberFormat="1" applyFont="1" applyFill="1" applyBorder="1"/>
    <xf numFmtId="166" fontId="0" fillId="4" borderId="0" xfId="4" applyNumberFormat="1" applyFont="1" applyFill="1" applyBorder="1"/>
    <xf numFmtId="166" fontId="0" fillId="3" borderId="10" xfId="4" applyNumberFormat="1" applyFont="1" applyFill="1" applyBorder="1"/>
    <xf numFmtId="166" fontId="0" fillId="10" borderId="15" xfId="4" applyNumberFormat="1" applyFont="1" applyFill="1" applyBorder="1"/>
    <xf numFmtId="166" fontId="0" fillId="10" borderId="20" xfId="4" applyNumberFormat="1" applyFont="1" applyFill="1" applyBorder="1"/>
    <xf numFmtId="166" fontId="0" fillId="10" borderId="21" xfId="4" applyNumberFormat="1" applyFont="1" applyFill="1" applyBorder="1"/>
    <xf numFmtId="0" fontId="12" fillId="0" borderId="0" xfId="0" applyFont="1" applyAlignment="1">
      <alignment horizontal="center" vertical="center"/>
    </xf>
    <xf numFmtId="166" fontId="0" fillId="0" borderId="27" xfId="4" applyNumberFormat="1" applyFont="1" applyFill="1" applyBorder="1"/>
    <xf numFmtId="166" fontId="0" fillId="0" borderId="29" xfId="4" applyNumberFormat="1" applyFont="1" applyFill="1" applyBorder="1"/>
    <xf numFmtId="166" fontId="0" fillId="0" borderId="30" xfId="4" applyNumberFormat="1" applyFont="1" applyFill="1" applyBorder="1"/>
    <xf numFmtId="166" fontId="0" fillId="0" borderId="14" xfId="4" applyNumberFormat="1" applyFont="1" applyFill="1" applyBorder="1"/>
    <xf numFmtId="166" fontId="0" fillId="0" borderId="0" xfId="4" applyNumberFormat="1" applyFont="1" applyFill="1" applyBorder="1"/>
    <xf numFmtId="166" fontId="0" fillId="0" borderId="10" xfId="4" applyNumberFormat="1" applyFont="1" applyFill="1" applyBorder="1"/>
    <xf numFmtId="166" fontId="0" fillId="0" borderId="15" xfId="4" applyNumberFormat="1" applyFont="1" applyFill="1" applyBorder="1"/>
    <xf numFmtId="166" fontId="0" fillId="0" borderId="20" xfId="4" applyNumberFormat="1" applyFont="1" applyFill="1" applyBorder="1"/>
    <xf numFmtId="166" fontId="0" fillId="0" borderId="21" xfId="4" applyNumberFormat="1" applyFont="1" applyFill="1" applyBorder="1"/>
    <xf numFmtId="166" fontId="0" fillId="7" borderId="0" xfId="4" applyNumberFormat="1" applyFont="1" applyFill="1"/>
    <xf numFmtId="166" fontId="0" fillId="7" borderId="18" xfId="4" applyNumberFormat="1" applyFont="1" applyFill="1" applyBorder="1"/>
    <xf numFmtId="0" fontId="2" fillId="7" borderId="25" xfId="0" applyFont="1" applyFill="1" applyBorder="1"/>
    <xf numFmtId="0" fontId="2" fillId="7" borderId="26" xfId="0" applyFont="1" applyFill="1" applyBorder="1"/>
    <xf numFmtId="0" fontId="22" fillId="0" borderId="0" xfId="0" applyFont="1" applyAlignment="1">
      <alignment horizontal="left" vertical="center"/>
    </xf>
    <xf numFmtId="0" fontId="44" fillId="0" borderId="1" xfId="0" applyFont="1" applyBorder="1"/>
    <xf numFmtId="0" fontId="13" fillId="0" borderId="0" xfId="0" applyFont="1" applyAlignment="1">
      <alignment wrapText="1"/>
    </xf>
    <xf numFmtId="0" fontId="13" fillId="19" borderId="0" xfId="0" applyFont="1" applyFill="1"/>
    <xf numFmtId="3" fontId="13" fillId="20" borderId="0" xfId="0" applyNumberFormat="1" applyFont="1" applyFill="1"/>
    <xf numFmtId="0" fontId="2" fillId="0" borderId="36" xfId="0" applyFont="1" applyBorder="1"/>
    <xf numFmtId="0" fontId="2" fillId="0" borderId="37" xfId="0" applyFont="1" applyBorder="1"/>
    <xf numFmtId="0" fontId="3" fillId="8" borderId="6" xfId="0" applyFont="1" applyFill="1" applyBorder="1" applyAlignment="1">
      <alignment horizontal="left" wrapText="1"/>
    </xf>
    <xf numFmtId="1" fontId="1" fillId="0" borderId="0" xfId="1" applyNumberFormat="1" applyAlignment="1">
      <alignment horizontal="right" vertical="center"/>
    </xf>
    <xf numFmtId="1" fontId="0" fillId="0" borderId="0" xfId="0" applyNumberFormat="1" applyAlignment="1">
      <alignment vertical="top"/>
    </xf>
    <xf numFmtId="164" fontId="0" fillId="0" borderId="0" xfId="0" applyNumberFormat="1" applyAlignment="1">
      <alignment vertical="top"/>
    </xf>
    <xf numFmtId="0" fontId="33" fillId="0" borderId="14" xfId="0" applyFont="1" applyBorder="1" applyAlignment="1">
      <alignment vertical="top"/>
    </xf>
    <xf numFmtId="166" fontId="34" fillId="0" borderId="0" xfId="4" applyNumberFormat="1" applyFont="1" applyBorder="1" applyAlignment="1">
      <alignment vertical="top"/>
    </xf>
    <xf numFmtId="0" fontId="9" fillId="0" borderId="14" xfId="0" applyFont="1" applyBorder="1" applyAlignment="1">
      <alignment vertical="top"/>
    </xf>
    <xf numFmtId="0" fontId="0" fillId="0" borderId="0" xfId="0" applyAlignment="1">
      <alignment horizontal="right" vertical="top"/>
    </xf>
    <xf numFmtId="0" fontId="9" fillId="0" borderId="15" xfId="0" applyFont="1" applyBorder="1" applyAlignment="1">
      <alignment vertical="top"/>
    </xf>
    <xf numFmtId="1" fontId="0" fillId="0" borderId="0" xfId="0" applyNumberFormat="1" applyAlignment="1">
      <alignment horizontal="right" vertical="top"/>
    </xf>
    <xf numFmtId="1" fontId="0" fillId="0" borderId="0" xfId="0" applyNumberFormat="1" applyAlignment="1">
      <alignment horizontal="right" vertical="top" wrapText="1"/>
    </xf>
    <xf numFmtId="0" fontId="2" fillId="0" borderId="39" xfId="0" applyFont="1" applyBorder="1"/>
    <xf numFmtId="0" fontId="45" fillId="0" borderId="0" xfId="0" applyFont="1" applyAlignment="1">
      <alignment wrapText="1"/>
    </xf>
    <xf numFmtId="0" fontId="46" fillId="21" borderId="0" xfId="0" applyFont="1" applyFill="1" applyAlignment="1">
      <alignment vertical="top" wrapText="1"/>
    </xf>
    <xf numFmtId="0" fontId="47" fillId="21" borderId="0" xfId="0" applyFont="1" applyFill="1" applyAlignment="1">
      <alignment wrapText="1"/>
    </xf>
    <xf numFmtId="0" fontId="47" fillId="21" borderId="0" xfId="0" applyFont="1" applyFill="1"/>
    <xf numFmtId="0" fontId="46" fillId="0" borderId="0" xfId="0" applyFont="1" applyAlignment="1">
      <alignment vertical="top" wrapText="1"/>
    </xf>
    <xf numFmtId="0" fontId="0" fillId="8" borderId="6" xfId="0" applyFill="1" applyBorder="1"/>
    <xf numFmtId="0" fontId="13" fillId="8" borderId="0" xfId="0" applyFont="1" applyFill="1"/>
    <xf numFmtId="0" fontId="2" fillId="0" borderId="40" xfId="0" applyFont="1" applyBorder="1"/>
    <xf numFmtId="0" fontId="0" fillId="22" borderId="0" xfId="0" applyFill="1"/>
    <xf numFmtId="0" fontId="0" fillId="23" borderId="0" xfId="0" applyFill="1" applyAlignment="1">
      <alignment wrapText="1"/>
    </xf>
    <xf numFmtId="0" fontId="0" fillId="8" borderId="10" xfId="0" applyFill="1" applyBorder="1"/>
    <xf numFmtId="0" fontId="26" fillId="0" borderId="0" xfId="0" applyFont="1"/>
    <xf numFmtId="0" fontId="23" fillId="0" borderId="0" xfId="7" applyFont="1" applyAlignment="1">
      <alignment horizontal="right" wrapText="1"/>
    </xf>
    <xf numFmtId="168" fontId="24" fillId="0" borderId="0" xfId="7" applyNumberFormat="1" applyFont="1" applyAlignment="1">
      <alignment horizontal="right" vertical="center"/>
    </xf>
    <xf numFmtId="0" fontId="24" fillId="0" borderId="0" xfId="7" applyFont="1" applyAlignment="1">
      <alignment horizontal="right" wrapText="1"/>
    </xf>
    <xf numFmtId="166" fontId="24" fillId="0" borderId="0" xfId="4" applyNumberFormat="1" applyFont="1" applyFill="1" applyBorder="1" applyAlignment="1">
      <alignment horizontal="right" wrapText="1"/>
    </xf>
    <xf numFmtId="0" fontId="0" fillId="24" borderId="0" xfId="0" applyFill="1"/>
    <xf numFmtId="3" fontId="0" fillId="24" borderId="0" xfId="0" applyNumberFormat="1" applyFill="1"/>
    <xf numFmtId="3" fontId="0" fillId="25" borderId="0" xfId="0" applyNumberFormat="1" applyFill="1"/>
    <xf numFmtId="170" fontId="0" fillId="24" borderId="0" xfId="0" applyNumberFormat="1" applyFill="1"/>
    <xf numFmtId="0" fontId="0" fillId="25" borderId="0" xfId="0" applyFill="1"/>
    <xf numFmtId="1" fontId="13" fillId="0" borderId="0" xfId="0" applyNumberFormat="1" applyFont="1"/>
    <xf numFmtId="0" fontId="2" fillId="9" borderId="0" xfId="0" applyFont="1" applyFill="1"/>
    <xf numFmtId="1" fontId="0" fillId="9" borderId="0" xfId="0" applyNumberFormat="1" applyFill="1" applyAlignment="1">
      <alignment horizontal="right"/>
    </xf>
    <xf numFmtId="0" fontId="0" fillId="0" borderId="31" xfId="0" applyBorder="1"/>
    <xf numFmtId="3" fontId="0" fillId="0" borderId="36" xfId="0" applyNumberFormat="1" applyBorder="1"/>
    <xf numFmtId="169" fontId="0" fillId="0" borderId="37" xfId="0" applyNumberFormat="1" applyBorder="1"/>
    <xf numFmtId="0" fontId="0" fillId="0" borderId="36" xfId="0" applyBorder="1"/>
    <xf numFmtId="169" fontId="0" fillId="0" borderId="38" xfId="0" applyNumberFormat="1" applyBorder="1"/>
    <xf numFmtId="0" fontId="0" fillId="0" borderId="38" xfId="0" applyBorder="1"/>
    <xf numFmtId="3" fontId="0" fillId="0" borderId="31" xfId="0" applyNumberFormat="1" applyBorder="1"/>
    <xf numFmtId="3" fontId="0" fillId="0" borderId="38" xfId="0" applyNumberFormat="1" applyBorder="1"/>
    <xf numFmtId="169" fontId="0" fillId="0" borderId="31" xfId="0" applyNumberFormat="1" applyBorder="1"/>
    <xf numFmtId="0" fontId="2" fillId="0" borderId="31" xfId="0" applyFont="1" applyBorder="1"/>
    <xf numFmtId="0" fontId="2" fillId="0" borderId="0" xfId="1" applyFont="1" applyAlignment="1">
      <alignment wrapText="1"/>
    </xf>
    <xf numFmtId="166" fontId="9" fillId="0" borderId="0" xfId="4" applyNumberFormat="1" applyFont="1" applyFill="1" applyBorder="1" applyAlignment="1">
      <alignment vertical="top"/>
    </xf>
    <xf numFmtId="166" fontId="9" fillId="0" borderId="0" xfId="0" applyNumberFormat="1" applyFont="1" applyAlignment="1">
      <alignment vertical="top"/>
    </xf>
    <xf numFmtId="1" fontId="48" fillId="0" borderId="0" xfId="1" applyNumberFormat="1" applyFont="1"/>
    <xf numFmtId="0" fontId="45" fillId="0" borderId="0" xfId="0" applyFont="1"/>
    <xf numFmtId="0" fontId="0" fillId="0" borderId="0" xfId="0" applyAlignment="1">
      <alignment vertical="top" wrapText="1"/>
    </xf>
    <xf numFmtId="0" fontId="0" fillId="9" borderId="17" xfId="0" applyFill="1" applyBorder="1"/>
    <xf numFmtId="0" fontId="2" fillId="9" borderId="7" xfId="0" applyFont="1" applyFill="1" applyBorder="1"/>
    <xf numFmtId="0" fontId="9" fillId="9" borderId="16" xfId="0" applyFont="1" applyFill="1" applyBorder="1"/>
    <xf numFmtId="0" fontId="2" fillId="9" borderId="9" xfId="0" applyFont="1" applyFill="1" applyBorder="1"/>
    <xf numFmtId="166" fontId="9" fillId="0" borderId="0" xfId="4" applyNumberFormat="1" applyFont="1" applyFill="1" applyBorder="1" applyAlignment="1">
      <alignment horizontal="right"/>
    </xf>
    <xf numFmtId="166" fontId="9" fillId="0" borderId="3" xfId="4" applyNumberFormat="1" applyFont="1" applyFill="1" applyBorder="1" applyAlignment="1">
      <alignment horizontal="left"/>
    </xf>
    <xf numFmtId="166" fontId="21" fillId="0" borderId="0" xfId="4" applyNumberFormat="1" applyFont="1" applyFill="1" applyAlignment="1">
      <alignment horizontal="left"/>
    </xf>
    <xf numFmtId="166" fontId="18" fillId="0" borderId="0" xfId="6" applyNumberFormat="1" applyFill="1" applyBorder="1" applyAlignment="1">
      <alignment horizontal="left"/>
    </xf>
    <xf numFmtId="0" fontId="2" fillId="0" borderId="0" xfId="0" applyFont="1" applyAlignment="1">
      <alignment horizontal="left" vertical="center"/>
    </xf>
    <xf numFmtId="0" fontId="9" fillId="9" borderId="16" xfId="0" applyFont="1" applyFill="1" applyBorder="1" applyAlignment="1">
      <alignment wrapText="1"/>
    </xf>
    <xf numFmtId="0" fontId="0" fillId="9" borderId="35" xfId="0" applyFill="1" applyBorder="1"/>
    <xf numFmtId="0" fontId="0" fillId="9" borderId="5" xfId="0" applyFill="1" applyBorder="1"/>
    <xf numFmtId="0" fontId="0" fillId="9" borderId="16" xfId="0" applyFill="1" applyBorder="1"/>
    <xf numFmtId="0" fontId="0" fillId="26" borderId="0" xfId="0" applyFill="1"/>
    <xf numFmtId="1" fontId="0" fillId="7" borderId="0" xfId="0" applyNumberFormat="1" applyFill="1"/>
    <xf numFmtId="1" fontId="0" fillId="7" borderId="0" xfId="4" applyNumberFormat="1" applyFont="1" applyFill="1"/>
    <xf numFmtId="3" fontId="9" fillId="0" borderId="0" xfId="4" applyNumberFormat="1" applyFont="1" applyFill="1" applyBorder="1" applyAlignment="1">
      <alignment vertical="top"/>
    </xf>
    <xf numFmtId="3" fontId="2" fillId="0" borderId="0" xfId="0" applyNumberFormat="1" applyFont="1"/>
    <xf numFmtId="3" fontId="20" fillId="0" borderId="0" xfId="0" applyNumberFormat="1" applyFont="1" applyAlignment="1">
      <alignment vertical="top"/>
    </xf>
    <xf numFmtId="3" fontId="33" fillId="0" borderId="0" xfId="4" applyNumberFormat="1" applyFont="1" applyFill="1" applyBorder="1" applyAlignment="1">
      <alignment vertical="top"/>
    </xf>
    <xf numFmtId="3" fontId="9" fillId="0" borderId="0" xfId="0" applyNumberFormat="1" applyFont="1" applyAlignment="1">
      <alignment vertical="top"/>
    </xf>
    <xf numFmtId="0" fontId="5" fillId="0" borderId="0" xfId="0" applyFont="1" applyAlignment="1">
      <alignment wrapText="1"/>
    </xf>
    <xf numFmtId="0" fontId="2" fillId="0" borderId="0" xfId="0" applyFont="1" applyAlignment="1">
      <alignment horizontal="center" vertical="center" wrapText="1"/>
    </xf>
    <xf numFmtId="3" fontId="21" fillId="0" borderId="0" xfId="4" applyNumberFormat="1" applyFont="1" applyFill="1" applyBorder="1" applyAlignment="1">
      <alignment horizontal="center" vertical="center" wrapText="1"/>
    </xf>
    <xf numFmtId="0" fontId="0" fillId="2" borderId="0" xfId="0" applyFill="1"/>
    <xf numFmtId="0" fontId="47" fillId="0" borderId="0" xfId="0" applyFont="1" applyAlignment="1">
      <alignment wrapText="1"/>
    </xf>
    <xf numFmtId="0" fontId="47" fillId="0" borderId="0" xfId="0" applyFont="1"/>
    <xf numFmtId="0" fontId="0" fillId="9" borderId="0" xfId="0" applyFill="1" applyAlignment="1">
      <alignment wrapText="1"/>
    </xf>
    <xf numFmtId="0" fontId="2" fillId="0" borderId="0" xfId="0" applyFont="1" applyAlignment="1">
      <alignment wrapText="1"/>
    </xf>
    <xf numFmtId="0" fontId="2" fillId="0" borderId="43" xfId="0" applyFont="1" applyBorder="1" applyAlignment="1">
      <alignment wrapText="1"/>
    </xf>
    <xf numFmtId="166" fontId="0" fillId="0" borderId="27" xfId="4" applyNumberFormat="1" applyFont="1" applyBorder="1"/>
    <xf numFmtId="166" fontId="0" fillId="0" borderId="29" xfId="4" applyNumberFormat="1" applyFont="1" applyBorder="1"/>
    <xf numFmtId="166" fontId="0" fillId="0" borderId="30" xfId="4" applyNumberFormat="1" applyFont="1" applyBorder="1"/>
    <xf numFmtId="166" fontId="0" fillId="0" borderId="14" xfId="4" applyNumberFormat="1" applyFont="1" applyBorder="1"/>
    <xf numFmtId="166" fontId="0" fillId="0" borderId="10" xfId="4" applyNumberFormat="1" applyFont="1" applyBorder="1"/>
    <xf numFmtId="166" fontId="0" fillId="0" borderId="15" xfId="4" applyNumberFormat="1" applyFont="1" applyBorder="1"/>
    <xf numFmtId="166" fontId="0" fillId="0" borderId="20" xfId="4" applyNumberFormat="1" applyFont="1" applyBorder="1"/>
    <xf numFmtId="166" fontId="0" fillId="0" borderId="21" xfId="4" applyNumberFormat="1" applyFont="1" applyBorder="1"/>
    <xf numFmtId="1" fontId="1" fillId="0" borderId="10" xfId="1" applyNumberFormat="1" applyBorder="1" applyAlignment="1">
      <alignment horizontal="right" vertical="center"/>
    </xf>
    <xf numFmtId="0" fontId="1" fillId="0" borderId="3" xfId="1" applyBorder="1"/>
    <xf numFmtId="0" fontId="2" fillId="0" borderId="16" xfId="0" applyFont="1" applyBorder="1"/>
    <xf numFmtId="0" fontId="2" fillId="0" borderId="35" xfId="0" applyFont="1" applyBorder="1"/>
    <xf numFmtId="3" fontId="0" fillId="0" borderId="3" xfId="0" applyNumberFormat="1" applyBorder="1"/>
    <xf numFmtId="0" fontId="0" fillId="0" borderId="3" xfId="0" applyBorder="1"/>
    <xf numFmtId="0" fontId="0" fillId="0" borderId="11" xfId="0" applyBorder="1"/>
    <xf numFmtId="1" fontId="0" fillId="0" borderId="0" xfId="1" applyNumberFormat="1" applyFont="1"/>
    <xf numFmtId="0" fontId="0" fillId="0" borderId="0" xfId="1" applyFont="1"/>
    <xf numFmtId="166" fontId="0" fillId="7" borderId="0" xfId="0" applyNumberFormat="1" applyFill="1"/>
    <xf numFmtId="0" fontId="0" fillId="0" borderId="0" xfId="0" applyAlignment="1">
      <alignment horizontal="center" vertical="center" wrapText="1"/>
    </xf>
    <xf numFmtId="0" fontId="42" fillId="0" borderId="0" xfId="0" applyFont="1" applyAlignment="1">
      <alignment wrapText="1"/>
    </xf>
    <xf numFmtId="11" fontId="42" fillId="0" borderId="0" xfId="0" applyNumberFormat="1" applyFont="1" applyAlignment="1">
      <alignment wrapText="1"/>
    </xf>
    <xf numFmtId="0" fontId="3" fillId="0" borderId="0" xfId="0" applyFont="1"/>
    <xf numFmtId="166" fontId="3" fillId="0" borderId="0" xfId="4" applyNumberFormat="1" applyFont="1"/>
    <xf numFmtId="171" fontId="3" fillId="0" borderId="0" xfId="0" applyNumberFormat="1" applyFont="1"/>
    <xf numFmtId="0" fontId="3" fillId="0" borderId="0" xfId="0" applyFont="1" applyAlignment="1">
      <alignment wrapText="1"/>
    </xf>
    <xf numFmtId="164" fontId="3" fillId="0" borderId="0" xfId="0" applyNumberFormat="1" applyFont="1"/>
    <xf numFmtId="1" fontId="3" fillId="0" borderId="0" xfId="0" applyNumberFormat="1" applyFont="1"/>
    <xf numFmtId="172" fontId="3" fillId="0" borderId="0" xfId="0" applyNumberFormat="1" applyFont="1"/>
    <xf numFmtId="0" fontId="3" fillId="0" borderId="0" xfId="0" applyFont="1" applyAlignment="1">
      <alignment vertical="center"/>
    </xf>
    <xf numFmtId="0" fontId="3" fillId="0" borderId="0" xfId="0" applyFont="1" applyAlignment="1">
      <alignment horizontal="left"/>
    </xf>
    <xf numFmtId="0" fontId="3" fillId="9" borderId="0" xfId="0" applyFont="1" applyFill="1"/>
    <xf numFmtId="166" fontId="3" fillId="0" borderId="0" xfId="4" applyNumberFormat="1" applyFont="1" applyAlignment="1"/>
    <xf numFmtId="0" fontId="3" fillId="8" borderId="44" xfId="0" applyFont="1" applyFill="1" applyBorder="1"/>
    <xf numFmtId="0" fontId="3" fillId="15" borderId="2" xfId="0" applyFont="1" applyFill="1" applyBorder="1"/>
    <xf numFmtId="0" fontId="3" fillId="8" borderId="4" xfId="0" applyFont="1" applyFill="1" applyBorder="1"/>
    <xf numFmtId="0" fontId="3" fillId="8" borderId="2" xfId="0" applyFont="1" applyFill="1" applyBorder="1" applyAlignment="1">
      <alignment horizontal="left"/>
    </xf>
    <xf numFmtId="0" fontId="3" fillId="8" borderId="4" xfId="0" applyFont="1" applyFill="1" applyBorder="1" applyAlignment="1">
      <alignment horizontal="left"/>
    </xf>
    <xf numFmtId="166" fontId="3" fillId="0" borderId="0" xfId="0" applyNumberFormat="1" applyFont="1"/>
    <xf numFmtId="2" fontId="0" fillId="0" borderId="0" xfId="0" applyNumberFormat="1"/>
    <xf numFmtId="2" fontId="0" fillId="0" borderId="0" xfId="0" applyNumberFormat="1" applyAlignment="1">
      <alignment wrapText="1"/>
    </xf>
    <xf numFmtId="2" fontId="50" fillId="4" borderId="0" xfId="0" applyNumberFormat="1" applyFont="1" applyFill="1" applyAlignment="1">
      <alignment wrapText="1"/>
    </xf>
    <xf numFmtId="43" fontId="0" fillId="0" borderId="0" xfId="0" applyNumberFormat="1"/>
    <xf numFmtId="2" fontId="47" fillId="0" borderId="0" xfId="0" applyNumberFormat="1" applyFont="1" applyAlignment="1">
      <alignment wrapText="1"/>
    </xf>
    <xf numFmtId="2" fontId="47" fillId="21" borderId="0" xfId="0" applyNumberFormat="1" applyFont="1" applyFill="1" applyAlignment="1">
      <alignment wrapText="1"/>
    </xf>
    <xf numFmtId="2" fontId="47" fillId="0" borderId="0" xfId="0" applyNumberFormat="1" applyFont="1"/>
    <xf numFmtId="1" fontId="47" fillId="21" borderId="0" xfId="0" applyNumberFormat="1" applyFont="1" applyFill="1" applyAlignment="1">
      <alignment wrapText="1"/>
    </xf>
    <xf numFmtId="2" fontId="50" fillId="4" borderId="0" xfId="0" applyNumberFormat="1" applyFont="1" applyFill="1"/>
    <xf numFmtId="169" fontId="0" fillId="0" borderId="10" xfId="0" applyNumberFormat="1" applyBorder="1"/>
    <xf numFmtId="3" fontId="54" fillId="0" borderId="0" xfId="0" applyNumberFormat="1" applyFont="1"/>
    <xf numFmtId="0" fontId="54" fillId="0" borderId="0" xfId="0" applyFont="1"/>
    <xf numFmtId="166" fontId="0" fillId="0" borderId="0" xfId="0" applyNumberFormat="1" applyAlignment="1">
      <alignment vertical="top"/>
    </xf>
    <xf numFmtId="0" fontId="50" fillId="0" borderId="0" xfId="0" applyFont="1"/>
    <xf numFmtId="0" fontId="22" fillId="0" borderId="0" xfId="0" applyFont="1"/>
    <xf numFmtId="0" fontId="34" fillId="0" borderId="0" xfId="0" applyFont="1"/>
    <xf numFmtId="0" fontId="34" fillId="0" borderId="0" xfId="1" applyFont="1" applyAlignment="1">
      <alignment horizontal="center"/>
    </xf>
    <xf numFmtId="166" fontId="34" fillId="0" borderId="0" xfId="4" applyNumberFormat="1" applyFont="1"/>
    <xf numFmtId="0" fontId="34" fillId="0" borderId="0" xfId="1" applyFont="1"/>
    <xf numFmtId="1" fontId="50" fillId="0" borderId="0" xfId="0" applyNumberFormat="1" applyFont="1"/>
    <xf numFmtId="0" fontId="0" fillId="0" borderId="29" xfId="0" applyBorder="1"/>
    <xf numFmtId="1" fontId="56" fillId="4" borderId="18" xfId="0" applyNumberFormat="1" applyFont="1" applyFill="1" applyBorder="1"/>
    <xf numFmtId="0" fontId="0" fillId="0" borderId="20" xfId="0" applyBorder="1"/>
    <xf numFmtId="1" fontId="56" fillId="4" borderId="20" xfId="0" applyNumberFormat="1" applyFont="1" applyFill="1" applyBorder="1"/>
    <xf numFmtId="169" fontId="56" fillId="4" borderId="18" xfId="0" applyNumberFormat="1" applyFont="1" applyFill="1" applyBorder="1"/>
    <xf numFmtId="0" fontId="0" fillId="0" borderId="27" xfId="0" applyBorder="1" applyAlignment="1">
      <alignment wrapText="1"/>
    </xf>
    <xf numFmtId="0" fontId="0" fillId="0" borderId="14" xfId="0" applyBorder="1" applyAlignment="1">
      <alignment wrapText="1"/>
    </xf>
    <xf numFmtId="0" fontId="0" fillId="0" borderId="15" xfId="0" applyBorder="1" applyAlignment="1">
      <alignment wrapText="1"/>
    </xf>
    <xf numFmtId="0" fontId="57" fillId="0" borderId="14" xfId="0" applyFont="1" applyBorder="1"/>
    <xf numFmtId="0" fontId="57" fillId="0" borderId="15" xfId="0" applyFont="1" applyBorder="1"/>
    <xf numFmtId="0" fontId="55" fillId="0" borderId="18" xfId="0" applyFont="1" applyBorder="1"/>
    <xf numFmtId="0" fontId="55" fillId="0" borderId="23" xfId="0" applyFont="1" applyBorder="1"/>
    <xf numFmtId="0" fontId="22" fillId="27" borderId="29" xfId="0" applyFont="1" applyFill="1" applyBorder="1"/>
    <xf numFmtId="0" fontId="22" fillId="27" borderId="28" xfId="0" applyFont="1" applyFill="1" applyBorder="1"/>
    <xf numFmtId="0" fontId="22" fillId="27" borderId="0" xfId="0" applyFont="1" applyFill="1"/>
    <xf numFmtId="0" fontId="22" fillId="27" borderId="18" xfId="0" applyFont="1" applyFill="1" applyBorder="1"/>
    <xf numFmtId="0" fontId="0" fillId="27" borderId="0" xfId="0" applyFill="1"/>
    <xf numFmtId="1" fontId="22" fillId="27" borderId="0" xfId="0" applyNumberFormat="1" applyFont="1" applyFill="1"/>
    <xf numFmtId="0" fontId="22" fillId="27" borderId="29" xfId="0" applyFont="1" applyFill="1" applyBorder="1" applyAlignment="1">
      <alignment horizontal="right"/>
    </xf>
    <xf numFmtId="0" fontId="22" fillId="27" borderId="28" xfId="0" applyFont="1" applyFill="1" applyBorder="1" applyAlignment="1">
      <alignment horizontal="right"/>
    </xf>
    <xf numFmtId="0" fontId="0" fillId="27" borderId="18" xfId="0" applyFill="1" applyBorder="1"/>
    <xf numFmtId="0" fontId="0" fillId="27" borderId="20" xfId="0" applyFill="1" applyBorder="1"/>
    <xf numFmtId="0" fontId="0" fillId="27" borderId="23" xfId="0" applyFill="1" applyBorder="1"/>
    <xf numFmtId="1" fontId="57" fillId="27" borderId="18" xfId="0" applyNumberFormat="1" applyFont="1" applyFill="1" applyBorder="1"/>
    <xf numFmtId="0" fontId="0" fillId="27" borderId="0" xfId="0" applyFill="1" applyAlignment="1">
      <alignment wrapText="1"/>
    </xf>
    <xf numFmtId="0" fontId="0" fillId="27" borderId="20" xfId="0" applyFill="1" applyBorder="1" applyAlignment="1">
      <alignment wrapText="1"/>
    </xf>
    <xf numFmtId="0" fontId="0" fillId="27" borderId="18" xfId="0" applyFill="1" applyBorder="1" applyAlignment="1">
      <alignment vertical="top"/>
    </xf>
    <xf numFmtId="0" fontId="22" fillId="27" borderId="20" xfId="0" applyFont="1" applyFill="1" applyBorder="1"/>
    <xf numFmtId="0" fontId="22" fillId="27" borderId="23" xfId="0" applyFont="1" applyFill="1" applyBorder="1"/>
    <xf numFmtId="3" fontId="0" fillId="8" borderId="36" xfId="0" applyNumberFormat="1" applyFill="1" applyBorder="1"/>
    <xf numFmtId="169" fontId="0" fillId="8" borderId="37" xfId="0" applyNumberFormat="1" applyFill="1" applyBorder="1"/>
    <xf numFmtId="3" fontId="0" fillId="8" borderId="0" xfId="0" applyNumberFormat="1" applyFill="1"/>
    <xf numFmtId="169" fontId="0" fillId="8" borderId="0" xfId="0" applyNumberFormat="1" applyFill="1"/>
    <xf numFmtId="3" fontId="0" fillId="8" borderId="3" xfId="0" applyNumberFormat="1" applyFill="1" applyBorder="1"/>
    <xf numFmtId="169" fontId="0" fillId="8" borderId="10" xfId="0" applyNumberFormat="1" applyFill="1" applyBorder="1"/>
    <xf numFmtId="0" fontId="2" fillId="8" borderId="0" xfId="0" applyFont="1" applyFill="1"/>
    <xf numFmtId="174" fontId="0" fillId="8" borderId="0" xfId="0" applyNumberFormat="1" applyFill="1"/>
    <xf numFmtId="0" fontId="22" fillId="0" borderId="29" xfId="0" applyFont="1" applyBorder="1"/>
    <xf numFmtId="0" fontId="13" fillId="20" borderId="0" xfId="0" applyFont="1" applyFill="1" applyAlignment="1">
      <alignment wrapText="1"/>
    </xf>
    <xf numFmtId="0" fontId="49" fillId="0" borderId="0" xfId="1" applyFont="1" applyAlignment="1">
      <alignment wrapText="1"/>
    </xf>
    <xf numFmtId="0" fontId="31" fillId="0" borderId="0" xfId="0" applyFont="1" applyAlignment="1">
      <alignment wrapText="1"/>
    </xf>
    <xf numFmtId="0" fontId="2" fillId="9" borderId="1" xfId="0" applyFont="1" applyFill="1" applyBorder="1" applyAlignment="1">
      <alignment horizontal="center" wrapText="1"/>
    </xf>
    <xf numFmtId="0" fontId="2" fillId="9" borderId="1" xfId="0" applyFont="1" applyFill="1" applyBorder="1" applyAlignment="1">
      <alignment horizontal="center"/>
    </xf>
    <xf numFmtId="0" fontId="0" fillId="0" borderId="2" xfId="0" applyBorder="1" applyAlignment="1">
      <alignment horizontal="right" vertical="center" wrapText="1"/>
    </xf>
    <xf numFmtId="1" fontId="1" fillId="8" borderId="3" xfId="1" applyNumberFormat="1" applyFill="1" applyBorder="1" applyAlignment="1">
      <alignment horizontal="right" vertical="center"/>
    </xf>
    <xf numFmtId="1" fontId="1" fillId="17" borderId="2" xfId="1" applyNumberFormat="1" applyFill="1" applyBorder="1" applyAlignment="1">
      <alignment horizontal="right" vertical="center"/>
    </xf>
    <xf numFmtId="1" fontId="1" fillId="8" borderId="2" xfId="1" applyNumberFormat="1" applyFill="1" applyBorder="1" applyAlignment="1">
      <alignment horizontal="right" vertical="center"/>
    </xf>
    <xf numFmtId="1" fontId="1" fillId="17" borderId="3" xfId="1" applyNumberFormat="1" applyFill="1" applyBorder="1" applyAlignment="1">
      <alignment horizontal="right" vertical="center"/>
    </xf>
    <xf numFmtId="1" fontId="1" fillId="10" borderId="2" xfId="1" applyNumberFormat="1" applyFill="1" applyBorder="1" applyAlignment="1">
      <alignment horizontal="right" vertical="center"/>
    </xf>
    <xf numFmtId="1" fontId="1" fillId="10" borderId="3" xfId="1" applyNumberFormat="1" applyFill="1" applyBorder="1" applyAlignment="1">
      <alignment horizontal="right" vertical="center"/>
    </xf>
    <xf numFmtId="0" fontId="2" fillId="0" borderId="8" xfId="1" applyFont="1" applyBorder="1" applyAlignment="1">
      <alignment horizontal="right" vertical="center" wrapText="1"/>
    </xf>
    <xf numFmtId="49" fontId="2" fillId="0" borderId="12" xfId="1" applyNumberFormat="1" applyFont="1" applyBorder="1" applyAlignment="1">
      <alignment horizontal="right" vertical="center" wrapText="1"/>
    </xf>
    <xf numFmtId="49" fontId="2" fillId="0" borderId="8" xfId="1" applyNumberFormat="1" applyFont="1" applyBorder="1" applyAlignment="1">
      <alignment horizontal="right" vertical="center" wrapText="1"/>
    </xf>
    <xf numFmtId="0" fontId="0" fillId="0" borderId="35" xfId="0" applyBorder="1" applyAlignment="1">
      <alignment horizontal="right" vertical="center" wrapText="1"/>
    </xf>
    <xf numFmtId="0" fontId="0" fillId="0" borderId="10" xfId="0" applyBorder="1" applyAlignment="1">
      <alignment horizontal="right" vertical="center" wrapText="1"/>
    </xf>
    <xf numFmtId="0" fontId="0" fillId="0" borderId="44" xfId="0" applyBorder="1" applyAlignment="1">
      <alignment horizontal="right" vertical="center" wrapText="1"/>
    </xf>
    <xf numFmtId="169" fontId="1" fillId="0" borderId="0" xfId="1" applyNumberFormat="1"/>
    <xf numFmtId="0" fontId="26" fillId="0" borderId="0" xfId="0" applyFont="1" applyAlignment="1">
      <alignment horizontal="center" wrapText="1"/>
    </xf>
    <xf numFmtId="0" fontId="3" fillId="0" borderId="0" xfId="0" applyFont="1" applyAlignment="1">
      <alignment horizontal="left" wrapText="1"/>
    </xf>
    <xf numFmtId="0" fontId="0" fillId="7" borderId="0" xfId="0" applyFill="1" applyAlignment="1">
      <alignment wrapText="1"/>
    </xf>
    <xf numFmtId="166" fontId="0" fillId="7" borderId="0" xfId="0" applyNumberFormat="1" applyFill="1" applyAlignment="1">
      <alignment wrapText="1"/>
    </xf>
    <xf numFmtId="166" fontId="3" fillId="0" borderId="0" xfId="4" applyNumberFormat="1" applyFont="1" applyFill="1" applyAlignment="1">
      <alignment horizontal="left"/>
    </xf>
    <xf numFmtId="0" fontId="26" fillId="0" borderId="24" xfId="0" applyFont="1" applyBorder="1" applyAlignment="1">
      <alignment horizontal="left" wrapText="1"/>
    </xf>
    <xf numFmtId="0" fontId="3" fillId="0" borderId="25" xfId="0" applyFont="1" applyBorder="1"/>
    <xf numFmtId="171" fontId="59" fillId="0" borderId="25" xfId="0" applyNumberFormat="1" applyFont="1" applyBorder="1"/>
    <xf numFmtId="0" fontId="26" fillId="0" borderId="0" xfId="0" applyFont="1" applyAlignment="1">
      <alignment horizontal="left" wrapText="1"/>
    </xf>
    <xf numFmtId="171" fontId="59" fillId="0" borderId="0" xfId="0" applyNumberFormat="1" applyFont="1"/>
    <xf numFmtId="166" fontId="3" fillId="0" borderId="0" xfId="4" applyNumberFormat="1" applyFont="1" applyBorder="1"/>
    <xf numFmtId="0" fontId="3" fillId="0" borderId="14" xfId="0" applyFont="1" applyBorder="1" applyAlignment="1">
      <alignment horizontal="left"/>
    </xf>
    <xf numFmtId="166" fontId="3" fillId="0" borderId="18" xfId="0" applyNumberFormat="1" applyFont="1" applyBorder="1"/>
    <xf numFmtId="166" fontId="3" fillId="0" borderId="18" xfId="4" applyNumberFormat="1" applyFont="1" applyBorder="1"/>
    <xf numFmtId="0" fontId="3" fillId="0" borderId="15" xfId="0" applyFont="1" applyBorder="1" applyAlignment="1">
      <alignment horizontal="left"/>
    </xf>
    <xf numFmtId="166" fontId="3" fillId="0" borderId="20" xfId="4" applyNumberFormat="1" applyFont="1" applyBorder="1"/>
    <xf numFmtId="166" fontId="3" fillId="0" borderId="23" xfId="4" applyNumberFormat="1" applyFont="1" applyBorder="1"/>
    <xf numFmtId="0" fontId="26" fillId="0" borderId="27" xfId="0" applyFont="1" applyBorder="1" applyAlignment="1">
      <alignment vertical="center" wrapText="1"/>
    </xf>
    <xf numFmtId="0" fontId="26" fillId="0" borderId="27" xfId="0" applyFont="1" applyBorder="1"/>
    <xf numFmtId="0" fontId="3" fillId="0" borderId="14" xfId="0" applyFont="1" applyBorder="1"/>
    <xf numFmtId="172" fontId="3" fillId="0" borderId="18" xfId="0" applyNumberFormat="1" applyFont="1" applyBorder="1"/>
    <xf numFmtId="0" fontId="3" fillId="0" borderId="15" xfId="0" applyFont="1" applyBorder="1"/>
    <xf numFmtId="172" fontId="3" fillId="0" borderId="20" xfId="0" applyNumberFormat="1" applyFont="1" applyBorder="1"/>
    <xf numFmtId="172" fontId="3" fillId="0" borderId="23" xfId="0" applyNumberFormat="1" applyFont="1" applyBorder="1"/>
    <xf numFmtId="0" fontId="26" fillId="0" borderId="45" xfId="0" applyFont="1" applyBorder="1" applyAlignment="1">
      <alignment horizontal="center" vertical="center" wrapText="1"/>
    </xf>
    <xf numFmtId="0" fontId="3" fillId="0" borderId="26" xfId="0" applyFont="1" applyBorder="1"/>
    <xf numFmtId="0" fontId="26" fillId="0" borderId="29" xfId="0" applyFont="1" applyBorder="1" applyAlignment="1">
      <alignment horizontal="center" wrapText="1"/>
    </xf>
    <xf numFmtId="0" fontId="26" fillId="0" borderId="29" xfId="0" applyFont="1" applyBorder="1"/>
    <xf numFmtId="0" fontId="26" fillId="0" borderId="28" xfId="0" applyFont="1" applyBorder="1"/>
    <xf numFmtId="0" fontId="3" fillId="0" borderId="25" xfId="0" applyFont="1" applyBorder="1" applyAlignment="1">
      <alignment wrapText="1"/>
    </xf>
    <xf numFmtId="2" fontId="60" fillId="4" borderId="26" xfId="0" applyNumberFormat="1" applyFont="1" applyFill="1" applyBorder="1"/>
    <xf numFmtId="2" fontId="53" fillId="0" borderId="0" xfId="0" applyNumberFormat="1" applyFont="1"/>
    <xf numFmtId="166" fontId="3" fillId="0" borderId="0" xfId="4" applyNumberFormat="1" applyFont="1" applyFill="1" applyBorder="1"/>
    <xf numFmtId="166" fontId="3" fillId="0" borderId="18" xfId="4" applyNumberFormat="1" applyFont="1" applyFill="1" applyBorder="1"/>
    <xf numFmtId="166" fontId="3" fillId="0" borderId="20" xfId="4" applyNumberFormat="1" applyFont="1" applyFill="1" applyBorder="1"/>
    <xf numFmtId="166" fontId="3" fillId="0" borderId="23" xfId="4" applyNumberFormat="1" applyFont="1" applyFill="1" applyBorder="1"/>
    <xf numFmtId="0" fontId="26" fillId="0" borderId="29" xfId="4" applyNumberFormat="1" applyFont="1" applyBorder="1"/>
    <xf numFmtId="0" fontId="3" fillId="0" borderId="18" xfId="0" applyFont="1" applyBorder="1"/>
    <xf numFmtId="0" fontId="3" fillId="0" borderId="20" xfId="0" applyFont="1" applyBorder="1"/>
    <xf numFmtId="0" fontId="3" fillId="0" borderId="23" xfId="0" applyFont="1" applyBorder="1"/>
    <xf numFmtId="0" fontId="3" fillId="9" borderId="29" xfId="0" applyFont="1" applyFill="1" applyBorder="1"/>
    <xf numFmtId="171" fontId="51" fillId="9" borderId="0" xfId="0" applyNumberFormat="1" applyFont="1" applyFill="1"/>
    <xf numFmtId="0" fontId="3" fillId="9" borderId="20" xfId="0" applyFont="1" applyFill="1" applyBorder="1"/>
    <xf numFmtId="171" fontId="51" fillId="9" borderId="20" xfId="0" applyNumberFormat="1" applyFont="1" applyFill="1" applyBorder="1"/>
    <xf numFmtId="0" fontId="3" fillId="9" borderId="25" xfId="0" applyFont="1" applyFill="1" applyBorder="1"/>
    <xf numFmtId="0" fontId="3" fillId="9" borderId="25" xfId="0" applyFont="1" applyFill="1" applyBorder="1" applyAlignment="1">
      <alignment horizontal="left" wrapText="1"/>
    </xf>
    <xf numFmtId="0" fontId="52" fillId="0" borderId="0" xfId="0" applyFont="1"/>
    <xf numFmtId="0" fontId="22" fillId="0" borderId="14" xfId="0" applyFont="1" applyBorder="1" applyAlignment="1">
      <alignment horizontal="right" wrapText="1"/>
    </xf>
    <xf numFmtId="166" fontId="34" fillId="0" borderId="0" xfId="4" applyNumberFormat="1" applyFont="1" applyFill="1" applyBorder="1" applyAlignment="1">
      <alignment vertical="top"/>
    </xf>
    <xf numFmtId="3" fontId="0" fillId="0" borderId="18" xfId="0" applyNumberFormat="1" applyBorder="1"/>
    <xf numFmtId="0" fontId="47" fillId="21" borderId="0" xfId="0" applyFont="1" applyFill="1" applyAlignment="1">
      <alignment horizontal="right" wrapText="1"/>
    </xf>
    <xf numFmtId="2" fontId="47" fillId="0" borderId="0" xfId="0" applyNumberFormat="1" applyFont="1" applyAlignment="1">
      <alignment horizontal="right" wrapText="1"/>
    </xf>
    <xf numFmtId="166" fontId="61" fillId="0" borderId="0" xfId="4" applyNumberFormat="1" applyFont="1"/>
    <xf numFmtId="2" fontId="47" fillId="21" borderId="0" xfId="0" applyNumberFormat="1" applyFont="1" applyFill="1" applyAlignment="1">
      <alignment horizontal="right" wrapText="1"/>
    </xf>
    <xf numFmtId="0" fontId="46" fillId="21" borderId="0" xfId="0" applyFont="1" applyFill="1" applyAlignment="1">
      <alignment wrapText="1"/>
    </xf>
    <xf numFmtId="0" fontId="46" fillId="0" borderId="0" xfId="0" applyFont="1" applyAlignment="1">
      <alignment wrapText="1"/>
    </xf>
    <xf numFmtId="0" fontId="18" fillId="0" borderId="0" xfId="6" applyFill="1" applyAlignment="1">
      <alignment wrapText="1"/>
    </xf>
    <xf numFmtId="1" fontId="0" fillId="7" borderId="0" xfId="0" applyNumberFormat="1" applyFill="1" applyAlignment="1">
      <alignment wrapText="1"/>
    </xf>
    <xf numFmtId="0" fontId="26" fillId="0" borderId="28" xfId="4" applyNumberFormat="1" applyFont="1" applyBorder="1"/>
    <xf numFmtId="0" fontId="2" fillId="16" borderId="0" xfId="1" applyFont="1" applyFill="1" applyAlignment="1">
      <alignment wrapText="1"/>
    </xf>
    <xf numFmtId="166" fontId="5" fillId="0" borderId="0" xfId="0" applyNumberFormat="1" applyFont="1" applyAlignment="1">
      <alignment wrapText="1"/>
    </xf>
    <xf numFmtId="1" fontId="22" fillId="27" borderId="18" xfId="0" applyNumberFormat="1" applyFont="1" applyFill="1" applyBorder="1"/>
    <xf numFmtId="0" fontId="2" fillId="0" borderId="46" xfId="0" applyFont="1" applyBorder="1"/>
    <xf numFmtId="0" fontId="3" fillId="8" borderId="39" xfId="0" applyFont="1" applyFill="1" applyBorder="1" applyAlignment="1">
      <alignment horizontal="left" wrapText="1"/>
    </xf>
    <xf numFmtId="0" fontId="0" fillId="28" borderId="39" xfId="0" applyFill="1" applyBorder="1"/>
    <xf numFmtId="166" fontId="0" fillId="28" borderId="39" xfId="4" applyNumberFormat="1" applyFont="1" applyFill="1" applyBorder="1"/>
    <xf numFmtId="166" fontId="0" fillId="28" borderId="47" xfId="4" applyNumberFormat="1" applyFont="1" applyFill="1" applyBorder="1"/>
    <xf numFmtId="0" fontId="55" fillId="0" borderId="14" xfId="0" applyFont="1" applyBorder="1"/>
    <xf numFmtId="0" fontId="55" fillId="0" borderId="0" xfId="0" applyFont="1"/>
    <xf numFmtId="164" fontId="58" fillId="4" borderId="0" xfId="0" applyNumberFormat="1" applyFont="1" applyFill="1"/>
    <xf numFmtId="0" fontId="0" fillId="9" borderId="0" xfId="0" applyFill="1" applyAlignment="1">
      <alignment vertical="center" wrapText="1"/>
    </xf>
    <xf numFmtId="0" fontId="8" fillId="0" borderId="0" xfId="1" applyFont="1" applyAlignment="1">
      <alignment horizontal="left" vertical="center" wrapText="1"/>
    </xf>
    <xf numFmtId="0" fontId="29" fillId="0" borderId="0" xfId="0" applyFont="1" applyAlignment="1">
      <alignment horizontal="center" vertical="center" wrapText="1"/>
    </xf>
    <xf numFmtId="0" fontId="41" fillId="0" borderId="0" xfId="0" applyFont="1" applyAlignment="1">
      <alignment horizontal="center" vertical="top" wrapText="1"/>
    </xf>
    <xf numFmtId="0" fontId="0" fillId="0" borderId="0" xfId="0" applyAlignment="1">
      <alignment horizontal="left" vertical="top" wrapText="1"/>
    </xf>
    <xf numFmtId="1" fontId="0" fillId="0" borderId="29" xfId="0" applyNumberFormat="1" applyBorder="1"/>
    <xf numFmtId="1" fontId="22" fillId="27" borderId="29" xfId="0" applyNumberFormat="1" applyFont="1" applyFill="1" applyBorder="1"/>
    <xf numFmtId="1" fontId="22" fillId="27" borderId="28" xfId="0" applyNumberFormat="1" applyFont="1" applyFill="1" applyBorder="1"/>
    <xf numFmtId="2" fontId="62" fillId="0" borderId="0" xfId="0" applyNumberFormat="1" applyFont="1"/>
    <xf numFmtId="0" fontId="2" fillId="0" borderId="18" xfId="0" applyFont="1" applyBorder="1"/>
    <xf numFmtId="1" fontId="2" fillId="0" borderId="0" xfId="0" applyNumberFormat="1" applyFont="1"/>
    <xf numFmtId="1" fontId="2" fillId="0" borderId="18" xfId="0" applyNumberFormat="1" applyFont="1" applyBorder="1"/>
    <xf numFmtId="0" fontId="2" fillId="0" borderId="14" xfId="0" applyFont="1" applyBorder="1"/>
    <xf numFmtId="0" fontId="50" fillId="0" borderId="18" xfId="0" applyFont="1" applyBorder="1"/>
    <xf numFmtId="1" fontId="35" fillId="0" borderId="0" xfId="0" applyNumberFormat="1" applyFont="1"/>
    <xf numFmtId="0" fontId="35" fillId="0" borderId="18" xfId="0" applyFont="1" applyBorder="1"/>
    <xf numFmtId="167" fontId="0" fillId="0" borderId="0" xfId="2" applyNumberFormat="1" applyFont="1" applyFill="1" applyAlignment="1">
      <alignment horizontal="center" vertical="center"/>
    </xf>
    <xf numFmtId="0" fontId="2" fillId="0" borderId="29"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18" xfId="1" applyFont="1" applyBorder="1" applyAlignment="1">
      <alignment horizontal="center" vertical="center" wrapText="1"/>
    </xf>
    <xf numFmtId="166" fontId="0" fillId="0" borderId="29" xfId="2" applyNumberFormat="1" applyFont="1" applyBorder="1" applyAlignment="1">
      <alignment horizontal="center" vertical="center"/>
    </xf>
    <xf numFmtId="166" fontId="0" fillId="0" borderId="28" xfId="2" applyNumberFormat="1" applyFont="1" applyBorder="1" applyAlignment="1">
      <alignment horizontal="center" vertical="center"/>
    </xf>
    <xf numFmtId="43" fontId="0" fillId="0" borderId="20" xfId="2" applyFont="1" applyBorder="1" applyAlignment="1">
      <alignment horizontal="center" vertical="center"/>
    </xf>
    <xf numFmtId="43" fontId="0" fillId="0" borderId="23" xfId="2" applyFont="1" applyBorder="1" applyAlignment="1">
      <alignment horizontal="center" vertical="center"/>
    </xf>
    <xf numFmtId="167" fontId="0" fillId="0" borderId="0" xfId="2" applyNumberFormat="1" applyFont="1" applyBorder="1" applyAlignment="1">
      <alignment horizontal="center" vertical="center" wrapText="1"/>
    </xf>
    <xf numFmtId="167" fontId="0" fillId="0" borderId="20" xfId="2" applyNumberFormat="1" applyFont="1" applyBorder="1" applyAlignment="1">
      <alignment horizontal="center" vertical="center" wrapText="1"/>
    </xf>
    <xf numFmtId="167" fontId="0" fillId="0" borderId="23" xfId="2" applyNumberFormat="1" applyFont="1" applyBorder="1" applyAlignment="1">
      <alignment horizontal="center" vertical="center" wrapText="1"/>
    </xf>
    <xf numFmtId="0" fontId="2" fillId="0" borderId="29" xfId="1" applyFont="1" applyBorder="1" applyAlignment="1">
      <alignment horizontal="center" vertical="center"/>
    </xf>
    <xf numFmtId="0" fontId="2" fillId="0" borderId="28" xfId="1" applyFont="1" applyBorder="1" applyAlignment="1">
      <alignment horizontal="center" vertical="center"/>
    </xf>
    <xf numFmtId="0" fontId="13" fillId="8" borderId="14" xfId="0" applyFont="1" applyFill="1" applyBorder="1"/>
    <xf numFmtId="2" fontId="50" fillId="0" borderId="0" xfId="0" applyNumberFormat="1" applyFont="1"/>
    <xf numFmtId="0" fontId="2" fillId="0" borderId="14" xfId="0" applyFont="1" applyBorder="1" applyAlignment="1">
      <alignment wrapText="1"/>
    </xf>
    <xf numFmtId="166" fontId="0" fillId="0" borderId="18" xfId="1" applyNumberFormat="1" applyFont="1" applyBorder="1" applyAlignment="1">
      <alignment horizontal="center" vertical="center"/>
    </xf>
    <xf numFmtId="0" fontId="2" fillId="0" borderId="15" xfId="0" applyFont="1" applyBorder="1"/>
    <xf numFmtId="166" fontId="34" fillId="0" borderId="0" xfId="4" applyNumberFormat="1" applyFont="1" applyBorder="1"/>
    <xf numFmtId="166" fontId="34" fillId="0" borderId="18" xfId="4" applyNumberFormat="1" applyFont="1" applyBorder="1"/>
    <xf numFmtId="0" fontId="50" fillId="0" borderId="20" xfId="0" applyFont="1" applyBorder="1"/>
    <xf numFmtId="0" fontId="34" fillId="0" borderId="20" xfId="0" applyFont="1" applyBorder="1"/>
    <xf numFmtId="0" fontId="34" fillId="0" borderId="23" xfId="0" applyFont="1" applyBorder="1"/>
    <xf numFmtId="0" fontId="26" fillId="0" borderId="27" xfId="0" applyFont="1" applyBorder="1" applyAlignment="1">
      <alignment wrapText="1"/>
    </xf>
    <xf numFmtId="0" fontId="43" fillId="0" borderId="14" xfId="0" applyFont="1" applyBorder="1"/>
    <xf numFmtId="0" fontId="43" fillId="0" borderId="0" xfId="0" applyFont="1"/>
    <xf numFmtId="0" fontId="50" fillId="0" borderId="0" xfId="1" applyFont="1"/>
    <xf numFmtId="0" fontId="43" fillId="0" borderId="20" xfId="0" applyFont="1" applyBorder="1" applyAlignment="1">
      <alignment wrapText="1"/>
    </xf>
    <xf numFmtId="0" fontId="43" fillId="0" borderId="20" xfId="0" applyFont="1" applyBorder="1"/>
    <xf numFmtId="0" fontId="2" fillId="0" borderId="0" xfId="0" applyFont="1" applyAlignment="1">
      <alignment horizontal="left"/>
    </xf>
    <xf numFmtId="0" fontId="2" fillId="8" borderId="0" xfId="0" applyFont="1" applyFill="1" applyAlignment="1">
      <alignment horizontal="left"/>
    </xf>
    <xf numFmtId="0" fontId="0" fillId="8" borderId="36" xfId="0" applyFill="1" applyBorder="1"/>
    <xf numFmtId="3" fontId="9" fillId="0" borderId="0" xfId="0" applyNumberFormat="1" applyFont="1"/>
    <xf numFmtId="0" fontId="9" fillId="0" borderId="0" xfId="0" applyFont="1" applyAlignment="1">
      <alignment vertical="top"/>
    </xf>
    <xf numFmtId="0" fontId="63" fillId="0" borderId="0" xfId="0" applyFont="1" applyAlignment="1">
      <alignment wrapText="1"/>
    </xf>
    <xf numFmtId="0" fontId="65" fillId="29" borderId="62" xfId="0" applyFont="1" applyFill="1" applyBorder="1" applyAlignment="1">
      <alignment wrapText="1"/>
    </xf>
    <xf numFmtId="10" fontId="65" fillId="29" borderId="1" xfId="0" applyNumberFormat="1" applyFont="1" applyFill="1" applyBorder="1" applyAlignment="1">
      <alignment wrapText="1"/>
    </xf>
    <xf numFmtId="10" fontId="65" fillId="29" borderId="63" xfId="0" applyNumberFormat="1" applyFont="1" applyFill="1" applyBorder="1" applyAlignment="1">
      <alignment wrapText="1"/>
    </xf>
    <xf numFmtId="0" fontId="65" fillId="29" borderId="1" xfId="0" applyFont="1" applyFill="1" applyBorder="1" applyAlignment="1">
      <alignment wrapText="1"/>
    </xf>
    <xf numFmtId="0" fontId="66" fillId="0" borderId="14" xfId="0" applyFont="1" applyBorder="1" applyAlignment="1">
      <alignment wrapText="1"/>
    </xf>
    <xf numFmtId="10" fontId="66" fillId="0" borderId="18" xfId="0" applyNumberFormat="1" applyFont="1" applyBorder="1" applyAlignment="1">
      <alignment wrapText="1"/>
    </xf>
    <xf numFmtId="3" fontId="65" fillId="29" borderId="62" xfId="0" applyNumberFormat="1" applyFont="1" applyFill="1" applyBorder="1" applyAlignment="1">
      <alignment wrapText="1"/>
    </xf>
    <xf numFmtId="3" fontId="66" fillId="0" borderId="14" xfId="0" applyNumberFormat="1" applyFont="1" applyBorder="1" applyAlignment="1">
      <alignment wrapText="1"/>
    </xf>
    <xf numFmtId="3" fontId="65" fillId="29" borderId="1" xfId="0" applyNumberFormat="1" applyFont="1" applyFill="1" applyBorder="1" applyAlignment="1">
      <alignment wrapText="1"/>
    </xf>
    <xf numFmtId="0" fontId="0" fillId="0" borderId="51" xfId="0" applyBorder="1" applyAlignment="1">
      <alignment vertical="top"/>
    </xf>
    <xf numFmtId="0" fontId="0" fillId="0" borderId="53" xfId="0" applyBorder="1" applyAlignment="1">
      <alignment vertical="top"/>
    </xf>
    <xf numFmtId="0" fontId="64" fillId="0" borderId="53" xfId="0" applyFont="1" applyBorder="1" applyAlignment="1">
      <alignment wrapText="1"/>
    </xf>
    <xf numFmtId="10" fontId="65" fillId="29" borderId="64" xfId="0" applyNumberFormat="1" applyFont="1" applyFill="1" applyBorder="1" applyAlignment="1">
      <alignment wrapText="1"/>
    </xf>
    <xf numFmtId="0" fontId="63" fillId="0" borderId="53" xfId="0" applyFont="1" applyBorder="1" applyAlignment="1">
      <alignment wrapText="1"/>
    </xf>
    <xf numFmtId="10" fontId="66" fillId="0" borderId="0" xfId="0" applyNumberFormat="1" applyFont="1" applyAlignment="1">
      <alignment wrapText="1"/>
    </xf>
    <xf numFmtId="0" fontId="66" fillId="0" borderId="0" xfId="0" applyFont="1" applyAlignment="1">
      <alignment wrapText="1"/>
    </xf>
    <xf numFmtId="3" fontId="66" fillId="0" borderId="0" xfId="0" applyNumberFormat="1" applyFont="1" applyAlignment="1">
      <alignment wrapText="1"/>
    </xf>
    <xf numFmtId="10" fontId="66" fillId="0" borderId="54" xfId="0" applyNumberFormat="1" applyFont="1" applyBorder="1" applyAlignment="1">
      <alignment wrapText="1"/>
    </xf>
    <xf numFmtId="0" fontId="63" fillId="0" borderId="55" xfId="0" applyFont="1" applyBorder="1" applyAlignment="1">
      <alignment wrapText="1"/>
    </xf>
    <xf numFmtId="0" fontId="66" fillId="0" borderId="65" xfId="0" quotePrefix="1" applyFont="1" applyBorder="1" applyAlignment="1">
      <alignment wrapText="1"/>
    </xf>
    <xf numFmtId="0" fontId="66" fillId="0" borderId="58" xfId="0" quotePrefix="1" applyFont="1" applyBorder="1" applyAlignment="1">
      <alignment wrapText="1"/>
    </xf>
    <xf numFmtId="0" fontId="66" fillId="0" borderId="66" xfId="0" quotePrefix="1" applyFont="1" applyBorder="1" applyAlignment="1">
      <alignment wrapText="1"/>
    </xf>
    <xf numFmtId="3" fontId="66" fillId="0" borderId="65" xfId="0" applyNumberFormat="1" applyFont="1" applyBorder="1" applyAlignment="1">
      <alignment wrapText="1"/>
    </xf>
    <xf numFmtId="10" fontId="66" fillId="0" borderId="58" xfId="0" applyNumberFormat="1" applyFont="1" applyBorder="1" applyAlignment="1">
      <alignment wrapText="1"/>
    </xf>
    <xf numFmtId="10" fontId="66" fillId="0" borderId="66" xfId="0" applyNumberFormat="1" applyFont="1" applyBorder="1" applyAlignment="1">
      <alignment wrapText="1"/>
    </xf>
    <xf numFmtId="3" fontId="66" fillId="0" borderId="58" xfId="0" applyNumberFormat="1" applyFont="1" applyBorder="1" applyAlignment="1">
      <alignment wrapText="1"/>
    </xf>
    <xf numFmtId="0" fontId="66" fillId="0" borderId="65" xfId="0" applyFont="1" applyBorder="1" applyAlignment="1">
      <alignment wrapText="1"/>
    </xf>
    <xf numFmtId="0" fontId="66" fillId="0" borderId="56" xfId="0" applyFont="1" applyBorder="1" applyAlignment="1">
      <alignment wrapText="1"/>
    </xf>
    <xf numFmtId="0" fontId="2" fillId="0" borderId="57" xfId="0" applyFont="1" applyBorder="1" applyAlignment="1">
      <alignment vertical="top"/>
    </xf>
    <xf numFmtId="0" fontId="2" fillId="0" borderId="52" xfId="0" applyFont="1" applyBorder="1" applyAlignment="1">
      <alignment vertical="top"/>
    </xf>
    <xf numFmtId="0" fontId="0" fillId="0" borderId="59" xfId="0" applyBorder="1" applyAlignment="1">
      <alignment vertical="top"/>
    </xf>
    <xf numFmtId="0" fontId="0" fillId="0" borderId="60" xfId="0" applyBorder="1" applyAlignment="1">
      <alignment vertical="top"/>
    </xf>
    <xf numFmtId="0" fontId="0" fillId="0" borderId="61" xfId="0" applyBorder="1" applyAlignment="1">
      <alignment vertical="top"/>
    </xf>
    <xf numFmtId="0" fontId="2" fillId="0" borderId="51" xfId="0" applyFont="1" applyBorder="1" applyAlignment="1">
      <alignment vertical="top"/>
    </xf>
    <xf numFmtId="0" fontId="8" fillId="0" borderId="20" xfId="1" applyFont="1" applyBorder="1" applyAlignment="1">
      <alignment horizontal="left" vertical="center" wrapText="1"/>
    </xf>
    <xf numFmtId="0" fontId="0" fillId="4" borderId="27" xfId="0" applyFill="1" applyBorder="1" applyAlignment="1">
      <alignment wrapText="1"/>
    </xf>
    <xf numFmtId="0" fontId="50" fillId="0" borderId="0" xfId="0" applyFont="1" applyAlignment="1">
      <alignment wrapText="1"/>
    </xf>
    <xf numFmtId="0" fontId="0" fillId="0" borderId="20" xfId="0" applyBorder="1" applyAlignment="1">
      <alignment wrapText="1"/>
    </xf>
    <xf numFmtId="3" fontId="0" fillId="0" borderId="0" xfId="0" applyNumberFormat="1" applyAlignment="1">
      <alignment wrapText="1"/>
    </xf>
    <xf numFmtId="3" fontId="50" fillId="4" borderId="0" xfId="0" applyNumberFormat="1" applyFont="1" applyFill="1"/>
    <xf numFmtId="1" fontId="0" fillId="0" borderId="0" xfId="0" applyNumberFormat="1" applyAlignment="1">
      <alignment wrapText="1"/>
    </xf>
    <xf numFmtId="0" fontId="26" fillId="0" borderId="0" xfId="1" applyFont="1" applyAlignment="1">
      <alignment vertical="center" wrapText="1"/>
    </xf>
    <xf numFmtId="167" fontId="0" fillId="0" borderId="0" xfId="2" applyNumberFormat="1" applyFont="1" applyFill="1" applyBorder="1" applyAlignment="1">
      <alignment horizontal="center" vertical="center"/>
    </xf>
    <xf numFmtId="0" fontId="2" fillId="0" borderId="0" xfId="1" applyFont="1" applyAlignment="1">
      <alignment horizontal="center" vertical="center" wrapText="1"/>
    </xf>
    <xf numFmtId="0" fontId="2" fillId="0" borderId="14" xfId="1" applyFont="1" applyBorder="1" applyAlignment="1">
      <alignment horizontal="center" vertical="center" wrapText="1"/>
    </xf>
    <xf numFmtId="167" fontId="0" fillId="0" borderId="18" xfId="2" applyNumberFormat="1" applyFont="1" applyFill="1" applyBorder="1" applyAlignment="1">
      <alignment horizontal="center" vertical="center"/>
    </xf>
    <xf numFmtId="167" fontId="0" fillId="0" borderId="20" xfId="2" applyNumberFormat="1" applyFont="1" applyFill="1" applyBorder="1" applyAlignment="1">
      <alignment horizontal="center" vertical="center"/>
    </xf>
    <xf numFmtId="167" fontId="0" fillId="0" borderId="23" xfId="2" applyNumberFormat="1" applyFont="1" applyFill="1" applyBorder="1" applyAlignment="1">
      <alignment horizontal="center" vertical="center"/>
    </xf>
    <xf numFmtId="0" fontId="2" fillId="0" borderId="14" xfId="1" applyFont="1" applyBorder="1" applyAlignment="1">
      <alignment vertical="center" wrapText="1"/>
    </xf>
    <xf numFmtId="0" fontId="2" fillId="0" borderId="20" xfId="1" applyFont="1" applyBorder="1" applyAlignment="1">
      <alignment horizontal="center" vertical="center" wrapText="1"/>
    </xf>
    <xf numFmtId="0" fontId="14" fillId="0" borderId="0" xfId="0" applyFont="1"/>
    <xf numFmtId="0" fontId="62" fillId="22" borderId="0" xfId="0" applyFont="1" applyFill="1" applyAlignment="1">
      <alignment wrapText="1"/>
    </xf>
    <xf numFmtId="2" fontId="62" fillId="0" borderId="0" xfId="1" applyNumberFormat="1" applyFont="1" applyAlignment="1">
      <alignment horizontal="center" vertical="center"/>
    </xf>
    <xf numFmtId="0" fontId="2" fillId="0" borderId="18" xfId="1" applyFont="1" applyBorder="1" applyAlignment="1">
      <alignment horizontal="center" vertical="center"/>
    </xf>
    <xf numFmtId="0" fontId="0" fillId="0" borderId="29" xfId="0" applyBorder="1" applyAlignment="1">
      <alignment horizontal="right"/>
    </xf>
    <xf numFmtId="0" fontId="71" fillId="2" borderId="0" xfId="7" applyFont="1" applyFill="1" applyAlignment="1">
      <alignment wrapText="1"/>
    </xf>
    <xf numFmtId="0" fontId="71" fillId="2" borderId="0" xfId="7" applyFont="1" applyFill="1" applyAlignment="1">
      <alignment horizontal="center" wrapText="1"/>
    </xf>
    <xf numFmtId="0" fontId="71" fillId="2" borderId="0" xfId="7" applyFont="1" applyFill="1" applyAlignment="1">
      <alignment horizontal="right" wrapText="1"/>
    </xf>
    <xf numFmtId="0" fontId="71" fillId="7" borderId="0" xfId="7" applyFont="1" applyFill="1" applyAlignment="1">
      <alignment horizontal="left" vertical="center" wrapText="1"/>
    </xf>
    <xf numFmtId="168" fontId="72" fillId="7" borderId="0" xfId="7" applyNumberFormat="1" applyFont="1" applyFill="1" applyAlignment="1">
      <alignment horizontal="right" vertical="center"/>
    </xf>
    <xf numFmtId="0" fontId="71" fillId="2" borderId="0" xfId="7" applyFont="1" applyFill="1" applyAlignment="1">
      <alignment horizontal="left" vertical="center" wrapText="1"/>
    </xf>
    <xf numFmtId="0" fontId="72" fillId="2" borderId="0" xfId="7" applyFont="1" applyFill="1" applyAlignment="1">
      <alignment horizontal="right" wrapText="1"/>
    </xf>
    <xf numFmtId="166" fontId="72" fillId="2" borderId="0" xfId="4" applyNumberFormat="1" applyFont="1" applyFill="1" applyBorder="1" applyAlignment="1">
      <alignment horizontal="right" wrapText="1"/>
    </xf>
    <xf numFmtId="0" fontId="0" fillId="0" borderId="27" xfId="0" applyBorder="1"/>
    <xf numFmtId="0" fontId="0" fillId="0" borderId="29" xfId="1" applyFont="1" applyBorder="1" applyAlignment="1">
      <alignment horizontal="center" vertical="center" wrapText="1"/>
    </xf>
    <xf numFmtId="0" fontId="0" fillId="0" borderId="28" xfId="1" applyFont="1" applyBorder="1" applyAlignment="1">
      <alignment horizontal="center" vertical="center" wrapText="1"/>
    </xf>
    <xf numFmtId="166" fontId="0" fillId="0" borderId="18" xfId="0" applyNumberFormat="1" applyBorder="1"/>
    <xf numFmtId="173" fontId="0" fillId="0" borderId="20" xfId="0" applyNumberFormat="1" applyBorder="1"/>
    <xf numFmtId="173" fontId="0" fillId="0" borderId="23" xfId="0" applyNumberFormat="1" applyBorder="1"/>
    <xf numFmtId="0" fontId="0" fillId="22" borderId="0" xfId="0" applyFill="1" applyAlignment="1">
      <alignment wrapText="1"/>
    </xf>
    <xf numFmtId="0" fontId="0" fillId="0" borderId="14" xfId="0" applyBorder="1"/>
    <xf numFmtId="0" fontId="0" fillId="0" borderId="18" xfId="0" applyBorder="1"/>
    <xf numFmtId="165" fontId="0" fillId="0" borderId="14" xfId="1" applyNumberFormat="1" applyFont="1" applyBorder="1" applyAlignment="1">
      <alignment wrapText="1"/>
    </xf>
    <xf numFmtId="165" fontId="0" fillId="0" borderId="0" xfId="1" applyNumberFormat="1" applyFont="1" applyAlignment="1">
      <alignment horizontal="center" vertical="center" wrapText="1"/>
    </xf>
    <xf numFmtId="165" fontId="0" fillId="0" borderId="0" xfId="1" applyNumberFormat="1" applyFont="1" applyAlignment="1">
      <alignment horizontal="center" vertical="center"/>
    </xf>
    <xf numFmtId="3" fontId="73" fillId="0" borderId="0" xfId="0" applyNumberFormat="1" applyFont="1" applyAlignment="1">
      <alignment horizontal="center" vertical="center"/>
    </xf>
    <xf numFmtId="3" fontId="73" fillId="0" borderId="18" xfId="0" applyNumberFormat="1" applyFont="1" applyBorder="1" applyAlignment="1">
      <alignment horizontal="center" vertical="center"/>
    </xf>
    <xf numFmtId="3" fontId="74" fillId="0" borderId="0" xfId="0" applyNumberFormat="1" applyFont="1" applyAlignment="1">
      <alignment horizontal="center" vertical="center"/>
    </xf>
    <xf numFmtId="0" fontId="74" fillId="0" borderId="0" xfId="0" applyFont="1" applyAlignment="1">
      <alignment vertical="center"/>
    </xf>
    <xf numFmtId="0" fontId="0" fillId="0" borderId="0" xfId="1" applyFont="1" applyAlignment="1">
      <alignment horizontal="center" vertical="center" wrapText="1"/>
    </xf>
    <xf numFmtId="0" fontId="0" fillId="0" borderId="0" xfId="1" applyFont="1" applyAlignment="1">
      <alignment horizontal="center" vertical="center"/>
    </xf>
    <xf numFmtId="0" fontId="0" fillId="0" borderId="18" xfId="1" applyFont="1" applyBorder="1" applyAlignment="1">
      <alignment horizontal="center" vertical="center"/>
    </xf>
    <xf numFmtId="165" fontId="0" fillId="0" borderId="15" xfId="1" applyNumberFormat="1" applyFont="1" applyBorder="1" applyAlignment="1">
      <alignment wrapText="1"/>
    </xf>
    <xf numFmtId="0" fontId="0" fillId="0" borderId="20" xfId="1" applyFont="1" applyBorder="1" applyAlignment="1">
      <alignment horizontal="center" vertical="center" wrapText="1"/>
    </xf>
    <xf numFmtId="0" fontId="0" fillId="0" borderId="20" xfId="1" applyFont="1" applyBorder="1" applyAlignment="1">
      <alignment horizontal="center" vertical="center"/>
    </xf>
    <xf numFmtId="2" fontId="13" fillId="0" borderId="20" xfId="1" applyNumberFormat="1" applyFont="1" applyBorder="1" applyAlignment="1">
      <alignment horizontal="center" vertical="center"/>
    </xf>
    <xf numFmtId="0" fontId="0" fillId="0" borderId="23" xfId="1" applyFont="1" applyBorder="1" applyAlignment="1">
      <alignment horizontal="center" vertical="center"/>
    </xf>
    <xf numFmtId="165" fontId="0" fillId="0" borderId="0" xfId="1" applyNumberFormat="1" applyFont="1" applyAlignment="1">
      <alignment wrapText="1"/>
    </xf>
    <xf numFmtId="0" fontId="13" fillId="0" borderId="0" xfId="1" applyFont="1" applyAlignment="1">
      <alignment horizontal="center" vertical="center"/>
    </xf>
    <xf numFmtId="2" fontId="0" fillId="0" borderId="0" xfId="1" applyNumberFormat="1" applyFont="1" applyAlignment="1">
      <alignment horizontal="center" vertical="center" wrapText="1"/>
    </xf>
    <xf numFmtId="0" fontId="0" fillId="0" borderId="15" xfId="0" applyBorder="1"/>
    <xf numFmtId="167" fontId="0" fillId="0" borderId="0" xfId="1" applyNumberFormat="1" applyFont="1" applyAlignment="1">
      <alignment horizontal="center" vertical="center" wrapText="1"/>
    </xf>
    <xf numFmtId="43" fontId="0" fillId="0" borderId="18" xfId="1" applyNumberFormat="1" applyFont="1" applyBorder="1" applyAlignment="1">
      <alignment horizontal="center" vertical="center"/>
    </xf>
    <xf numFmtId="0" fontId="0" fillId="0" borderId="14" xfId="1" applyFont="1" applyBorder="1" applyAlignment="1">
      <alignment horizontal="center" vertical="center" wrapText="1"/>
    </xf>
    <xf numFmtId="0" fontId="0" fillId="0" borderId="23" xfId="0" applyBorder="1"/>
    <xf numFmtId="2" fontId="0" fillId="0" borderId="0" xfId="1" applyNumberFormat="1" applyFont="1" applyAlignment="1">
      <alignment horizontal="center" vertical="center"/>
    </xf>
    <xf numFmtId="0" fontId="44" fillId="16" borderId="15" xfId="1" applyFont="1" applyFill="1" applyBorder="1" applyAlignment="1">
      <alignment horizontal="left" vertical="center" wrapText="1"/>
    </xf>
    <xf numFmtId="166" fontId="0" fillId="0" borderId="20" xfId="1" applyNumberFormat="1" applyFont="1" applyBorder="1" applyAlignment="1">
      <alignment horizontal="center" vertical="center" wrapText="1"/>
    </xf>
    <xf numFmtId="166" fontId="0" fillId="0" borderId="23" xfId="1" applyNumberFormat="1" applyFont="1" applyBorder="1" applyAlignment="1">
      <alignment horizontal="center" vertical="center" wrapText="1"/>
    </xf>
    <xf numFmtId="165" fontId="0" fillId="0" borderId="0" xfId="1" applyNumberFormat="1" applyFont="1"/>
    <xf numFmtId="0" fontId="76" fillId="8" borderId="27" xfId="3" applyFont="1" applyFill="1" applyBorder="1" applyAlignment="1">
      <alignment wrapText="1"/>
    </xf>
    <xf numFmtId="0" fontId="0" fillId="0" borderId="0" xfId="1" applyFont="1" applyAlignment="1">
      <alignment wrapText="1"/>
    </xf>
    <xf numFmtId="0" fontId="44" fillId="16" borderId="14" xfId="1" applyFont="1" applyFill="1" applyBorder="1" applyAlignment="1">
      <alignment horizontal="left" vertical="center" wrapText="1"/>
    </xf>
    <xf numFmtId="0" fontId="0" fillId="0" borderId="14" xfId="1" applyFont="1" applyBorder="1" applyAlignment="1">
      <alignment horizontal="left" wrapText="1"/>
    </xf>
    <xf numFmtId="3" fontId="0" fillId="0" borderId="0" xfId="1" applyNumberFormat="1" applyFont="1" applyAlignment="1">
      <alignment horizontal="center"/>
    </xf>
    <xf numFmtId="0" fontId="0" fillId="0" borderId="20" xfId="1" applyFont="1" applyBorder="1"/>
    <xf numFmtId="3" fontId="0" fillId="4" borderId="12" xfId="0" applyNumberFormat="1" applyFill="1" applyBorder="1"/>
    <xf numFmtId="3" fontId="77" fillId="0" borderId="0" xfId="0" applyNumberFormat="1" applyFont="1" applyAlignment="1">
      <alignment horizontal="center" vertical="center"/>
    </xf>
    <xf numFmtId="3" fontId="77" fillId="0" borderId="18" xfId="0" applyNumberFormat="1" applyFont="1" applyBorder="1" applyAlignment="1">
      <alignment horizontal="center" vertical="center"/>
    </xf>
    <xf numFmtId="0" fontId="0" fillId="4" borderId="20" xfId="0" applyFill="1" applyBorder="1"/>
    <xf numFmtId="1" fontId="0" fillId="0" borderId="18" xfId="0" applyNumberFormat="1" applyBorder="1"/>
    <xf numFmtId="0" fontId="0" fillId="0" borderId="18" xfId="0" applyBorder="1" applyAlignment="1">
      <alignment wrapText="1"/>
    </xf>
    <xf numFmtId="169" fontId="75" fillId="0" borderId="18" xfId="0" quotePrefix="1" applyNumberFormat="1" applyFont="1" applyBorder="1" applyAlignment="1">
      <alignment horizontal="right" vertical="center" wrapText="1"/>
    </xf>
    <xf numFmtId="167" fontId="0" fillId="0" borderId="18" xfId="2" applyNumberFormat="1" applyFont="1" applyBorder="1" applyAlignment="1">
      <alignment horizontal="right" vertical="center" wrapText="1"/>
    </xf>
    <xf numFmtId="0" fontId="78" fillId="0" borderId="0" xfId="0" applyFont="1" applyAlignment="1">
      <alignment wrapText="1"/>
    </xf>
    <xf numFmtId="3" fontId="78" fillId="0" borderId="0" xfId="0" applyNumberFormat="1" applyFont="1" applyAlignment="1">
      <alignment wrapText="1"/>
    </xf>
    <xf numFmtId="3" fontId="79" fillId="0" borderId="0" xfId="0" applyNumberFormat="1" applyFont="1" applyAlignment="1">
      <alignment wrapText="1"/>
    </xf>
    <xf numFmtId="0" fontId="0" fillId="0" borderId="29" xfId="0" applyFont="1" applyFill="1" applyBorder="1"/>
    <xf numFmtId="0" fontId="0" fillId="0" borderId="20" xfId="0" applyFill="1" applyBorder="1" applyAlignment="1">
      <alignment wrapText="1"/>
    </xf>
    <xf numFmtId="1" fontId="0" fillId="0" borderId="0" xfId="0" applyNumberFormat="1" applyBorder="1" applyAlignment="1">
      <alignment wrapText="1"/>
    </xf>
    <xf numFmtId="1" fontId="0" fillId="0" borderId="0" xfId="0" applyNumberFormat="1" applyBorder="1"/>
    <xf numFmtId="1" fontId="0" fillId="27" borderId="0" xfId="0" applyNumberFormat="1" applyFill="1" applyBorder="1"/>
    <xf numFmtId="0" fontId="0" fillId="0" borderId="0" xfId="0" applyBorder="1" applyAlignment="1">
      <alignment wrapText="1"/>
    </xf>
    <xf numFmtId="0" fontId="0" fillId="0" borderId="0" xfId="0" applyBorder="1"/>
    <xf numFmtId="3" fontId="9" fillId="0" borderId="0" xfId="0" applyNumberFormat="1" applyFont="1" applyFill="1" applyBorder="1" applyAlignment="1">
      <alignment vertical="top"/>
    </xf>
    <xf numFmtId="3" fontId="9" fillId="27" borderId="0" xfId="0" applyNumberFormat="1" applyFont="1" applyFill="1" applyBorder="1" applyAlignment="1">
      <alignment vertical="top"/>
    </xf>
    <xf numFmtId="0" fontId="0" fillId="27" borderId="0" xfId="0" applyFill="1" applyBorder="1" applyAlignment="1">
      <alignment vertical="top"/>
    </xf>
    <xf numFmtId="0" fontId="9" fillId="0" borderId="0" xfId="0" applyFont="1" applyFill="1" applyBorder="1" applyAlignment="1">
      <alignment horizontal="left" vertical="top"/>
    </xf>
    <xf numFmtId="0" fontId="9" fillId="27" borderId="0" xfId="0" applyFont="1" applyFill="1" applyBorder="1" applyAlignment="1">
      <alignment horizontal="left" vertical="top"/>
    </xf>
    <xf numFmtId="0" fontId="22" fillId="27" borderId="0" xfId="0" applyFont="1" applyFill="1" applyBorder="1"/>
    <xf numFmtId="3" fontId="0" fillId="0" borderId="0" xfId="0" applyNumberFormat="1" applyBorder="1" applyAlignment="1">
      <alignment wrapText="1"/>
    </xf>
    <xf numFmtId="3" fontId="0" fillId="0" borderId="0" xfId="0" applyNumberFormat="1" applyBorder="1"/>
    <xf numFmtId="1" fontId="22" fillId="27" borderId="0" xfId="0" applyNumberFormat="1" applyFont="1" applyFill="1" applyBorder="1"/>
    <xf numFmtId="0" fontId="0" fillId="27" borderId="0" xfId="0" applyFill="1" applyBorder="1"/>
    <xf numFmtId="0" fontId="57" fillId="27" borderId="18" xfId="0" applyFont="1" applyFill="1" applyBorder="1"/>
    <xf numFmtId="0" fontId="2" fillId="0" borderId="29"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2" xfId="0" applyBorder="1" applyAlignment="1">
      <alignment wrapText="1"/>
    </xf>
    <xf numFmtId="0" fontId="0" fillId="0" borderId="0" xfId="0" applyBorder="1" applyAlignment="1">
      <alignment vertical="top"/>
    </xf>
    <xf numFmtId="0" fontId="0" fillId="0" borderId="0" xfId="0" applyBorder="1" applyAlignment="1">
      <alignment horizontal="center" wrapText="1"/>
    </xf>
    <xf numFmtId="0" fontId="0" fillId="0" borderId="0" xfId="0" applyBorder="1" applyAlignment="1">
      <alignment horizontal="center"/>
    </xf>
    <xf numFmtId="0" fontId="2" fillId="0" borderId="0" xfId="0" applyFont="1" applyBorder="1" applyAlignment="1">
      <alignment horizontal="right" vertical="center" wrapText="1"/>
    </xf>
    <xf numFmtId="0" fontId="35" fillId="0" borderId="0" xfId="0" applyFont="1" applyBorder="1" applyAlignment="1">
      <alignment horizontal="right" wrapText="1"/>
    </xf>
    <xf numFmtId="1" fontId="33" fillId="0" borderId="0" xfId="0" applyNumberFormat="1" applyFont="1" applyBorder="1" applyAlignment="1">
      <alignment vertical="top"/>
    </xf>
    <xf numFmtId="169" fontId="9" fillId="0" borderId="0" xfId="0" applyNumberFormat="1" applyFont="1" applyBorder="1" applyAlignment="1">
      <alignment vertical="top"/>
    </xf>
    <xf numFmtId="0" fontId="22" fillId="0" borderId="0" xfId="0" applyFont="1" applyBorder="1" applyAlignment="1">
      <alignment vertical="top"/>
    </xf>
    <xf numFmtId="0" fontId="35" fillId="0" borderId="0" xfId="0" applyFont="1" applyBorder="1" applyAlignment="1">
      <alignment vertical="top"/>
    </xf>
    <xf numFmtId="1" fontId="35" fillId="0" borderId="0" xfId="0" applyNumberFormat="1" applyFont="1" applyBorder="1" applyAlignment="1">
      <alignment vertical="top"/>
    </xf>
    <xf numFmtId="166" fontId="20" fillId="0" borderId="0" xfId="0" applyNumberFormat="1" applyFont="1" applyBorder="1" applyAlignment="1">
      <alignment vertical="top"/>
    </xf>
    <xf numFmtId="1" fontId="36" fillId="0" borderId="0" xfId="0" applyNumberFormat="1" applyFont="1" applyBorder="1" applyAlignment="1">
      <alignment vertical="top"/>
    </xf>
    <xf numFmtId="1" fontId="9" fillId="0" borderId="0" xfId="0" applyNumberFormat="1" applyFont="1" applyBorder="1" applyAlignment="1">
      <alignment vertical="top"/>
    </xf>
    <xf numFmtId="0" fontId="0" fillId="0" borderId="0" xfId="0" applyBorder="1" applyAlignment="1">
      <alignment horizontal="right" vertical="top"/>
    </xf>
    <xf numFmtId="1" fontId="38" fillId="0" borderId="0" xfId="0" applyNumberFormat="1" applyFont="1" applyBorder="1" applyAlignment="1">
      <alignment vertical="top"/>
    </xf>
    <xf numFmtId="0" fontId="0" fillId="0" borderId="14" xfId="0" applyBorder="1" applyAlignment="1">
      <alignment horizontal="center" wrapText="1"/>
    </xf>
    <xf numFmtId="0" fontId="0" fillId="8" borderId="18" xfId="0" applyFill="1" applyBorder="1" applyAlignment="1">
      <alignment wrapText="1"/>
    </xf>
    <xf numFmtId="166" fontId="37" fillId="0" borderId="20" xfId="0" applyNumberFormat="1" applyFont="1" applyBorder="1" applyAlignment="1">
      <alignment vertical="top"/>
    </xf>
    <xf numFmtId="3" fontId="0" fillId="0" borderId="23" xfId="0" applyNumberFormat="1" applyBorder="1"/>
    <xf numFmtId="1" fontId="0" fillId="27" borderId="0" xfId="4" applyNumberFormat="1" applyFont="1" applyFill="1" applyBorder="1"/>
    <xf numFmtId="166" fontId="0" fillId="27" borderId="0" xfId="4" applyNumberFormat="1" applyFont="1" applyFill="1" applyBorder="1"/>
    <xf numFmtId="0" fontId="0" fillId="27" borderId="0" xfId="0" applyFill="1" applyBorder="1" applyAlignment="1">
      <alignment wrapText="1"/>
    </xf>
    <xf numFmtId="173" fontId="0" fillId="0" borderId="0" xfId="0" applyNumberFormat="1" applyBorder="1"/>
    <xf numFmtId="169" fontId="0" fillId="27" borderId="0" xfId="0" applyNumberFormat="1" applyFill="1" applyBorder="1"/>
    <xf numFmtId="169" fontId="0" fillId="0" borderId="0" xfId="0" applyNumberFormat="1" applyBorder="1"/>
    <xf numFmtId="169" fontId="22" fillId="27" borderId="0" xfId="0" applyNumberFormat="1" applyFont="1" applyFill="1" applyBorder="1"/>
    <xf numFmtId="1" fontId="0" fillId="0" borderId="0" xfId="4" applyNumberFormat="1" applyFont="1" applyBorder="1"/>
    <xf numFmtId="1" fontId="0" fillId="0" borderId="18" xfId="4" applyNumberFormat="1" applyFont="1" applyBorder="1"/>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43" fontId="0" fillId="0" borderId="0" xfId="1" applyNumberFormat="1" applyFont="1" applyBorder="1" applyAlignment="1">
      <alignment horizontal="center" vertical="center"/>
    </xf>
    <xf numFmtId="166" fontId="0" fillId="0" borderId="0" xfId="1" applyNumberFormat="1" applyFont="1" applyBorder="1" applyAlignment="1">
      <alignment horizontal="center" vertical="center"/>
    </xf>
    <xf numFmtId="2" fontId="0" fillId="0" borderId="0" xfId="0" applyNumberFormat="1" applyAlignment="1">
      <alignment horizontal="center"/>
    </xf>
    <xf numFmtId="0" fontId="80" fillId="0" borderId="0" xfId="0" applyFont="1" applyFill="1" applyAlignment="1">
      <alignment wrapText="1"/>
    </xf>
    <xf numFmtId="2" fontId="80" fillId="0" borderId="0" xfId="1" applyNumberFormat="1" applyFont="1" applyFill="1" applyAlignment="1">
      <alignment horizontal="center" vertical="center"/>
    </xf>
    <xf numFmtId="0" fontId="16" fillId="0" borderId="0" xfId="0" applyFont="1"/>
    <xf numFmtId="0" fontId="16" fillId="0" borderId="0" xfId="0" applyFont="1" applyFill="1" applyBorder="1"/>
    <xf numFmtId="1" fontId="54" fillId="27" borderId="18" xfId="0" applyNumberFormat="1" applyFont="1" applyFill="1" applyBorder="1"/>
    <xf numFmtId="166" fontId="22" fillId="27" borderId="0" xfId="0" applyNumberFormat="1" applyFont="1" applyFill="1" applyBorder="1"/>
    <xf numFmtId="166" fontId="54" fillId="27" borderId="0" xfId="0" applyNumberFormat="1" applyFont="1" applyFill="1" applyBorder="1"/>
    <xf numFmtId="0" fontId="7" fillId="6" borderId="0" xfId="3" applyFont="1" applyFill="1" applyAlignment="1">
      <alignment horizontal="center" vertical="center" wrapText="1"/>
    </xf>
    <xf numFmtId="0" fontId="0" fillId="0" borderId="27"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0" fillId="0" borderId="14"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50" fillId="4" borderId="18" xfId="0" applyFont="1" applyFill="1" applyBorder="1" applyAlignment="1">
      <alignment horizontal="center" vertical="center" wrapText="1"/>
    </xf>
    <xf numFmtId="0" fontId="2" fillId="0" borderId="0" xfId="0" applyFont="1" applyAlignment="1">
      <alignment horizontal="left" vertical="center" wrapText="1"/>
    </xf>
    <xf numFmtId="0" fontId="11" fillId="0" borderId="0" xfId="7" applyFont="1" applyAlignment="1">
      <alignment horizontal="left" vertical="top" wrapText="1"/>
    </xf>
    <xf numFmtId="0" fontId="0" fillId="9" borderId="0" xfId="0" applyFill="1" applyAlignment="1">
      <alignment vertical="center" wrapText="1"/>
    </xf>
    <xf numFmtId="0" fontId="26" fillId="0" borderId="0" xfId="0" applyFont="1" applyAlignment="1">
      <alignment horizontal="center" vertical="center" wrapText="1"/>
    </xf>
    <xf numFmtId="0" fontId="0" fillId="9" borderId="1" xfId="0" applyFill="1" applyBorder="1" applyAlignment="1">
      <alignment vertical="center" wrapText="1"/>
    </xf>
    <xf numFmtId="0" fontId="0" fillId="9" borderId="11" xfId="0" applyFill="1" applyBorder="1" applyAlignment="1">
      <alignment vertical="center" wrapText="1"/>
    </xf>
    <xf numFmtId="0" fontId="0" fillId="9" borderId="5" xfId="0" applyFill="1" applyBorder="1" applyAlignment="1">
      <alignment vertical="center" wrapText="1"/>
    </xf>
    <xf numFmtId="0" fontId="44" fillId="0" borderId="0" xfId="0" applyFont="1" applyAlignment="1">
      <alignment horizontal="center" vertical="center" wrapText="1"/>
    </xf>
    <xf numFmtId="0" fontId="14" fillId="0" borderId="0" xfId="0" applyFont="1" applyAlignment="1">
      <alignment horizontal="center" wrapText="1"/>
    </xf>
    <xf numFmtId="0" fontId="2" fillId="0" borderId="0" xfId="0" applyFont="1" applyAlignment="1">
      <alignment horizontal="center" vertical="center" wrapText="1"/>
    </xf>
    <xf numFmtId="0" fontId="13" fillId="18" borderId="0" xfId="0" applyFont="1" applyFill="1" applyAlignment="1">
      <alignment horizontal="center"/>
    </xf>
    <xf numFmtId="0" fontId="66" fillId="0" borderId="0" xfId="0" applyFont="1" applyAlignment="1">
      <alignment horizontal="center" wrapText="1"/>
    </xf>
    <xf numFmtId="0" fontId="0" fillId="0" borderId="0" xfId="0" applyBorder="1" applyAlignment="1">
      <alignment horizontal="right" vertical="center"/>
    </xf>
    <xf numFmtId="0" fontId="3" fillId="0" borderId="14"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0" fontId="0" fillId="0" borderId="0" xfId="0" applyBorder="1" applyAlignment="1">
      <alignment horizontal="center" vertical="center"/>
    </xf>
    <xf numFmtId="0" fontId="2" fillId="0" borderId="0" xfId="0" applyFont="1" applyAlignment="1">
      <alignment horizontal="center"/>
    </xf>
    <xf numFmtId="0" fontId="2" fillId="0" borderId="31" xfId="0" applyFont="1" applyBorder="1" applyAlignment="1">
      <alignment horizontal="center"/>
    </xf>
    <xf numFmtId="0" fontId="2" fillId="0" borderId="0" xfId="0" applyFont="1" applyAlignment="1">
      <alignment horizontal="center" wrapText="1"/>
    </xf>
    <xf numFmtId="165" fontId="69" fillId="4" borderId="24" xfId="1" applyNumberFormat="1" applyFont="1" applyFill="1" applyBorder="1" applyAlignment="1">
      <alignment horizontal="center"/>
    </xf>
    <xf numFmtId="165" fontId="69" fillId="4" borderId="25" xfId="1" applyNumberFormat="1" applyFont="1" applyFill="1" applyBorder="1" applyAlignment="1">
      <alignment horizontal="center"/>
    </xf>
    <xf numFmtId="165" fontId="69" fillId="4" borderId="26" xfId="1" applyNumberFormat="1" applyFont="1" applyFill="1" applyBorder="1" applyAlignment="1">
      <alignment horizontal="center"/>
    </xf>
    <xf numFmtId="0" fontId="26" fillId="4" borderId="27" xfId="0" applyFont="1" applyFill="1" applyBorder="1" applyAlignment="1">
      <alignment horizontal="center" vertical="center" wrapText="1"/>
    </xf>
    <xf numFmtId="0" fontId="26" fillId="4" borderId="29" xfId="0" applyFont="1" applyFill="1" applyBorder="1" applyAlignment="1">
      <alignment horizontal="center" vertical="center" wrapText="1"/>
    </xf>
    <xf numFmtId="0" fontId="26" fillId="4" borderId="28" xfId="0" applyFont="1" applyFill="1" applyBorder="1" applyAlignment="1">
      <alignment horizontal="center" vertical="center" wrapText="1"/>
    </xf>
    <xf numFmtId="0" fontId="3" fillId="0" borderId="0" xfId="1" applyFont="1" applyAlignment="1">
      <alignment horizontal="left" vertical="center" wrapText="1"/>
    </xf>
    <xf numFmtId="165" fontId="69" fillId="0" borderId="27" xfId="1" applyNumberFormat="1" applyFont="1" applyBorder="1" applyAlignment="1">
      <alignment horizontal="left" vertical="center" wrapText="1"/>
    </xf>
    <xf numFmtId="165" fontId="69" fillId="0" borderId="29" xfId="1" applyNumberFormat="1" applyFont="1" applyBorder="1" applyAlignment="1">
      <alignment horizontal="left" vertical="center" wrapText="1"/>
    </xf>
    <xf numFmtId="165" fontId="69" fillId="0" borderId="28" xfId="1" applyNumberFormat="1" applyFont="1" applyBorder="1" applyAlignment="1">
      <alignment horizontal="left" vertical="center" wrapText="1"/>
    </xf>
    <xf numFmtId="0" fontId="26" fillId="4" borderId="27" xfId="1" applyFont="1" applyFill="1" applyBorder="1" applyAlignment="1">
      <alignment horizontal="center" vertical="center" wrapText="1"/>
    </xf>
    <xf numFmtId="0" fontId="26" fillId="4" borderId="29" xfId="1" applyFont="1" applyFill="1" applyBorder="1" applyAlignment="1">
      <alignment horizontal="center" vertical="center" wrapText="1"/>
    </xf>
    <xf numFmtId="0" fontId="26" fillId="4" borderId="28" xfId="1" applyFont="1" applyFill="1" applyBorder="1" applyAlignment="1">
      <alignment horizontal="center" vertical="center" wrapText="1"/>
    </xf>
    <xf numFmtId="0" fontId="69" fillId="4" borderId="24" xfId="0" applyFont="1" applyFill="1" applyBorder="1" applyAlignment="1">
      <alignment horizontal="center" wrapText="1"/>
    </xf>
    <xf numFmtId="0" fontId="69" fillId="4" borderId="25" xfId="0" applyFont="1" applyFill="1" applyBorder="1" applyAlignment="1">
      <alignment horizontal="center" wrapText="1"/>
    </xf>
    <xf numFmtId="0" fontId="69" fillId="4" borderId="26" xfId="0" applyFont="1" applyFill="1" applyBorder="1" applyAlignment="1">
      <alignment horizontal="center" wrapText="1"/>
    </xf>
    <xf numFmtId="0" fontId="2" fillId="0" borderId="48" xfId="1" applyFont="1" applyBorder="1" applyAlignment="1">
      <alignment horizontal="center" vertical="center" wrapText="1"/>
    </xf>
    <xf numFmtId="0" fontId="2" fillId="0" borderId="49" xfId="1" applyFont="1" applyBorder="1" applyAlignment="1">
      <alignment horizontal="center" vertical="center" wrapText="1"/>
    </xf>
    <xf numFmtId="0" fontId="2" fillId="0" borderId="50" xfId="1" applyFont="1" applyBorder="1" applyAlignment="1">
      <alignment horizontal="center" vertical="center" wrapText="1"/>
    </xf>
    <xf numFmtId="0" fontId="2" fillId="0" borderId="0" xfId="1" applyFont="1" applyAlignment="1">
      <alignment horizontal="center" vertical="center" wrapText="1"/>
    </xf>
    <xf numFmtId="0" fontId="26" fillId="0" borderId="27" xfId="1" applyFont="1" applyBorder="1" applyAlignment="1">
      <alignment horizontal="left" vertical="center" wrapText="1"/>
    </xf>
    <xf numFmtId="0" fontId="26" fillId="0" borderId="29" xfId="1" applyFont="1" applyBorder="1" applyAlignment="1">
      <alignment horizontal="left" vertical="center" wrapText="1"/>
    </xf>
    <xf numFmtId="0" fontId="26" fillId="0" borderId="28" xfId="1" applyFont="1" applyBorder="1" applyAlignment="1">
      <alignment horizontal="left" vertical="center" wrapText="1"/>
    </xf>
    <xf numFmtId="165" fontId="70" fillId="0" borderId="24" xfId="1" applyNumberFormat="1" applyFont="1" applyBorder="1" applyAlignment="1">
      <alignment horizontal="left" vertical="center" wrapText="1"/>
    </xf>
    <xf numFmtId="165" fontId="70" fillId="0" borderId="25" xfId="1" applyNumberFormat="1" applyFont="1" applyBorder="1" applyAlignment="1">
      <alignment horizontal="left" vertical="center" wrapText="1"/>
    </xf>
    <xf numFmtId="165" fontId="70" fillId="0" borderId="26" xfId="1" applyNumberFormat="1" applyFont="1" applyBorder="1" applyAlignment="1">
      <alignment horizontal="left" vertical="center" wrapText="1"/>
    </xf>
    <xf numFmtId="0" fontId="10" fillId="4" borderId="20" xfId="1" applyFont="1" applyFill="1" applyBorder="1" applyAlignment="1">
      <alignment horizontal="center" vertical="center" wrapText="1"/>
    </xf>
    <xf numFmtId="0" fontId="62" fillId="0" borderId="27"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28" xfId="0" applyFont="1" applyBorder="1" applyAlignment="1">
      <alignment horizontal="center" vertical="center" wrapText="1"/>
    </xf>
    <xf numFmtId="0" fontId="13" fillId="18" borderId="15" xfId="0" applyFont="1" applyFill="1" applyBorder="1" applyAlignment="1">
      <alignment horizontal="center"/>
    </xf>
    <xf numFmtId="0" fontId="13" fillId="18" borderId="20" xfId="0" applyFont="1" applyFill="1" applyBorder="1" applyAlignment="1">
      <alignment horizontal="center"/>
    </xf>
    <xf numFmtId="0" fontId="8" fillId="0" borderId="15" xfId="1" applyFont="1" applyBorder="1" applyAlignment="1">
      <alignment horizontal="left" vertical="center" wrapText="1"/>
    </xf>
    <xf numFmtId="0" fontId="8" fillId="0" borderId="20" xfId="1" applyFont="1" applyBorder="1" applyAlignment="1">
      <alignment horizontal="left" vertical="center" wrapText="1"/>
    </xf>
    <xf numFmtId="0" fontId="16" fillId="0" borderId="0" xfId="1" applyFont="1" applyAlignment="1">
      <alignment horizontal="left" vertical="top" wrapText="1"/>
    </xf>
    <xf numFmtId="0" fontId="50" fillId="4" borderId="0" xfId="0" applyFont="1" applyFill="1" applyAlignment="1">
      <alignment horizontal="center" wrapText="1"/>
    </xf>
    <xf numFmtId="0" fontId="0" fillId="0" borderId="0" xfId="0" applyAlignment="1">
      <alignment horizontal="center"/>
    </xf>
    <xf numFmtId="0" fontId="0" fillId="16" borderId="0" xfId="0" applyFill="1" applyAlignment="1">
      <alignment horizontal="center"/>
    </xf>
    <xf numFmtId="0" fontId="1" fillId="0" borderId="0" xfId="1" applyAlignment="1">
      <alignment horizontal="center"/>
    </xf>
    <xf numFmtId="0" fontId="14" fillId="0" borderId="1" xfId="1" applyFont="1" applyBorder="1" applyAlignment="1">
      <alignment horizontal="center" vertical="center" wrapText="1"/>
    </xf>
    <xf numFmtId="0" fontId="2" fillId="0" borderId="8" xfId="1" applyFont="1" applyBorder="1" applyAlignment="1">
      <alignment vertical="center" wrapText="1"/>
    </xf>
    <xf numFmtId="0" fontId="2" fillId="0" borderId="7" xfId="1" applyFont="1" applyBorder="1" applyAlignment="1">
      <alignment vertical="center" wrapText="1"/>
    </xf>
    <xf numFmtId="0" fontId="1" fillId="0" borderId="7" xfId="1" applyBorder="1" applyAlignment="1">
      <alignment wrapText="1"/>
    </xf>
    <xf numFmtId="0" fontId="1" fillId="0" borderId="9" xfId="1" applyBorder="1" applyAlignment="1">
      <alignment wrapText="1"/>
    </xf>
    <xf numFmtId="0" fontId="15" fillId="0" borderId="8" xfId="1" applyFont="1" applyBorder="1" applyAlignment="1">
      <alignment horizontal="center" vertical="center" wrapText="1"/>
    </xf>
    <xf numFmtId="0" fontId="15" fillId="0" borderId="7" xfId="1" applyFont="1" applyBorder="1" applyAlignment="1">
      <alignment horizontal="center" vertical="center" wrapText="1"/>
    </xf>
    <xf numFmtId="0" fontId="16" fillId="0" borderId="0" xfId="1" applyFont="1" applyAlignment="1">
      <alignment horizontal="center"/>
    </xf>
    <xf numFmtId="0" fontId="2" fillId="0" borderId="0" xfId="0" applyFont="1" applyAlignment="1">
      <alignment horizontal="left" wrapText="1"/>
    </xf>
    <xf numFmtId="0" fontId="39" fillId="0" borderId="0" xfId="0" applyFont="1" applyAlignment="1">
      <alignment horizontal="center"/>
    </xf>
    <xf numFmtId="0" fontId="29" fillId="0" borderId="0" xfId="0" applyFont="1" applyAlignment="1">
      <alignment horizontal="center" vertical="center" wrapText="1"/>
    </xf>
    <xf numFmtId="0" fontId="5" fillId="0" borderId="0" xfId="0" applyFont="1" applyAlignment="1">
      <alignment horizontal="center" wrapText="1"/>
    </xf>
    <xf numFmtId="0" fontId="2" fillId="0" borderId="41" xfId="0" applyFont="1" applyBorder="1" applyAlignment="1">
      <alignment wrapText="1"/>
    </xf>
    <xf numFmtId="0" fontId="2" fillId="0" borderId="42" xfId="0" applyFont="1" applyBorder="1" applyAlignment="1">
      <alignment wrapText="1"/>
    </xf>
    <xf numFmtId="0" fontId="41" fillId="0" borderId="0" xfId="0" applyFont="1" applyAlignment="1">
      <alignment horizontal="center" vertical="top" wrapText="1"/>
    </xf>
  </cellXfs>
  <cellStyles count="11">
    <cellStyle name="Comma" xfId="4" builtinId="3"/>
    <cellStyle name="Comma 2" xfId="2" xr:uid="{F31C87CC-62CC-45F9-8253-960CDFD31554}"/>
    <cellStyle name="Comma 3" xfId="8" xr:uid="{793BAEC7-7D05-4E03-B917-0CD4566425ED}"/>
    <cellStyle name="Hyperlink" xfId="6" builtinId="8"/>
    <cellStyle name="Hyperlink 2" xfId="9" xr:uid="{3A8C0ED0-F20F-4FED-B3CD-1FD485BB28C3}"/>
    <cellStyle name="Normal" xfId="0" builtinId="0"/>
    <cellStyle name="Normal 2" xfId="1" xr:uid="{047748C9-3266-4D9B-BBB2-FE47BEBFE296}"/>
    <cellStyle name="Normal 2 2" xfId="3" xr:uid="{B9B65194-2281-4F65-B25F-3D806511FB84}"/>
    <cellStyle name="Normal 3" xfId="7" xr:uid="{7F531934-4625-44FC-906F-AFDCF4DFCC23}"/>
    <cellStyle name="Normal 4" xfId="10" xr:uid="{02CA17CB-176D-4C34-883C-99239CD62ADE}"/>
    <cellStyle name="Percent" xfId="5" builtinId="5"/>
  </cellStyles>
  <dxfs count="1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'Initiation Data'!$A$5</c:f>
              <c:strCache>
                <c:ptCount val="1"/>
                <c:pt idx="0">
                  <c:v>Total heroin initiation SAMHSA</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'Initiation Data'!$B$1:$V$1</c15:sqref>
                  </c15:fullRef>
                </c:ext>
              </c:extLst>
              <c:f>'Initiation Data'!$E$1:$U$1</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strCache>
            </c:strRef>
          </c:cat>
          <c:val>
            <c:numRef>
              <c:extLst>
                <c:ext xmlns:c15="http://schemas.microsoft.com/office/drawing/2012/chart" uri="{02D57815-91ED-43cb-92C2-25804820EDAC}">
                  <c15:fullRef>
                    <c15:sqref>'Initiation Data'!$B$5:$V$5</c15:sqref>
                  </c15:fullRef>
                </c:ext>
              </c:extLst>
              <c:f>'Initiation Data'!$E$5:$U$5</c:f>
              <c:numCache>
                <c:formatCode>_(* #,##0_);_(* \(#,##0\);_(* "-"??_);_(@_)</c:formatCode>
                <c:ptCount val="17"/>
                <c:pt idx="0">
                  <c:v>117000</c:v>
                </c:pt>
                <c:pt idx="1">
                  <c:v>92000</c:v>
                </c:pt>
                <c:pt idx="2">
                  <c:v>118000</c:v>
                </c:pt>
                <c:pt idx="3">
                  <c:v>108000</c:v>
                </c:pt>
                <c:pt idx="4">
                  <c:v>90000</c:v>
                </c:pt>
                <c:pt idx="5">
                  <c:v>106000</c:v>
                </c:pt>
                <c:pt idx="6">
                  <c:v>116000</c:v>
                </c:pt>
                <c:pt idx="7">
                  <c:v>187000</c:v>
                </c:pt>
                <c:pt idx="8">
                  <c:v>142000</c:v>
                </c:pt>
                <c:pt idx="9">
                  <c:v>178000</c:v>
                </c:pt>
                <c:pt idx="10">
                  <c:v>156000</c:v>
                </c:pt>
                <c:pt idx="11">
                  <c:v>169000</c:v>
                </c:pt>
                <c:pt idx="12">
                  <c:v>212000</c:v>
                </c:pt>
                <c:pt idx="13">
                  <c:v>135000</c:v>
                </c:pt>
                <c:pt idx="14">
                  <c:v>170000</c:v>
                </c:pt>
                <c:pt idx="15">
                  <c:v>81000</c:v>
                </c:pt>
                <c:pt idx="16">
                  <c:v>117000</c:v>
                </c:pt>
              </c:numCache>
            </c:numRef>
          </c:val>
          <c:smooth val="0"/>
          <c:extLst>
            <c:ext xmlns:c16="http://schemas.microsoft.com/office/drawing/2014/chart" uri="{C3380CC4-5D6E-409C-BE32-E72D297353CC}">
              <c16:uniqueId val="{00000000-356E-4DCB-BB0C-E59EDC016016}"/>
            </c:ext>
          </c:extLst>
        </c:ser>
        <c:dLbls>
          <c:showLegendKey val="0"/>
          <c:showVal val="0"/>
          <c:showCatName val="0"/>
          <c:showSerName val="0"/>
          <c:showPercent val="0"/>
          <c:showBubbleSize val="0"/>
        </c:dLbls>
        <c:smooth val="0"/>
        <c:axId val="1854609615"/>
        <c:axId val="2042175215"/>
      </c:lineChart>
      <c:catAx>
        <c:axId val="185460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75215"/>
        <c:crosses val="autoZero"/>
        <c:auto val="1"/>
        <c:lblAlgn val="ctr"/>
        <c:lblOffset val="100"/>
        <c:noMultiLvlLbl val="0"/>
      </c:catAx>
      <c:valAx>
        <c:axId val="204217521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2020'!$A$63</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2020'!$B$62:$W$62</c15:sqref>
                  </c15:fullRef>
                </c:ext>
              </c:extLst>
              <c:f>'Projections using 2020'!$T$62:$W$62</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2020'!$B$63:$W$63</c15:sqref>
                  </c15:fullRef>
                </c:ext>
              </c:extLst>
              <c:f>'Projections using 2020'!$T$63:$W$63</c:f>
              <c:numCache>
                <c:formatCode>#,##0</c:formatCode>
                <c:ptCount val="4"/>
                <c:pt idx="0">
                  <c:v>170285611746</c:v>
                </c:pt>
                <c:pt idx="1">
                  <c:v>141100706124</c:v>
                </c:pt>
                <c:pt idx="2">
                  <c:v>120407890118</c:v>
                </c:pt>
                <c:pt idx="3">
                  <c:v>110314545203</c:v>
                </c:pt>
              </c:numCache>
            </c:numRef>
          </c:val>
          <c:smooth val="0"/>
          <c:extLst>
            <c:ext xmlns:c16="http://schemas.microsoft.com/office/drawing/2014/chart" uri="{C3380CC4-5D6E-409C-BE32-E72D297353CC}">
              <c16:uniqueId val="{00000001-34A3-4124-8662-58510D70A77D}"/>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2020'!$A$70</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2020'!$B$69:$W$69</c15:sqref>
                  </c15:fullRef>
                </c:ext>
              </c:extLst>
              <c:f>'Projections using 2020'!$V$69:$W$69</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2020'!$B$70:$W$70</c15:sqref>
                  </c15:fullRef>
                </c:ext>
              </c:extLst>
              <c:f>'Projections using 2020'!$V$70:$W$70</c:f>
              <c:numCache>
                <c:formatCode>General</c:formatCode>
                <c:ptCount val="2"/>
                <c:pt idx="0" formatCode="0.00000">
                  <c:v>5.5745186078936089E-2</c:v>
                </c:pt>
                <c:pt idx="1" formatCode="0.00000">
                  <c:v>4.9272336100354815E-2</c:v>
                </c:pt>
              </c:numCache>
            </c:numRef>
          </c:val>
          <c:smooth val="0"/>
          <c:extLst>
            <c:ext xmlns:c16="http://schemas.microsoft.com/office/drawing/2014/chart" uri="{C3380CC4-5D6E-409C-BE32-E72D297353CC}">
              <c16:uniqueId val="{00000001-62F8-4FD7-8549-E2E734D802E7}"/>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2020'!$A$77</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2020'!$B$76:$W$76</c15:sqref>
                  </c15:fullRef>
                </c:ext>
              </c:extLst>
              <c:f>'Projections using 2020'!$V$76:$W$76</c:f>
              <c:numCache>
                <c:formatCode>0</c:formatCode>
                <c:ptCount val="2"/>
                <c:pt idx="0" formatCode="General">
                  <c:v>2019</c:v>
                </c:pt>
                <c:pt idx="1" formatCode="General">
                  <c:v>2020</c:v>
                </c:pt>
              </c:numCache>
            </c:numRef>
          </c:cat>
          <c:val>
            <c:numRef>
              <c:extLst>
                <c:ext xmlns:c15="http://schemas.microsoft.com/office/drawing/2012/chart" uri="{02D57815-91ED-43cb-92C2-25804820EDAC}">
                  <c15:fullRef>
                    <c15:sqref>'Projections using 2020'!$B$77:$W$77</c15:sqref>
                  </c15:fullRef>
                </c:ext>
              </c:extLst>
              <c:f>'Projections using 2020'!$V$77:$W$77</c:f>
              <c:numCache>
                <c:formatCode>General</c:formatCode>
                <c:ptCount val="2"/>
                <c:pt idx="0" formatCode="0.0000">
                  <c:v>0.47271690770965785</c:v>
                </c:pt>
                <c:pt idx="1" formatCode="0.0000">
                  <c:v>0.53636894162713789</c:v>
                </c:pt>
              </c:numCache>
            </c:numRef>
          </c:val>
          <c:smooth val="0"/>
          <c:extLst>
            <c:ext xmlns:c16="http://schemas.microsoft.com/office/drawing/2014/chart" uri="{C3380CC4-5D6E-409C-BE32-E72D297353CC}">
              <c16:uniqueId val="{00000001-17D7-4C70-B20B-A393070D713A}"/>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2020'!$A$19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2020'!$B$18:$V$18</c15:sqref>
                  </c15:fullRef>
                </c:ext>
              </c:extLst>
              <c:f>'Projections using 2020'!$T$18:$V$18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2020'!$B$19:$V$19</c15:sqref>
                  </c15:fullRef>
                </c:ext>
              </c:extLst>
              <c:f>'Projections using 2020'!$T$19:$V$19</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2-3E15-464E-9CA5-EFD9370B8CA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2020'!$B$11:$AH$11</c15:sqref>
                  </c15:fullRef>
                </c:ext>
              </c:extLst>
              <c:f>'Projections using 2020'!$S$11:$AH$11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2020'!$B$12:$V$12</c15:sqref>
                  </c15:fullRef>
                </c:ext>
              </c:extLst>
              <c:f>'Projections using 2020'!$S$12:$V$12</c:f>
              <c:numCache>
                <c:formatCode>#,##0</c:formatCode>
                <c:ptCount val="4"/>
                <c:pt idx="0" formatCode="0">
                  <c:v>345443</c:v>
                </c:pt>
                <c:pt idx="1" formatCode="0">
                  <c:v>382867</c:v>
                </c:pt>
                <c:pt idx="2" formatCode="0">
                  <c:v>395708.5</c:v>
                </c:pt>
                <c:pt idx="3" formatCode="0">
                  <c:v>408550</c:v>
                </c:pt>
              </c:numCache>
            </c:numRef>
          </c:val>
          <c:smooth val="0"/>
          <c:extLst>
            <c:ext xmlns:c16="http://schemas.microsoft.com/office/drawing/2014/chart" uri="{C3380CC4-5D6E-409C-BE32-E72D297353CC}">
              <c16:uniqueId val="{00000002-5E6F-4A29-A77B-448932C3962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2019'!$A$6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2019'!$B$5:$AH$5</c15:sqref>
                  </c15:fullRef>
                </c:ext>
              </c:extLst>
              <c:f>('Projections using 2019'!$T$5:$V$5,'Projections using 2019'!$X$5:$AH$5)</c:f>
              <c:numCache>
                <c:formatCode>0</c:formatCode>
                <c:ptCount val="14"/>
                <c:pt idx="0">
                  <c:v>2017</c:v>
                </c:pt>
                <c:pt idx="1">
                  <c:v>2018</c:v>
                </c:pt>
                <c:pt idx="2">
                  <c:v>2019</c:v>
                </c:pt>
                <c:pt idx="3">
                  <c:v>2021</c:v>
                </c:pt>
                <c:pt idx="4">
                  <c:v>2022</c:v>
                </c:pt>
                <c:pt idx="5">
                  <c:v>2023</c:v>
                </c:pt>
                <c:pt idx="6">
                  <c:v>2024</c:v>
                </c:pt>
                <c:pt idx="7">
                  <c:v>2025</c:v>
                </c:pt>
                <c:pt idx="8">
                  <c:v>2026</c:v>
                </c:pt>
                <c:pt idx="9">
                  <c:v>2027</c:v>
                </c:pt>
                <c:pt idx="10">
                  <c:v>2028</c:v>
                </c:pt>
                <c:pt idx="11">
                  <c:v>2029</c:v>
                </c:pt>
                <c:pt idx="12">
                  <c:v>2030</c:v>
                </c:pt>
                <c:pt idx="13">
                  <c:v>2031</c:v>
                </c:pt>
              </c:numCache>
            </c:numRef>
          </c:cat>
          <c:val>
            <c:numRef>
              <c:extLst>
                <c:ext xmlns:c15="http://schemas.microsoft.com/office/drawing/2012/chart" uri="{02D57815-91ED-43cb-92C2-25804820EDAC}">
                  <c15:fullRef>
                    <c15:sqref>'Projections using 2019'!$B$6:$W$6</c15:sqref>
                  </c15:fullRef>
                </c:ext>
              </c:extLst>
              <c:f>'Projections using 2019'!$T$6:$V$6</c:f>
              <c:numCache>
                <c:formatCode>General</c:formatCode>
                <c:ptCount val="3"/>
                <c:pt idx="0" formatCode="0">
                  <c:v>42037</c:v>
                </c:pt>
                <c:pt idx="1" formatCode="0">
                  <c:v>57426.5</c:v>
                </c:pt>
                <c:pt idx="2" formatCode="0">
                  <c:v>66800</c:v>
                </c:pt>
              </c:numCache>
            </c:numRef>
          </c:val>
          <c:smooth val="0"/>
          <c:extLst>
            <c:ext xmlns:c16="http://schemas.microsoft.com/office/drawing/2014/chart" uri="{C3380CC4-5D6E-409C-BE32-E72D297353CC}">
              <c16:uniqueId val="{00000001-F596-417C-95B8-5BE33B510296}"/>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2019'!$B$26:$V$26</c15:sqref>
                  </c15:fullRef>
                </c:ext>
              </c:extLst>
              <c:f>'Projections using 2019'!$T$26:$V$26</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2019'!$B$27:$V$27</c15:sqref>
                  </c15:fullRef>
                </c:ext>
              </c:extLst>
              <c:f>'Projections using 2019'!$T$27:$V$27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E244-4F61-B21A-0626921856BC}"/>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2019'!$B$34:$W$34</c15:sqref>
                  </c15:fullRef>
                </c:ext>
              </c:extLst>
              <c:f>'Projections using 2019'!$T$34:$V$34</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2019'!$B$35:$W$35</c15:sqref>
                  </c15:fullRef>
                </c:ext>
              </c:extLst>
              <c:f>'Projections using 2019'!$T$35:$V$35</c:f>
              <c:numCache>
                <c:formatCode>0</c:formatCode>
                <c:ptCount val="3"/>
                <c:pt idx="0">
                  <c:v>916335.75439076754</c:v>
                </c:pt>
                <c:pt idx="1">
                  <c:v>1500485.9526574665</c:v>
                </c:pt>
                <c:pt idx="2">
                  <c:v>1931149</c:v>
                </c:pt>
              </c:numCache>
            </c:numRef>
          </c:val>
          <c:smooth val="0"/>
          <c:extLst>
            <c:ext xmlns:c16="http://schemas.microsoft.com/office/drawing/2014/chart" uri="{C3380CC4-5D6E-409C-BE32-E72D297353CC}">
              <c16:uniqueId val="{00000001-138F-43EC-BDB0-419FB102E68E}"/>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2019'!$A$42</c:f>
              <c:strCache>
                <c:ptCount val="1"/>
                <c:pt idx="0">
                  <c:v>Patients receiving opioid prescription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2019'!$B$41:$V$41</c15:sqref>
                  </c15:fullRef>
                </c:ext>
              </c:extLst>
              <c:f>'Projections using 2019'!$U$41:$V$41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2019'!$B$42:$V$42</c15:sqref>
                  </c15:fullRef>
                </c:ext>
              </c:extLst>
              <c:f>'Projections using 2019'!$U$42:$V$42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2EE2-4313-8292-5D1BC6A0BD47}"/>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2019'!$A$49</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2019'!$B$48:$W$48</c15:sqref>
                  </c15:fullRef>
                </c:ext>
              </c:extLst>
              <c:f>'Projections using 2019'!$T$48:$V$48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2019'!$B$49:$W$49</c15:sqref>
                  </c15:fullRef>
                </c:ext>
              </c:extLst>
              <c:f>'Projections using 2019'!$T$49:$V$49</c:f>
              <c:numCache>
                <c:formatCode>#,##0</c:formatCode>
                <c:ptCount val="3"/>
                <c:pt idx="0">
                  <c:v>193782638</c:v>
                </c:pt>
                <c:pt idx="1">
                  <c:v>169863949</c:v>
                </c:pt>
                <c:pt idx="2" formatCode="0">
                  <c:v>154658303</c:v>
                </c:pt>
              </c:numCache>
            </c:numRef>
          </c:val>
          <c:smooth val="0"/>
          <c:extLst>
            <c:ext xmlns:c16="http://schemas.microsoft.com/office/drawing/2014/chart" uri="{C3380CC4-5D6E-409C-BE32-E72D297353CC}">
              <c16:uniqueId val="{00000001-4EBA-4969-9934-83B79D5A6460}"/>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'RAND Adjusted Estimates'!$A$7</c:f>
              <c:strCache>
                <c:ptCount val="1"/>
                <c:pt idx="0">
                  <c:v>Initiating NDHU no Rx NSDUH RDAS RAND</c:v>
                </c:pt>
              </c:strCache>
            </c:strRef>
          </c:tx>
          <c:spPr>
            <a:solidFill>
              <a:schemeClr val="accent1"/>
            </a:solidFill>
            <a:ln>
              <a:noFill/>
            </a:ln>
            <a:effectLst/>
          </c:spPr>
          <c:invertIfNegative val="0"/>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Estimates'!$B$7:$V$7</c:f>
              <c:numCache>
                <c:formatCode>_(* #,##0_);_(* \(#,##0\);_(* "-"??_);_(@_)</c:formatCode>
                <c:ptCount val="21"/>
                <c:pt idx="0">
                  <c:v>110372.78706057713</c:v>
                </c:pt>
                <c:pt idx="1">
                  <c:v>120985.55504717109</c:v>
                </c:pt>
                <c:pt idx="2">
                  <c:v>163436.6269935469</c:v>
                </c:pt>
                <c:pt idx="3">
                  <c:v>124169.38544314927</c:v>
                </c:pt>
                <c:pt idx="4">
                  <c:v>97637.465476664394</c:v>
                </c:pt>
                <c:pt idx="5">
                  <c:v>137094.61971734843</c:v>
                </c:pt>
                <c:pt idx="6">
                  <c:v>125476.43160570874</c:v>
                </c:pt>
                <c:pt idx="7">
                  <c:v>69505.895058555849</c:v>
                </c:pt>
                <c:pt idx="8">
                  <c:v>81862.498624521337</c:v>
                </c:pt>
                <c:pt idx="9">
                  <c:v>97548.520373538646</c:v>
                </c:pt>
                <c:pt idx="10">
                  <c:v>157254.942326308</c:v>
                </c:pt>
                <c:pt idx="11">
                  <c:v>93982.33085158137</c:v>
                </c:pt>
                <c:pt idx="12">
                  <c:v>117808.83726465833</c:v>
                </c:pt>
                <c:pt idx="13">
                  <c:v>75452.036728527746</c:v>
                </c:pt>
                <c:pt idx="14">
                  <c:v>81739.706455905063</c:v>
                </c:pt>
                <c:pt idx="15">
                  <c:v>166014.21700923622</c:v>
                </c:pt>
                <c:pt idx="16">
                  <c:v>105716.60045399478</c:v>
                </c:pt>
                <c:pt idx="17">
                  <c:v>133124.60797910453</c:v>
                </c:pt>
                <c:pt idx="18">
                  <c:v>49840.812554183962</c:v>
                </c:pt>
                <c:pt idx="19">
                  <c:v>104900.52282816195</c:v>
                </c:pt>
                <c:pt idx="20">
                  <c:v>67300.479914986048</c:v>
                </c:pt>
              </c:numCache>
            </c:numRef>
          </c:val>
          <c:extLst>
            <c:ext xmlns:c16="http://schemas.microsoft.com/office/drawing/2014/chart" uri="{C3380CC4-5D6E-409C-BE32-E72D297353CC}">
              <c16:uniqueId val="{00000000-B41A-4CCB-929A-FC1ADD984429}"/>
            </c:ext>
          </c:extLst>
        </c:ser>
        <c:dLbls>
          <c:showLegendKey val="0"/>
          <c:showVal val="0"/>
          <c:showCatName val="0"/>
          <c:showSerName val="0"/>
          <c:showPercent val="0"/>
          <c:showBubbleSize val="0"/>
        </c:dLbls>
        <c:gapWidth val="150"/>
        <c:axId val="1854603615"/>
        <c:axId val="967457855"/>
      </c:barChart>
      <c:lineChart>
        <c:grouping val="standard"/>
        <c:varyColors val="0"/>
        <c:ser>
          <c:idx val="1"/>
          <c:order val="1"/>
          <c:tx>
            <c:strRef>
              <c:f>'RAND Adjusted Estimates'!$A$10</c:f>
              <c:strCache>
                <c:ptCount val="1"/>
                <c:pt idx="0">
                  <c:v>NDHU without PY Rx</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Estimates'!$B$10:$V$10</c:f>
              <c:numCache>
                <c:formatCode>_(* #,##0_);_(* \(#,##0\);_(* "-"??_);_(@_)</c:formatCode>
                <c:ptCount val="21"/>
                <c:pt idx="0">
                  <c:v>203471.34945174772</c:v>
                </c:pt>
                <c:pt idx="1">
                  <c:v>235882.91814930629</c:v>
                </c:pt>
                <c:pt idx="2">
                  <c:v>370777.5689002907</c:v>
                </c:pt>
                <c:pt idx="3">
                  <c:v>206709.30911525059</c:v>
                </c:pt>
                <c:pt idx="4">
                  <c:v>222297.1001564058</c:v>
                </c:pt>
                <c:pt idx="5">
                  <c:v>245160.03461895388</c:v>
                </c:pt>
                <c:pt idx="6">
                  <c:v>232549.15532023259</c:v>
                </c:pt>
                <c:pt idx="7">
                  <c:v>263712.12336973607</c:v>
                </c:pt>
                <c:pt idx="8">
                  <c:v>90562.448537304415</c:v>
                </c:pt>
                <c:pt idx="9">
                  <c:v>255046.28283137991</c:v>
                </c:pt>
                <c:pt idx="10">
                  <c:v>219061.60074142998</c:v>
                </c:pt>
                <c:pt idx="11">
                  <c:v>241785.78084310205</c:v>
                </c:pt>
                <c:pt idx="12">
                  <c:v>224964.96809507007</c:v>
                </c:pt>
                <c:pt idx="13">
                  <c:v>216879.37306583233</c:v>
                </c:pt>
                <c:pt idx="14">
                  <c:v>150214.20968124378</c:v>
                </c:pt>
                <c:pt idx="15">
                  <c:v>481862.36024086591</c:v>
                </c:pt>
                <c:pt idx="16">
                  <c:v>237181.65886857503</c:v>
                </c:pt>
                <c:pt idx="17">
                  <c:v>565496.55125896784</c:v>
                </c:pt>
                <c:pt idx="18">
                  <c:v>389546.56114339916</c:v>
                </c:pt>
                <c:pt idx="19">
                  <c:v>499130.97115354356</c:v>
                </c:pt>
                <c:pt idx="20">
                  <c:v>636746.91556887294</c:v>
                </c:pt>
              </c:numCache>
            </c:numRef>
          </c:val>
          <c:smooth val="0"/>
          <c:extLst>
            <c:ext xmlns:c16="http://schemas.microsoft.com/office/drawing/2014/chart" uri="{C3380CC4-5D6E-409C-BE32-E72D297353CC}">
              <c16:uniqueId val="{00000001-B41A-4CCB-929A-FC1ADD984429}"/>
            </c:ext>
          </c:extLst>
        </c:ser>
        <c:dLbls>
          <c:showLegendKey val="0"/>
          <c:showVal val="0"/>
          <c:showCatName val="0"/>
          <c:showSerName val="0"/>
          <c:showPercent val="0"/>
          <c:showBubbleSize val="0"/>
        </c:dLbls>
        <c:marker val="1"/>
        <c:smooth val="0"/>
        <c:axId val="617919295"/>
        <c:axId val="846588399"/>
      </c:lineChart>
      <c:catAx>
        <c:axId val="61791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8399"/>
        <c:crosses val="autoZero"/>
        <c:auto val="1"/>
        <c:lblAlgn val="ctr"/>
        <c:lblOffset val="100"/>
        <c:noMultiLvlLbl val="0"/>
      </c:catAx>
      <c:valAx>
        <c:axId val="84658839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919295"/>
        <c:crosses val="autoZero"/>
        <c:crossBetween val="between"/>
      </c:valAx>
      <c:valAx>
        <c:axId val="96745785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603615"/>
        <c:crosses val="max"/>
        <c:crossBetween val="between"/>
      </c:valAx>
      <c:catAx>
        <c:axId val="1854603615"/>
        <c:scaling>
          <c:orientation val="minMax"/>
        </c:scaling>
        <c:delete val="1"/>
        <c:axPos val="b"/>
        <c:numFmt formatCode="General" sourceLinked="1"/>
        <c:majorTickMark val="out"/>
        <c:minorTickMark val="none"/>
        <c:tickLblPos val="nextTo"/>
        <c:crossAx val="9674578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55768382371958"/>
          <c:y val="1.8649409023207292E-2"/>
          <c:w val="0.86344231617628042"/>
          <c:h val="0.88388253131472516"/>
        </c:manualLayout>
      </c:layout>
      <c:lineChart>
        <c:grouping val="standard"/>
        <c:varyColors val="0"/>
        <c:ser>
          <c:idx val="0"/>
          <c:order val="0"/>
          <c:tx>
            <c:strRef>
              <c:f>'Projections using 2019'!$A$58</c:f>
              <c:strCache>
                <c:ptCount val="1"/>
                <c:pt idx="0">
                  <c:v>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4"/>
            <c:dispRSqr val="1"/>
            <c:dispEq val="1"/>
            <c:trendlineLbl>
              <c:layout>
                <c:manualLayout>
                  <c:x val="2.8110046976241116E-4"/>
                  <c:y val="3.6018448257171862E-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2019'!$B$57:$W$57</c15:sqref>
                  </c15:fullRef>
                </c:ext>
              </c:extLst>
              <c:f>'Projections using 2019'!$T$57:$V$57</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2019'!$B$58:$W$58</c15:sqref>
                  </c15:fullRef>
                </c:ext>
              </c:extLst>
              <c:f>'Projections using 2019'!$T$58:$V$58</c:f>
              <c:numCache>
                <c:formatCode>#,##0</c:formatCode>
                <c:ptCount val="3"/>
                <c:pt idx="0">
                  <c:v>170285611746</c:v>
                </c:pt>
                <c:pt idx="1">
                  <c:v>141100706124</c:v>
                </c:pt>
                <c:pt idx="2">
                  <c:v>120407890118</c:v>
                </c:pt>
              </c:numCache>
            </c:numRef>
          </c:val>
          <c:smooth val="0"/>
          <c:extLst>
            <c:ext xmlns:c16="http://schemas.microsoft.com/office/drawing/2014/chart" uri="{C3380CC4-5D6E-409C-BE32-E72D297353CC}">
              <c16:uniqueId val="{00000001-D18A-465C-B176-E1D99AC406E1}"/>
            </c:ext>
          </c:extLst>
        </c:ser>
        <c:dLbls>
          <c:showLegendKey val="0"/>
          <c:showVal val="0"/>
          <c:showCatName val="0"/>
          <c:showSerName val="0"/>
          <c:showPercent val="0"/>
          <c:showBubbleSize val="0"/>
        </c:dLbls>
        <c:smooth val="0"/>
        <c:axId val="1471413727"/>
        <c:axId val="1510205151"/>
      </c:lineChart>
      <c:catAx>
        <c:axId val="147141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5151"/>
        <c:crosses val="autoZero"/>
        <c:auto val="1"/>
        <c:lblAlgn val="ctr"/>
        <c:lblOffset val="100"/>
        <c:noMultiLvlLbl val="0"/>
      </c:catAx>
      <c:valAx>
        <c:axId val="1510205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2019'!$A$65</c:f>
              <c:strCache>
                <c:ptCount val="1"/>
                <c:pt idx="0">
                  <c:v>ADF % of prescribed MMEs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3"/>
            <c:dispRSqr val="1"/>
            <c:dispEq val="1"/>
            <c:trendlineLbl>
              <c:layout>
                <c:manualLayout>
                  <c:x val="-2.6857891378686147E-2"/>
                  <c:y val="-0.12857229560692207"/>
                </c:manualLayout>
              </c:layout>
              <c:numFmt formatCode="#,##0.00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2019'!$B$64:$W$64</c15:sqref>
                  </c15:fullRef>
                </c:ext>
              </c:extLst>
              <c:f>'Projections using 2019'!$U$64:$V$64</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2019'!$B$65:$W$65</c15:sqref>
                  </c15:fullRef>
                </c:ext>
              </c:extLst>
              <c:f>'Projections using 2019'!$U$65:$V$65</c:f>
              <c:numCache>
                <c:formatCode>General</c:formatCode>
                <c:ptCount val="2"/>
                <c:pt idx="0" formatCode="0.00000">
                  <c:v>6.2178924571006849E-2</c:v>
                </c:pt>
                <c:pt idx="1" formatCode="0.00000">
                  <c:v>5.5745186078936089E-2</c:v>
                </c:pt>
              </c:numCache>
            </c:numRef>
          </c:val>
          <c:smooth val="0"/>
          <c:extLst>
            <c:ext xmlns:c16="http://schemas.microsoft.com/office/drawing/2014/chart" uri="{C3380CC4-5D6E-409C-BE32-E72D297353CC}">
              <c16:uniqueId val="{00000001-7ACA-48C3-9755-6009EE936243}"/>
            </c:ext>
          </c:extLst>
        </c:ser>
        <c:dLbls>
          <c:showLegendKey val="0"/>
          <c:showVal val="0"/>
          <c:showCatName val="0"/>
          <c:showSerName val="0"/>
          <c:showPercent val="0"/>
          <c:showBubbleSize val="0"/>
        </c:dLbls>
        <c:smooth val="0"/>
        <c:axId val="1452903071"/>
        <c:axId val="1312094127"/>
      </c:lineChart>
      <c:catAx>
        <c:axId val="145290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4127"/>
        <c:crosses val="autoZero"/>
        <c:auto val="1"/>
        <c:lblAlgn val="ctr"/>
        <c:lblOffset val="100"/>
        <c:noMultiLvlLbl val="0"/>
      </c:catAx>
      <c:valAx>
        <c:axId val="13120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0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Synthetics as fraction</a:t>
            </a:r>
            <a:r>
              <a:rPr lang="en-US" baseline="0"/>
              <a:t> of illicit/powder market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2019'!$A$72</c:f>
              <c:strCache>
                <c:ptCount val="1"/>
                <c:pt idx="0">
                  <c:v>Fentanyl penetration curve NFLIS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2.8716441524288287E-3"/>
                  <c:y val="0.20426824826254097"/>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2019'!$B$71:$W$71</c15:sqref>
                  </c15:fullRef>
                </c:ext>
              </c:extLst>
              <c:f>'Projections using 2019'!$S$71:$V$71</c:f>
              <c:numCache>
                <c:formatCode>0</c:formatCode>
                <c:ptCount val="4"/>
                <c:pt idx="0" formatCode="General">
                  <c:v>2016</c:v>
                </c:pt>
                <c:pt idx="1" formatCode="General">
                  <c:v>2017</c:v>
                </c:pt>
                <c:pt idx="2" formatCode="General">
                  <c:v>2018</c:v>
                </c:pt>
                <c:pt idx="3" formatCode="General">
                  <c:v>2019</c:v>
                </c:pt>
              </c:numCache>
            </c:numRef>
          </c:cat>
          <c:val>
            <c:numRef>
              <c:extLst>
                <c:ext xmlns:c15="http://schemas.microsoft.com/office/drawing/2012/chart" uri="{02D57815-91ED-43cb-92C2-25804820EDAC}">
                  <c15:fullRef>
                    <c15:sqref>'Projections using 2019'!$B$72:$W$72</c15:sqref>
                  </c15:fullRef>
                </c:ext>
              </c:extLst>
              <c:f>'Projections using 2019'!$S$72:$V$72</c:f>
              <c:numCache>
                <c:formatCode>General</c:formatCode>
                <c:ptCount val="4"/>
                <c:pt idx="0" formatCode="0.0000">
                  <c:v>0.18473601770824541</c:v>
                </c:pt>
                <c:pt idx="1" formatCode="0.0000">
                  <c:v>0.32210083779712445</c:v>
                </c:pt>
                <c:pt idx="2" formatCode="0.0000">
                  <c:v>0.40610436550278561</c:v>
                </c:pt>
                <c:pt idx="3" formatCode="0.0000">
                  <c:v>0.47271690770965785</c:v>
                </c:pt>
              </c:numCache>
            </c:numRef>
          </c:val>
          <c:smooth val="0"/>
          <c:extLst>
            <c:ext xmlns:c16="http://schemas.microsoft.com/office/drawing/2014/chart" uri="{C3380CC4-5D6E-409C-BE32-E72D297353CC}">
              <c16:uniqueId val="{00000001-FBDA-4A7A-BB86-9816154D6325}"/>
            </c:ext>
          </c:extLst>
        </c:ser>
        <c:dLbls>
          <c:showLegendKey val="0"/>
          <c:showVal val="0"/>
          <c:showCatName val="0"/>
          <c:showSerName val="0"/>
          <c:showPercent val="0"/>
          <c:showBubbleSize val="0"/>
        </c:dLbls>
        <c:smooth val="0"/>
        <c:axId val="254394447"/>
        <c:axId val="339816111"/>
      </c:lineChart>
      <c:catAx>
        <c:axId val="25439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16111"/>
        <c:crosses val="autoZero"/>
        <c:auto val="1"/>
        <c:lblAlgn val="ctr"/>
        <c:lblOffset val="100"/>
        <c:noMultiLvlLbl val="0"/>
      </c:catAx>
      <c:valAx>
        <c:axId val="33981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394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 using 2019'!$A$19</c:f>
              <c:strCache>
                <c:ptCount val="1"/>
                <c:pt idx="0">
                  <c:v>Tx point patients OTP MMT NSSATS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1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2019'!$B$18:$V$18</c15:sqref>
                  </c15:fullRef>
                </c:ext>
              </c:extLst>
              <c:f>'Projections using 2019'!$T$18:$V$18</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2019'!$B$19:$V$19</c15:sqref>
                  </c15:fullRef>
                </c:ext>
              </c:extLst>
              <c:f>'Projections using 2019'!$T$19:$V$19</c:f>
              <c:numCache>
                <c:formatCode>#,##0</c:formatCode>
                <c:ptCount val="3"/>
                <c:pt idx="0" formatCode="0">
                  <c:v>382867</c:v>
                </c:pt>
                <c:pt idx="1" formatCode="0">
                  <c:v>395708.5</c:v>
                </c:pt>
                <c:pt idx="2" formatCode="0">
                  <c:v>408550</c:v>
                </c:pt>
              </c:numCache>
            </c:numRef>
          </c:val>
          <c:smooth val="0"/>
          <c:extLst>
            <c:ext xmlns:c16="http://schemas.microsoft.com/office/drawing/2014/chart" uri="{C3380CC4-5D6E-409C-BE32-E72D297353CC}">
              <c16:uniqueId val="{00000001-6536-4A1C-AAC3-64F16B2AF6E0}"/>
            </c:ext>
          </c:extLst>
        </c:ser>
        <c:dLbls>
          <c:showLegendKey val="0"/>
          <c:showVal val="0"/>
          <c:showCatName val="0"/>
          <c:showSerName val="0"/>
          <c:showPercent val="0"/>
          <c:showBubbleSize val="0"/>
        </c:dLbls>
        <c:smooth val="0"/>
        <c:axId val="510822095"/>
        <c:axId val="1377392575"/>
      </c:lineChart>
      <c:catAx>
        <c:axId val="51082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2575"/>
        <c:crosses val="autoZero"/>
        <c:auto val="1"/>
        <c:lblAlgn val="ctr"/>
        <c:lblOffset val="100"/>
        <c:noMultiLvlLbl val="0"/>
      </c:catAx>
      <c:valAx>
        <c:axId val="137739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2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MMT util logistic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2019'!$A$12</c:f>
              <c:strCache>
                <c:ptCount val="1"/>
                <c:pt idx="0">
                  <c:v>Tx point patients OTP MMT NSSATS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log"/>
            <c:forward val="12"/>
            <c:dispRSqr val="1"/>
            <c:dispEq val="1"/>
            <c:trendlineLbl>
              <c:layout>
                <c:manualLayout>
                  <c:x val="-5.3666190413893089E-2"/>
                  <c:y val="0.19832369717899964"/>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2019'!$B$11:$AH$11</c15:sqref>
                  </c15:fullRef>
                </c:ext>
              </c:extLst>
              <c:f>'Projections using 2019'!$S$11:$AH$11</c:f>
              <c:numCache>
                <c:formatCode>0</c:formatCode>
                <c:ptCount val="16"/>
                <c:pt idx="0">
                  <c:v>2016</c:v>
                </c:pt>
                <c:pt idx="1">
                  <c:v>2017</c:v>
                </c:pt>
                <c:pt idx="2">
                  <c:v>2018</c:v>
                </c:pt>
                <c:pt idx="3">
                  <c:v>2019</c:v>
                </c:pt>
                <c:pt idx="4">
                  <c:v>2020</c:v>
                </c:pt>
                <c:pt idx="5" formatCode="General">
                  <c:v>2021</c:v>
                </c:pt>
                <c:pt idx="6" formatCode="General">
                  <c:v>2022</c:v>
                </c:pt>
                <c:pt idx="7" formatCode="General">
                  <c:v>2023</c:v>
                </c:pt>
                <c:pt idx="8" formatCode="General">
                  <c:v>2024</c:v>
                </c:pt>
                <c:pt idx="9" formatCode="General">
                  <c:v>2025</c:v>
                </c:pt>
                <c:pt idx="10" formatCode="General">
                  <c:v>2026</c:v>
                </c:pt>
                <c:pt idx="11" formatCode="General">
                  <c:v>2027</c:v>
                </c:pt>
                <c:pt idx="12" formatCode="General">
                  <c:v>2028</c:v>
                </c:pt>
                <c:pt idx="13" formatCode="General">
                  <c:v>2029</c:v>
                </c:pt>
                <c:pt idx="14" formatCode="General">
                  <c:v>2030</c:v>
                </c:pt>
                <c:pt idx="15" formatCode="General">
                  <c:v>2031</c:v>
                </c:pt>
              </c:numCache>
            </c:numRef>
          </c:cat>
          <c:val>
            <c:numRef>
              <c:extLst>
                <c:ext xmlns:c15="http://schemas.microsoft.com/office/drawing/2012/chart" uri="{02D57815-91ED-43cb-92C2-25804820EDAC}">
                  <c15:fullRef>
                    <c15:sqref>'Projections using 2019'!$B$12:$V$12</c15:sqref>
                  </c15:fullRef>
                </c:ext>
              </c:extLst>
              <c:f>'Projections using 2019'!$S$12:$V$12</c:f>
              <c:numCache>
                <c:formatCode>#,##0</c:formatCode>
                <c:ptCount val="4"/>
                <c:pt idx="0" formatCode="0">
                  <c:v>345443</c:v>
                </c:pt>
                <c:pt idx="1" formatCode="0">
                  <c:v>382867</c:v>
                </c:pt>
                <c:pt idx="2" formatCode="0">
                  <c:v>395708.5</c:v>
                </c:pt>
                <c:pt idx="3" formatCode="0">
                  <c:v>408550</c:v>
                </c:pt>
              </c:numCache>
            </c:numRef>
          </c:val>
          <c:smooth val="0"/>
          <c:extLst>
            <c:ext xmlns:c16="http://schemas.microsoft.com/office/drawing/2014/chart" uri="{C3380CC4-5D6E-409C-BE32-E72D297353CC}">
              <c16:uniqueId val="{00000002-F365-46A6-AE55-1A7EE8CEA10E}"/>
            </c:ext>
          </c:extLst>
        </c:ser>
        <c:dLbls>
          <c:showLegendKey val="0"/>
          <c:showVal val="0"/>
          <c:showCatName val="0"/>
          <c:showSerName val="0"/>
          <c:showPercent val="0"/>
          <c:showBubbleSize val="0"/>
        </c:dLbls>
        <c:smooth val="0"/>
        <c:axId val="1315356320"/>
        <c:axId val="1309311792"/>
      </c:lineChart>
      <c:catAx>
        <c:axId val="131535632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11792"/>
        <c:crosses val="autoZero"/>
        <c:auto val="1"/>
        <c:lblAlgn val="ctr"/>
        <c:lblOffset val="100"/>
        <c:noMultiLvlLbl val="0"/>
      </c:catAx>
      <c:valAx>
        <c:axId val="1309311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Estimates'!$B$6:$V$6</c:f>
              <c:numCache>
                <c:formatCode>_(* #,##0_);_(* \(#,##0\);_(* "-"??_);_(@_)</c:formatCode>
                <c:ptCount val="21"/>
                <c:pt idx="0">
                  <c:v>126140.32806923101</c:v>
                </c:pt>
                <c:pt idx="1">
                  <c:v>138269.20576819553</c:v>
                </c:pt>
                <c:pt idx="2">
                  <c:v>186784.71656405361</c:v>
                </c:pt>
                <c:pt idx="3">
                  <c:v>141907.86907788488</c:v>
                </c:pt>
                <c:pt idx="4">
                  <c:v>111585.6748304736</c:v>
                </c:pt>
                <c:pt idx="5">
                  <c:v>137094.61971734843</c:v>
                </c:pt>
                <c:pt idx="6">
                  <c:v>125476.43160570874</c:v>
                </c:pt>
                <c:pt idx="7">
                  <c:v>118739.23739169961</c:v>
                </c:pt>
                <c:pt idx="8">
                  <c:v>139848.43515022399</c:v>
                </c:pt>
                <c:pt idx="9">
                  <c:v>158516.34560700032</c:v>
                </c:pt>
                <c:pt idx="10">
                  <c:v>255539.28128025052</c:v>
                </c:pt>
                <c:pt idx="11">
                  <c:v>160322.79968799173</c:v>
                </c:pt>
                <c:pt idx="12">
                  <c:v>200968.01651029952</c:v>
                </c:pt>
                <c:pt idx="13">
                  <c:v>181084.88814846659</c:v>
                </c:pt>
                <c:pt idx="14">
                  <c:v>196175.29549417214</c:v>
                </c:pt>
                <c:pt idx="15">
                  <c:v>246777.89014886471</c:v>
                </c:pt>
                <c:pt idx="16">
                  <c:v>157146.29797215443</c:v>
                </c:pt>
                <c:pt idx="17">
                  <c:v>197887.93077974999</c:v>
                </c:pt>
                <c:pt idx="18">
                  <c:v>116295.22929309591</c:v>
                </c:pt>
                <c:pt idx="19">
                  <c:v>126604.07927536788</c:v>
                </c:pt>
                <c:pt idx="20">
                  <c:v>32688.804530136083</c:v>
                </c:pt>
              </c:numCache>
            </c:numRef>
          </c:val>
          <c:smooth val="0"/>
          <c:extLst>
            <c:ext xmlns:c16="http://schemas.microsoft.com/office/drawing/2014/chart" uri="{C3380CC4-5D6E-409C-BE32-E72D297353CC}">
              <c16:uniqueId val="{00000000-7E87-464A-BFD4-23917EC1027C}"/>
            </c:ext>
          </c:extLst>
        </c:ser>
        <c:ser>
          <c:idx val="1"/>
          <c:order val="1"/>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Estimates'!$B$9:$V$9</c:f>
              <c:numCache>
                <c:formatCode>_(* #,##0_);_(* \(#,##0\);_(* "-"??_);_(@_)</c:formatCode>
                <c:ptCount val="21"/>
                <c:pt idx="0">
                  <c:v>158260.63865074568</c:v>
                </c:pt>
                <c:pt idx="1">
                  <c:v>139943.39104508469</c:v>
                </c:pt>
                <c:pt idx="2">
                  <c:v>275094.2433958645</c:v>
                </c:pt>
                <c:pt idx="3">
                  <c:v>250426.3933158443</c:v>
                </c:pt>
                <c:pt idx="4">
                  <c:v>132368.50676764929</c:v>
                </c:pt>
                <c:pt idx="5">
                  <c:v>157659.64254553011</c:v>
                </c:pt>
                <c:pt idx="6">
                  <c:v>221470.88100755232</c:v>
                </c:pt>
                <c:pt idx="7">
                  <c:v>361256.4390656724</c:v>
                </c:pt>
                <c:pt idx="8">
                  <c:v>234759.76456964586</c:v>
                </c:pt>
                <c:pt idx="9">
                  <c:v>188009.00547898709</c:v>
                </c:pt>
                <c:pt idx="10">
                  <c:v>458835.44335182774</c:v>
                </c:pt>
                <c:pt idx="11">
                  <c:v>219134.13143006986</c:v>
                </c:pt>
                <c:pt idx="12">
                  <c:v>200209.92871148346</c:v>
                </c:pt>
                <c:pt idx="13">
                  <c:v>203527.41933970421</c:v>
                </c:pt>
                <c:pt idx="14">
                  <c:v>350613.34888483112</c:v>
                </c:pt>
                <c:pt idx="15">
                  <c:v>402375.03250803996</c:v>
                </c:pt>
                <c:pt idx="16">
                  <c:v>341922.28028086107</c:v>
                </c:pt>
                <c:pt idx="17">
                  <c:v>306054.27799437521</c:v>
                </c:pt>
                <c:pt idx="18">
                  <c:v>426698.04126798949</c:v>
                </c:pt>
                <c:pt idx="19">
                  <c:v>320424.81486966228</c:v>
                </c:pt>
                <c:pt idx="20">
                  <c:v>207491.37914927985</c:v>
                </c:pt>
              </c:numCache>
            </c:numRef>
          </c:val>
          <c:smooth val="0"/>
          <c:extLst>
            <c:ext xmlns:c16="http://schemas.microsoft.com/office/drawing/2014/chart" uri="{C3380CC4-5D6E-409C-BE32-E72D297353CC}">
              <c16:uniqueId val="{00000001-7E87-464A-BFD4-23917EC1027C}"/>
            </c:ext>
          </c:extLst>
        </c:ser>
        <c:dLbls>
          <c:showLegendKey val="0"/>
          <c:showVal val="0"/>
          <c:showCatName val="0"/>
          <c:showSerName val="0"/>
          <c:showPercent val="0"/>
          <c:showBubbleSize val="0"/>
        </c:dLbls>
        <c:smooth val="0"/>
        <c:axId val="759207151"/>
        <c:axId val="1039593167"/>
      </c:lineChart>
      <c:catAx>
        <c:axId val="7592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3167"/>
        <c:crosses val="autoZero"/>
        <c:auto val="1"/>
        <c:lblAlgn val="ctr"/>
        <c:lblOffset val="100"/>
        <c:noMultiLvlLbl val="0"/>
      </c:catAx>
      <c:valAx>
        <c:axId val="1039593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0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'RAND Adjusted Estimates'!$A$4</c:f>
              <c:strCache>
                <c:ptCount val="1"/>
                <c:pt idx="0">
                  <c:v>Rx OUD + H NSDUH RAND</c:v>
                </c:pt>
              </c:strCache>
            </c:strRef>
          </c:tx>
          <c:spPr>
            <a:ln w="28575" cap="rnd">
              <a:solidFill>
                <a:schemeClr val="accent1"/>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Estimates'!$B$4:$V$4</c:f>
              <c:numCache>
                <c:formatCode>_(* #,##0_);_(* \(#,##0\);_(* "-"??_);_(@_)</c:formatCode>
                <c:ptCount val="21"/>
                <c:pt idx="0">
                  <c:v>37615.991882705202</c:v>
                </c:pt>
                <c:pt idx="1">
                  <c:v>22226.77725301297</c:v>
                </c:pt>
                <c:pt idx="2">
                  <c:v>75797.250110570647</c:v>
                </c:pt>
                <c:pt idx="3">
                  <c:v>110227.72568329751</c:v>
                </c:pt>
                <c:pt idx="4">
                  <c:v>56340.577532122028</c:v>
                </c:pt>
                <c:pt idx="5">
                  <c:v>119565.26346862233</c:v>
                </c:pt>
                <c:pt idx="6">
                  <c:v>72414.008836343783</c:v>
                </c:pt>
                <c:pt idx="7">
                  <c:v>88244.620009032282</c:v>
                </c:pt>
                <c:pt idx="8">
                  <c:v>152620.33643916433</c:v>
                </c:pt>
                <c:pt idx="9">
                  <c:v>158914.73880981895</c:v>
                </c:pt>
                <c:pt idx="10">
                  <c:v>227513.00272206852</c:v>
                </c:pt>
                <c:pt idx="11">
                  <c:v>331332.79973944905</c:v>
                </c:pt>
                <c:pt idx="12">
                  <c:v>149539.35892607333</c:v>
                </c:pt>
                <c:pt idx="13">
                  <c:v>166293.94800186896</c:v>
                </c:pt>
                <c:pt idx="14">
                  <c:v>158665.61166188223</c:v>
                </c:pt>
                <c:pt idx="15">
                  <c:v>346479.09963236202</c:v>
                </c:pt>
                <c:pt idx="16">
                  <c:v>268180.64449158864</c:v>
                </c:pt>
                <c:pt idx="17">
                  <c:v>167772.94334848071</c:v>
                </c:pt>
                <c:pt idx="18">
                  <c:v>115437.32123255676</c:v>
                </c:pt>
                <c:pt idx="19">
                  <c:v>121879.93848869273</c:v>
                </c:pt>
                <c:pt idx="20">
                  <c:v>73508.276182344373</c:v>
                </c:pt>
              </c:numCache>
            </c:numRef>
          </c:val>
          <c:smooth val="0"/>
          <c:extLst>
            <c:ext xmlns:c16="http://schemas.microsoft.com/office/drawing/2014/chart" uri="{C3380CC4-5D6E-409C-BE32-E72D297353CC}">
              <c16:uniqueId val="{00000000-B55B-4B99-AD32-F44070DACFFE}"/>
            </c:ext>
          </c:extLst>
        </c:ser>
        <c:ser>
          <c:idx val="1"/>
          <c:order val="1"/>
          <c:tx>
            <c:strRef>
              <c:f>'RAND Adjusted Estimates'!$A$5</c:f>
              <c:strCache>
                <c:ptCount val="1"/>
                <c:pt idx="0">
                  <c:v>Initiating heroin with Rx OUD NSDUH RDAS RAND</c:v>
                </c:pt>
              </c:strCache>
            </c:strRef>
          </c:tx>
          <c:spPr>
            <a:ln w="28575" cap="rnd">
              <a:solidFill>
                <a:schemeClr val="accent2"/>
              </a:solidFill>
              <a:round/>
            </a:ln>
            <a:effectLst/>
          </c:spPr>
          <c:marker>
            <c:symbol val="none"/>
          </c:marker>
          <c:cat>
            <c:numRef>
              <c:f>'RAND Adjusted Estimates'!$B$1:$V$1</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'RAND Adjusted Estimates'!$B$5:$V$5</c:f>
              <c:numCache>
                <c:formatCode>_(* #,##0_);_(* \(#,##0\);_(* "-"??_);_(@_)</c:formatCode>
                <c:ptCount val="21"/>
                <c:pt idx="0">
                  <c:v>91451.737850192483</c:v>
                </c:pt>
                <c:pt idx="1">
                  <c:v>100245.17418194177</c:v>
                </c:pt>
                <c:pt idx="2">
                  <c:v>135418.91950893888</c:v>
                </c:pt>
                <c:pt idx="3">
                  <c:v>102883.20508146654</c:v>
                </c:pt>
                <c:pt idx="4">
                  <c:v>80899.61425209335</c:v>
                </c:pt>
                <c:pt idx="5">
                  <c:v>97924.728369534598</c:v>
                </c:pt>
                <c:pt idx="6">
                  <c:v>89626.022575506242</c:v>
                </c:pt>
                <c:pt idx="7">
                  <c:v>95570.605705514303</c:v>
                </c:pt>
                <c:pt idx="8">
                  <c:v>112560.93560871684</c:v>
                </c:pt>
                <c:pt idx="9">
                  <c:v>109742.08542023097</c:v>
                </c:pt>
                <c:pt idx="10">
                  <c:v>176911.81011709649</c:v>
                </c:pt>
                <c:pt idx="11">
                  <c:v>193493.03410619692</c:v>
                </c:pt>
                <c:pt idx="12">
                  <c:v>242547.60613312011</c:v>
                </c:pt>
                <c:pt idx="13">
                  <c:v>235410.35459300657</c:v>
                </c:pt>
                <c:pt idx="14">
                  <c:v>255027.88414242381</c:v>
                </c:pt>
                <c:pt idx="15">
                  <c:v>255751.6316088234</c:v>
                </c:pt>
                <c:pt idx="16">
                  <c:v>162860.70880750546</c:v>
                </c:pt>
                <c:pt idx="17">
                  <c:v>205083.85553537728</c:v>
                </c:pt>
                <c:pt idx="18">
                  <c:v>89298.122492912938</c:v>
                </c:pt>
                <c:pt idx="19">
                  <c:v>137455.85749897087</c:v>
                </c:pt>
                <c:pt idx="20">
                  <c:v>57686.12564141662</c:v>
                </c:pt>
              </c:numCache>
            </c:numRef>
          </c:val>
          <c:smooth val="0"/>
          <c:extLst>
            <c:ext xmlns:c16="http://schemas.microsoft.com/office/drawing/2014/chart" uri="{C3380CC4-5D6E-409C-BE32-E72D297353CC}">
              <c16:uniqueId val="{00000001-B55B-4B99-AD32-F44070DACFFE}"/>
            </c:ext>
          </c:extLst>
        </c:ser>
        <c:dLbls>
          <c:showLegendKey val="0"/>
          <c:showVal val="0"/>
          <c:showCatName val="0"/>
          <c:showSerName val="0"/>
          <c:showPercent val="0"/>
          <c:showBubbleSize val="0"/>
        </c:dLbls>
        <c:smooth val="0"/>
        <c:axId val="2126800607"/>
        <c:axId val="1039598991"/>
      </c:lineChart>
      <c:catAx>
        <c:axId val="212680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598991"/>
        <c:crosses val="autoZero"/>
        <c:auto val="1"/>
        <c:lblAlgn val="ctr"/>
        <c:lblOffset val="100"/>
        <c:noMultiLvlLbl val="0"/>
      </c:catAx>
      <c:valAx>
        <c:axId val="103959899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0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Bup waivered providers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324055109511406E-2"/>
          <c:y val="0.22190949449874225"/>
          <c:w val="0.86487640825243417"/>
          <c:h val="0.61812543271254006"/>
        </c:manualLayout>
      </c:layout>
      <c:lineChart>
        <c:grouping val="standard"/>
        <c:varyColors val="0"/>
        <c:ser>
          <c:idx val="0"/>
          <c:order val="0"/>
          <c:tx>
            <c:strRef>
              <c:f>'Projections using 2020'!$A$6</c:f>
              <c:strCache>
                <c:ptCount val="1"/>
                <c:pt idx="0">
                  <c:v>Total waivered providers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1"/>
            <c:dispRSqr val="1"/>
            <c:dispEq val="1"/>
            <c:trendlineLbl>
              <c:layout>
                <c:manualLayout>
                  <c:x val="-1.7945657709006828E-3"/>
                  <c:y val="0.13456608730666239"/>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2020'!$B$5:$AH$5</c15:sqref>
                  </c15:fullRef>
                </c:ext>
              </c:extLst>
              <c:f>'Projections using 2020'!$V$5:$AH$5</c:f>
              <c:numCache>
                <c:formatCode>0</c:formatCode>
                <c:ptCount val="1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numCache>
            </c:numRef>
          </c:cat>
          <c:val>
            <c:numRef>
              <c:extLst>
                <c:ext xmlns:c15="http://schemas.microsoft.com/office/drawing/2012/chart" uri="{02D57815-91ED-43cb-92C2-25804820EDAC}">
                  <c15:fullRef>
                    <c15:sqref>'Projections using 2020'!$B$6:$W$6</c15:sqref>
                  </c15:fullRef>
                </c:ext>
              </c:extLst>
              <c:f>'Projections using 2020'!$V$6:$W$6</c:f>
              <c:numCache>
                <c:formatCode>General</c:formatCode>
                <c:ptCount val="2"/>
                <c:pt idx="0" formatCode="0">
                  <c:v>66800</c:v>
                </c:pt>
                <c:pt idx="1" formatCode="0">
                  <c:v>94223</c:v>
                </c:pt>
              </c:numCache>
            </c:numRef>
          </c:val>
          <c:smooth val="0"/>
          <c:extLst>
            <c:ext xmlns:c16="http://schemas.microsoft.com/office/drawing/2014/chart" uri="{C3380CC4-5D6E-409C-BE32-E72D297353CC}">
              <c16:uniqueId val="{00000001-0426-4ED2-9528-EA37711CA3CE}"/>
            </c:ext>
          </c:extLst>
        </c:ser>
        <c:dLbls>
          <c:showLegendKey val="0"/>
          <c:showVal val="0"/>
          <c:showCatName val="0"/>
          <c:showSerName val="0"/>
          <c:showPercent val="0"/>
          <c:showBubbleSize val="0"/>
        </c:dLbls>
        <c:smooth val="0"/>
        <c:axId val="1121498831"/>
        <c:axId val="996262735"/>
      </c:lineChart>
      <c:catAx>
        <c:axId val="1121498831"/>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96262735"/>
        <c:crosses val="autoZero"/>
        <c:auto val="1"/>
        <c:lblAlgn val="ctr"/>
        <c:lblOffset val="100"/>
        <c:noMultiLvlLbl val="0"/>
      </c:catAx>
      <c:valAx>
        <c:axId val="9962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2149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PIT VIv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2020'!$A$27</c:f>
              <c:strCache>
                <c:ptCount val="1"/>
                <c:pt idx="0">
                  <c:v>Tx point patients Viv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5355533568538462E-4"/>
                  <c:y val="9.8625542359748519E-2"/>
                </c:manualLayout>
              </c:layout>
              <c:numFmt formatCode="General"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2020'!$B$26:$V$26</c15:sqref>
                  </c15:fullRef>
                </c:ext>
              </c:extLst>
              <c:f>'Projections using 2020'!$T$26:$V$26</c:f>
              <c:numCache>
                <c:formatCode>0</c:formatCode>
                <c:ptCount val="3"/>
                <c:pt idx="0" formatCode="General">
                  <c:v>2017</c:v>
                </c:pt>
                <c:pt idx="1" formatCode="General">
                  <c:v>2018</c:v>
                </c:pt>
                <c:pt idx="2" formatCode="General">
                  <c:v>2019</c:v>
                </c:pt>
              </c:numCache>
            </c:numRef>
          </c:cat>
          <c:val>
            <c:numRef>
              <c:extLst>
                <c:ext xmlns:c15="http://schemas.microsoft.com/office/drawing/2012/chart" uri="{02D57815-91ED-43cb-92C2-25804820EDAC}">
                  <c15:fullRef>
                    <c15:sqref>'Projections using 2020'!$B$27:$V$27</c15:sqref>
                  </c15:fullRef>
                </c:ext>
              </c:extLst>
              <c:f>'Projections using 2020'!$T$27:$V$27</c:f>
              <c:numCache>
                <c:formatCode>0.00</c:formatCode>
                <c:ptCount val="3"/>
                <c:pt idx="0">
                  <c:v>26956.604166666668</c:v>
                </c:pt>
                <c:pt idx="1">
                  <c:v>30646.604166666668</c:v>
                </c:pt>
                <c:pt idx="2" formatCode="0">
                  <c:v>32227.1875</c:v>
                </c:pt>
              </c:numCache>
            </c:numRef>
          </c:val>
          <c:smooth val="0"/>
          <c:extLst>
            <c:ext xmlns:c16="http://schemas.microsoft.com/office/drawing/2014/chart" uri="{C3380CC4-5D6E-409C-BE32-E72D297353CC}">
              <c16:uniqueId val="{00000001-20DB-4A24-9621-3AD8CFCC584F}"/>
            </c:ext>
          </c:extLst>
        </c:ser>
        <c:dLbls>
          <c:showLegendKey val="0"/>
          <c:showVal val="0"/>
          <c:showCatName val="0"/>
          <c:showSerName val="0"/>
          <c:showPercent val="0"/>
          <c:showBubbleSize val="0"/>
        </c:dLbls>
        <c:smooth val="0"/>
        <c:axId val="654901007"/>
        <c:axId val="1679451471"/>
      </c:lineChart>
      <c:catAx>
        <c:axId val="65490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451471"/>
        <c:crosses val="autoZero"/>
        <c:auto val="1"/>
        <c:lblAlgn val="ctr"/>
        <c:lblOffset val="100"/>
        <c:noMultiLvlLbl val="0"/>
      </c:catAx>
      <c:valAx>
        <c:axId val="1679451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nx kits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2020'!$A$35</c:f>
              <c:strCache>
                <c:ptCount val="1"/>
                <c:pt idx="0">
                  <c:v>Nx kits distributed HR IQVIA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1.8737588002265399E-2"/>
                  <c:y val="0.2094208514040991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2020'!$B$34:$W$34</c15:sqref>
                  </c15:fullRef>
                </c:ext>
              </c:extLst>
              <c:f>'Projections using 2020'!$U$34:$W$34</c:f>
              <c:numCache>
                <c:formatCode>0</c:formatCode>
                <c:ptCount val="3"/>
                <c:pt idx="0" formatCode="General">
                  <c:v>2018</c:v>
                </c:pt>
                <c:pt idx="1" formatCode="General">
                  <c:v>2019</c:v>
                </c:pt>
                <c:pt idx="2" formatCode="General">
                  <c:v>2020</c:v>
                </c:pt>
              </c:numCache>
            </c:numRef>
          </c:cat>
          <c:val>
            <c:numRef>
              <c:extLst>
                <c:ext xmlns:c15="http://schemas.microsoft.com/office/drawing/2012/chart" uri="{02D57815-91ED-43cb-92C2-25804820EDAC}">
                  <c15:fullRef>
                    <c15:sqref>'Projections using 2020'!$B$35:$W$35</c15:sqref>
                  </c15:fullRef>
                </c:ext>
              </c:extLst>
              <c:f>'Projections using 2020'!$U$35:$W$35</c:f>
              <c:numCache>
                <c:formatCode>0</c:formatCode>
                <c:ptCount val="3"/>
                <c:pt idx="0">
                  <c:v>1500485.9526574665</c:v>
                </c:pt>
                <c:pt idx="1">
                  <c:v>1931149</c:v>
                </c:pt>
                <c:pt idx="2">
                  <c:v>2303624</c:v>
                </c:pt>
              </c:numCache>
            </c:numRef>
          </c:val>
          <c:smooth val="0"/>
          <c:extLst>
            <c:ext xmlns:c16="http://schemas.microsoft.com/office/drawing/2014/chart" uri="{C3380CC4-5D6E-409C-BE32-E72D297353CC}">
              <c16:uniqueId val="{00000001-178F-4CDC-8BB9-A049DA8906EC}"/>
            </c:ext>
          </c:extLst>
        </c:ser>
        <c:dLbls>
          <c:showLegendKey val="0"/>
          <c:showVal val="0"/>
          <c:showCatName val="0"/>
          <c:showSerName val="0"/>
          <c:showPercent val="0"/>
          <c:showBubbleSize val="0"/>
        </c:dLbls>
        <c:smooth val="0"/>
        <c:axId val="1490266223"/>
        <c:axId val="1312092879"/>
      </c:lineChart>
      <c:catAx>
        <c:axId val="14902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092879"/>
        <c:crosses val="autoZero"/>
        <c:auto val="1"/>
        <c:lblAlgn val="ctr"/>
        <c:lblOffset val="100"/>
        <c:noMultiLvlLbl val="0"/>
      </c:catAx>
      <c:valAx>
        <c:axId val="131209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26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receiving opioid rx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390085535090052"/>
          <c:y val="0.18965580412558339"/>
          <c:w val="0.81390014645900732"/>
          <c:h val="0.69172229999681922"/>
        </c:manualLayout>
      </c:layout>
      <c:lineChart>
        <c:grouping val="standard"/>
        <c:varyColors val="0"/>
        <c:ser>
          <c:idx val="0"/>
          <c:order val="0"/>
          <c:tx>
            <c:strRef>
              <c:f>'Projections using 2020'!$A$42</c:f>
              <c:strCache>
                <c:ptCount val="1"/>
                <c:pt idx="0">
                  <c:v>Patients receiving opioid prescription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3.1365655685338298E-3"/>
                  <c:y val="0.17572432547657332"/>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2020'!$B$41:$V$41</c15:sqref>
                  </c15:fullRef>
                </c:ext>
              </c:extLst>
              <c:f>'Projections using 2020'!$U$41:$V$41</c:f>
              <c:numCache>
                <c:formatCode>0</c:formatCode>
                <c:ptCount val="2"/>
                <c:pt idx="0" formatCode="General">
                  <c:v>2018</c:v>
                </c:pt>
                <c:pt idx="1" formatCode="General">
                  <c:v>2019</c:v>
                </c:pt>
              </c:numCache>
            </c:numRef>
          </c:cat>
          <c:val>
            <c:numRef>
              <c:extLst>
                <c:ext xmlns:c15="http://schemas.microsoft.com/office/drawing/2012/chart" uri="{02D57815-91ED-43cb-92C2-25804820EDAC}">
                  <c15:fullRef>
                    <c15:sqref>'Projections using 2020'!$B$42:$V$42</c15:sqref>
                  </c15:fullRef>
                </c:ext>
              </c:extLst>
              <c:f>'Projections using 2020'!$U$42:$V$42</c:f>
              <c:numCache>
                <c:formatCode>0</c:formatCode>
                <c:ptCount val="2"/>
                <c:pt idx="0">
                  <c:v>88986086.68498829</c:v>
                </c:pt>
                <c:pt idx="1">
                  <c:v>78456550.964611903</c:v>
                </c:pt>
              </c:numCache>
            </c:numRef>
          </c:val>
          <c:smooth val="0"/>
          <c:extLst>
            <c:ext xmlns:c16="http://schemas.microsoft.com/office/drawing/2014/chart" uri="{C3380CC4-5D6E-409C-BE32-E72D297353CC}">
              <c16:uniqueId val="{00000001-5D3A-43FE-9BBF-79A7F0D7E980}"/>
            </c:ext>
          </c:extLst>
        </c:ser>
        <c:dLbls>
          <c:showLegendKey val="0"/>
          <c:showVal val="0"/>
          <c:showCatName val="0"/>
          <c:showSerName val="0"/>
          <c:showPercent val="0"/>
          <c:showBubbleSize val="0"/>
        </c:dLbls>
        <c:smooth val="0"/>
        <c:axId val="1417033535"/>
        <c:axId val="1427688303"/>
      </c:lineChart>
      <c:catAx>
        <c:axId val="14170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88303"/>
        <c:crosses val="autoZero"/>
        <c:auto val="1"/>
        <c:lblAlgn val="ctr"/>
        <c:lblOffset val="100"/>
        <c:noMultiLvlLbl val="0"/>
      </c:catAx>
      <c:valAx>
        <c:axId val="142768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0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Opioid Prescriptions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 using 2020'!$A$49</c:f>
              <c:strCache>
                <c:ptCount val="1"/>
                <c:pt idx="0">
                  <c:v># of opioid prescriptions</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forward val="12"/>
            <c:dispRSqr val="1"/>
            <c:dispEq val="1"/>
            <c:trendlineLbl>
              <c:layout>
                <c:manualLayout>
                  <c:x val="4.2532050291245842E-3"/>
                  <c:y val="-0.10802085514523931"/>
                </c:manualLayout>
              </c:layout>
              <c:numFmt formatCode="#,##0.00" sourceLinked="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'Projections using 2020'!$B$48:$W$48</c15:sqref>
                  </c15:fullRef>
                </c:ext>
              </c:extLst>
              <c:f>'Projections using 2020'!$T$48:$W$48</c:f>
              <c:numCache>
                <c:formatCode>0</c:formatCode>
                <c:ptCount val="4"/>
                <c:pt idx="0" formatCode="General">
                  <c:v>2017</c:v>
                </c:pt>
                <c:pt idx="1" formatCode="General">
                  <c:v>2018</c:v>
                </c:pt>
                <c:pt idx="2" formatCode="General">
                  <c:v>2019</c:v>
                </c:pt>
                <c:pt idx="3" formatCode="General">
                  <c:v>2020</c:v>
                </c:pt>
              </c:numCache>
            </c:numRef>
          </c:cat>
          <c:val>
            <c:numRef>
              <c:extLst>
                <c:ext xmlns:c15="http://schemas.microsoft.com/office/drawing/2012/chart" uri="{02D57815-91ED-43cb-92C2-25804820EDAC}">
                  <c15:fullRef>
                    <c15:sqref>'Projections using 2020'!$B$49:$W$49</c15:sqref>
                  </c15:fullRef>
                </c:ext>
              </c:extLst>
              <c:f>'Projections using 2020'!$T$49:$W$49</c:f>
              <c:numCache>
                <c:formatCode>#,##0</c:formatCode>
                <c:ptCount val="4"/>
                <c:pt idx="0">
                  <c:v>193782638</c:v>
                </c:pt>
                <c:pt idx="1">
                  <c:v>169863949</c:v>
                </c:pt>
                <c:pt idx="2" formatCode="0">
                  <c:v>154658303</c:v>
                </c:pt>
                <c:pt idx="3" formatCode="0">
                  <c:v>144174733</c:v>
                </c:pt>
              </c:numCache>
            </c:numRef>
          </c:val>
          <c:smooth val="0"/>
          <c:extLst>
            <c:ext xmlns:c16="http://schemas.microsoft.com/office/drawing/2014/chart" uri="{C3380CC4-5D6E-409C-BE32-E72D297353CC}">
              <c16:uniqueId val="{00000001-9ADF-46B1-BA97-8624A04B7915}"/>
            </c:ext>
          </c:extLst>
        </c:ser>
        <c:dLbls>
          <c:showLegendKey val="0"/>
          <c:showVal val="0"/>
          <c:showCatName val="0"/>
          <c:showSerName val="0"/>
          <c:showPercent val="0"/>
          <c:showBubbleSize val="0"/>
        </c:dLbls>
        <c:smooth val="0"/>
        <c:axId val="877088735"/>
        <c:axId val="882696287"/>
      </c:lineChart>
      <c:catAx>
        <c:axId val="87708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82696287"/>
        <c:crosses val="autoZero"/>
        <c:auto val="1"/>
        <c:lblAlgn val="ctr"/>
        <c:lblOffset val="100"/>
        <c:noMultiLvlLbl val="0"/>
      </c:catAx>
      <c:valAx>
        <c:axId val="8826962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8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41</xdr:col>
      <xdr:colOff>479954</xdr:colOff>
      <xdr:row>9</xdr:row>
      <xdr:rowOff>6947</xdr:rowOff>
    </xdr:from>
    <xdr:to>
      <xdr:col>57</xdr:col>
      <xdr:colOff>25885</xdr:colOff>
      <xdr:row>31</xdr:row>
      <xdr:rowOff>171561</xdr:rowOff>
    </xdr:to>
    <xdr:graphicFrame macro="">
      <xdr:nvGraphicFramePr>
        <xdr:cNvPr id="13" name="Chart 12">
          <a:extLst>
            <a:ext uri="{FF2B5EF4-FFF2-40B4-BE49-F238E27FC236}">
              <a16:creationId xmlns:a16="http://schemas.microsoft.com/office/drawing/2014/main" id="{9A909814-EA57-433D-A3C2-13F7AD1F3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572956</xdr:colOff>
      <xdr:row>41</xdr:row>
      <xdr:rowOff>86620</xdr:rowOff>
    </xdr:from>
    <xdr:to>
      <xdr:col>16</xdr:col>
      <xdr:colOff>105895</xdr:colOff>
      <xdr:row>62</xdr:row>
      <xdr:rowOff>116765</xdr:rowOff>
    </xdr:to>
    <xdr:graphicFrame macro="">
      <xdr:nvGraphicFramePr>
        <xdr:cNvPr id="4" name="Chart 3">
          <a:extLst>
            <a:ext uri="{FF2B5EF4-FFF2-40B4-BE49-F238E27FC236}">
              <a16:creationId xmlns:a16="http://schemas.microsoft.com/office/drawing/2014/main" i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164838</xdr:colOff>
      <xdr:row>48</xdr:row>
      <xdr:rowOff>114746</xdr:rowOff>
    </xdr:from>
    <xdr:to>
      <xdr:col>28</xdr:col>
      <xdr:colOff>356010</xdr:colOff>
      <xdr:row>73</xdr:row>
      <xdr:rowOff>2801</xdr:rowOff>
    </xdr:to>
    <xdr:graphicFrame macro="">
      <xdr:nvGraphicFramePr>
        <xdr:cNvPr id="6" name="Chart 5">
          <a:extLst>
            <a:ext uri="{FF2B5EF4-FFF2-40B4-BE49-F238E27FC236}">
              <a16:creationId xmlns:a16="http://schemas.microsoft.com/office/drawing/2014/main" id="{A76C1FD4-31E0-4D44-9848-0F66338A0714}"/>
            </a:ext>
            <a:ext uri="{147F2762-F138-4A5C-976F-8EAC2B608ADB}">
              <a16:predDERef xmlns:a16="http://schemas.microsoft.com/office/drawing/2014/main" pred="{7DDFD76B-8177-4AD0-9095-C1A0FD2A3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152512</xdr:colOff>
      <xdr:row>23</xdr:row>
      <xdr:rowOff>57037</xdr:rowOff>
    </xdr:from>
    <xdr:to>
      <xdr:col>27</xdr:col>
      <xdr:colOff>722219</xdr:colOff>
      <xdr:row>44</xdr:row>
      <xdr:rowOff>98612</xdr:rowOff>
    </xdr:to>
    <xdr:graphicFrame macro="">
      <xdr:nvGraphicFramePr>
        <xdr:cNvPr id="7" name="Chart 6">
          <a:extLst>
            <a:ext uri="{FF2B5EF4-FFF2-40B4-BE49-F238E27FC236}">
              <a16:creationId xmlns:a16="http://schemas.microsoft.com/office/drawing/2014/main" id="{33E2F9BD-5DA6-431C-9696-E2ED390DEB76}"/>
            </a:ext>
            <a:ext uri="{147F2762-F138-4A5C-976F-8EAC2B608ADB}">
              <a16:predDERef xmlns:a16="http://schemas.microsoft.com/office/drawing/2014/main" pred="{A76C1FD4-31E0-4D44-9848-0F66338A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34</xdr:col>
      <xdr:colOff>272527</xdr:colOff>
      <xdr:row>2</xdr:row>
      <xdr:rowOff>561863</xdr:rowOff>
    </xdr:from>
    <xdr:to>
      <xdr:col>42</xdr:col>
      <xdr:colOff>48633</xdr:colOff>
      <xdr:row>9</xdr:row>
      <xdr:rowOff>11206</xdr:rowOff>
    </xdr:to>
    <xdr:graphicFrame macro="">
      <xdr:nvGraphicFramePr>
        <xdr:cNvPr id="2" name="Chart 2">
          <a:extLst>
            <a:ext uri="{FF2B5EF4-FFF2-40B4-BE49-F238E27FC236}">
              <a16:creationId xmlns:a16="http://schemas.microsoft.com/office/drawing/2014/main" id="{A32B219E-957E-46FA-8BF9-A9B20DA88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44B7F07D-3E6A-499B-81F5-EB6ED6356D3A}"/>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E48C96FE-4587-44A3-A23F-DBF7A8073C8C}"/>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152400</xdr:colOff>
      <xdr:row>38</xdr:row>
      <xdr:rowOff>516173</xdr:rowOff>
    </xdr:from>
    <xdr:to>
      <xdr:col>40</xdr:col>
      <xdr:colOff>361501</xdr:colOff>
      <xdr:row>45</xdr:row>
      <xdr:rowOff>136487</xdr:rowOff>
    </xdr:to>
    <xdr:graphicFrame macro="">
      <xdr:nvGraphicFramePr>
        <xdr:cNvPr id="5" name="Chart 4">
          <a:extLst>
            <a:ext uri="{FF2B5EF4-FFF2-40B4-BE49-F238E27FC236}">
              <a16:creationId xmlns:a16="http://schemas.microsoft.com/office/drawing/2014/main" id="{B9B2FA67-61C6-4B50-AB27-77776FBB0ADB}"/>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46</xdr:row>
      <xdr:rowOff>125473</xdr:rowOff>
    </xdr:from>
    <xdr:to>
      <xdr:col>39</xdr:col>
      <xdr:colOff>190818</xdr:colOff>
      <xdr:row>54</xdr:row>
      <xdr:rowOff>19882</xdr:rowOff>
    </xdr:to>
    <xdr:graphicFrame macro="">
      <xdr:nvGraphicFramePr>
        <xdr:cNvPr id="6" name="Chart 5">
          <a:extLst>
            <a:ext uri="{FF2B5EF4-FFF2-40B4-BE49-F238E27FC236}">
              <a16:creationId xmlns:a16="http://schemas.microsoft.com/office/drawing/2014/main" id="{E9892C02-E7A9-49CA-8CD3-E8B2C595087F}"/>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437030</xdr:colOff>
      <xdr:row>61</xdr:row>
      <xdr:rowOff>0</xdr:rowOff>
    </xdr:from>
    <xdr:to>
      <xdr:col>41</xdr:col>
      <xdr:colOff>49530</xdr:colOff>
      <xdr:row>66</xdr:row>
      <xdr:rowOff>0</xdr:rowOff>
    </xdr:to>
    <xdr:graphicFrame macro="">
      <xdr:nvGraphicFramePr>
        <xdr:cNvPr id="7" name="Chart 6">
          <a:extLst>
            <a:ext uri="{FF2B5EF4-FFF2-40B4-BE49-F238E27FC236}">
              <a16:creationId xmlns:a16="http://schemas.microsoft.com/office/drawing/2014/main" id="{FDE7264D-3849-4FA7-8FFB-5D5521A48869}"/>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0</xdr:colOff>
      <xdr:row>68</xdr:row>
      <xdr:rowOff>58881</xdr:rowOff>
    </xdr:from>
    <xdr:to>
      <xdr:col>41</xdr:col>
      <xdr:colOff>65725</xdr:colOff>
      <xdr:row>73</xdr:row>
      <xdr:rowOff>177718</xdr:rowOff>
    </xdr:to>
    <xdr:graphicFrame macro="">
      <xdr:nvGraphicFramePr>
        <xdr:cNvPr id="8" name="Chart 7">
          <a:extLst>
            <a:ext uri="{FF2B5EF4-FFF2-40B4-BE49-F238E27FC236}">
              <a16:creationId xmlns:a16="http://schemas.microsoft.com/office/drawing/2014/main" id="{89B5BD6E-5FAE-4401-96E9-0F8E8A22A7C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74</xdr:row>
      <xdr:rowOff>101977</xdr:rowOff>
    </xdr:from>
    <xdr:to>
      <xdr:col>40</xdr:col>
      <xdr:colOff>420892</xdr:colOff>
      <xdr:row>83</xdr:row>
      <xdr:rowOff>125169</xdr:rowOff>
    </xdr:to>
    <xdr:graphicFrame macro="">
      <xdr:nvGraphicFramePr>
        <xdr:cNvPr id="9" name="Chart 8">
          <a:extLst>
            <a:ext uri="{FF2B5EF4-FFF2-40B4-BE49-F238E27FC236}">
              <a16:creationId xmlns:a16="http://schemas.microsoft.com/office/drawing/2014/main" id="{A44F5D36-B2DB-4F52-9D7B-EBFCACFFCD37}"/>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362D15E3-FFED-400F-8E21-98656DD0011F}"/>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D9CD7CA6-BA17-4C3B-AA6F-214A324AB6BC}"/>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34</xdr:col>
      <xdr:colOff>97043</xdr:colOff>
      <xdr:row>2</xdr:row>
      <xdr:rowOff>554467</xdr:rowOff>
    </xdr:from>
    <xdr:to>
      <xdr:col>41</xdr:col>
      <xdr:colOff>470647</xdr:colOff>
      <xdr:row>9</xdr:row>
      <xdr:rowOff>0</xdr:rowOff>
    </xdr:to>
    <xdr:graphicFrame macro="">
      <xdr:nvGraphicFramePr>
        <xdr:cNvPr id="2" name="Chart 2">
          <a:extLst>
            <a:ext uri="{FF2B5EF4-FFF2-40B4-BE49-F238E27FC236}">
              <a16:creationId xmlns:a16="http://schemas.microsoft.com/office/drawing/2014/main" id="{A57075A0-AEEF-4FA8-A71B-BA36776F0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95250</xdr:colOff>
      <xdr:row>24</xdr:row>
      <xdr:rowOff>131637</xdr:rowOff>
    </xdr:from>
    <xdr:to>
      <xdr:col>40</xdr:col>
      <xdr:colOff>243840</xdr:colOff>
      <xdr:row>31</xdr:row>
      <xdr:rowOff>95251</xdr:rowOff>
    </xdr:to>
    <xdr:graphicFrame macro="">
      <xdr:nvGraphicFramePr>
        <xdr:cNvPr id="3" name="Chart 2">
          <a:extLst>
            <a:ext uri="{FF2B5EF4-FFF2-40B4-BE49-F238E27FC236}">
              <a16:creationId xmlns:a16="http://schemas.microsoft.com/office/drawing/2014/main" id="{B81338F8-63A7-459C-90F2-0B2CCE7D114E}"/>
            </a:ext>
            <a:ext uri="{147F2762-F138-4A5C-976F-8EAC2B608ADB}">
              <a16:predDERef xmlns:a16="http://schemas.microsoft.com/office/drawing/2014/main" pred="{A1590DEE-FF63-44A5-9F16-36408157C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89085</xdr:colOff>
      <xdr:row>31</xdr:row>
      <xdr:rowOff>122976</xdr:rowOff>
    </xdr:from>
    <xdr:to>
      <xdr:col>40</xdr:col>
      <xdr:colOff>401505</xdr:colOff>
      <xdr:row>38</xdr:row>
      <xdr:rowOff>169993</xdr:rowOff>
    </xdr:to>
    <xdr:graphicFrame macro="">
      <xdr:nvGraphicFramePr>
        <xdr:cNvPr id="4" name="Chart 3">
          <a:extLst>
            <a:ext uri="{FF2B5EF4-FFF2-40B4-BE49-F238E27FC236}">
              <a16:creationId xmlns:a16="http://schemas.microsoft.com/office/drawing/2014/main" id="{00D1ED5E-7278-4752-AAFA-6714C2E80DFB}"/>
            </a:ext>
            <a:ext uri="{147F2762-F138-4A5C-976F-8EAC2B608ADB}">
              <a16:predDERef xmlns:a16="http://schemas.microsoft.com/office/drawing/2014/main" pred="{1EA28D03-FD1A-4980-98B6-EC81FDE9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152400</xdr:colOff>
      <xdr:row>38</xdr:row>
      <xdr:rowOff>516173</xdr:rowOff>
    </xdr:from>
    <xdr:to>
      <xdr:col>40</xdr:col>
      <xdr:colOff>361501</xdr:colOff>
      <xdr:row>45</xdr:row>
      <xdr:rowOff>136487</xdr:rowOff>
    </xdr:to>
    <xdr:graphicFrame macro="">
      <xdr:nvGraphicFramePr>
        <xdr:cNvPr id="5" name="Chart 4">
          <a:extLst>
            <a:ext uri="{FF2B5EF4-FFF2-40B4-BE49-F238E27FC236}">
              <a16:creationId xmlns:a16="http://schemas.microsoft.com/office/drawing/2014/main" id="{383B2CF0-9699-40C9-84A9-4DA8C80CED27}"/>
            </a:ext>
            <a:ext uri="{147F2762-F138-4A5C-976F-8EAC2B608ADB}">
              <a16:predDERef xmlns:a16="http://schemas.microsoft.com/office/drawing/2014/main" pred="{A90A6204-3533-4387-939F-A35EF16A1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0</xdr:colOff>
      <xdr:row>46</xdr:row>
      <xdr:rowOff>125473</xdr:rowOff>
    </xdr:from>
    <xdr:to>
      <xdr:col>39</xdr:col>
      <xdr:colOff>190818</xdr:colOff>
      <xdr:row>54</xdr:row>
      <xdr:rowOff>19882</xdr:rowOff>
    </xdr:to>
    <xdr:graphicFrame macro="">
      <xdr:nvGraphicFramePr>
        <xdr:cNvPr id="6" name="Chart 5">
          <a:extLst>
            <a:ext uri="{FF2B5EF4-FFF2-40B4-BE49-F238E27FC236}">
              <a16:creationId xmlns:a16="http://schemas.microsoft.com/office/drawing/2014/main" id="{A5DEB3C8-221E-4681-94B2-374A424A9292}"/>
            </a:ext>
            <a:ext uri="{147F2762-F138-4A5C-976F-8EAC2B608ADB}">
              <a16:predDERef xmlns:a16="http://schemas.microsoft.com/office/drawing/2014/main" pred="{5159863B-2859-4E52-ADE7-B2A42EB4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1904</xdr:colOff>
      <xdr:row>55</xdr:row>
      <xdr:rowOff>115868</xdr:rowOff>
    </xdr:from>
    <xdr:to>
      <xdr:col>41</xdr:col>
      <xdr:colOff>47625</xdr:colOff>
      <xdr:row>61</xdr:row>
      <xdr:rowOff>0</xdr:rowOff>
    </xdr:to>
    <xdr:graphicFrame macro="">
      <xdr:nvGraphicFramePr>
        <xdr:cNvPr id="7" name="Chart 6">
          <a:extLst>
            <a:ext uri="{FF2B5EF4-FFF2-40B4-BE49-F238E27FC236}">
              <a16:creationId xmlns:a16="http://schemas.microsoft.com/office/drawing/2014/main" id="{7779ED6E-8254-4EBA-8751-6BD6C0A46E2B}"/>
            </a:ext>
            <a:ext uri="{147F2762-F138-4A5C-976F-8EAC2B608ADB}">
              <a16:predDERef xmlns:a16="http://schemas.microsoft.com/office/drawing/2014/main" pred="{838305F9-0D34-4D53-AAEC-AB53BC6BB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47625</xdr:colOff>
      <xdr:row>62</xdr:row>
      <xdr:rowOff>112221</xdr:rowOff>
    </xdr:from>
    <xdr:to>
      <xdr:col>41</xdr:col>
      <xdr:colOff>111445</xdr:colOff>
      <xdr:row>68</xdr:row>
      <xdr:rowOff>40558</xdr:rowOff>
    </xdr:to>
    <xdr:graphicFrame macro="">
      <xdr:nvGraphicFramePr>
        <xdr:cNvPr id="8" name="Chart 7">
          <a:extLst>
            <a:ext uri="{FF2B5EF4-FFF2-40B4-BE49-F238E27FC236}">
              <a16:creationId xmlns:a16="http://schemas.microsoft.com/office/drawing/2014/main" id="{6466D1E3-A5F1-4958-BA56-2F409103D081}"/>
            </a:ext>
            <a:ext uri="{147F2762-F138-4A5C-976F-8EAC2B608ADB}">
              <a16:predDERef xmlns:a16="http://schemas.microsoft.com/office/drawing/2014/main" pred="{589B3A5D-D3D5-4407-ABBE-438A553D4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133350</xdr:colOff>
      <xdr:row>69</xdr:row>
      <xdr:rowOff>101977</xdr:rowOff>
    </xdr:from>
    <xdr:to>
      <xdr:col>40</xdr:col>
      <xdr:colOff>420892</xdr:colOff>
      <xdr:row>78</xdr:row>
      <xdr:rowOff>125169</xdr:rowOff>
    </xdr:to>
    <xdr:graphicFrame macro="">
      <xdr:nvGraphicFramePr>
        <xdr:cNvPr id="9" name="Chart 8">
          <a:extLst>
            <a:ext uri="{FF2B5EF4-FFF2-40B4-BE49-F238E27FC236}">
              <a16:creationId xmlns:a16="http://schemas.microsoft.com/office/drawing/2014/main" id="{04EF5541-66E9-485C-ACCE-9CD5C159800D}"/>
            </a:ext>
            <a:ext uri="{147F2762-F138-4A5C-976F-8EAC2B608ADB}">
              <a16:predDERef xmlns:a16="http://schemas.microsoft.com/office/drawing/2014/main" pred="{B2770F42-9607-4B7E-8F9E-598A0E58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34</xdr:col>
      <xdr:colOff>98947</xdr:colOff>
      <xdr:row>16</xdr:row>
      <xdr:rowOff>113242</xdr:rowOff>
    </xdr:from>
    <xdr:to>
      <xdr:col>42</xdr:col>
      <xdr:colOff>0</xdr:colOff>
      <xdr:row>23</xdr:row>
      <xdr:rowOff>44824</xdr:rowOff>
    </xdr:to>
    <xdr:graphicFrame macro="">
      <xdr:nvGraphicFramePr>
        <xdr:cNvPr id="10" name="Chart 14">
          <a:extLst>
            <a:ext uri="{FF2B5EF4-FFF2-40B4-BE49-F238E27FC236}">
              <a16:creationId xmlns:a16="http://schemas.microsoft.com/office/drawing/2014/main" id="{14588AAD-9009-4020-B705-4E5C2A67B0C2}"/>
            </a:ext>
            <a:ext uri="{147F2762-F138-4A5C-976F-8EAC2B608ADB}">
              <a16:predDERef xmlns:a16="http://schemas.microsoft.com/office/drawing/2014/main" pred="{6727BEA4-186D-404D-9BD8-2F568E369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34</xdr:col>
      <xdr:colOff>54348</xdr:colOff>
      <xdr:row>9</xdr:row>
      <xdr:rowOff>89647</xdr:rowOff>
    </xdr:from>
    <xdr:to>
      <xdr:col>42</xdr:col>
      <xdr:colOff>56029</xdr:colOff>
      <xdr:row>15</xdr:row>
      <xdr:rowOff>190500</xdr:rowOff>
    </xdr:to>
    <xdr:graphicFrame macro="">
      <xdr:nvGraphicFramePr>
        <xdr:cNvPr id="11" name="Chart 10">
          <a:extLst>
            <a:ext uri="{FF2B5EF4-FFF2-40B4-BE49-F238E27FC236}">
              <a16:creationId xmlns:a16="http://schemas.microsoft.com/office/drawing/2014/main" id="{F0804D30-219B-4093-B641-6F744E4BDCAA}"/>
            </a:ext>
            <a:ext uri="{147F2762-F138-4A5C-976F-8EAC2B608ADB}">
              <a16:predDERef xmlns:a16="http://schemas.microsoft.com/office/drawing/2014/main" pred="{BB83CE61-2FB7-4B3F-8687-4DEA28DD8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rtnershealthcare.sharepoint.com/sites/FDAOpioidmodelingteam/Shared%20Documents/Opioid%20Model/Modeling%20files/Documentation%20Files/nx%20update%20Combined%20modeling%20files%20updated%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R kits and reversals"/>
      <sheetName val="lit review nx kits used"/>
      <sheetName val="LEO Nx estimate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Stringfellow, Erin" id="{E2EB7554-4E80-4485-A876-3AC210C7ABBD}" userId="Stringfellow, Erin" providerId="None"/>
  <person displayName="Stafford, Celia A." id="{2915C3EC-1AA1-4532-9734-A6C190918A1C}" userId="CASTAFFORD@mgh.harvard.edu" providerId="PeoplePicker"/>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DE592-5D1F-411A-9468-0F55A75F5F07}" name="Table6" displayName="Table6" ref="A36:T42" totalsRowShown="0">
  <autoFilter ref="A36:T42" xr:uid="{CD55B225-D5CC-CD49-A46C-6176B0B75F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97FB4846-F992-4E8E-AD0C-17F87D50C0F1}" name="Calendar year"/>
    <tableColumn id="19" xr3:uid="{AA4ED737-F295-4056-B827-B97FD814CCF0}" name="RDAS Variables Used" dataDxfId="17"/>
    <tableColumn id="2" xr3:uid="{A053688A-E4E0-4E45-A986-65A1F7A84381}" name="2002"/>
    <tableColumn id="3" xr3:uid="{21338993-95F3-4838-B53A-06B539D7BE05}" name="2003" dataDxfId="16"/>
    <tableColumn id="4" xr3:uid="{7F2F31B1-3D1E-45B6-A6DB-3CA506445815}" name="2004" dataDxfId="15"/>
    <tableColumn id="5" xr3:uid="{365F4E8C-4189-436D-910D-0C460A544002}" name="2005" dataDxfId="14"/>
    <tableColumn id="6" xr3:uid="{AFA235B8-7021-4951-9AC0-842440705CE3}" name="2006" dataDxfId="13"/>
    <tableColumn id="7" xr3:uid="{2A809B59-220E-4E0C-B4A4-BD88A76168BE}" name="2007" dataDxfId="12"/>
    <tableColumn id="8" xr3:uid="{12B6DEAC-16C9-46A9-BDEB-803CFB48D16F}" name="2008" dataDxfId="11"/>
    <tableColumn id="9" xr3:uid="{EE21EAA2-D640-4F7F-BDDF-222CA234CAC3}" name="2009" dataDxfId="10"/>
    <tableColumn id="10" xr3:uid="{9D028BAB-3326-4EFE-B37D-64740FC4F26C}" name="2010" dataDxfId="9"/>
    <tableColumn id="11" xr3:uid="{E3FAE980-3114-40F4-AE80-B2835920012C}" name="2011" dataDxfId="8"/>
    <tableColumn id="12" xr3:uid="{9BE74C4C-ABE6-41AA-BAA8-6D4F9D5C1759}" name="2012" dataDxfId="7"/>
    <tableColumn id="13" xr3:uid="{A6A67F2A-B1C5-490B-8846-F0E7214BA4A8}" name="2013" dataDxfId="6"/>
    <tableColumn id="14" xr3:uid="{81A383D4-9F31-4610-8AFD-9619FF4D32EE}" name="2014" dataDxfId="5"/>
    <tableColumn id="15" xr3:uid="{62A57E1F-CDE0-4F63-B878-DCD51CA34215}" name="2015" dataDxfId="4"/>
    <tableColumn id="16" xr3:uid="{6D332B79-8227-4C1D-9C84-B567768E8EEB}" name="2016" dataDxfId="3"/>
    <tableColumn id="17" xr3:uid="{42A2CD7A-57C7-4F36-B7DA-C706EB66A148}" name="2017" dataDxfId="2"/>
    <tableColumn id="18" xr3:uid="{4CC35A8E-FB8B-4B0C-9345-087CF2F91336}" name="2018" dataDxfId="1"/>
    <tableColumn id="20" xr3:uid="{D4F4EAA0-1F83-434C-9AD1-CB0F980C90C4}" name="2019"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98" dT="2021-04-14T14:09:56.47" personId="{E2EB7554-4E80-4485-A876-3AC210C7ABBD}" id="{018578F1-A137-4636-A740-58C058FBC390}">
    <text>@Stafford, Celia A. can you check these against the new table we got from OSE?</text>
    <mentions>
      <mention mentionpersonId="{2915C3EC-1AA1-4532-9734-A6C190918A1C}" mentionId="{0B18236A-FB64-4EB5-ADA6-4C6E9E08F4CB}" startIndex="0" length="19"/>
    </mentions>
  </threadedComment>
</ThreadedComments>
</file>

<file path=xl/worksheets/_rels/sheet1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unodc.un.org/drugs/heroin_and_cocaine_prices_in_eu_and_usa-20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pubmed/170882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dasis.samhsa.gov/dasis2/nssats/NSSATS_2019/2019-NSSATS-R.pdf" TargetMode="External"/><Relationship Id="rId1" Type="http://schemas.openxmlformats.org/officeDocument/2006/relationships/hyperlink" Target="https://www.samhsa.gov/data/sites/default/files/report_3192/ShortReport-3192.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mmwr/preview/mmwrhtml/mm6423a2.htm" TargetMode="External"/><Relationship Id="rId2" Type="http://schemas.openxmlformats.org/officeDocument/2006/relationships/hyperlink" Target="https://medium.com/@ejwharmreduction/harm-reduction-programs-distribute-one-million-doses-of-naloxone-in-2019-4884d3535256" TargetMode="External"/><Relationship Id="rId1" Type="http://schemas.openxmlformats.org/officeDocument/2006/relationships/hyperlink" Target="https://www.cdc.gov/mmwr/preview/mmwrhtml/mm6106a1.htm?s_cid=mm6106a1_w"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nflis.deadiversion.usdoj.gov/DesktopModules/ReportDownloads/Reports/13915NFLISdrugMidYear2020.pdf" TargetMode="External"/><Relationship Id="rId1" Type="http://schemas.openxmlformats.org/officeDocument/2006/relationships/hyperlink" Target="https://www.nflis.deadiversion.usdoj.gov/DesktopModules/ReportDownloads/Reports/NFLIS_Snapshot_032020.pdf"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512F0-B94B-4035-B5D3-54741C5764E3}">
  <dimension ref="A1:B52"/>
  <sheetViews>
    <sheetView zoomScaleNormal="100" workbookViewId="0">
      <selection activeCell="A12" sqref="A12:XFD12"/>
    </sheetView>
  </sheetViews>
  <sheetFormatPr defaultColWidth="8.89453125" defaultRowHeight="14.4"/>
  <cols>
    <col min="1" max="1" width="38.41796875" customWidth="1"/>
    <col min="2" max="2" width="20.89453125" customWidth="1"/>
  </cols>
  <sheetData>
    <row r="1" spans="1:2" ht="61.5" customHeight="1">
      <c r="A1" s="646" t="s">
        <v>0</v>
      </c>
      <c r="B1" s="646"/>
    </row>
    <row r="3" spans="1:2">
      <c r="A3" s="1" t="s">
        <v>1</v>
      </c>
      <c r="B3" s="1" t="s">
        <v>2</v>
      </c>
    </row>
    <row r="4" spans="1:2">
      <c r="A4" s="62" t="s">
        <v>3</v>
      </c>
      <c r="B4" t="s">
        <v>4</v>
      </c>
    </row>
    <row r="5" spans="1:2">
      <c r="A5" s="62" t="s">
        <v>5</v>
      </c>
      <c r="B5" t="s">
        <v>4</v>
      </c>
    </row>
    <row r="6" spans="1:2">
      <c r="A6" s="62" t="s">
        <v>6</v>
      </c>
      <c r="B6" t="s">
        <v>4</v>
      </c>
    </row>
    <row r="7" spans="1:2">
      <c r="A7" s="62" t="s">
        <v>7</v>
      </c>
      <c r="B7" t="s">
        <v>8</v>
      </c>
    </row>
    <row r="8" spans="1:2">
      <c r="A8" s="62" t="s">
        <v>9</v>
      </c>
      <c r="B8" t="s">
        <v>8</v>
      </c>
    </row>
    <row r="9" spans="1:2">
      <c r="A9" s="62" t="s">
        <v>10</v>
      </c>
      <c r="B9" t="s">
        <v>8</v>
      </c>
    </row>
    <row r="10" spans="1:2">
      <c r="A10" s="75" t="s">
        <v>11</v>
      </c>
      <c r="B10" t="s">
        <v>8</v>
      </c>
    </row>
    <row r="11" spans="1:2">
      <c r="A11" s="74" t="s">
        <v>12</v>
      </c>
      <c r="B11" t="s">
        <v>13</v>
      </c>
    </row>
    <row r="12" spans="1:2">
      <c r="A12" s="80" t="s">
        <v>14</v>
      </c>
      <c r="B12" t="s">
        <v>15</v>
      </c>
    </row>
    <row r="13" spans="1:2">
      <c r="A13" s="74" t="s">
        <v>16</v>
      </c>
      <c r="B13" t="s">
        <v>17</v>
      </c>
    </row>
    <row r="14" spans="1:2">
      <c r="A14" s="74" t="s">
        <v>18</v>
      </c>
      <c r="B14" t="s">
        <v>17</v>
      </c>
    </row>
    <row r="15" spans="1:2">
      <c r="A15" s="74" t="s">
        <v>19</v>
      </c>
      <c r="B15" t="s">
        <v>17</v>
      </c>
    </row>
    <row r="16" spans="1:2">
      <c r="A16" s="74" t="s">
        <v>20</v>
      </c>
      <c r="B16" t="s">
        <v>21</v>
      </c>
    </row>
    <row r="17" spans="1:2">
      <c r="A17" s="74" t="s">
        <v>22</v>
      </c>
      <c r="B17" t="s">
        <v>23</v>
      </c>
    </row>
    <row r="18" spans="1:2" ht="15.6">
      <c r="A18" s="76" t="s">
        <v>24</v>
      </c>
      <c r="B18" t="s">
        <v>23</v>
      </c>
    </row>
    <row r="19" spans="1:2" ht="15.6">
      <c r="A19" s="76" t="s">
        <v>25</v>
      </c>
      <c r="B19" t="s">
        <v>26</v>
      </c>
    </row>
    <row r="20" spans="1:2">
      <c r="A20" s="78" t="s">
        <v>27</v>
      </c>
      <c r="B20" t="s">
        <v>28</v>
      </c>
    </row>
    <row r="21" spans="1:2">
      <c r="A21" s="78" t="s">
        <v>29</v>
      </c>
      <c r="B21" t="s">
        <v>28</v>
      </c>
    </row>
    <row r="22" spans="1:2">
      <c r="A22" s="26" t="s">
        <v>30</v>
      </c>
      <c r="B22" t="s">
        <v>28</v>
      </c>
    </row>
    <row r="23" spans="1:2">
      <c r="A23" s="26" t="s">
        <v>31</v>
      </c>
      <c r="B23" t="s">
        <v>28</v>
      </c>
    </row>
    <row r="24" spans="1:2">
      <c r="A24" s="78" t="s">
        <v>32</v>
      </c>
      <c r="B24" t="s">
        <v>28</v>
      </c>
    </row>
    <row r="25" spans="1:2">
      <c r="A25" s="78" t="s">
        <v>33</v>
      </c>
      <c r="B25" t="s">
        <v>28</v>
      </c>
    </row>
    <row r="26" spans="1:2">
      <c r="A26" s="78" t="s">
        <v>34</v>
      </c>
      <c r="B26" s="51" t="s">
        <v>35</v>
      </c>
    </row>
    <row r="27" spans="1:2">
      <c r="A27" s="78" t="s">
        <v>36</v>
      </c>
      <c r="B27" s="51" t="s">
        <v>35</v>
      </c>
    </row>
    <row r="28" spans="1:2">
      <c r="A28" s="78" t="s">
        <v>37</v>
      </c>
      <c r="B28" s="51" t="s">
        <v>35</v>
      </c>
    </row>
    <row r="29" spans="1:2">
      <c r="A29" s="78" t="s">
        <v>38</v>
      </c>
      <c r="B29" s="51" t="s">
        <v>35</v>
      </c>
    </row>
    <row r="30" spans="1:2">
      <c r="A30" s="78" t="s">
        <v>39</v>
      </c>
      <c r="B30" s="51" t="s">
        <v>35</v>
      </c>
    </row>
    <row r="31" spans="1:2">
      <c r="A31" s="78" t="s">
        <v>40</v>
      </c>
      <c r="B31" s="51" t="s">
        <v>35</v>
      </c>
    </row>
    <row r="32" spans="1:2">
      <c r="A32" s="78" t="s">
        <v>41</v>
      </c>
      <c r="B32" s="51" t="s">
        <v>35</v>
      </c>
    </row>
    <row r="33" spans="1:2">
      <c r="A33" s="78" t="s">
        <v>42</v>
      </c>
      <c r="B33" t="s">
        <v>43</v>
      </c>
    </row>
    <row r="34" spans="1:2">
      <c r="A34" s="78" t="s">
        <v>44</v>
      </c>
      <c r="B34" t="s">
        <v>43</v>
      </c>
    </row>
    <row r="35" spans="1:2">
      <c r="A35" s="78" t="s">
        <v>45</v>
      </c>
      <c r="B35" t="s">
        <v>43</v>
      </c>
    </row>
    <row r="36" spans="1:2">
      <c r="A36" s="78" t="s">
        <v>46</v>
      </c>
      <c r="B36" t="s">
        <v>43</v>
      </c>
    </row>
    <row r="37" spans="1:2">
      <c r="A37" s="78" t="s">
        <v>47</v>
      </c>
      <c r="B37" t="s">
        <v>43</v>
      </c>
    </row>
    <row r="38" spans="1:2">
      <c r="A38" s="78" t="s">
        <v>48</v>
      </c>
      <c r="B38" t="s">
        <v>43</v>
      </c>
    </row>
    <row r="39" spans="1:2">
      <c r="A39" s="79" t="s">
        <v>49</v>
      </c>
      <c r="B39" t="s">
        <v>43</v>
      </c>
    </row>
    <row r="40" spans="1:2">
      <c r="A40" s="26" t="s">
        <v>50</v>
      </c>
      <c r="B40" t="s">
        <v>51</v>
      </c>
    </row>
    <row r="41" spans="1:2">
      <c r="A41" s="26" t="s">
        <v>6</v>
      </c>
      <c r="B41" t="s">
        <v>52</v>
      </c>
    </row>
    <row r="42" spans="1:2">
      <c r="A42" s="26" t="s">
        <v>53</v>
      </c>
      <c r="B42" t="s">
        <v>54</v>
      </c>
    </row>
    <row r="43" spans="1:2">
      <c r="A43" s="170" t="s">
        <v>55</v>
      </c>
      <c r="B43" t="s">
        <v>52</v>
      </c>
    </row>
    <row r="44" spans="1:2">
      <c r="A44" s="171" t="s">
        <v>56</v>
      </c>
      <c r="B44" t="s">
        <v>57</v>
      </c>
    </row>
    <row r="45" spans="1:2">
      <c r="A45" t="s">
        <v>58</v>
      </c>
      <c r="B45" t="s">
        <v>51</v>
      </c>
    </row>
    <row r="46" spans="1:2">
      <c r="A46" t="s">
        <v>59</v>
      </c>
      <c r="B46" t="s">
        <v>51</v>
      </c>
    </row>
    <row r="47" spans="1:2">
      <c r="A47" t="s">
        <v>60</v>
      </c>
      <c r="B47" t="s">
        <v>51</v>
      </c>
    </row>
    <row r="48" spans="1:2">
      <c r="A48" s="170" t="s">
        <v>61</v>
      </c>
      <c r="B48" t="s">
        <v>62</v>
      </c>
    </row>
    <row r="49" spans="1:2">
      <c r="A49" s="170" t="s">
        <v>63</v>
      </c>
      <c r="B49" t="s">
        <v>62</v>
      </c>
    </row>
    <row r="50" spans="1:2">
      <c r="A50" s="170" t="s">
        <v>64</v>
      </c>
      <c r="B50" t="s">
        <v>65</v>
      </c>
    </row>
    <row r="51" spans="1:2">
      <c r="A51" s="171" t="s">
        <v>66</v>
      </c>
      <c r="B51" t="s">
        <v>65</v>
      </c>
    </row>
    <row r="52" spans="1:2">
      <c r="A52" s="170" t="s">
        <v>67</v>
      </c>
      <c r="B52" t="s">
        <v>65</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58E1-8DD1-4410-9A50-0483FB241AEE}">
  <dimension ref="A1:AI397"/>
  <sheetViews>
    <sheetView topLeftCell="A5" zoomScale="63" zoomScaleNormal="85" workbookViewId="0">
      <selection activeCell="S30" sqref="S30"/>
    </sheetView>
  </sheetViews>
  <sheetFormatPr defaultColWidth="8.89453125" defaultRowHeight="14.4"/>
  <cols>
    <col min="1" max="1" width="20.41796875" customWidth="1"/>
    <col min="2" max="2" width="11.89453125" customWidth="1"/>
    <col min="4" max="4" width="7.89453125" customWidth="1"/>
    <col min="9" max="9" width="10.41796875" customWidth="1"/>
    <col min="10" max="10" width="9.41796875" customWidth="1"/>
    <col min="11" max="11" width="10" customWidth="1"/>
    <col min="12" max="12" width="10.41796875" customWidth="1"/>
    <col min="14" max="14" width="10.41796875" customWidth="1"/>
    <col min="16" max="16" width="6" bestFit="1" customWidth="1"/>
    <col min="18" max="18" width="8.41796875" customWidth="1"/>
    <col min="19" max="19" width="12.41796875" bestFit="1" customWidth="1"/>
    <col min="20" max="20" width="13.3125" customWidth="1"/>
    <col min="21" max="21" width="10" customWidth="1"/>
    <col min="22" max="22" width="14.41796875" customWidth="1"/>
    <col min="23" max="23" width="11.41796875" customWidth="1"/>
    <col min="24" max="24" width="14.41796875" customWidth="1"/>
    <col min="25" max="25" width="14.1015625" customWidth="1"/>
    <col min="26" max="26" width="8.41796875" bestFit="1" customWidth="1"/>
    <col min="27" max="27" width="12.41796875" bestFit="1" customWidth="1"/>
    <col min="28" max="28" width="15.41796875" bestFit="1" customWidth="1"/>
    <col min="29" max="29" width="14.41796875" bestFit="1" customWidth="1"/>
  </cols>
  <sheetData>
    <row r="1" spans="1:35">
      <c r="B1" s="4">
        <v>1999</v>
      </c>
      <c r="C1" s="4">
        <v>2000</v>
      </c>
      <c r="D1" s="4">
        <v>2001</v>
      </c>
      <c r="E1" s="4">
        <v>2002</v>
      </c>
      <c r="F1" s="4">
        <v>2003</v>
      </c>
      <c r="G1" s="4">
        <v>2004</v>
      </c>
      <c r="H1" s="4">
        <v>2005</v>
      </c>
      <c r="I1" s="4">
        <v>2006</v>
      </c>
      <c r="J1" s="4">
        <v>2007</v>
      </c>
      <c r="K1" s="4">
        <v>2008</v>
      </c>
      <c r="L1" s="4">
        <v>2009</v>
      </c>
      <c r="M1" s="4">
        <v>2010</v>
      </c>
      <c r="N1" s="4">
        <v>2011</v>
      </c>
      <c r="O1" s="4">
        <v>2012</v>
      </c>
      <c r="P1" s="4">
        <v>2013</v>
      </c>
      <c r="Q1" s="4">
        <v>2014</v>
      </c>
      <c r="R1" s="4">
        <v>2015</v>
      </c>
      <c r="S1" s="4">
        <v>2016</v>
      </c>
      <c r="T1" s="4">
        <v>2017</v>
      </c>
      <c r="U1" s="4">
        <v>2018</v>
      </c>
      <c r="V1" s="4">
        <v>2019</v>
      </c>
    </row>
    <row r="2" spans="1:35" ht="28.8">
      <c r="A2" s="84" t="s">
        <v>7</v>
      </c>
      <c r="B2" s="21">
        <f t="shared" ref="B2:D2" si="0">B51</f>
        <v>2870.7596401028277</v>
      </c>
      <c r="C2" s="21">
        <f t="shared" si="0"/>
        <v>2618.6778214102783</v>
      </c>
      <c r="D2" s="21">
        <f t="shared" si="0"/>
        <v>2394.2800057496047</v>
      </c>
      <c r="E2" s="21">
        <f t="shared" ref="E2:V2" si="1">E51</f>
        <v>2679.8392935019624</v>
      </c>
      <c r="F2" s="21">
        <f t="shared" si="1"/>
        <v>2606.3050053663774</v>
      </c>
      <c r="G2" s="21">
        <f t="shared" si="1"/>
        <v>2237.1267765280322</v>
      </c>
      <c r="H2" s="21">
        <f t="shared" si="1"/>
        <v>2330.7795319317729</v>
      </c>
      <c r="I2" s="21">
        <f t="shared" si="1"/>
        <v>2263.1599739668077</v>
      </c>
      <c r="J2" s="21">
        <f t="shared" si="1"/>
        <v>2697.3812016801608</v>
      </c>
      <c r="K2" s="21">
        <f t="shared" si="1"/>
        <v>3433.6430381204655</v>
      </c>
      <c r="L2" s="21">
        <f t="shared" si="1"/>
        <v>3615.2430710590797</v>
      </c>
      <c r="M2" s="21">
        <f t="shared" si="1"/>
        <v>3294.4584440623207</v>
      </c>
      <c r="N2" s="21">
        <f t="shared" si="1"/>
        <v>4814.9048011239765</v>
      </c>
      <c r="O2" s="21">
        <f t="shared" si="1"/>
        <v>6441.6934894968945</v>
      </c>
      <c r="P2" s="21">
        <f t="shared" si="1"/>
        <v>8691.5731087368604</v>
      </c>
      <c r="Q2" s="21">
        <f t="shared" si="1"/>
        <v>10045.523392673238</v>
      </c>
      <c r="R2" s="21">
        <f t="shared" si="1"/>
        <v>10780.562671806376</v>
      </c>
      <c r="S2" s="21">
        <f t="shared" si="1"/>
        <v>10031.407789036748</v>
      </c>
      <c r="T2" s="21">
        <f t="shared" si="1"/>
        <v>7603.2975937948622</v>
      </c>
      <c r="U2" s="21">
        <f t="shared" si="1"/>
        <v>6055.7969314665343</v>
      </c>
      <c r="V2" s="21">
        <f t="shared" si="1"/>
        <v>5344.9308817282599</v>
      </c>
    </row>
    <row r="3" spans="1:35" ht="32.1" customHeight="1">
      <c r="A3" s="84" t="s">
        <v>9</v>
      </c>
      <c r="B3" s="21">
        <f t="shared" ref="B3:D3" si="2">B52</f>
        <v>4098.1241278002208</v>
      </c>
      <c r="C3" s="21">
        <f t="shared" si="2"/>
        <v>4665.3283250811</v>
      </c>
      <c r="D3" s="21">
        <f t="shared" si="2"/>
        <v>5784.2417708782523</v>
      </c>
      <c r="E3" s="21">
        <f t="shared" ref="E3:V3" si="3">E52</f>
        <v>7542.8179241168773</v>
      </c>
      <c r="F3" s="21">
        <f t="shared" si="3"/>
        <v>8574.2373890135623</v>
      </c>
      <c r="G3" s="21">
        <f t="shared" si="3"/>
        <v>9535.136803557416</v>
      </c>
      <c r="H3" s="21">
        <f t="shared" si="3"/>
        <v>10534.791193970646</v>
      </c>
      <c r="I3" s="21">
        <f t="shared" si="3"/>
        <v>12213.27959648552</v>
      </c>
      <c r="J3" s="21">
        <f t="shared" si="3"/>
        <v>13350.172399099045</v>
      </c>
      <c r="K3" s="21">
        <f t="shared" si="3"/>
        <v>13585.234135667397</v>
      </c>
      <c r="L3" s="21">
        <f t="shared" si="3"/>
        <v>13542.390634358835</v>
      </c>
      <c r="M3" s="21">
        <f t="shared" si="3"/>
        <v>14509.050440310562</v>
      </c>
      <c r="N3" s="21">
        <f t="shared" si="3"/>
        <v>15049.067971513008</v>
      </c>
      <c r="O3" s="21">
        <f t="shared" si="3"/>
        <v>13854.762198302433</v>
      </c>
      <c r="P3" s="21">
        <f t="shared" si="3"/>
        <v>13006.523134585559</v>
      </c>
      <c r="Q3" s="21">
        <f t="shared" si="3"/>
        <v>12728.554877151684</v>
      </c>
      <c r="R3" s="21">
        <f t="shared" si="3"/>
        <v>12254.54968561408</v>
      </c>
      <c r="S3" s="21">
        <f t="shared" si="3"/>
        <v>12132.595043340252</v>
      </c>
      <c r="T3" s="21">
        <f t="shared" si="3"/>
        <v>10843.240084849263</v>
      </c>
      <c r="U3" s="21">
        <f t="shared" si="3"/>
        <v>8871.7119300599425</v>
      </c>
      <c r="V3" s="21">
        <f t="shared" si="3"/>
        <v>7633.7305661751316</v>
      </c>
    </row>
    <row r="4" spans="1:35" ht="45" customHeight="1">
      <c r="A4" s="84" t="s">
        <v>325</v>
      </c>
      <c r="B4" s="21">
        <f t="shared" ref="B4:D4" si="4">B53</f>
        <v>1058.5833639368343</v>
      </c>
      <c r="C4" s="21">
        <f t="shared" si="4"/>
        <v>1098.062489329008</v>
      </c>
      <c r="D4" s="21">
        <f t="shared" si="4"/>
        <v>1286.6011211729194</v>
      </c>
      <c r="E4" s="21">
        <f t="shared" ref="E4:V4" si="5">E53</f>
        <v>1664.3349324029655</v>
      </c>
      <c r="F4" s="21">
        <f t="shared" si="5"/>
        <v>1751.0321006927504</v>
      </c>
      <c r="G4" s="21">
        <f t="shared" si="5"/>
        <v>1987.0878890923359</v>
      </c>
      <c r="H4" s="21">
        <f t="shared" si="5"/>
        <v>2029.3447044823483</v>
      </c>
      <c r="I4" s="21">
        <f t="shared" si="5"/>
        <v>2971.7568499837294</v>
      </c>
      <c r="J4" s="21">
        <f t="shared" si="5"/>
        <v>2487.195653497291</v>
      </c>
      <c r="K4" s="21">
        <f t="shared" si="5"/>
        <v>2582.8688817229067</v>
      </c>
      <c r="L4" s="21">
        <f t="shared" si="5"/>
        <v>3256.2827661312276</v>
      </c>
      <c r="M4" s="21">
        <f t="shared" si="5"/>
        <v>3265.8301287061645</v>
      </c>
      <c r="N4" s="21">
        <f t="shared" si="5"/>
        <v>2905.5460006782619</v>
      </c>
      <c r="O4" s="21">
        <f t="shared" si="5"/>
        <v>2822.7150647256863</v>
      </c>
      <c r="P4" s="21">
        <f t="shared" si="5"/>
        <v>3137.7520248147512</v>
      </c>
      <c r="Q4" s="21">
        <f t="shared" si="5"/>
        <v>4784.0352729145216</v>
      </c>
      <c r="R4" s="21">
        <f t="shared" si="5"/>
        <v>7256.6321526746497</v>
      </c>
      <c r="S4" s="21">
        <f t="shared" si="5"/>
        <v>14188.194408497131</v>
      </c>
      <c r="T4" s="21">
        <f t="shared" si="5"/>
        <v>21041.159135223159</v>
      </c>
      <c r="U4" s="21">
        <f t="shared" si="5"/>
        <v>22833.065374045142</v>
      </c>
      <c r="V4" s="21">
        <f t="shared" si="5"/>
        <v>28216.687905819526</v>
      </c>
    </row>
    <row r="5" spans="1:35" ht="28.8">
      <c r="A5" s="84" t="s">
        <v>10</v>
      </c>
      <c r="B5" s="21">
        <f>B54</f>
        <v>35.532868160117516</v>
      </c>
      <c r="C5" s="21">
        <f>C54</f>
        <v>35.931364179614135</v>
      </c>
      <c r="D5" s="21">
        <f>D54</f>
        <v>36.877102199223806</v>
      </c>
      <c r="E5" s="21">
        <f t="shared" ref="E5:V5" si="6">E54</f>
        <v>39.007849978194507</v>
      </c>
      <c r="F5" s="21">
        <f t="shared" si="6"/>
        <v>35.42550492730998</v>
      </c>
      <c r="G5" s="21">
        <f t="shared" si="6"/>
        <v>27.648530822216408</v>
      </c>
      <c r="H5" s="21">
        <f t="shared" si="6"/>
        <v>64.084569615232056</v>
      </c>
      <c r="I5" s="21">
        <f t="shared" si="6"/>
        <v>140.80357956394403</v>
      </c>
      <c r="J5" s="21">
        <f t="shared" si="6"/>
        <v>28.250745723503986</v>
      </c>
      <c r="K5" s="21">
        <f t="shared" si="6"/>
        <v>45.253944489231834</v>
      </c>
      <c r="L5" s="21">
        <f t="shared" si="6"/>
        <v>59.083528450857607</v>
      </c>
      <c r="M5" s="21">
        <f t="shared" si="6"/>
        <v>61.660986920952531</v>
      </c>
      <c r="N5" s="21">
        <f t="shared" si="6"/>
        <v>77.481226684753651</v>
      </c>
      <c r="O5" s="21">
        <f t="shared" si="6"/>
        <v>106.82924747498696</v>
      </c>
      <c r="P5" s="21">
        <f t="shared" si="6"/>
        <v>279.15173186282959</v>
      </c>
      <c r="Q5" s="21">
        <f t="shared" si="6"/>
        <v>1160.8864572605562</v>
      </c>
      <c r="R5" s="21">
        <f t="shared" si="6"/>
        <v>2911.2554899048941</v>
      </c>
      <c r="S5" s="21">
        <f t="shared" si="6"/>
        <v>6080.8027591258697</v>
      </c>
      <c r="T5" s="21">
        <f t="shared" si="6"/>
        <v>8394.3031861327163</v>
      </c>
      <c r="U5" s="21">
        <f t="shared" si="6"/>
        <v>9335.4257644283825</v>
      </c>
      <c r="V5" s="21">
        <f t="shared" si="6"/>
        <v>8982.6506462770794</v>
      </c>
    </row>
    <row r="6" spans="1:35" s="18" customFormat="1" ht="87.75" customHeight="1">
      <c r="A6" s="718" t="s">
        <v>326</v>
      </c>
      <c r="B6" s="718"/>
      <c r="C6" s="718"/>
      <c r="D6" s="718"/>
      <c r="E6" s="718"/>
      <c r="F6" s="718"/>
      <c r="G6" s="718"/>
      <c r="H6" s="718"/>
      <c r="I6" s="718"/>
      <c r="J6" s="17"/>
      <c r="K6" s="17"/>
      <c r="L6" s="17"/>
      <c r="M6" s="17"/>
      <c r="N6" s="17"/>
      <c r="O6" s="17"/>
      <c r="P6" s="17"/>
      <c r="Q6" s="17"/>
      <c r="R6" s="17"/>
      <c r="S6" s="17"/>
      <c r="T6" s="17"/>
      <c r="U6" s="17"/>
      <c r="V6" s="17"/>
    </row>
    <row r="7" spans="1:35">
      <c r="A7" s="719" t="s">
        <v>327</v>
      </c>
      <c r="B7" s="720"/>
      <c r="C7" s="720"/>
      <c r="D7" s="720"/>
      <c r="E7" s="720"/>
      <c r="F7" s="720"/>
      <c r="G7" s="720"/>
      <c r="H7" s="720"/>
      <c r="I7" s="720"/>
      <c r="J7" s="720"/>
      <c r="K7" s="720"/>
      <c r="L7" s="720"/>
      <c r="M7" s="721"/>
      <c r="N7" s="722"/>
      <c r="O7" s="2"/>
      <c r="P7" s="2"/>
      <c r="Q7" s="2"/>
      <c r="R7" s="2"/>
      <c r="S7" s="2"/>
      <c r="T7" s="2"/>
      <c r="U7" s="2"/>
      <c r="V7" s="2"/>
    </row>
    <row r="8" spans="1:35" ht="15.6">
      <c r="A8" s="6"/>
      <c r="B8" s="723" t="s">
        <v>328</v>
      </c>
      <c r="C8" s="724"/>
      <c r="D8" s="724"/>
      <c r="E8" s="724"/>
      <c r="F8" s="724"/>
      <c r="G8" s="724"/>
      <c r="H8" s="724"/>
      <c r="I8" s="724"/>
      <c r="J8" s="724"/>
      <c r="K8" s="724"/>
      <c r="L8" s="724"/>
      <c r="M8" s="724"/>
      <c r="N8" s="721"/>
      <c r="O8" s="2"/>
      <c r="P8" s="2"/>
      <c r="Q8" s="2"/>
      <c r="R8" s="717" t="s">
        <v>329</v>
      </c>
      <c r="S8" s="717"/>
      <c r="T8" s="717"/>
      <c r="U8" s="717"/>
      <c r="V8" s="717" t="s">
        <v>330</v>
      </c>
      <c r="W8" s="717"/>
      <c r="X8" s="717"/>
      <c r="Y8" s="717"/>
      <c r="Z8" s="715" t="s">
        <v>331</v>
      </c>
      <c r="AA8" s="715"/>
      <c r="AB8" s="715"/>
      <c r="AC8" s="715"/>
      <c r="AD8" s="716" t="s">
        <v>332</v>
      </c>
      <c r="AE8" s="716"/>
      <c r="AF8" s="716"/>
      <c r="AG8" s="716"/>
    </row>
    <row r="9" spans="1:35" ht="57.6">
      <c r="A9" s="7" t="s">
        <v>164</v>
      </c>
      <c r="B9" s="340" t="s">
        <v>333</v>
      </c>
      <c r="C9" s="341" t="s">
        <v>334</v>
      </c>
      <c r="D9" s="342" t="s">
        <v>335</v>
      </c>
      <c r="E9" s="341" t="s">
        <v>336</v>
      </c>
      <c r="F9" s="342" t="s">
        <v>337</v>
      </c>
      <c r="G9" s="342" t="s">
        <v>338</v>
      </c>
      <c r="H9" s="341" t="s">
        <v>339</v>
      </c>
      <c r="I9" s="342" t="s">
        <v>340</v>
      </c>
      <c r="J9" s="342" t="s">
        <v>341</v>
      </c>
      <c r="K9" s="342" t="s">
        <v>342</v>
      </c>
      <c r="L9" s="342" t="s">
        <v>343</v>
      </c>
      <c r="M9" s="341" t="s">
        <v>344</v>
      </c>
      <c r="N9" s="340" t="s">
        <v>345</v>
      </c>
      <c r="O9" s="8"/>
      <c r="P9" s="8"/>
      <c r="Q9" s="9" t="s">
        <v>346</v>
      </c>
      <c r="R9" s="196" t="s">
        <v>347</v>
      </c>
      <c r="S9" s="196" t="s">
        <v>348</v>
      </c>
      <c r="T9" s="196" t="s">
        <v>349</v>
      </c>
      <c r="U9" s="196" t="s">
        <v>350</v>
      </c>
      <c r="V9" s="196" t="s">
        <v>351</v>
      </c>
      <c r="W9" s="196" t="s">
        <v>352</v>
      </c>
      <c r="X9" s="196" t="s">
        <v>353</v>
      </c>
      <c r="Y9" s="196" t="s">
        <v>354</v>
      </c>
      <c r="Z9" s="196" t="s">
        <v>347</v>
      </c>
      <c r="AA9" s="196" t="s">
        <v>348</v>
      </c>
      <c r="AB9" s="196" t="s">
        <v>349</v>
      </c>
      <c r="AC9" s="196" t="s">
        <v>350</v>
      </c>
      <c r="AD9" s="406" t="s">
        <v>347</v>
      </c>
      <c r="AE9" s="406" t="s">
        <v>348</v>
      </c>
      <c r="AF9" s="406" t="s">
        <v>349</v>
      </c>
      <c r="AG9" s="406" t="s">
        <v>350</v>
      </c>
    </row>
    <row r="10" spans="1:35">
      <c r="A10" s="241">
        <v>1999</v>
      </c>
      <c r="B10" s="345">
        <v>2608</v>
      </c>
      <c r="C10" s="343">
        <v>133</v>
      </c>
      <c r="D10" s="343">
        <v>528</v>
      </c>
      <c r="E10" s="343">
        <v>160</v>
      </c>
      <c r="F10" s="343">
        <v>3</v>
      </c>
      <c r="G10" s="343">
        <v>1319</v>
      </c>
      <c r="H10" s="343">
        <v>9</v>
      </c>
      <c r="I10" s="343">
        <v>92</v>
      </c>
      <c r="J10" s="343">
        <v>15</v>
      </c>
      <c r="K10" s="343">
        <v>564</v>
      </c>
      <c r="L10" s="343">
        <v>15</v>
      </c>
      <c r="M10" s="343">
        <v>2617</v>
      </c>
      <c r="N10" s="343">
        <v>8063</v>
      </c>
      <c r="O10" s="8"/>
      <c r="P10" s="8"/>
      <c r="Q10" s="12">
        <f>N10-SUM(R10:U10)</f>
        <v>2617</v>
      </c>
      <c r="R10" s="12">
        <f t="shared" ref="R10:R12" si="7">(B10+E10)</f>
        <v>2768</v>
      </c>
      <c r="S10" s="12">
        <f t="shared" ref="S10:S12" si="8">(G10+I10+D10)</f>
        <v>1939</v>
      </c>
      <c r="T10" s="12">
        <f t="shared" ref="T10:T12" si="9">(F10+K10+L10+C10)</f>
        <v>715</v>
      </c>
      <c r="U10" s="12">
        <f t="shared" ref="U10:U12" si="10">H10+J10</f>
        <v>24</v>
      </c>
      <c r="V10" s="346">
        <f t="shared" ref="V10:V12" si="11">R10/SUM($R10:$U10)</f>
        <v>0.50826294528094018</v>
      </c>
      <c r="W10" s="346">
        <f t="shared" ref="W10:Y12" si="12">S10/SUM($R10:$U10)</f>
        <v>0.35604113110539848</v>
      </c>
      <c r="X10" s="346">
        <f t="shared" si="12"/>
        <v>0.13128901946382665</v>
      </c>
      <c r="Y10" s="346">
        <f t="shared" si="12"/>
        <v>4.4069041498347415E-3</v>
      </c>
      <c r="Z10" s="12">
        <f t="shared" ref="Z10:AC13" si="13">V10*$M10</f>
        <v>1330.1241278002205</v>
      </c>
      <c r="AA10" s="12">
        <f t="shared" si="13"/>
        <v>931.7596401028278</v>
      </c>
      <c r="AB10" s="12">
        <f t="shared" si="13"/>
        <v>343.58336393683436</v>
      </c>
      <c r="AC10" s="12">
        <f t="shared" si="13"/>
        <v>11.532868160117518</v>
      </c>
      <c r="AD10" s="95">
        <f t="shared" ref="AD10:AD12" si="14">R10+Z10</f>
        <v>4098.1241278002208</v>
      </c>
      <c r="AE10" s="95">
        <f t="shared" ref="AE10:AE12" si="15">S10+AA10</f>
        <v>2870.7596401028277</v>
      </c>
      <c r="AF10" s="95">
        <f t="shared" ref="AF10:AF12" si="16">T10+AB10</f>
        <v>1058.5833639368343</v>
      </c>
      <c r="AG10" s="95">
        <f t="shared" ref="AG10:AG12" si="17">U10+AC10</f>
        <v>35.532868160117516</v>
      </c>
    </row>
    <row r="11" spans="1:35">
      <c r="A11" s="241">
        <v>2000</v>
      </c>
      <c r="B11" s="333">
        <v>3060</v>
      </c>
      <c r="C11" s="344">
        <v>158</v>
      </c>
      <c r="D11" s="344">
        <v>371</v>
      </c>
      <c r="E11" s="344">
        <v>186</v>
      </c>
      <c r="F11" s="344">
        <v>5</v>
      </c>
      <c r="G11" s="344">
        <v>1357</v>
      </c>
      <c r="H11" s="344">
        <v>14</v>
      </c>
      <c r="I11" s="344">
        <v>94</v>
      </c>
      <c r="J11" s="344">
        <v>11</v>
      </c>
      <c r="K11" s="344">
        <v>577</v>
      </c>
      <c r="L11" s="344">
        <v>24</v>
      </c>
      <c r="M11" s="344">
        <v>2561</v>
      </c>
      <c r="N11" s="344">
        <v>8418</v>
      </c>
      <c r="O11" s="8"/>
      <c r="P11" s="8"/>
      <c r="Q11" s="12">
        <f t="shared" ref="Q11:Q29" si="18">N11-SUM(R11:U11)</f>
        <v>2561</v>
      </c>
      <c r="R11" s="12">
        <f t="shared" si="7"/>
        <v>3246</v>
      </c>
      <c r="S11" s="12">
        <f t="shared" si="8"/>
        <v>1822</v>
      </c>
      <c r="T11" s="12">
        <f t="shared" si="9"/>
        <v>764</v>
      </c>
      <c r="U11" s="12">
        <f t="shared" si="10"/>
        <v>25</v>
      </c>
      <c r="V11" s="346">
        <f t="shared" si="11"/>
        <v>0.55420863923510333</v>
      </c>
      <c r="W11" s="346">
        <f t="shared" si="12"/>
        <v>0.31108075806726992</v>
      </c>
      <c r="X11" s="346">
        <f t="shared" si="12"/>
        <v>0.13044220590746117</v>
      </c>
      <c r="Y11" s="346">
        <f t="shared" si="12"/>
        <v>4.2683967901656142E-3</v>
      </c>
      <c r="Z11" s="12">
        <f t="shared" si="13"/>
        <v>1419.3283250810996</v>
      </c>
      <c r="AA11" s="12">
        <f t="shared" ref="AA11:AC13" si="19">W11*$M11</f>
        <v>796.67782141027828</v>
      </c>
      <c r="AB11" s="12">
        <f t="shared" si="13"/>
        <v>334.06248932900803</v>
      </c>
      <c r="AC11" s="12">
        <f t="shared" si="19"/>
        <v>10.931364179614137</v>
      </c>
      <c r="AD11" s="95">
        <f t="shared" si="14"/>
        <v>4665.3283250811</v>
      </c>
      <c r="AE11" s="95">
        <f t="shared" si="15"/>
        <v>2618.6778214102783</v>
      </c>
      <c r="AF11" s="95">
        <f t="shared" si="16"/>
        <v>1098.062489329008</v>
      </c>
      <c r="AG11" s="95">
        <f t="shared" si="17"/>
        <v>35.931364179614135</v>
      </c>
    </row>
    <row r="12" spans="1:35">
      <c r="A12" s="241">
        <v>2001</v>
      </c>
      <c r="B12" s="333">
        <v>4006</v>
      </c>
      <c r="C12" s="344">
        <v>183</v>
      </c>
      <c r="D12" s="344">
        <v>327</v>
      </c>
      <c r="E12" s="344">
        <v>229</v>
      </c>
      <c r="F12" s="344">
        <v>13</v>
      </c>
      <c r="G12" s="344">
        <v>1361</v>
      </c>
      <c r="H12" s="344">
        <v>11</v>
      </c>
      <c r="I12" s="344">
        <v>65</v>
      </c>
      <c r="J12" s="344">
        <v>16</v>
      </c>
      <c r="K12" s="344">
        <v>732</v>
      </c>
      <c r="L12" s="344">
        <v>14</v>
      </c>
      <c r="M12" s="344">
        <v>2545</v>
      </c>
      <c r="N12" s="344">
        <v>9502</v>
      </c>
      <c r="O12" s="8"/>
      <c r="P12" s="8"/>
      <c r="Q12" s="12">
        <f t="shared" si="18"/>
        <v>2545</v>
      </c>
      <c r="R12" s="12">
        <f t="shared" si="7"/>
        <v>4235</v>
      </c>
      <c r="S12" s="12">
        <f t="shared" si="8"/>
        <v>1753</v>
      </c>
      <c r="T12" s="12">
        <f t="shared" si="9"/>
        <v>942</v>
      </c>
      <c r="U12" s="12">
        <f t="shared" si="10"/>
        <v>27</v>
      </c>
      <c r="V12" s="346">
        <f t="shared" si="11"/>
        <v>0.60873939916630737</v>
      </c>
      <c r="W12" s="346">
        <f t="shared" si="12"/>
        <v>0.25197642662066982</v>
      </c>
      <c r="X12" s="346">
        <f t="shared" si="12"/>
        <v>0.13540319103061665</v>
      </c>
      <c r="Y12" s="346">
        <f t="shared" si="12"/>
        <v>3.8809831824062097E-3</v>
      </c>
      <c r="Z12" s="12">
        <f t="shared" si="13"/>
        <v>1549.2417708782523</v>
      </c>
      <c r="AA12" s="12">
        <f t="shared" si="13"/>
        <v>641.2800057496047</v>
      </c>
      <c r="AB12" s="12">
        <f t="shared" si="13"/>
        <v>344.60112117291936</v>
      </c>
      <c r="AC12" s="12">
        <f t="shared" si="13"/>
        <v>9.8771021992238044</v>
      </c>
      <c r="AD12" s="95">
        <f t="shared" si="14"/>
        <v>5784.2417708782523</v>
      </c>
      <c r="AE12" s="95">
        <f t="shared" si="15"/>
        <v>2394.2800057496047</v>
      </c>
      <c r="AF12" s="95">
        <f t="shared" si="16"/>
        <v>1286.6011211729194</v>
      </c>
      <c r="AG12" s="95">
        <f t="shared" si="17"/>
        <v>36.877102199223806</v>
      </c>
    </row>
    <row r="13" spans="1:35">
      <c r="A13" s="241">
        <v>2002</v>
      </c>
      <c r="B13" s="334">
        <v>5549</v>
      </c>
      <c r="C13" s="335">
        <v>312</v>
      </c>
      <c r="D13" s="334">
        <v>350</v>
      </c>
      <c r="E13" s="336">
        <v>252</v>
      </c>
      <c r="F13" s="337">
        <v>6</v>
      </c>
      <c r="G13" s="334">
        <v>1622</v>
      </c>
      <c r="H13" s="338">
        <v>11</v>
      </c>
      <c r="I13" s="334">
        <v>89</v>
      </c>
      <c r="J13" s="339">
        <v>19</v>
      </c>
      <c r="K13" s="337">
        <v>937</v>
      </c>
      <c r="L13" s="337">
        <v>25</v>
      </c>
      <c r="M13" s="11">
        <v>2754</v>
      </c>
      <c r="N13" s="11">
        <v>11926</v>
      </c>
      <c r="O13" s="2"/>
      <c r="P13" s="9"/>
      <c r="Q13" s="12">
        <f t="shared" si="18"/>
        <v>2754</v>
      </c>
      <c r="R13" s="12">
        <f>(B13+E13)</f>
        <v>5801</v>
      </c>
      <c r="S13" s="12">
        <f>(G13+I13+D13)</f>
        <v>2061</v>
      </c>
      <c r="T13" s="12">
        <f>(F13+K13+L13+C13)</f>
        <v>1280</v>
      </c>
      <c r="U13" s="12">
        <f>H13+J13</f>
        <v>30</v>
      </c>
      <c r="V13" s="346">
        <f>R13/SUM($R13:$U13)</f>
        <v>0.63246838203227218</v>
      </c>
      <c r="W13" s="346">
        <f t="shared" ref="W13:Y13" si="20">S13/SUM($R13:$U13)</f>
        <v>0.22470562581770606</v>
      </c>
      <c r="X13" s="346">
        <f t="shared" si="20"/>
        <v>0.13955516790231137</v>
      </c>
      <c r="Y13" s="346">
        <f t="shared" si="20"/>
        <v>3.2708242477104232E-3</v>
      </c>
      <c r="Z13" s="12">
        <f>V13*$M13</f>
        <v>1741.8179241168775</v>
      </c>
      <c r="AA13" s="12">
        <f t="shared" si="19"/>
        <v>618.83929350196252</v>
      </c>
      <c r="AB13" s="12">
        <f t="shared" si="13"/>
        <v>384.33493240296553</v>
      </c>
      <c r="AC13" s="12">
        <f t="shared" si="19"/>
        <v>9.0078499781945052</v>
      </c>
      <c r="AD13" s="95">
        <f>R13+Z13</f>
        <v>7542.8179241168773</v>
      </c>
      <c r="AE13" s="95">
        <f>S13+AA13</f>
        <v>2679.8392935019624</v>
      </c>
      <c r="AF13" s="95">
        <f>T13+AB13</f>
        <v>1664.3349324029655</v>
      </c>
      <c r="AG13" s="95">
        <f>U13+AC13</f>
        <v>39.007849978194507</v>
      </c>
      <c r="AI13" s="21"/>
    </row>
    <row r="14" spans="1:35">
      <c r="A14" s="241">
        <v>2003</v>
      </c>
      <c r="B14" s="10">
        <v>6489</v>
      </c>
      <c r="C14" s="11">
        <v>331</v>
      </c>
      <c r="D14" s="10">
        <v>334</v>
      </c>
      <c r="E14" s="11">
        <v>288</v>
      </c>
      <c r="F14" s="10">
        <v>9</v>
      </c>
      <c r="G14" s="10">
        <v>1652</v>
      </c>
      <c r="H14" s="11">
        <v>12</v>
      </c>
      <c r="I14" s="10">
        <v>74</v>
      </c>
      <c r="J14" s="10">
        <v>16</v>
      </c>
      <c r="K14" s="10">
        <v>1017</v>
      </c>
      <c r="L14" s="10">
        <v>27</v>
      </c>
      <c r="M14" s="11">
        <v>2718</v>
      </c>
      <c r="N14" s="11">
        <v>12967</v>
      </c>
      <c r="O14" s="2"/>
      <c r="P14" s="12"/>
      <c r="Q14" s="12">
        <f t="shared" si="18"/>
        <v>2718</v>
      </c>
      <c r="R14" s="12">
        <f t="shared" ref="R14:R30" si="21">(B14+E14)</f>
        <v>6777</v>
      </c>
      <c r="S14" s="12">
        <f t="shared" ref="S14:S30" si="22">(G14+I14+D14)</f>
        <v>2060</v>
      </c>
      <c r="T14" s="12">
        <f t="shared" ref="T14:T30" si="23">(F14+K14+L14+C14)</f>
        <v>1384</v>
      </c>
      <c r="U14" s="12">
        <f t="shared" ref="U14:U30" si="24">H14+J14</f>
        <v>28</v>
      </c>
      <c r="V14" s="346">
        <f t="shared" ref="V14:V30" si="25">R14/SUM($R14:$U14)</f>
        <v>0.66123524246267928</v>
      </c>
      <c r="W14" s="346">
        <f t="shared" ref="W14:W30" si="26">S14/SUM($R14:$U14)</f>
        <v>0.20099521904576056</v>
      </c>
      <c r="X14" s="346">
        <f t="shared" ref="X14:X30" si="27">T14/SUM($R14:$U14)</f>
        <v>0.13503756464045272</v>
      </c>
      <c r="Y14" s="346">
        <f t="shared" ref="Y14:Y30" si="28">U14/SUM($R14:$U14)</f>
        <v>2.7319738511074249E-3</v>
      </c>
      <c r="Z14" s="12">
        <f t="shared" ref="Z14:Z30" si="29">V14*$M14</f>
        <v>1797.2373890135623</v>
      </c>
      <c r="AA14" s="12">
        <f t="shared" ref="AA14:AA30" si="30">W14*$M14</f>
        <v>546.30500536637726</v>
      </c>
      <c r="AB14" s="12">
        <f t="shared" ref="AB14:AB30" si="31">X14*$M14</f>
        <v>367.03210069275048</v>
      </c>
      <c r="AC14" s="12">
        <f t="shared" ref="AC14:AC30" si="32">Y14*$M14</f>
        <v>7.4255049273099809</v>
      </c>
      <c r="AD14" s="95">
        <f t="shared" ref="AD14:AD30" si="33">R14+Z14</f>
        <v>8574.2373890135623</v>
      </c>
      <c r="AE14" s="95">
        <f t="shared" ref="AE14:AE30" si="34">S14+AA14</f>
        <v>2606.3050053663774</v>
      </c>
      <c r="AF14" s="95">
        <f t="shared" ref="AF14:AF30" si="35">T14+AB14</f>
        <v>1751.0321006927504</v>
      </c>
      <c r="AG14" s="95">
        <f t="shared" ref="AG14:AG30" si="36">U14+AC14</f>
        <v>35.42550492730998</v>
      </c>
      <c r="AI14" s="21"/>
    </row>
    <row r="15" spans="1:35">
      <c r="A15" s="241">
        <v>2004</v>
      </c>
      <c r="B15" s="10">
        <v>7621</v>
      </c>
      <c r="C15" s="11">
        <v>368</v>
      </c>
      <c r="D15" s="10">
        <v>265</v>
      </c>
      <c r="E15" s="11">
        <v>311</v>
      </c>
      <c r="F15" s="10">
        <v>11</v>
      </c>
      <c r="G15" s="10">
        <v>1517</v>
      </c>
      <c r="H15" s="11">
        <v>7</v>
      </c>
      <c r="I15" s="10">
        <v>79</v>
      </c>
      <c r="J15" s="10">
        <v>16</v>
      </c>
      <c r="K15" s="10">
        <v>1237</v>
      </c>
      <c r="L15" s="10">
        <v>37</v>
      </c>
      <c r="M15" s="11">
        <v>2318</v>
      </c>
      <c r="N15" s="11">
        <v>13787</v>
      </c>
      <c r="O15" s="2"/>
      <c r="P15" s="12"/>
      <c r="Q15" s="12">
        <f t="shared" si="18"/>
        <v>2318</v>
      </c>
      <c r="R15" s="12">
        <f t="shared" si="21"/>
        <v>7932</v>
      </c>
      <c r="S15" s="12">
        <f t="shared" si="22"/>
        <v>1861</v>
      </c>
      <c r="T15" s="12">
        <f t="shared" si="23"/>
        <v>1653</v>
      </c>
      <c r="U15" s="12">
        <f t="shared" si="24"/>
        <v>23</v>
      </c>
      <c r="V15" s="346">
        <f t="shared" si="25"/>
        <v>0.69160345278577029</v>
      </c>
      <c r="W15" s="346">
        <f t="shared" si="26"/>
        <v>0.16226349289388786</v>
      </c>
      <c r="X15" s="346">
        <f t="shared" si="27"/>
        <v>0.14412764844363066</v>
      </c>
      <c r="Y15" s="346">
        <f t="shared" si="28"/>
        <v>2.0054058767111343E-3</v>
      </c>
      <c r="Z15" s="12">
        <f t="shared" si="29"/>
        <v>1603.1368035574155</v>
      </c>
      <c r="AA15" s="12">
        <f t="shared" si="30"/>
        <v>376.12677652803205</v>
      </c>
      <c r="AB15" s="12">
        <f t="shared" si="31"/>
        <v>334.08788909233584</v>
      </c>
      <c r="AC15" s="12">
        <f t="shared" si="32"/>
        <v>4.6485308222164097</v>
      </c>
      <c r="AD15" s="95">
        <f t="shared" si="33"/>
        <v>9535.136803557416</v>
      </c>
      <c r="AE15" s="95">
        <f t="shared" si="34"/>
        <v>2237.1267765280322</v>
      </c>
      <c r="AF15" s="95">
        <f t="shared" si="35"/>
        <v>1987.0878890923359</v>
      </c>
      <c r="AG15" s="95">
        <f t="shared" si="36"/>
        <v>27.648530822216408</v>
      </c>
      <c r="AI15" s="21"/>
    </row>
    <row r="16" spans="1:35">
      <c r="A16" s="241">
        <v>2005</v>
      </c>
      <c r="B16" s="10">
        <v>8499</v>
      </c>
      <c r="C16" s="11">
        <v>408</v>
      </c>
      <c r="D16" s="10">
        <v>314</v>
      </c>
      <c r="E16" s="11">
        <v>378</v>
      </c>
      <c r="F16" s="10">
        <v>16</v>
      </c>
      <c r="G16" s="10">
        <v>1570</v>
      </c>
      <c r="H16" s="11">
        <v>30</v>
      </c>
      <c r="I16" s="10">
        <v>80</v>
      </c>
      <c r="J16" s="10">
        <v>24</v>
      </c>
      <c r="K16" s="10">
        <v>1258</v>
      </c>
      <c r="L16" s="10">
        <v>28</v>
      </c>
      <c r="M16" s="11">
        <v>2354</v>
      </c>
      <c r="N16" s="11">
        <v>14959</v>
      </c>
      <c r="O16" s="2"/>
      <c r="P16" s="12"/>
      <c r="Q16" s="12">
        <f t="shared" si="18"/>
        <v>2354</v>
      </c>
      <c r="R16" s="12">
        <f t="shared" si="21"/>
        <v>8877</v>
      </c>
      <c r="S16" s="12">
        <f t="shared" si="22"/>
        <v>1964</v>
      </c>
      <c r="T16" s="12">
        <f t="shared" si="23"/>
        <v>1710</v>
      </c>
      <c r="U16" s="12">
        <f t="shared" si="24"/>
        <v>54</v>
      </c>
      <c r="V16" s="346">
        <f t="shared" si="25"/>
        <v>0.70424434748115827</v>
      </c>
      <c r="W16" s="346">
        <f t="shared" si="26"/>
        <v>0.1558111860372868</v>
      </c>
      <c r="X16" s="346">
        <f t="shared" si="27"/>
        <v>0.13566045220150733</v>
      </c>
      <c r="Y16" s="346">
        <f t="shared" si="28"/>
        <v>4.2840142800475997E-3</v>
      </c>
      <c r="Z16" s="12">
        <f t="shared" si="29"/>
        <v>1657.7911939706466</v>
      </c>
      <c r="AA16" s="12">
        <f t="shared" si="30"/>
        <v>366.77953193177314</v>
      </c>
      <c r="AB16" s="12">
        <f t="shared" si="31"/>
        <v>319.34470448234822</v>
      </c>
      <c r="AC16" s="12">
        <f t="shared" si="32"/>
        <v>10.08456961523205</v>
      </c>
      <c r="AD16" s="95">
        <f t="shared" si="33"/>
        <v>10534.791193970646</v>
      </c>
      <c r="AE16" s="95">
        <f t="shared" si="34"/>
        <v>2330.7795319317729</v>
      </c>
      <c r="AF16" s="95">
        <f t="shared" si="35"/>
        <v>2029.3447044823483</v>
      </c>
      <c r="AG16" s="95">
        <f t="shared" si="36"/>
        <v>64.084569615232056</v>
      </c>
      <c r="AI16" s="21"/>
    </row>
    <row r="17" spans="1:35">
      <c r="A17" s="241">
        <v>2006</v>
      </c>
      <c r="B17" s="10">
        <v>10198</v>
      </c>
      <c r="C17" s="11">
        <v>539</v>
      </c>
      <c r="D17" s="10">
        <v>355</v>
      </c>
      <c r="E17" s="11">
        <v>471</v>
      </c>
      <c r="F17" s="10">
        <v>19</v>
      </c>
      <c r="G17" s="10">
        <v>1544</v>
      </c>
      <c r="H17" s="11">
        <v>94</v>
      </c>
      <c r="I17" s="10">
        <v>78</v>
      </c>
      <c r="J17" s="10">
        <v>29</v>
      </c>
      <c r="K17" s="10">
        <v>1927</v>
      </c>
      <c r="L17" s="10">
        <v>111</v>
      </c>
      <c r="M17" s="11">
        <v>2224</v>
      </c>
      <c r="N17" s="11">
        <v>17589</v>
      </c>
      <c r="O17" s="2"/>
      <c r="P17" s="12"/>
      <c r="Q17" s="12">
        <f t="shared" si="18"/>
        <v>2224</v>
      </c>
      <c r="R17" s="12">
        <f t="shared" si="21"/>
        <v>10669</v>
      </c>
      <c r="S17" s="12">
        <f t="shared" si="22"/>
        <v>1977</v>
      </c>
      <c r="T17" s="12">
        <f t="shared" si="23"/>
        <v>2596</v>
      </c>
      <c r="U17" s="12">
        <f t="shared" si="24"/>
        <v>123</v>
      </c>
      <c r="V17" s="346">
        <f t="shared" si="25"/>
        <v>0.694370322160755</v>
      </c>
      <c r="W17" s="346">
        <f t="shared" si="26"/>
        <v>0.12866905304262935</v>
      </c>
      <c r="X17" s="346">
        <f t="shared" si="27"/>
        <v>0.16895541815815165</v>
      </c>
      <c r="Y17" s="346">
        <f t="shared" si="28"/>
        <v>8.0052066384640411E-3</v>
      </c>
      <c r="Z17" s="12">
        <f t="shared" si="29"/>
        <v>1544.2795964855191</v>
      </c>
      <c r="AA17" s="12">
        <f t="shared" si="30"/>
        <v>286.15997396680768</v>
      </c>
      <c r="AB17" s="12">
        <f t="shared" si="31"/>
        <v>375.7568499837293</v>
      </c>
      <c r="AC17" s="12">
        <f t="shared" si="32"/>
        <v>17.803579563944027</v>
      </c>
      <c r="AD17" s="95">
        <f t="shared" si="33"/>
        <v>12213.27959648552</v>
      </c>
      <c r="AE17" s="95">
        <f t="shared" si="34"/>
        <v>2263.1599739668077</v>
      </c>
      <c r="AF17" s="95">
        <f t="shared" si="35"/>
        <v>2971.7568499837294</v>
      </c>
      <c r="AG17" s="95">
        <f t="shared" si="36"/>
        <v>140.80357956394403</v>
      </c>
      <c r="AI17" s="21"/>
    </row>
    <row r="18" spans="1:35">
      <c r="A18" s="241">
        <v>2007</v>
      </c>
      <c r="B18" s="10">
        <v>11414</v>
      </c>
      <c r="C18" s="11">
        <v>571</v>
      </c>
      <c r="D18" s="10">
        <v>394</v>
      </c>
      <c r="E18" s="11">
        <v>400</v>
      </c>
      <c r="F18" s="10">
        <v>24</v>
      </c>
      <c r="G18" s="10">
        <v>1900</v>
      </c>
      <c r="H18" s="11">
        <v>7</v>
      </c>
      <c r="I18" s="10">
        <v>93</v>
      </c>
      <c r="J18" s="10">
        <v>18</v>
      </c>
      <c r="K18" s="10">
        <v>1572</v>
      </c>
      <c r="L18" s="10">
        <v>34</v>
      </c>
      <c r="M18" s="11">
        <v>2136</v>
      </c>
      <c r="N18" s="11">
        <v>18563</v>
      </c>
      <c r="O18" s="2"/>
      <c r="P18" s="12"/>
      <c r="Q18" s="12">
        <f t="shared" si="18"/>
        <v>2136</v>
      </c>
      <c r="R18" s="12">
        <f t="shared" si="21"/>
        <v>11814</v>
      </c>
      <c r="S18" s="12">
        <f t="shared" si="22"/>
        <v>2387</v>
      </c>
      <c r="T18" s="12">
        <f t="shared" si="23"/>
        <v>2201</v>
      </c>
      <c r="U18" s="12">
        <f t="shared" si="24"/>
        <v>25</v>
      </c>
      <c r="V18" s="346">
        <f t="shared" si="25"/>
        <v>0.71918183478419673</v>
      </c>
      <c r="W18" s="346">
        <f t="shared" si="26"/>
        <v>0.14530955134838985</v>
      </c>
      <c r="X18" s="346">
        <f t="shared" si="27"/>
        <v>0.13398672916539842</v>
      </c>
      <c r="Y18" s="346">
        <f t="shared" si="28"/>
        <v>1.5218847020149753E-3</v>
      </c>
      <c r="Z18" s="12">
        <f t="shared" si="29"/>
        <v>1536.1723990990442</v>
      </c>
      <c r="AA18" s="12">
        <f t="shared" si="30"/>
        <v>310.3812016801607</v>
      </c>
      <c r="AB18" s="12">
        <f t="shared" si="31"/>
        <v>286.195653497291</v>
      </c>
      <c r="AC18" s="12">
        <f t="shared" si="32"/>
        <v>3.2507457235039872</v>
      </c>
      <c r="AD18" s="95">
        <f t="shared" si="33"/>
        <v>13350.172399099045</v>
      </c>
      <c r="AE18" s="95">
        <f t="shared" si="34"/>
        <v>2697.3812016801608</v>
      </c>
      <c r="AF18" s="95">
        <f t="shared" si="35"/>
        <v>2487.195653497291</v>
      </c>
      <c r="AG18" s="95">
        <f t="shared" si="36"/>
        <v>28.250745723503986</v>
      </c>
      <c r="AI18" s="21"/>
    </row>
    <row r="19" spans="1:35">
      <c r="A19" s="241">
        <v>2008</v>
      </c>
      <c r="B19" s="10">
        <v>11532</v>
      </c>
      <c r="C19" s="11">
        <v>630</v>
      </c>
      <c r="D19" s="10">
        <v>507</v>
      </c>
      <c r="E19" s="11">
        <v>476</v>
      </c>
      <c r="F19" s="10">
        <v>20</v>
      </c>
      <c r="G19" s="10">
        <v>2418</v>
      </c>
      <c r="H19" s="11">
        <v>21</v>
      </c>
      <c r="I19" s="10">
        <v>110</v>
      </c>
      <c r="J19" s="10">
        <v>19</v>
      </c>
      <c r="K19" s="10">
        <v>1607</v>
      </c>
      <c r="L19" s="10">
        <v>26</v>
      </c>
      <c r="M19" s="11">
        <v>2281</v>
      </c>
      <c r="N19" s="11">
        <v>19647</v>
      </c>
      <c r="O19" s="2"/>
      <c r="P19" s="12"/>
      <c r="Q19" s="12">
        <f t="shared" si="18"/>
        <v>2281</v>
      </c>
      <c r="R19" s="12">
        <f t="shared" si="21"/>
        <v>12008</v>
      </c>
      <c r="S19" s="12">
        <f t="shared" si="22"/>
        <v>3035</v>
      </c>
      <c r="T19" s="12">
        <f t="shared" si="23"/>
        <v>2283</v>
      </c>
      <c r="U19" s="12">
        <f t="shared" si="24"/>
        <v>40</v>
      </c>
      <c r="V19" s="346">
        <f t="shared" si="25"/>
        <v>0.69146608315098468</v>
      </c>
      <c r="W19" s="346">
        <f t="shared" si="26"/>
        <v>0.17476678567315443</v>
      </c>
      <c r="X19" s="346">
        <f t="shared" si="27"/>
        <v>0.13146377979960844</v>
      </c>
      <c r="Y19" s="346">
        <f t="shared" si="28"/>
        <v>2.3033513762524475E-3</v>
      </c>
      <c r="Z19" s="12">
        <f t="shared" si="29"/>
        <v>1577.234135667396</v>
      </c>
      <c r="AA19" s="12">
        <f t="shared" si="30"/>
        <v>398.64303812046523</v>
      </c>
      <c r="AB19" s="12">
        <f t="shared" si="31"/>
        <v>299.86888172290685</v>
      </c>
      <c r="AC19" s="12">
        <f t="shared" si="32"/>
        <v>5.2539444892318325</v>
      </c>
      <c r="AD19" s="95">
        <f t="shared" si="33"/>
        <v>13585.234135667397</v>
      </c>
      <c r="AE19" s="95">
        <f t="shared" si="34"/>
        <v>3433.6430381204655</v>
      </c>
      <c r="AF19" s="95">
        <f t="shared" si="35"/>
        <v>2582.8688817229067</v>
      </c>
      <c r="AG19" s="95">
        <f t="shared" si="36"/>
        <v>45.253944489231834</v>
      </c>
      <c r="AI19" s="21"/>
    </row>
    <row r="20" spans="1:35">
      <c r="A20" s="241">
        <v>2009</v>
      </c>
      <c r="B20" s="10">
        <v>11824</v>
      </c>
      <c r="C20" s="11">
        <v>845</v>
      </c>
      <c r="D20" s="10">
        <v>503</v>
      </c>
      <c r="E20" s="11">
        <v>324</v>
      </c>
      <c r="F20" s="10">
        <v>18</v>
      </c>
      <c r="G20" s="10">
        <v>2595</v>
      </c>
      <c r="H20" s="11">
        <v>18</v>
      </c>
      <c r="I20" s="10">
        <v>145</v>
      </c>
      <c r="J20" s="10">
        <v>35</v>
      </c>
      <c r="K20" s="10">
        <v>2026</v>
      </c>
      <c r="L20" s="10">
        <v>32</v>
      </c>
      <c r="M20" s="11">
        <v>2108</v>
      </c>
      <c r="N20" s="11">
        <v>20473</v>
      </c>
      <c r="O20" s="2"/>
      <c r="P20" s="12"/>
      <c r="Q20" s="12">
        <f t="shared" si="18"/>
        <v>2108</v>
      </c>
      <c r="R20" s="12">
        <f t="shared" si="21"/>
        <v>12148</v>
      </c>
      <c r="S20" s="12">
        <f t="shared" si="22"/>
        <v>3243</v>
      </c>
      <c r="T20" s="12">
        <f t="shared" si="23"/>
        <v>2921</v>
      </c>
      <c r="U20" s="12">
        <f t="shared" si="24"/>
        <v>53</v>
      </c>
      <c r="V20" s="346">
        <f t="shared" si="25"/>
        <v>0.66147563299754963</v>
      </c>
      <c r="W20" s="346">
        <f t="shared" si="26"/>
        <v>0.17658589708684999</v>
      </c>
      <c r="X20" s="346">
        <f t="shared" si="27"/>
        <v>0.15905254560304927</v>
      </c>
      <c r="Y20" s="346">
        <f t="shared" si="28"/>
        <v>2.8859243125510482E-3</v>
      </c>
      <c r="Z20" s="12">
        <f t="shared" si="29"/>
        <v>1394.3906343588346</v>
      </c>
      <c r="AA20" s="12">
        <f t="shared" si="30"/>
        <v>372.2430710590798</v>
      </c>
      <c r="AB20" s="12">
        <f t="shared" si="31"/>
        <v>335.28276613122785</v>
      </c>
      <c r="AC20" s="12">
        <f t="shared" si="32"/>
        <v>6.0835284508576093</v>
      </c>
      <c r="AD20" s="95">
        <f t="shared" si="33"/>
        <v>13542.390634358835</v>
      </c>
      <c r="AE20" s="95">
        <f t="shared" si="34"/>
        <v>3615.2430710590797</v>
      </c>
      <c r="AF20" s="95">
        <f t="shared" si="35"/>
        <v>3256.2827661312276</v>
      </c>
      <c r="AG20" s="95">
        <f t="shared" si="36"/>
        <v>59.083528450857607</v>
      </c>
      <c r="AI20" s="21"/>
    </row>
    <row r="21" spans="1:35">
      <c r="A21" s="241">
        <v>2010</v>
      </c>
      <c r="B21" s="10">
        <v>12893</v>
      </c>
      <c r="C21" s="11">
        <v>906</v>
      </c>
      <c r="D21" s="10">
        <v>481</v>
      </c>
      <c r="E21" s="11">
        <v>284</v>
      </c>
      <c r="F21" s="10">
        <v>19</v>
      </c>
      <c r="G21" s="10">
        <v>2406</v>
      </c>
      <c r="H21" s="11">
        <v>30</v>
      </c>
      <c r="I21" s="10">
        <v>105</v>
      </c>
      <c r="J21" s="10">
        <v>26</v>
      </c>
      <c r="K21" s="10">
        <v>2008</v>
      </c>
      <c r="L21" s="10">
        <v>33</v>
      </c>
      <c r="M21" s="11">
        <v>1940</v>
      </c>
      <c r="N21" s="11">
        <v>21131</v>
      </c>
      <c r="O21" s="2"/>
      <c r="P21" s="12"/>
      <c r="Q21" s="12">
        <f t="shared" si="18"/>
        <v>1940</v>
      </c>
      <c r="R21" s="12">
        <f t="shared" si="21"/>
        <v>13177</v>
      </c>
      <c r="S21" s="12">
        <f t="shared" si="22"/>
        <v>2992</v>
      </c>
      <c r="T21" s="12">
        <f t="shared" si="23"/>
        <v>2966</v>
      </c>
      <c r="U21" s="12">
        <f t="shared" si="24"/>
        <v>56</v>
      </c>
      <c r="V21" s="346">
        <f t="shared" si="25"/>
        <v>0.68662393830441348</v>
      </c>
      <c r="W21" s="346">
        <f t="shared" si="26"/>
        <v>0.15590641446511386</v>
      </c>
      <c r="X21" s="346">
        <f t="shared" si="27"/>
        <v>0.15455161273513626</v>
      </c>
      <c r="Y21" s="346">
        <f t="shared" si="28"/>
        <v>2.9180344953363556E-3</v>
      </c>
      <c r="Z21" s="12">
        <f t="shared" si="29"/>
        <v>1332.0504403105622</v>
      </c>
      <c r="AA21" s="12">
        <f t="shared" si="30"/>
        <v>302.45844406232089</v>
      </c>
      <c r="AB21" s="12">
        <f t="shared" si="31"/>
        <v>299.83012870616437</v>
      </c>
      <c r="AC21" s="12">
        <f t="shared" si="32"/>
        <v>5.6609869209525296</v>
      </c>
      <c r="AD21" s="95">
        <f t="shared" si="33"/>
        <v>14509.050440310562</v>
      </c>
      <c r="AE21" s="95">
        <f t="shared" si="34"/>
        <v>3294.4584440623207</v>
      </c>
      <c r="AF21" s="95">
        <f t="shared" si="35"/>
        <v>3265.8301287061645</v>
      </c>
      <c r="AG21" s="95">
        <f t="shared" si="36"/>
        <v>61.660986920952531</v>
      </c>
      <c r="AI21" s="21"/>
    </row>
    <row r="22" spans="1:35">
      <c r="A22" s="241">
        <v>2011</v>
      </c>
      <c r="B22" s="10">
        <v>13251</v>
      </c>
      <c r="C22" s="11">
        <v>847</v>
      </c>
      <c r="D22" s="10">
        <v>661</v>
      </c>
      <c r="E22" s="11">
        <v>345</v>
      </c>
      <c r="F22" s="10">
        <v>29</v>
      </c>
      <c r="G22" s="10">
        <v>3515</v>
      </c>
      <c r="H22" s="11">
        <v>29</v>
      </c>
      <c r="I22" s="10">
        <v>174</v>
      </c>
      <c r="J22" s="10">
        <v>41</v>
      </c>
      <c r="K22" s="10">
        <v>1708</v>
      </c>
      <c r="L22" s="10">
        <v>41</v>
      </c>
      <c r="M22" s="11">
        <v>2206</v>
      </c>
      <c r="N22" s="11">
        <v>22847</v>
      </c>
      <c r="O22" s="2"/>
      <c r="P22" s="12"/>
      <c r="Q22" s="12">
        <f t="shared" si="18"/>
        <v>2206</v>
      </c>
      <c r="R22" s="12">
        <f t="shared" si="21"/>
        <v>13596</v>
      </c>
      <c r="S22" s="12">
        <f t="shared" si="22"/>
        <v>4350</v>
      </c>
      <c r="T22" s="12">
        <f t="shared" si="23"/>
        <v>2625</v>
      </c>
      <c r="U22" s="12">
        <f t="shared" si="24"/>
        <v>70</v>
      </c>
      <c r="V22" s="346">
        <f t="shared" si="25"/>
        <v>0.65868901700499005</v>
      </c>
      <c r="W22" s="346">
        <f t="shared" si="26"/>
        <v>0.21074560341068746</v>
      </c>
      <c r="X22" s="346">
        <f t="shared" si="27"/>
        <v>0.12717407102369072</v>
      </c>
      <c r="Y22" s="346">
        <f t="shared" si="28"/>
        <v>3.3913085606317524E-3</v>
      </c>
      <c r="Z22" s="12">
        <f t="shared" si="29"/>
        <v>1453.0679715130082</v>
      </c>
      <c r="AA22" s="12">
        <f t="shared" si="30"/>
        <v>464.90480112397654</v>
      </c>
      <c r="AB22" s="12">
        <f t="shared" si="31"/>
        <v>280.54600067826169</v>
      </c>
      <c r="AC22" s="12">
        <f t="shared" si="32"/>
        <v>7.4812266847536462</v>
      </c>
      <c r="AD22" s="95">
        <f t="shared" si="33"/>
        <v>15049.067971513008</v>
      </c>
      <c r="AE22" s="95">
        <f t="shared" si="34"/>
        <v>4814.9048011239765</v>
      </c>
      <c r="AF22" s="95">
        <f t="shared" si="35"/>
        <v>2905.5460006782619</v>
      </c>
      <c r="AG22" s="95">
        <f t="shared" si="36"/>
        <v>77.481226684753651</v>
      </c>
      <c r="AI22" s="21"/>
    </row>
    <row r="23" spans="1:35">
      <c r="A23" s="241">
        <v>2012</v>
      </c>
      <c r="B23" s="10">
        <v>12261</v>
      </c>
      <c r="C23" s="11">
        <v>826</v>
      </c>
      <c r="D23" s="10">
        <v>804</v>
      </c>
      <c r="E23" s="11">
        <v>319</v>
      </c>
      <c r="F23" s="10">
        <v>19</v>
      </c>
      <c r="G23" s="10">
        <v>4792</v>
      </c>
      <c r="H23" s="11">
        <v>53</v>
      </c>
      <c r="I23" s="10">
        <v>253</v>
      </c>
      <c r="J23" s="10">
        <v>44</v>
      </c>
      <c r="K23" s="10">
        <v>1688</v>
      </c>
      <c r="L23" s="10">
        <v>30</v>
      </c>
      <c r="M23" s="11">
        <v>2137</v>
      </c>
      <c r="N23" s="11">
        <v>23226</v>
      </c>
      <c r="O23" s="2"/>
      <c r="P23" s="12"/>
      <c r="Q23" s="12">
        <f t="shared" si="18"/>
        <v>2137</v>
      </c>
      <c r="R23" s="12">
        <f t="shared" si="21"/>
        <v>12580</v>
      </c>
      <c r="S23" s="12">
        <f t="shared" si="22"/>
        <v>5849</v>
      </c>
      <c r="T23" s="12">
        <f t="shared" si="23"/>
        <v>2563</v>
      </c>
      <c r="U23" s="12">
        <f t="shared" si="24"/>
        <v>97</v>
      </c>
      <c r="V23" s="346">
        <f t="shared" si="25"/>
        <v>0.59651951254208357</v>
      </c>
      <c r="W23" s="346">
        <f t="shared" si="26"/>
        <v>0.27734838067238843</v>
      </c>
      <c r="X23" s="346">
        <f t="shared" si="27"/>
        <v>0.12153255251552943</v>
      </c>
      <c r="Y23" s="346">
        <f t="shared" si="28"/>
        <v>4.5995542699985778E-3</v>
      </c>
      <c r="Z23" s="12">
        <f t="shared" si="29"/>
        <v>1274.7621983024326</v>
      </c>
      <c r="AA23" s="12">
        <f t="shared" si="30"/>
        <v>592.69348949689402</v>
      </c>
      <c r="AB23" s="12">
        <f t="shared" si="31"/>
        <v>259.71506472568637</v>
      </c>
      <c r="AC23" s="12">
        <f t="shared" si="32"/>
        <v>9.8292474749869605</v>
      </c>
      <c r="AD23" s="95">
        <f t="shared" si="33"/>
        <v>13854.762198302433</v>
      </c>
      <c r="AE23" s="95">
        <f t="shared" si="34"/>
        <v>6441.6934894968945</v>
      </c>
      <c r="AF23" s="95">
        <f t="shared" si="35"/>
        <v>2822.7150647256863</v>
      </c>
      <c r="AG23" s="95">
        <f t="shared" si="36"/>
        <v>106.82924747498696</v>
      </c>
      <c r="AI23" s="21"/>
    </row>
    <row r="24" spans="1:35">
      <c r="A24" s="241">
        <v>2013</v>
      </c>
      <c r="B24" s="10">
        <v>11672</v>
      </c>
      <c r="C24" s="11">
        <v>946</v>
      </c>
      <c r="D24" s="10">
        <v>1087</v>
      </c>
      <c r="E24" s="11">
        <v>349</v>
      </c>
      <c r="F24" s="10">
        <v>20</v>
      </c>
      <c r="G24" s="10">
        <v>6597</v>
      </c>
      <c r="H24" s="11">
        <v>155</v>
      </c>
      <c r="I24" s="10">
        <v>349</v>
      </c>
      <c r="J24" s="10">
        <v>103</v>
      </c>
      <c r="K24" s="10">
        <v>1890</v>
      </c>
      <c r="L24" s="10">
        <v>44</v>
      </c>
      <c r="M24" s="11">
        <v>1903</v>
      </c>
      <c r="N24" s="11">
        <v>25115</v>
      </c>
      <c r="O24" s="2"/>
      <c r="P24" s="12"/>
      <c r="Q24" s="12">
        <f t="shared" si="18"/>
        <v>1903</v>
      </c>
      <c r="R24" s="12">
        <f t="shared" si="21"/>
        <v>12021</v>
      </c>
      <c r="S24" s="12">
        <f t="shared" si="22"/>
        <v>8033</v>
      </c>
      <c r="T24" s="12">
        <f t="shared" si="23"/>
        <v>2900</v>
      </c>
      <c r="U24" s="12">
        <f t="shared" si="24"/>
        <v>258</v>
      </c>
      <c r="V24" s="346">
        <f t="shared" si="25"/>
        <v>0.5178786834396002</v>
      </c>
      <c r="W24" s="346">
        <f t="shared" si="26"/>
        <v>0.3460709977597794</v>
      </c>
      <c r="X24" s="346">
        <f t="shared" si="27"/>
        <v>0.12493537825262795</v>
      </c>
      <c r="Y24" s="346">
        <f t="shared" si="28"/>
        <v>1.1114940547992417E-2</v>
      </c>
      <c r="Z24" s="12">
        <f t="shared" si="29"/>
        <v>985.52313458555921</v>
      </c>
      <c r="AA24" s="12">
        <f t="shared" si="30"/>
        <v>658.57310873686015</v>
      </c>
      <c r="AB24" s="12">
        <f t="shared" si="31"/>
        <v>237.75202481475097</v>
      </c>
      <c r="AC24" s="12">
        <f t="shared" si="32"/>
        <v>21.151731862829571</v>
      </c>
      <c r="AD24" s="95">
        <f t="shared" si="33"/>
        <v>13006.523134585559</v>
      </c>
      <c r="AE24" s="95">
        <f t="shared" si="34"/>
        <v>8691.5731087368604</v>
      </c>
      <c r="AF24" s="95">
        <f t="shared" si="35"/>
        <v>3137.7520248147512</v>
      </c>
      <c r="AG24" s="95">
        <f t="shared" si="36"/>
        <v>279.15173186282959</v>
      </c>
      <c r="AI24" s="21"/>
    </row>
    <row r="25" spans="1:35">
      <c r="A25" s="241">
        <v>2014</v>
      </c>
      <c r="B25" s="10">
        <v>11723</v>
      </c>
      <c r="C25" s="11">
        <v>1300</v>
      </c>
      <c r="D25" s="10">
        <v>1258</v>
      </c>
      <c r="E25" s="11">
        <v>327</v>
      </c>
      <c r="F25" s="10">
        <v>47</v>
      </c>
      <c r="G25" s="10">
        <v>7862</v>
      </c>
      <c r="H25" s="11">
        <v>817</v>
      </c>
      <c r="I25" s="10">
        <v>390</v>
      </c>
      <c r="J25" s="10">
        <v>282</v>
      </c>
      <c r="K25" s="10">
        <v>3058</v>
      </c>
      <c r="L25" s="10">
        <v>124</v>
      </c>
      <c r="M25" s="11">
        <v>1531</v>
      </c>
      <c r="N25" s="11">
        <v>28719</v>
      </c>
      <c r="O25" s="2"/>
      <c r="P25" s="12"/>
      <c r="Q25" s="12">
        <f t="shared" si="18"/>
        <v>1531</v>
      </c>
      <c r="R25" s="12">
        <f t="shared" si="21"/>
        <v>12050</v>
      </c>
      <c r="S25" s="12">
        <f t="shared" si="22"/>
        <v>9510</v>
      </c>
      <c r="T25" s="12">
        <f t="shared" si="23"/>
        <v>4529</v>
      </c>
      <c r="U25" s="12">
        <f t="shared" si="24"/>
        <v>1099</v>
      </c>
      <c r="V25" s="346">
        <f t="shared" si="25"/>
        <v>0.44321023981168162</v>
      </c>
      <c r="W25" s="346">
        <f t="shared" si="26"/>
        <v>0.34978667058996615</v>
      </c>
      <c r="X25" s="346">
        <f t="shared" si="27"/>
        <v>0.16658084449021626</v>
      </c>
      <c r="Y25" s="346">
        <f t="shared" si="28"/>
        <v>4.042224510813594E-2</v>
      </c>
      <c r="Z25" s="12">
        <f t="shared" si="29"/>
        <v>678.55487715168454</v>
      </c>
      <c r="AA25" s="12">
        <f t="shared" si="30"/>
        <v>535.52339267323816</v>
      </c>
      <c r="AB25" s="12">
        <f t="shared" si="31"/>
        <v>255.0352729145211</v>
      </c>
      <c r="AC25" s="12">
        <f t="shared" si="32"/>
        <v>61.886457260556128</v>
      </c>
      <c r="AD25" s="95">
        <f t="shared" si="33"/>
        <v>12728.554877151684</v>
      </c>
      <c r="AE25" s="95">
        <f t="shared" si="34"/>
        <v>10045.523392673238</v>
      </c>
      <c r="AF25" s="95">
        <f t="shared" si="35"/>
        <v>4784.0352729145216</v>
      </c>
      <c r="AG25" s="95">
        <f t="shared" si="36"/>
        <v>1160.8864572605562</v>
      </c>
      <c r="AI25" s="21"/>
    </row>
    <row r="26" spans="1:35">
      <c r="A26" s="241">
        <v>2015</v>
      </c>
      <c r="B26" s="10">
        <v>11339</v>
      </c>
      <c r="C26" s="11">
        <v>1827</v>
      </c>
      <c r="D26" s="10">
        <v>1278</v>
      </c>
      <c r="E26" s="11">
        <v>342</v>
      </c>
      <c r="F26" s="10">
        <v>74</v>
      </c>
      <c r="G26" s="10">
        <v>8631</v>
      </c>
      <c r="H26" s="11">
        <v>2204</v>
      </c>
      <c r="I26" s="10">
        <v>367</v>
      </c>
      <c r="J26" s="10">
        <v>571</v>
      </c>
      <c r="K26" s="10">
        <v>4792</v>
      </c>
      <c r="L26" s="10">
        <v>224</v>
      </c>
      <c r="M26" s="11">
        <v>1554</v>
      </c>
      <c r="N26" s="11">
        <v>33203</v>
      </c>
      <c r="O26" s="2"/>
      <c r="P26" s="12"/>
      <c r="Q26" s="12">
        <f t="shared" si="18"/>
        <v>1554</v>
      </c>
      <c r="R26" s="12">
        <f t="shared" si="21"/>
        <v>11681</v>
      </c>
      <c r="S26" s="12">
        <f t="shared" si="22"/>
        <v>10276</v>
      </c>
      <c r="T26" s="12">
        <f t="shared" si="23"/>
        <v>6917</v>
      </c>
      <c r="U26" s="12">
        <f t="shared" si="24"/>
        <v>2775</v>
      </c>
      <c r="V26" s="346">
        <f t="shared" si="25"/>
        <v>0.36907959177225191</v>
      </c>
      <c r="W26" s="346">
        <f t="shared" si="26"/>
        <v>0.32468640399380705</v>
      </c>
      <c r="X26" s="346">
        <f t="shared" si="27"/>
        <v>0.21855350879964611</v>
      </c>
      <c r="Y26" s="346">
        <f t="shared" si="28"/>
        <v>8.7680495434294917E-2</v>
      </c>
      <c r="Z26" s="12">
        <f t="shared" si="29"/>
        <v>573.54968561407952</v>
      </c>
      <c r="AA26" s="12">
        <f t="shared" si="30"/>
        <v>504.56267180637616</v>
      </c>
      <c r="AB26" s="12">
        <f t="shared" si="31"/>
        <v>339.63215267465006</v>
      </c>
      <c r="AC26" s="12">
        <f t="shared" si="32"/>
        <v>136.25548990489429</v>
      </c>
      <c r="AD26" s="95">
        <f t="shared" si="33"/>
        <v>12254.54968561408</v>
      </c>
      <c r="AE26" s="95">
        <f t="shared" si="34"/>
        <v>10780.562671806376</v>
      </c>
      <c r="AF26" s="95">
        <f t="shared" si="35"/>
        <v>7256.6321526746497</v>
      </c>
      <c r="AG26" s="95">
        <f t="shared" si="36"/>
        <v>2911.2554899048941</v>
      </c>
      <c r="AI26" s="21"/>
    </row>
    <row r="27" spans="1:35" ht="15" customHeight="1">
      <c r="A27" s="241">
        <v>2016</v>
      </c>
      <c r="B27" s="10">
        <v>11415</v>
      </c>
      <c r="C27" s="11">
        <v>3141</v>
      </c>
      <c r="D27" s="10">
        <v>1302</v>
      </c>
      <c r="E27" s="11">
        <v>295</v>
      </c>
      <c r="F27" s="10">
        <v>101</v>
      </c>
      <c r="G27" s="10">
        <v>8073</v>
      </c>
      <c r="H27" s="11">
        <v>4776</v>
      </c>
      <c r="I27" s="10">
        <v>307</v>
      </c>
      <c r="J27" s="10">
        <v>1093</v>
      </c>
      <c r="K27" s="10">
        <v>10162</v>
      </c>
      <c r="L27" s="10">
        <v>290</v>
      </c>
      <c r="M27" s="11">
        <v>1478</v>
      </c>
      <c r="N27" s="11">
        <v>42433</v>
      </c>
      <c r="O27" s="2"/>
      <c r="P27" s="12"/>
      <c r="Q27" s="12">
        <f t="shared" si="18"/>
        <v>1478</v>
      </c>
      <c r="R27" s="12">
        <f t="shared" si="21"/>
        <v>11710</v>
      </c>
      <c r="S27" s="12">
        <f t="shared" si="22"/>
        <v>9682</v>
      </c>
      <c r="T27" s="12">
        <f t="shared" si="23"/>
        <v>13694</v>
      </c>
      <c r="U27" s="12">
        <f t="shared" si="24"/>
        <v>5869</v>
      </c>
      <c r="V27" s="346">
        <f t="shared" si="25"/>
        <v>0.28592357465510926</v>
      </c>
      <c r="W27" s="346">
        <f t="shared" si="26"/>
        <v>0.23640581125625687</v>
      </c>
      <c r="X27" s="346">
        <f t="shared" si="27"/>
        <v>0.33436698815773408</v>
      </c>
      <c r="Y27" s="346">
        <f t="shared" si="28"/>
        <v>0.14330362593089976</v>
      </c>
      <c r="Z27" s="12">
        <f t="shared" si="29"/>
        <v>422.59504334025149</v>
      </c>
      <c r="AA27" s="12">
        <f t="shared" si="30"/>
        <v>349.40778903674766</v>
      </c>
      <c r="AB27" s="12">
        <f t="shared" si="31"/>
        <v>494.19440849713095</v>
      </c>
      <c r="AC27" s="12">
        <f t="shared" si="32"/>
        <v>211.80275912586984</v>
      </c>
      <c r="AD27" s="95">
        <f t="shared" si="33"/>
        <v>12132.595043340252</v>
      </c>
      <c r="AE27" s="95">
        <f t="shared" si="34"/>
        <v>10031.407789036748</v>
      </c>
      <c r="AF27" s="95">
        <f t="shared" si="35"/>
        <v>14188.194408497131</v>
      </c>
      <c r="AG27" s="95">
        <f t="shared" si="36"/>
        <v>6080.8027591258697</v>
      </c>
      <c r="AI27" s="21"/>
    </row>
    <row r="28" spans="1:35" ht="15" customHeight="1">
      <c r="A28" s="2">
        <v>2017</v>
      </c>
      <c r="B28" s="11">
        <v>10324</v>
      </c>
      <c r="C28" s="11">
        <v>4062</v>
      </c>
      <c r="D28" s="11">
        <v>1026</v>
      </c>
      <c r="E28" s="11">
        <v>245</v>
      </c>
      <c r="F28" s="11">
        <v>118</v>
      </c>
      <c r="G28" s="11">
        <v>6115</v>
      </c>
      <c r="H28" s="11">
        <v>6661</v>
      </c>
      <c r="I28" s="11">
        <v>270</v>
      </c>
      <c r="J28" s="11">
        <v>1521</v>
      </c>
      <c r="K28" s="11">
        <v>16020</v>
      </c>
      <c r="L28" s="11">
        <v>309</v>
      </c>
      <c r="M28" s="11">
        <v>1211</v>
      </c>
      <c r="N28" s="240">
        <v>47882</v>
      </c>
      <c r="O28" s="2"/>
      <c r="P28" s="12"/>
      <c r="Q28" s="12">
        <f t="shared" si="18"/>
        <v>1211</v>
      </c>
      <c r="R28" s="12">
        <f t="shared" si="21"/>
        <v>10569</v>
      </c>
      <c r="S28" s="12">
        <f t="shared" si="22"/>
        <v>7411</v>
      </c>
      <c r="T28" s="12">
        <f t="shared" si="23"/>
        <v>20509</v>
      </c>
      <c r="U28" s="12">
        <f t="shared" si="24"/>
        <v>8182</v>
      </c>
      <c r="V28" s="346">
        <f t="shared" si="25"/>
        <v>0.2264575432281288</v>
      </c>
      <c r="W28" s="346">
        <f t="shared" si="26"/>
        <v>0.15879239784877119</v>
      </c>
      <c r="X28" s="346">
        <f t="shared" si="27"/>
        <v>0.43943776649311134</v>
      </c>
      <c r="Y28" s="346">
        <f t="shared" si="28"/>
        <v>0.17531229242998864</v>
      </c>
      <c r="Z28" s="12">
        <f t="shared" si="29"/>
        <v>274.24008484926401</v>
      </c>
      <c r="AA28" s="12">
        <f t="shared" si="30"/>
        <v>192.29759379486191</v>
      </c>
      <c r="AB28" s="12">
        <f t="shared" si="31"/>
        <v>532.15913522315782</v>
      </c>
      <c r="AC28" s="12">
        <f t="shared" si="32"/>
        <v>212.30318613271623</v>
      </c>
      <c r="AD28" s="95">
        <f t="shared" si="33"/>
        <v>10843.240084849263</v>
      </c>
      <c r="AE28" s="95">
        <f t="shared" si="34"/>
        <v>7603.2975937948622</v>
      </c>
      <c r="AF28" s="95">
        <f t="shared" si="35"/>
        <v>21041.159135223159</v>
      </c>
      <c r="AG28" s="95">
        <f t="shared" si="36"/>
        <v>8394.3031861327163</v>
      </c>
      <c r="AI28" s="21"/>
    </row>
    <row r="29" spans="1:35">
      <c r="A29" s="241">
        <v>2018</v>
      </c>
      <c r="B29" s="10">
        <v>8535</v>
      </c>
      <c r="C29" s="11">
        <v>4083</v>
      </c>
      <c r="D29" s="10">
        <v>867</v>
      </c>
      <c r="E29" s="11">
        <v>170</v>
      </c>
      <c r="F29" s="10">
        <v>102</v>
      </c>
      <c r="G29" s="10">
        <v>4865</v>
      </c>
      <c r="H29" s="11">
        <v>7698</v>
      </c>
      <c r="I29" s="10">
        <v>210</v>
      </c>
      <c r="J29" s="10">
        <v>1462</v>
      </c>
      <c r="K29" s="10">
        <v>17956</v>
      </c>
      <c r="L29" s="10">
        <v>263</v>
      </c>
      <c r="M29" s="11">
        <v>885</v>
      </c>
      <c r="N29" s="11">
        <v>47096</v>
      </c>
      <c r="O29" s="2"/>
      <c r="P29" s="12"/>
      <c r="Q29" s="12">
        <f t="shared" si="18"/>
        <v>885</v>
      </c>
      <c r="R29" s="12">
        <f t="shared" si="21"/>
        <v>8705</v>
      </c>
      <c r="S29" s="12">
        <f t="shared" si="22"/>
        <v>5942</v>
      </c>
      <c r="T29" s="12">
        <f t="shared" si="23"/>
        <v>22404</v>
      </c>
      <c r="U29" s="12">
        <f t="shared" si="24"/>
        <v>9160</v>
      </c>
      <c r="V29" s="346">
        <f t="shared" si="25"/>
        <v>0.18837506221462422</v>
      </c>
      <c r="W29" s="346">
        <f t="shared" si="26"/>
        <v>0.12858410335201576</v>
      </c>
      <c r="X29" s="346">
        <f t="shared" si="27"/>
        <v>0.4848196316894246</v>
      </c>
      <c r="Y29" s="346">
        <f t="shared" si="28"/>
        <v>0.19822120274393543</v>
      </c>
      <c r="Z29" s="12">
        <f t="shared" si="29"/>
        <v>166.71193005994243</v>
      </c>
      <c r="AA29" s="12">
        <f t="shared" si="30"/>
        <v>113.79693146653395</v>
      </c>
      <c r="AB29" s="12">
        <f t="shared" si="31"/>
        <v>429.0653740451408</v>
      </c>
      <c r="AC29" s="12">
        <f t="shared" si="32"/>
        <v>175.42576442838285</v>
      </c>
      <c r="AD29" s="95">
        <f t="shared" si="33"/>
        <v>8871.7119300599425</v>
      </c>
      <c r="AE29" s="95">
        <f t="shared" si="34"/>
        <v>6055.7969314665343</v>
      </c>
      <c r="AF29" s="95">
        <f t="shared" si="35"/>
        <v>22833.065374045142</v>
      </c>
      <c r="AG29" s="95">
        <f t="shared" si="36"/>
        <v>9335.4257644283825</v>
      </c>
      <c r="AI29" s="21"/>
    </row>
    <row r="30" spans="1:35">
      <c r="A30" s="2">
        <v>2019</v>
      </c>
      <c r="B30" s="11">
        <v>7391</v>
      </c>
      <c r="C30" s="11">
        <v>4543</v>
      </c>
      <c r="D30" s="11">
        <v>729</v>
      </c>
      <c r="E30" s="11">
        <v>130</v>
      </c>
      <c r="F30" s="11">
        <v>79</v>
      </c>
      <c r="G30" s="11">
        <v>4349</v>
      </c>
      <c r="H30" s="11">
        <v>7419</v>
      </c>
      <c r="I30" s="11">
        <v>188</v>
      </c>
      <c r="J30" s="11">
        <v>1431</v>
      </c>
      <c r="K30" s="11">
        <v>22924</v>
      </c>
      <c r="L30" s="11">
        <v>254</v>
      </c>
      <c r="M30" s="11">
        <v>741</v>
      </c>
      <c r="N30" s="11">
        <v>50178</v>
      </c>
      <c r="O30" s="2"/>
      <c r="P30" s="12"/>
      <c r="Q30" s="12">
        <f>N30-SUM(R30:U30)</f>
        <v>741</v>
      </c>
      <c r="R30" s="12">
        <f t="shared" si="21"/>
        <v>7521</v>
      </c>
      <c r="S30" s="12">
        <f t="shared" si="22"/>
        <v>5266</v>
      </c>
      <c r="T30" s="12">
        <f t="shared" si="23"/>
        <v>27800</v>
      </c>
      <c r="U30" s="12">
        <f t="shared" si="24"/>
        <v>8850</v>
      </c>
      <c r="V30" s="346">
        <f t="shared" si="25"/>
        <v>0.1521330177802051</v>
      </c>
      <c r="W30" s="346">
        <f t="shared" si="26"/>
        <v>0.10651940854016223</v>
      </c>
      <c r="X30" s="346">
        <f t="shared" si="27"/>
        <v>0.56233185670651531</v>
      </c>
      <c r="Y30" s="346">
        <f t="shared" si="28"/>
        <v>0.1790157169731173</v>
      </c>
      <c r="Z30" s="12">
        <f t="shared" si="29"/>
        <v>112.73056617513198</v>
      </c>
      <c r="AA30" s="12">
        <f t="shared" si="30"/>
        <v>78.930881728260218</v>
      </c>
      <c r="AB30" s="12">
        <f t="shared" si="31"/>
        <v>416.68790581952783</v>
      </c>
      <c r="AC30" s="12">
        <f t="shared" si="32"/>
        <v>132.65064627707991</v>
      </c>
      <c r="AD30" s="95">
        <f t="shared" si="33"/>
        <v>7633.7305661751316</v>
      </c>
      <c r="AE30" s="95">
        <f t="shared" si="34"/>
        <v>5344.9308817282599</v>
      </c>
      <c r="AF30" s="95">
        <f t="shared" si="35"/>
        <v>28216.687905819526</v>
      </c>
      <c r="AG30" s="95">
        <f t="shared" si="36"/>
        <v>8982.6506462770794</v>
      </c>
      <c r="AI30" s="21"/>
    </row>
    <row r="31" spans="1:35">
      <c r="A31" s="2"/>
      <c r="B31" s="151"/>
      <c r="C31" s="151"/>
      <c r="D31" s="151"/>
      <c r="E31" s="151"/>
      <c r="F31" s="151"/>
      <c r="G31" s="151"/>
      <c r="H31" s="151"/>
      <c r="I31" s="151"/>
      <c r="J31" s="151"/>
      <c r="K31" s="151"/>
      <c r="L31" s="151"/>
      <c r="M31" s="151"/>
      <c r="N31" s="151"/>
      <c r="O31" s="2"/>
      <c r="P31" s="12"/>
      <c r="Q31" s="12"/>
      <c r="R31" s="12"/>
      <c r="S31" s="12"/>
      <c r="T31" s="12"/>
      <c r="U31" s="12"/>
      <c r="V31" s="3"/>
      <c r="W31" s="3"/>
      <c r="X31" s="3"/>
      <c r="Y31" s="3"/>
      <c r="Z31" s="12"/>
      <c r="AA31" s="12"/>
      <c r="AB31" s="12"/>
      <c r="AC31" s="12"/>
      <c r="AD31" s="95"/>
      <c r="AE31" s="95"/>
      <c r="AF31" s="95"/>
      <c r="AG31" s="95"/>
      <c r="AI31" s="21"/>
    </row>
    <row r="32" spans="1:35">
      <c r="A32" s="2"/>
      <c r="B32" s="151"/>
      <c r="C32" s="151"/>
      <c r="D32" s="151"/>
      <c r="E32" s="151"/>
      <c r="F32" s="151"/>
      <c r="G32" s="151"/>
      <c r="H32" s="151"/>
      <c r="I32" s="151"/>
      <c r="J32" s="151"/>
      <c r="K32" s="151"/>
      <c r="L32" s="151"/>
      <c r="M32" s="151"/>
      <c r="N32" s="151"/>
      <c r="O32" s="2"/>
      <c r="P32" s="12"/>
      <c r="Q32" s="12"/>
      <c r="R32" s="12"/>
      <c r="S32" s="12"/>
      <c r="T32" s="12"/>
      <c r="U32" s="12"/>
      <c r="V32" s="3"/>
      <c r="W32" s="3"/>
      <c r="X32" s="3"/>
      <c r="Y32" s="3"/>
      <c r="Z32" s="12"/>
      <c r="AA32" s="12"/>
      <c r="AB32" s="12"/>
      <c r="AC32" s="12"/>
      <c r="AD32" s="95"/>
      <c r="AE32" s="95"/>
      <c r="AF32" s="95"/>
      <c r="AG32" s="95"/>
      <c r="AI32" s="21"/>
    </row>
    <row r="33" spans="1:24">
      <c r="A33" s="13" t="s">
        <v>355</v>
      </c>
      <c r="B33" s="2"/>
      <c r="C33" s="2"/>
      <c r="D33" s="2"/>
      <c r="E33" s="2"/>
      <c r="F33" s="2"/>
      <c r="G33" s="2"/>
      <c r="H33" s="2"/>
      <c r="I33" s="2"/>
      <c r="J33" s="2"/>
    </row>
    <row r="34" spans="1:24">
      <c r="A34" s="14" t="s">
        <v>356</v>
      </c>
      <c r="B34" s="14" t="s">
        <v>357</v>
      </c>
      <c r="C34" s="14"/>
      <c r="D34" s="13"/>
      <c r="E34" s="2"/>
      <c r="F34" s="2"/>
      <c r="G34" s="2"/>
      <c r="H34" s="2"/>
      <c r="I34" s="2"/>
      <c r="J34" s="2"/>
    </row>
    <row r="35" spans="1:24">
      <c r="A35" s="14" t="s">
        <v>358</v>
      </c>
      <c r="B35" s="14" t="s">
        <v>359</v>
      </c>
      <c r="C35" s="14"/>
      <c r="D35" s="2"/>
      <c r="E35" s="2"/>
      <c r="F35" s="2"/>
      <c r="G35" s="2"/>
      <c r="H35" s="2"/>
      <c r="I35" s="2"/>
      <c r="J35" s="2"/>
    </row>
    <row r="36" spans="1:24">
      <c r="A36" s="14" t="s">
        <v>360</v>
      </c>
      <c r="B36" s="14" t="s">
        <v>361</v>
      </c>
      <c r="C36" s="14"/>
      <c r="D36" s="2"/>
      <c r="E36" s="2"/>
      <c r="F36" s="2"/>
      <c r="G36" s="2"/>
      <c r="H36" s="2"/>
      <c r="I36" s="2"/>
      <c r="J36" s="2"/>
    </row>
    <row r="37" spans="1:24">
      <c r="A37" s="14" t="s">
        <v>362</v>
      </c>
      <c r="B37" s="14" t="s">
        <v>363</v>
      </c>
      <c r="C37" s="14"/>
      <c r="D37" s="725" t="s">
        <v>364</v>
      </c>
      <c r="E37" s="725"/>
      <c r="F37" s="725"/>
      <c r="G37" s="725"/>
      <c r="H37" s="725"/>
      <c r="I37" s="2"/>
      <c r="J37" s="2"/>
      <c r="K37" s="2"/>
      <c r="L37" s="2"/>
    </row>
    <row r="38" spans="1:24">
      <c r="A38" s="14" t="s">
        <v>365</v>
      </c>
      <c r="B38" s="14" t="s">
        <v>366</v>
      </c>
      <c r="C38" s="14"/>
      <c r="D38" s="2" t="s">
        <v>347</v>
      </c>
      <c r="E38" s="2" t="s">
        <v>367</v>
      </c>
      <c r="F38" s="2"/>
      <c r="G38" s="2"/>
      <c r="H38" s="2"/>
      <c r="I38" s="2"/>
      <c r="J38" s="2"/>
      <c r="K38" s="2"/>
      <c r="L38" s="2"/>
    </row>
    <row r="39" spans="1:24">
      <c r="A39" s="14" t="s">
        <v>368</v>
      </c>
      <c r="B39" s="14" t="s">
        <v>369</v>
      </c>
      <c r="C39" s="14"/>
      <c r="D39" s="2" t="s">
        <v>348</v>
      </c>
      <c r="E39" s="2" t="s">
        <v>370</v>
      </c>
      <c r="F39" s="2"/>
      <c r="G39" s="2"/>
      <c r="H39" s="2"/>
      <c r="I39" s="2"/>
      <c r="J39" s="2"/>
      <c r="K39" s="2"/>
      <c r="L39" s="2"/>
    </row>
    <row r="40" spans="1:24">
      <c r="A40" s="14" t="s">
        <v>371</v>
      </c>
      <c r="B40" s="14" t="s">
        <v>372</v>
      </c>
      <c r="C40" s="14"/>
      <c r="D40" s="2" t="s">
        <v>349</v>
      </c>
      <c r="E40" s="2" t="s">
        <v>373</v>
      </c>
      <c r="F40" s="2"/>
      <c r="G40" s="2"/>
      <c r="H40" s="2"/>
      <c r="I40" s="2"/>
      <c r="J40" s="2"/>
      <c r="K40" s="2"/>
      <c r="L40" s="2"/>
    </row>
    <row r="41" spans="1:24">
      <c r="A41" s="14" t="s">
        <v>374</v>
      </c>
      <c r="B41" s="14" t="s">
        <v>375</v>
      </c>
      <c r="C41" s="14"/>
      <c r="D41" s="2" t="s">
        <v>350</v>
      </c>
      <c r="E41" s="2" t="s">
        <v>376</v>
      </c>
      <c r="F41" s="2"/>
      <c r="G41" s="2"/>
      <c r="H41" s="2"/>
      <c r="I41" s="2"/>
      <c r="J41" s="2"/>
      <c r="K41" s="2"/>
      <c r="L41" s="2"/>
    </row>
    <row r="42" spans="1:24">
      <c r="A42" s="14" t="s">
        <v>377</v>
      </c>
      <c r="B42" s="14" t="s">
        <v>378</v>
      </c>
      <c r="C42" s="14"/>
      <c r="D42" s="2"/>
      <c r="E42" s="2" t="s">
        <v>379</v>
      </c>
      <c r="F42" s="2"/>
      <c r="G42" s="2"/>
      <c r="H42" s="2"/>
      <c r="I42" s="2"/>
      <c r="J42" s="2"/>
      <c r="K42" s="2"/>
      <c r="L42" s="2"/>
    </row>
    <row r="43" spans="1:24">
      <c r="A43" s="14" t="s">
        <v>380</v>
      </c>
      <c r="B43" s="14" t="s">
        <v>381</v>
      </c>
      <c r="C43" s="14"/>
      <c r="D43" s="2"/>
      <c r="E43" s="2"/>
      <c r="F43" s="2"/>
      <c r="G43" s="2"/>
      <c r="H43" s="2"/>
      <c r="I43" s="2"/>
      <c r="J43" s="2"/>
      <c r="K43" s="2"/>
      <c r="L43" s="2"/>
    </row>
    <row r="44" spans="1:24">
      <c r="A44" s="15" t="s">
        <v>382</v>
      </c>
      <c r="B44" s="15" t="s">
        <v>383</v>
      </c>
      <c r="C44" s="15"/>
      <c r="D44" s="2"/>
      <c r="E44" s="2"/>
      <c r="F44" s="2"/>
      <c r="G44" s="2"/>
      <c r="H44" s="2"/>
      <c r="I44" s="2"/>
      <c r="J44" s="2"/>
      <c r="K44" s="2"/>
      <c r="L44" s="2"/>
    </row>
    <row r="45" spans="1:24">
      <c r="A45" s="15" t="s">
        <v>384</v>
      </c>
      <c r="B45" s="15" t="s">
        <v>385</v>
      </c>
      <c r="C45" s="15"/>
      <c r="D45" s="15"/>
      <c r="E45" s="15"/>
      <c r="F45" s="15"/>
      <c r="G45" s="15"/>
      <c r="H45" s="2"/>
      <c r="I45" s="2"/>
      <c r="J45" s="2"/>
      <c r="K45" s="2"/>
      <c r="L45" s="2"/>
      <c r="M45" s="2"/>
      <c r="N45" s="2"/>
      <c r="O45" s="2"/>
      <c r="P45" s="2"/>
      <c r="Q45" s="2"/>
    </row>
    <row r="46" spans="1:24">
      <c r="A46" s="15"/>
      <c r="B46" s="15"/>
      <c r="C46" s="15"/>
      <c r="D46" s="15"/>
      <c r="E46" s="15"/>
      <c r="F46" s="15"/>
      <c r="G46" s="15"/>
      <c r="H46" s="15"/>
      <c r="I46" s="2"/>
      <c r="J46" s="2"/>
      <c r="K46" s="2"/>
      <c r="L46" s="2"/>
      <c r="M46" s="2"/>
      <c r="N46" s="2"/>
      <c r="O46" s="2"/>
      <c r="P46" s="2"/>
      <c r="Q46" s="2"/>
    </row>
    <row r="47" spans="1:24">
      <c r="A47" s="15"/>
      <c r="B47" s="15"/>
      <c r="C47" s="15"/>
      <c r="D47" s="15"/>
      <c r="E47" s="15"/>
      <c r="F47" s="15"/>
      <c r="G47" s="15"/>
      <c r="H47" s="15"/>
      <c r="I47" s="15"/>
      <c r="J47" s="15"/>
      <c r="K47" s="15"/>
      <c r="L47" s="15"/>
      <c r="M47" s="15"/>
      <c r="N47" s="15"/>
      <c r="O47" s="2"/>
      <c r="P47" s="2"/>
      <c r="Q47" s="2"/>
      <c r="R47" s="2"/>
      <c r="S47" s="2"/>
      <c r="T47" s="2"/>
      <c r="U47" s="2"/>
      <c r="V47" s="2"/>
      <c r="W47" s="2"/>
      <c r="X47" s="2"/>
    </row>
    <row r="48" spans="1:24">
      <c r="A48" s="2"/>
      <c r="B48" s="2"/>
      <c r="C48" s="2"/>
      <c r="D48" s="2"/>
      <c r="E48" s="2"/>
      <c r="F48" s="2"/>
      <c r="G48" s="2"/>
      <c r="H48" s="2"/>
      <c r="I48" s="2"/>
      <c r="J48" s="2"/>
      <c r="K48" s="2"/>
      <c r="L48" s="2"/>
      <c r="M48" s="2"/>
      <c r="N48" s="2"/>
      <c r="O48" s="2"/>
      <c r="P48" s="2"/>
      <c r="Q48" s="2"/>
      <c r="R48" s="2"/>
      <c r="S48" s="2"/>
      <c r="T48" s="2"/>
      <c r="U48" s="2"/>
      <c r="V48" s="2"/>
      <c r="W48" s="2"/>
      <c r="X48" s="2"/>
    </row>
    <row r="49" spans="1:35">
      <c r="A49" s="83"/>
      <c r="B49" s="16"/>
      <c r="C49" s="16"/>
      <c r="D49" s="16"/>
      <c r="E49" s="16"/>
      <c r="F49" s="16"/>
      <c r="G49" s="16"/>
      <c r="H49" s="16"/>
      <c r="I49" s="16"/>
      <c r="J49" s="16"/>
      <c r="K49" s="16"/>
      <c r="L49" s="16"/>
      <c r="M49" s="16"/>
      <c r="N49" s="16"/>
      <c r="O49" s="16"/>
      <c r="P49" s="16"/>
      <c r="Q49" s="16"/>
      <c r="R49" s="2"/>
      <c r="S49" s="2"/>
      <c r="T49" s="2"/>
      <c r="U49" s="2"/>
      <c r="V49" s="2"/>
      <c r="W49" s="2"/>
      <c r="X49" s="2"/>
    </row>
    <row r="50" spans="1:35">
      <c r="A50" s="2"/>
      <c r="B50" s="4">
        <v>1999</v>
      </c>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2"/>
      <c r="X50" s="2"/>
      <c r="Y50" s="2"/>
      <c r="Z50" s="2"/>
      <c r="AA50" s="2"/>
    </row>
    <row r="51" spans="1:35" ht="27" customHeight="1">
      <c r="A51" s="84" t="s">
        <v>7</v>
      </c>
      <c r="B51" s="12">
        <f>$AE10</f>
        <v>2870.7596401028277</v>
      </c>
      <c r="C51" s="12">
        <f>$AE11</f>
        <v>2618.6778214102783</v>
      </c>
      <c r="D51" s="12">
        <f>$AE12</f>
        <v>2394.2800057496047</v>
      </c>
      <c r="E51" s="12">
        <f>$AE13</f>
        <v>2679.8392935019624</v>
      </c>
      <c r="F51" s="12">
        <f>$AE14</f>
        <v>2606.3050053663774</v>
      </c>
      <c r="G51" s="12">
        <f>$AE15</f>
        <v>2237.1267765280322</v>
      </c>
      <c r="H51" s="12">
        <f>$AE16</f>
        <v>2330.7795319317729</v>
      </c>
      <c r="I51" s="12">
        <f>$AE17</f>
        <v>2263.1599739668077</v>
      </c>
      <c r="J51" s="12">
        <f>$AE18</f>
        <v>2697.3812016801608</v>
      </c>
      <c r="K51" s="12">
        <f>$AE19</f>
        <v>3433.6430381204655</v>
      </c>
      <c r="L51" s="12">
        <f>$AE20</f>
        <v>3615.2430710590797</v>
      </c>
      <c r="M51" s="12">
        <f>$AE21</f>
        <v>3294.4584440623207</v>
      </c>
      <c r="N51" s="12">
        <f>$AE22</f>
        <v>4814.9048011239765</v>
      </c>
      <c r="O51" s="12">
        <f>$AE23</f>
        <v>6441.6934894968945</v>
      </c>
      <c r="P51" s="12">
        <f>$AE24</f>
        <v>8691.5731087368604</v>
      </c>
      <c r="Q51" s="12">
        <f>$AE25</f>
        <v>10045.523392673238</v>
      </c>
      <c r="R51" s="12">
        <f>$AE26</f>
        <v>10780.562671806376</v>
      </c>
      <c r="S51" s="12">
        <f>$AE27</f>
        <v>10031.407789036748</v>
      </c>
      <c r="T51" s="12">
        <f>$AE28</f>
        <v>7603.2975937948622</v>
      </c>
      <c r="U51" s="12">
        <f>$AE29</f>
        <v>6055.7969314665343</v>
      </c>
      <c r="V51" s="247">
        <f>$AE30</f>
        <v>5344.9308817282599</v>
      </c>
      <c r="W51" s="2"/>
      <c r="X51" s="2"/>
      <c r="Y51" s="2"/>
      <c r="Z51" s="2"/>
      <c r="AA51" s="2"/>
    </row>
    <row r="52" spans="1:35" ht="28.8">
      <c r="A52" s="84" t="s">
        <v>9</v>
      </c>
      <c r="B52" s="12">
        <f>$AD10</f>
        <v>4098.1241278002208</v>
      </c>
      <c r="C52" s="12">
        <f>$AD11</f>
        <v>4665.3283250811</v>
      </c>
      <c r="D52" s="12">
        <f>$AD12</f>
        <v>5784.2417708782523</v>
      </c>
      <c r="E52" s="12">
        <f>$AD13</f>
        <v>7542.8179241168773</v>
      </c>
      <c r="F52" s="12">
        <f>$AD14</f>
        <v>8574.2373890135623</v>
      </c>
      <c r="G52" s="12">
        <f>$AD15</f>
        <v>9535.136803557416</v>
      </c>
      <c r="H52" s="12">
        <f>$AD16</f>
        <v>10534.791193970646</v>
      </c>
      <c r="I52" s="12">
        <f>$AD17</f>
        <v>12213.27959648552</v>
      </c>
      <c r="J52" s="12">
        <f>$AD18</f>
        <v>13350.172399099045</v>
      </c>
      <c r="K52" s="12">
        <f>$AD19</f>
        <v>13585.234135667397</v>
      </c>
      <c r="L52" s="12">
        <f>$AD20</f>
        <v>13542.390634358835</v>
      </c>
      <c r="M52" s="12">
        <f>$AD21</f>
        <v>14509.050440310562</v>
      </c>
      <c r="N52" s="12">
        <f>$AD22</f>
        <v>15049.067971513008</v>
      </c>
      <c r="O52" s="12">
        <f>$AD23</f>
        <v>13854.762198302433</v>
      </c>
      <c r="P52" s="12">
        <f>$AD24</f>
        <v>13006.523134585559</v>
      </c>
      <c r="Q52" s="12">
        <f>$AD25</f>
        <v>12728.554877151684</v>
      </c>
      <c r="R52" s="12">
        <f>$AD26</f>
        <v>12254.54968561408</v>
      </c>
      <c r="S52" s="12">
        <f>$AD27</f>
        <v>12132.595043340252</v>
      </c>
      <c r="T52" s="12">
        <f>$AD28</f>
        <v>10843.240084849263</v>
      </c>
      <c r="U52" s="12">
        <f>$AD29</f>
        <v>8871.7119300599425</v>
      </c>
      <c r="V52" s="247">
        <f>$AD30</f>
        <v>7633.7305661751316</v>
      </c>
      <c r="W52" s="2"/>
      <c r="X52" s="2"/>
      <c r="Y52" s="2"/>
      <c r="Z52" s="2"/>
      <c r="AA52" s="2"/>
    </row>
    <row r="53" spans="1:35" ht="28.8">
      <c r="A53" s="84" t="s">
        <v>325</v>
      </c>
      <c r="B53" s="12">
        <f>$AF10</f>
        <v>1058.5833639368343</v>
      </c>
      <c r="C53" s="12">
        <f>$AF11</f>
        <v>1098.062489329008</v>
      </c>
      <c r="D53" s="12">
        <f>$AF12</f>
        <v>1286.6011211729194</v>
      </c>
      <c r="E53" s="12">
        <f>$AF13</f>
        <v>1664.3349324029655</v>
      </c>
      <c r="F53" s="12">
        <f>$AF14</f>
        <v>1751.0321006927504</v>
      </c>
      <c r="G53" s="12">
        <f>$AF15</f>
        <v>1987.0878890923359</v>
      </c>
      <c r="H53" s="12">
        <f>$AF16</f>
        <v>2029.3447044823483</v>
      </c>
      <c r="I53" s="12">
        <f>$AF17</f>
        <v>2971.7568499837294</v>
      </c>
      <c r="J53" s="12">
        <f>$AF18</f>
        <v>2487.195653497291</v>
      </c>
      <c r="K53" s="12">
        <f>$AF19</f>
        <v>2582.8688817229067</v>
      </c>
      <c r="L53" s="12">
        <f>$AF20</f>
        <v>3256.2827661312276</v>
      </c>
      <c r="M53" s="12">
        <f>$AF21</f>
        <v>3265.8301287061645</v>
      </c>
      <c r="N53" s="12">
        <f>$AF22</f>
        <v>2905.5460006782619</v>
      </c>
      <c r="O53" s="12">
        <f>$AF23</f>
        <v>2822.7150647256863</v>
      </c>
      <c r="P53" s="12">
        <f>$AF24</f>
        <v>3137.7520248147512</v>
      </c>
      <c r="Q53" s="12">
        <f>$AF25</f>
        <v>4784.0352729145216</v>
      </c>
      <c r="R53" s="12">
        <f>$AF26</f>
        <v>7256.6321526746497</v>
      </c>
      <c r="S53" s="12">
        <f>$AF27</f>
        <v>14188.194408497131</v>
      </c>
      <c r="T53" s="12">
        <f>$AF28</f>
        <v>21041.159135223159</v>
      </c>
      <c r="U53" s="12">
        <f>$AF29</f>
        <v>22833.065374045142</v>
      </c>
      <c r="V53" s="247">
        <f>$AF30</f>
        <v>28216.687905819526</v>
      </c>
      <c r="W53" s="2"/>
      <c r="X53" s="2"/>
      <c r="Y53" s="2"/>
      <c r="Z53" s="2"/>
      <c r="AA53" s="2"/>
    </row>
    <row r="54" spans="1:35" ht="29.1" customHeight="1">
      <c r="A54" s="84" t="s">
        <v>10</v>
      </c>
      <c r="B54" s="12">
        <f>$AG10</f>
        <v>35.532868160117516</v>
      </c>
      <c r="C54" s="12">
        <f>$AG11</f>
        <v>35.931364179614135</v>
      </c>
      <c r="D54" s="12">
        <f>$AG12</f>
        <v>36.877102199223806</v>
      </c>
      <c r="E54" s="12">
        <f>$AG13</f>
        <v>39.007849978194507</v>
      </c>
      <c r="F54" s="12">
        <f>$AG14</f>
        <v>35.42550492730998</v>
      </c>
      <c r="G54" s="12">
        <f>$AG15</f>
        <v>27.648530822216408</v>
      </c>
      <c r="H54" s="12">
        <f>$AG16</f>
        <v>64.084569615232056</v>
      </c>
      <c r="I54" s="12">
        <f>$AG17</f>
        <v>140.80357956394403</v>
      </c>
      <c r="J54" s="12">
        <f>$AG18</f>
        <v>28.250745723503986</v>
      </c>
      <c r="K54" s="12">
        <f>$AG19</f>
        <v>45.253944489231834</v>
      </c>
      <c r="L54" s="12">
        <f>$AG20</f>
        <v>59.083528450857607</v>
      </c>
      <c r="M54" s="12">
        <f>$AG21</f>
        <v>61.660986920952531</v>
      </c>
      <c r="N54" s="12">
        <f>$AG22</f>
        <v>77.481226684753651</v>
      </c>
      <c r="O54" s="12">
        <f>$AG23</f>
        <v>106.82924747498696</v>
      </c>
      <c r="P54" s="12">
        <f>$AG24</f>
        <v>279.15173186282959</v>
      </c>
      <c r="Q54" s="12">
        <f>$AG25</f>
        <v>1160.8864572605562</v>
      </c>
      <c r="R54" s="12">
        <f>$AG26</f>
        <v>2911.2554899048941</v>
      </c>
      <c r="S54" s="12">
        <f>$AG27</f>
        <v>6080.8027591258697</v>
      </c>
      <c r="T54" s="12">
        <f>$AG28</f>
        <v>8394.3031861327163</v>
      </c>
      <c r="U54" s="12">
        <f>$AG29</f>
        <v>9335.4257644283825</v>
      </c>
      <c r="V54" s="247">
        <f>$AG30</f>
        <v>8982.6506462770794</v>
      </c>
      <c r="W54" s="2"/>
      <c r="X54" s="2"/>
      <c r="Y54" s="2"/>
      <c r="Z54" s="2"/>
      <c r="AA54" s="2"/>
    </row>
    <row r="55" spans="1:35">
      <c r="A55" s="2"/>
      <c r="B55" s="2"/>
      <c r="C55" s="2"/>
      <c r="D55" s="2"/>
      <c r="E55" s="2"/>
      <c r="F55" s="2"/>
      <c r="G55" s="2"/>
      <c r="H55" s="2"/>
      <c r="I55" s="2"/>
      <c r="J55" s="2"/>
      <c r="K55" s="2"/>
      <c r="L55" s="2"/>
      <c r="M55" s="2"/>
      <c r="N55" s="2"/>
      <c r="O55" s="2"/>
      <c r="P55" s="2"/>
      <c r="Q55" s="2"/>
      <c r="R55" s="2"/>
      <c r="S55" s="2"/>
      <c r="T55" s="2"/>
      <c r="U55" s="2"/>
      <c r="V55" s="2"/>
      <c r="W55" s="2"/>
      <c r="X55" s="2"/>
    </row>
    <row r="56" spans="1:35">
      <c r="A56" s="2"/>
      <c r="B56" s="2"/>
      <c r="C56" s="2"/>
      <c r="D56" s="2"/>
      <c r="E56" s="2"/>
      <c r="F56" s="2"/>
      <c r="G56" s="2"/>
      <c r="H56" s="2"/>
      <c r="I56" s="2"/>
      <c r="J56" s="2"/>
      <c r="K56" s="2"/>
      <c r="L56" s="2"/>
      <c r="M56" s="2"/>
      <c r="N56" s="2"/>
      <c r="O56" s="2"/>
      <c r="P56" s="2"/>
      <c r="Q56" s="2"/>
      <c r="R56" s="2"/>
      <c r="S56" s="2"/>
      <c r="T56" s="2"/>
      <c r="U56" s="2"/>
      <c r="V56" s="2"/>
      <c r="W56" s="2"/>
      <c r="X56" s="2"/>
    </row>
    <row r="59" spans="1:35">
      <c r="A59" s="667" t="s">
        <v>386</v>
      </c>
      <c r="B59" s="667"/>
      <c r="C59" s="667"/>
    </row>
    <row r="61" spans="1:35" ht="15" customHeight="1">
      <c r="AE61" s="96"/>
      <c r="AF61" s="96"/>
      <c r="AG61" s="96"/>
      <c r="AH61" s="96"/>
      <c r="AI61" s="96"/>
    </row>
    <row r="62" spans="1:35">
      <c r="AE62" s="96"/>
      <c r="AF62" s="96"/>
      <c r="AG62" s="96"/>
      <c r="AH62" s="96"/>
      <c r="AI62" s="96"/>
    </row>
    <row r="63" spans="1:35">
      <c r="AE63" s="96"/>
      <c r="AF63" s="96"/>
      <c r="AG63" s="96"/>
      <c r="AH63" s="96"/>
      <c r="AI63" s="96"/>
    </row>
    <row r="64" spans="1:35">
      <c r="AE64" s="96"/>
      <c r="AF64" s="96"/>
      <c r="AG64" s="96"/>
      <c r="AH64" s="96"/>
      <c r="AI64" s="96"/>
    </row>
    <row r="65" spans="31:35">
      <c r="AE65" s="96"/>
      <c r="AF65" s="96"/>
      <c r="AG65" s="96"/>
      <c r="AH65" s="96"/>
      <c r="AI65" s="96"/>
    </row>
    <row r="66" spans="31:35">
      <c r="AE66" s="96"/>
      <c r="AF66" s="96"/>
      <c r="AG66" s="96"/>
      <c r="AH66" s="96"/>
      <c r="AI66" s="96"/>
    </row>
    <row r="67" spans="31:35">
      <c r="AE67" s="96"/>
      <c r="AF67" s="96"/>
      <c r="AG67" s="96"/>
      <c r="AH67" s="96"/>
      <c r="AI67" s="96"/>
    </row>
    <row r="68" spans="31:35">
      <c r="AE68" s="96"/>
      <c r="AF68" s="96"/>
      <c r="AG68" s="96"/>
      <c r="AH68" s="96"/>
      <c r="AI68" s="96"/>
    </row>
    <row r="69" spans="31:35">
      <c r="AE69" s="96"/>
      <c r="AF69" s="96"/>
      <c r="AG69" s="96"/>
      <c r="AH69" s="96"/>
      <c r="AI69" s="96"/>
    </row>
    <row r="70" spans="31:35">
      <c r="AE70" s="96"/>
      <c r="AF70" s="96"/>
      <c r="AG70" s="96"/>
      <c r="AH70" s="96"/>
      <c r="AI70" s="96"/>
    </row>
    <row r="71" spans="31:35">
      <c r="AE71" s="96"/>
      <c r="AF71" s="96"/>
      <c r="AG71" s="96"/>
      <c r="AH71" s="96"/>
      <c r="AI71" s="96"/>
    </row>
    <row r="72" spans="31:35">
      <c r="AE72" s="96"/>
      <c r="AF72" s="96"/>
      <c r="AG72" s="96"/>
      <c r="AH72" s="96"/>
      <c r="AI72" s="96"/>
    </row>
    <row r="82" ht="15" customHeight="1"/>
    <row r="103" ht="15" customHeight="1"/>
    <row r="124" ht="15" customHeight="1"/>
    <row r="145" ht="15" customHeight="1"/>
    <row r="166" ht="15" customHeight="1"/>
    <row r="187" ht="15" customHeight="1"/>
    <row r="208" ht="15" customHeight="1"/>
    <row r="229" ht="15" customHeight="1"/>
    <row r="250" ht="15" customHeight="1"/>
    <row r="271" ht="15" customHeight="1"/>
    <row r="292" ht="15" customHeight="1"/>
    <row r="313" ht="15" customHeight="1"/>
    <row r="334" ht="15" customHeight="1"/>
    <row r="355" ht="15" customHeight="1"/>
    <row r="376" ht="15" customHeight="1"/>
    <row r="397" ht="15" customHeight="1"/>
  </sheetData>
  <mergeCells count="9">
    <mergeCell ref="Z8:AC8"/>
    <mergeCell ref="AD8:AG8"/>
    <mergeCell ref="R8:U8"/>
    <mergeCell ref="A59:C59"/>
    <mergeCell ref="A6:I6"/>
    <mergeCell ref="A7:N7"/>
    <mergeCell ref="B8:N8"/>
    <mergeCell ref="D37:H37"/>
    <mergeCell ref="V8:Y8"/>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3813-350E-4973-AEB4-59CFF805F222}">
  <dimension ref="A1:W66"/>
  <sheetViews>
    <sheetView zoomScale="85" zoomScaleNormal="85" workbookViewId="0">
      <pane xSplit="1" topLeftCell="D1" activePane="topRight" state="frozen"/>
      <selection activeCell="A12" sqref="A12"/>
      <selection pane="topRight" activeCell="Y8" sqref="Y8"/>
    </sheetView>
  </sheetViews>
  <sheetFormatPr defaultColWidth="8.89453125" defaultRowHeight="14.4"/>
  <cols>
    <col min="1" max="1" width="43.41796875" customWidth="1"/>
    <col min="2" max="2" width="14" customWidth="1"/>
    <col min="3" max="3" width="12.89453125" customWidth="1"/>
    <col min="4" max="4" width="12.3125" customWidth="1"/>
    <col min="5" max="5" width="14" customWidth="1"/>
    <col min="6" max="6" width="12" bestFit="1" customWidth="1"/>
    <col min="7" max="7" width="12.41796875" customWidth="1"/>
    <col min="8" max="8" width="12" bestFit="1" customWidth="1"/>
    <col min="9" max="9" width="12.1015625" customWidth="1"/>
    <col min="10" max="10" width="12" bestFit="1" customWidth="1"/>
    <col min="11" max="11" width="12" customWidth="1"/>
    <col min="12" max="12" width="12" bestFit="1" customWidth="1"/>
    <col min="13" max="13" width="13.3125" customWidth="1"/>
    <col min="14" max="14" width="11.89453125" customWidth="1"/>
    <col min="15" max="16" width="12" bestFit="1" customWidth="1"/>
    <col min="17" max="17" width="11.41796875" customWidth="1"/>
    <col min="18" max="18" width="14.41796875" customWidth="1"/>
    <col min="19" max="19" width="14.1015625" customWidth="1"/>
    <col min="20" max="20" width="15.1015625" customWidth="1"/>
    <col min="21" max="21" width="20.3125" customWidth="1"/>
    <col min="22" max="22" width="10.89453125" customWidth="1"/>
    <col min="23" max="23" width="12"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1">
        <v>2019</v>
      </c>
    </row>
    <row r="2" spans="1:23">
      <c r="A2" s="26" t="s">
        <v>42</v>
      </c>
      <c r="B2" s="112">
        <f>AVERAGE(H58,H60)</f>
        <v>1910000</v>
      </c>
      <c r="C2" s="112">
        <f t="shared" ref="C2" si="0">AVERAGE(I58,I60)</f>
        <v>2462000</v>
      </c>
      <c r="D2" s="112">
        <f>AVERAGE(J58,J60)</f>
        <v>2394500</v>
      </c>
      <c r="E2" s="112">
        <v>2320000</v>
      </c>
      <c r="F2" s="111">
        <v>2456000</v>
      </c>
      <c r="G2" s="111">
        <v>2422000</v>
      </c>
      <c r="H2" s="111">
        <v>2193000</v>
      </c>
      <c r="I2" s="111">
        <v>2155000</v>
      </c>
      <c r="J2" s="111">
        <v>2159000</v>
      </c>
      <c r="K2" s="111">
        <v>2189000</v>
      </c>
      <c r="L2" s="111">
        <v>2193000</v>
      </c>
      <c r="M2" s="111">
        <v>2013000</v>
      </c>
      <c r="N2" s="111">
        <v>1888000</v>
      </c>
      <c r="O2" s="111">
        <v>1880000</v>
      </c>
      <c r="P2" s="111">
        <v>1539000</v>
      </c>
      <c r="Q2" s="111">
        <v>1425000</v>
      </c>
      <c r="R2" s="111">
        <v>2126000</v>
      </c>
      <c r="S2" s="111">
        <v>2139000</v>
      </c>
      <c r="T2" s="111">
        <v>2010000</v>
      </c>
      <c r="U2" s="111">
        <v>1908000</v>
      </c>
      <c r="V2">
        <v>1607000</v>
      </c>
    </row>
    <row r="3" spans="1:23">
      <c r="A3" s="26" t="s">
        <v>44</v>
      </c>
      <c r="B3" s="112">
        <f t="shared" ref="B3:D3" si="1">B2-B4</f>
        <v>1622960.8532816693</v>
      </c>
      <c r="C3" s="112">
        <f t="shared" si="1"/>
        <v>2092005.0370573141</v>
      </c>
      <c r="D3" s="112">
        <f t="shared" si="1"/>
        <v>2034649.0906717053</v>
      </c>
      <c r="E3" s="112">
        <f>E2-E4</f>
        <v>1971345.1202164779</v>
      </c>
      <c r="F3" s="112">
        <f t="shared" ref="F3:U3" si="2">F2-F4</f>
        <v>2086906.7307119267</v>
      </c>
      <c r="G3" s="112">
        <f t="shared" si="2"/>
        <v>2058016.3280880644</v>
      </c>
      <c r="H3" s="112">
        <f t="shared" si="2"/>
        <v>1863430.9692391104</v>
      </c>
      <c r="I3" s="112">
        <f t="shared" si="2"/>
        <v>1831141.6957183233</v>
      </c>
      <c r="J3" s="112">
        <f t="shared" si="2"/>
        <v>1834540.5666152481</v>
      </c>
      <c r="K3" s="112">
        <f t="shared" si="2"/>
        <v>1860032.0983421854</v>
      </c>
      <c r="L3" s="112">
        <f t="shared" si="2"/>
        <v>1863430.9692391104</v>
      </c>
      <c r="M3" s="112">
        <f t="shared" si="2"/>
        <v>1710481.7788774869</v>
      </c>
      <c r="N3" s="112">
        <f t="shared" si="2"/>
        <v>1604267.063348582</v>
      </c>
      <c r="O3" s="112">
        <f t="shared" si="2"/>
        <v>1597469.321554732</v>
      </c>
      <c r="P3" s="112">
        <f t="shared" si="2"/>
        <v>1307715.5775918791</v>
      </c>
      <c r="Q3" s="112">
        <f t="shared" si="2"/>
        <v>1210847.7570295176</v>
      </c>
      <c r="R3" s="112">
        <f t="shared" si="2"/>
        <v>1163513.1208599422</v>
      </c>
      <c r="S3" s="112">
        <f t="shared" si="2"/>
        <v>1170627.7354277594</v>
      </c>
      <c r="T3" s="112">
        <f t="shared" si="2"/>
        <v>1100028.8677932662</v>
      </c>
      <c r="U3" s="112">
        <f t="shared" si="2"/>
        <v>1044206.5073380854</v>
      </c>
      <c r="V3" s="112">
        <f>V2-V4</f>
        <v>879475.81619093462</v>
      </c>
    </row>
    <row r="4" spans="1:23">
      <c r="A4" s="167" t="s">
        <v>45</v>
      </c>
      <c r="B4" s="112">
        <f>B2*$W$30</f>
        <v>287039.14671833068</v>
      </c>
      <c r="C4" s="112">
        <f t="shared" ref="C4:D4" si="3">C2*$W$30</f>
        <v>369994.96294268593</v>
      </c>
      <c r="D4" s="112">
        <f t="shared" si="3"/>
        <v>359850.90932829469</v>
      </c>
      <c r="E4" s="112">
        <f>E2*$W$30</f>
        <v>348654.8797835221</v>
      </c>
      <c r="F4" s="112">
        <f t="shared" ref="F4:Q4" si="4">F2*$W$30</f>
        <v>369093.26928807341</v>
      </c>
      <c r="G4" s="112">
        <f t="shared" si="4"/>
        <v>363983.67191193555</v>
      </c>
      <c r="H4" s="112">
        <f t="shared" si="4"/>
        <v>329569.03076088964</v>
      </c>
      <c r="I4" s="112">
        <f t="shared" si="4"/>
        <v>323858.30428167677</v>
      </c>
      <c r="J4" s="112">
        <f t="shared" si="4"/>
        <v>324459.43338475178</v>
      </c>
      <c r="K4" s="112">
        <f t="shared" si="4"/>
        <v>328967.90165781457</v>
      </c>
      <c r="L4" s="112">
        <f t="shared" si="4"/>
        <v>329569.03076088964</v>
      </c>
      <c r="M4" s="112">
        <f t="shared" si="4"/>
        <v>302518.22112251294</v>
      </c>
      <c r="N4" s="112">
        <f t="shared" si="4"/>
        <v>283732.93665141799</v>
      </c>
      <c r="O4" s="112">
        <f t="shared" si="4"/>
        <v>282530.6784452679</v>
      </c>
      <c r="P4" s="112">
        <f t="shared" si="4"/>
        <v>231284.42240812091</v>
      </c>
      <c r="Q4" s="112">
        <f t="shared" si="4"/>
        <v>214152.24297048233</v>
      </c>
      <c r="R4" s="112">
        <f>R2*$V$30</f>
        <v>962486.87914005783</v>
      </c>
      <c r="S4" s="112">
        <f t="shared" ref="S4:U4" si="5">S2*$V$30</f>
        <v>968372.26457224065</v>
      </c>
      <c r="T4" s="112">
        <f t="shared" si="5"/>
        <v>909971.13220673392</v>
      </c>
      <c r="U4" s="112">
        <f t="shared" si="5"/>
        <v>863793.49266191456</v>
      </c>
      <c r="V4" s="112">
        <f>V2*$V$30</f>
        <v>727524.18380906538</v>
      </c>
    </row>
    <row r="5" spans="1:23">
      <c r="A5" s="167" t="s">
        <v>46</v>
      </c>
      <c r="B5" s="112">
        <f>H59</f>
        <v>104000</v>
      </c>
      <c r="C5" s="112">
        <f t="shared" ref="C5:D5" si="6">I59</f>
        <v>114000</v>
      </c>
      <c r="D5" s="112">
        <f t="shared" si="6"/>
        <v>154000</v>
      </c>
      <c r="E5" s="112">
        <f>C42</f>
        <v>117000</v>
      </c>
      <c r="F5" s="112">
        <f t="shared" ref="F5:U5" si="7">D42</f>
        <v>92000</v>
      </c>
      <c r="G5" s="112">
        <f t="shared" si="7"/>
        <v>118000</v>
      </c>
      <c r="H5" s="112">
        <f t="shared" si="7"/>
        <v>108000</v>
      </c>
      <c r="I5" s="112">
        <f t="shared" si="7"/>
        <v>90000</v>
      </c>
      <c r="J5" s="112">
        <f t="shared" si="7"/>
        <v>106000</v>
      </c>
      <c r="K5" s="112">
        <f t="shared" si="7"/>
        <v>116000</v>
      </c>
      <c r="L5" s="112">
        <f t="shared" si="7"/>
        <v>187000</v>
      </c>
      <c r="M5" s="112">
        <f t="shared" si="7"/>
        <v>142000</v>
      </c>
      <c r="N5" s="112">
        <f t="shared" si="7"/>
        <v>178000</v>
      </c>
      <c r="O5" s="112">
        <f t="shared" si="7"/>
        <v>156000</v>
      </c>
      <c r="P5" s="112">
        <f t="shared" si="7"/>
        <v>169000</v>
      </c>
      <c r="Q5" s="112">
        <f t="shared" si="7"/>
        <v>212000</v>
      </c>
      <c r="R5" s="112">
        <f t="shared" si="7"/>
        <v>135000</v>
      </c>
      <c r="S5" s="112">
        <f t="shared" si="7"/>
        <v>170000</v>
      </c>
      <c r="T5" s="112">
        <f t="shared" si="7"/>
        <v>81000</v>
      </c>
      <c r="U5" s="112">
        <f t="shared" si="7"/>
        <v>117000</v>
      </c>
      <c r="V5" s="112">
        <f>T42</f>
        <v>50000</v>
      </c>
    </row>
    <row r="6" spans="1:23">
      <c r="A6" s="26" t="s">
        <v>47</v>
      </c>
      <c r="B6" s="112">
        <f>$B$5*(E6/$E$5)</f>
        <v>29000</v>
      </c>
      <c r="C6" s="112">
        <f>$C$5*(E6/$E$5)</f>
        <v>31788.461538461539</v>
      </c>
      <c r="D6" s="112">
        <f>$D$5*(E6/$E$5)</f>
        <v>42942.307692307695</v>
      </c>
      <c r="E6" s="112">
        <f>C45</f>
        <v>32625</v>
      </c>
      <c r="F6" s="112">
        <f t="shared" ref="F6:U8" si="8">D45</f>
        <v>25653.846153846156</v>
      </c>
      <c r="G6" s="112">
        <f t="shared" si="8"/>
        <v>31052.631578947367</v>
      </c>
      <c r="H6" s="112">
        <f t="shared" si="8"/>
        <v>28421.052631578947</v>
      </c>
      <c r="I6" s="112">
        <f t="shared" si="8"/>
        <v>30306.12244897959</v>
      </c>
      <c r="J6" s="112">
        <f t="shared" si="8"/>
        <v>35693.877551020407</v>
      </c>
      <c r="K6" s="112">
        <f t="shared" si="8"/>
        <v>34800</v>
      </c>
      <c r="L6" s="112">
        <f t="shared" si="8"/>
        <v>56100</v>
      </c>
      <c r="M6" s="112">
        <f t="shared" si="8"/>
        <v>61358.024691358019</v>
      </c>
      <c r="N6" s="112">
        <f t="shared" si="8"/>
        <v>76913.580246913582</v>
      </c>
      <c r="O6" s="112">
        <f t="shared" si="8"/>
        <v>74650.306748466261</v>
      </c>
      <c r="P6" s="112">
        <f t="shared" si="8"/>
        <v>80871.165644171779</v>
      </c>
      <c r="Q6" s="112">
        <f t="shared" si="8"/>
        <v>81100.671140939594</v>
      </c>
      <c r="R6" s="112">
        <f t="shared" si="8"/>
        <v>51644.295302013423</v>
      </c>
      <c r="S6" s="112">
        <f t="shared" si="8"/>
        <v>65033.557046979869</v>
      </c>
      <c r="T6" s="112">
        <f t="shared" si="8"/>
        <v>28317.07317073171</v>
      </c>
      <c r="U6" s="112">
        <f t="shared" si="8"/>
        <v>43588.23529411765</v>
      </c>
      <c r="V6" s="112">
        <f>T45</f>
        <v>18292.682926829268</v>
      </c>
    </row>
    <row r="7" spans="1:23">
      <c r="A7" s="26" t="s">
        <v>387</v>
      </c>
      <c r="B7" s="112">
        <f>$B$5*(E7/$E$5)</f>
        <v>40000</v>
      </c>
      <c r="C7" s="112">
        <f>$C$5*(E7/$E$5)</f>
        <v>43846.153846153851</v>
      </c>
      <c r="D7" s="112">
        <f>$D$5*(E7/$E$5)</f>
        <v>59230.769230769234</v>
      </c>
      <c r="E7" s="112">
        <f t="shared" ref="E7:T8" si="9">C46</f>
        <v>45000</v>
      </c>
      <c r="F7" s="112">
        <f t="shared" si="9"/>
        <v>35384.61538461539</v>
      </c>
      <c r="G7" s="112">
        <f t="shared" si="9"/>
        <v>43473.684210526313</v>
      </c>
      <c r="H7" s="112">
        <f t="shared" si="9"/>
        <v>39789.473684210527</v>
      </c>
      <c r="I7" s="112">
        <f t="shared" si="9"/>
        <v>37653.0612244898</v>
      </c>
      <c r="J7" s="112">
        <f t="shared" si="9"/>
        <v>44346.938775510207</v>
      </c>
      <c r="K7" s="112">
        <f t="shared" si="9"/>
        <v>50266.666666666672</v>
      </c>
      <c r="L7" s="112">
        <f t="shared" si="9"/>
        <v>81033.333333333343</v>
      </c>
      <c r="M7" s="112">
        <f t="shared" si="9"/>
        <v>50839.506172839501</v>
      </c>
      <c r="N7" s="112">
        <f t="shared" si="9"/>
        <v>63728.395061728392</v>
      </c>
      <c r="O7" s="112">
        <f t="shared" si="9"/>
        <v>57423.312883435581</v>
      </c>
      <c r="P7" s="112">
        <f t="shared" si="9"/>
        <v>62208.58895705521</v>
      </c>
      <c r="Q7" s="112">
        <f t="shared" si="9"/>
        <v>78255.033557046991</v>
      </c>
      <c r="R7" s="112">
        <f t="shared" si="9"/>
        <v>49832.214765100674</v>
      </c>
      <c r="S7" s="112">
        <f t="shared" si="9"/>
        <v>62751.677852348999</v>
      </c>
      <c r="T7" s="112">
        <f t="shared" si="9"/>
        <v>36878.048780487807</v>
      </c>
      <c r="U7" s="112">
        <f t="shared" si="8"/>
        <v>40147.058823529413</v>
      </c>
      <c r="V7" s="112">
        <f>T46</f>
        <v>10365.853658536585</v>
      </c>
    </row>
    <row r="8" spans="1:23">
      <c r="A8" s="26" t="s">
        <v>388</v>
      </c>
      <c r="B8" s="112">
        <f>B5-B6-B7</f>
        <v>35000</v>
      </c>
      <c r="C8" s="112">
        <f>C5-C6-C7</f>
        <v>38365.384615384617</v>
      </c>
      <c r="D8" s="112">
        <f>D5-D6-D7</f>
        <v>51826.923076923078</v>
      </c>
      <c r="E8" s="112">
        <f t="shared" si="9"/>
        <v>39375</v>
      </c>
      <c r="F8" s="112">
        <f t="shared" si="8"/>
        <v>30961.538461538465</v>
      </c>
      <c r="G8" s="112">
        <f t="shared" si="8"/>
        <v>43473.684210526313</v>
      </c>
      <c r="H8" s="112">
        <f t="shared" si="8"/>
        <v>39789.473684210527</v>
      </c>
      <c r="I8" s="112">
        <f t="shared" si="8"/>
        <v>22040.81632653061</v>
      </c>
      <c r="J8" s="112">
        <f t="shared" si="8"/>
        <v>25959.183673469386</v>
      </c>
      <c r="K8" s="112">
        <f t="shared" si="8"/>
        <v>30933.333333333332</v>
      </c>
      <c r="L8" s="112">
        <f t="shared" si="8"/>
        <v>49866.666666666664</v>
      </c>
      <c r="M8" s="112">
        <f t="shared" si="8"/>
        <v>29802.469135802468</v>
      </c>
      <c r="N8" s="112">
        <f t="shared" si="8"/>
        <v>37358.024691358019</v>
      </c>
      <c r="O8" s="112">
        <f t="shared" si="8"/>
        <v>23926.380368098158</v>
      </c>
      <c r="P8" s="112">
        <f t="shared" si="8"/>
        <v>25920.245398773008</v>
      </c>
      <c r="Q8" s="112">
        <f t="shared" si="8"/>
        <v>52644.295302013415</v>
      </c>
      <c r="R8" s="112">
        <f t="shared" si="8"/>
        <v>33523.489932885903</v>
      </c>
      <c r="S8" s="112">
        <f t="shared" si="8"/>
        <v>42214.765100671138</v>
      </c>
      <c r="T8" s="112">
        <f t="shared" si="8"/>
        <v>15804.878048780489</v>
      </c>
      <c r="U8" s="112">
        <f t="shared" si="8"/>
        <v>33264.705882352937</v>
      </c>
      <c r="V8" s="112">
        <f>T47</f>
        <v>21341.463414634145</v>
      </c>
    </row>
    <row r="9" spans="1:23">
      <c r="A9" s="728" t="s">
        <v>389</v>
      </c>
      <c r="B9" s="728"/>
      <c r="C9" s="728"/>
      <c r="D9" s="728"/>
      <c r="E9" s="728"/>
      <c r="F9" s="728"/>
      <c r="G9" s="728"/>
      <c r="H9" s="728"/>
      <c r="I9" s="728"/>
    </row>
    <row r="10" spans="1:23">
      <c r="A10" s="419"/>
      <c r="B10" s="419"/>
      <c r="C10" s="419"/>
      <c r="D10" s="419"/>
      <c r="E10" s="419"/>
      <c r="F10" s="419"/>
      <c r="G10" s="419"/>
      <c r="H10" s="419"/>
      <c r="I10" s="419"/>
    </row>
    <row r="11" spans="1:23">
      <c r="A11" s="726" t="s">
        <v>390</v>
      </c>
      <c r="B11" s="726"/>
      <c r="C11" s="726"/>
      <c r="D11" s="726"/>
      <c r="E11" s="726"/>
      <c r="F11" s="726"/>
      <c r="G11" s="726"/>
      <c r="H11" s="726"/>
    </row>
    <row r="12" spans="1:23" ht="72">
      <c r="A12" s="49" t="s">
        <v>180</v>
      </c>
      <c r="B12" s="49" t="s">
        <v>391</v>
      </c>
      <c r="C12" s="49" t="s">
        <v>392</v>
      </c>
      <c r="D12" s="49" t="s">
        <v>393</v>
      </c>
      <c r="E12" s="49" t="s">
        <v>394</v>
      </c>
      <c r="F12" s="49" t="s">
        <v>395</v>
      </c>
      <c r="G12" s="49" t="s">
        <v>396</v>
      </c>
      <c r="H12" s="49" t="s">
        <v>397</v>
      </c>
      <c r="I12" s="49" t="s">
        <v>398</v>
      </c>
      <c r="J12" s="49" t="s">
        <v>399</v>
      </c>
      <c r="K12" s="49" t="s">
        <v>400</v>
      </c>
      <c r="L12" s="49" t="s">
        <v>401</v>
      </c>
      <c r="M12" s="49" t="s">
        <v>402</v>
      </c>
      <c r="N12" s="49" t="s">
        <v>403</v>
      </c>
      <c r="O12" s="49" t="s">
        <v>404</v>
      </c>
      <c r="P12" s="49" t="s">
        <v>405</v>
      </c>
      <c r="Q12" s="49" t="s">
        <v>406</v>
      </c>
      <c r="R12" s="49" t="s">
        <v>407</v>
      </c>
      <c r="S12" s="49" t="s">
        <v>408</v>
      </c>
      <c r="T12" s="49" t="s">
        <v>409</v>
      </c>
      <c r="U12" s="49" t="s">
        <v>410</v>
      </c>
      <c r="V12" s="49" t="s">
        <v>411</v>
      </c>
      <c r="W12" s="49" t="s">
        <v>412</v>
      </c>
    </row>
    <row r="13" spans="1:23">
      <c r="A13" t="s">
        <v>413</v>
      </c>
      <c r="B13" s="19">
        <v>351000</v>
      </c>
      <c r="C13" s="19">
        <v>3372000</v>
      </c>
      <c r="D13" s="19">
        <v>104000</v>
      </c>
      <c r="E13" s="19">
        <v>80000</v>
      </c>
      <c r="F13" s="19">
        <v>29000</v>
      </c>
      <c r="G13" s="19">
        <f>H13-F13</f>
        <v>40000</v>
      </c>
      <c r="H13" s="19">
        <v>69000</v>
      </c>
      <c r="I13" s="19">
        <f t="shared" ref="I13:I29" si="10">D13-H13</f>
        <v>35000</v>
      </c>
      <c r="J13" s="27">
        <f>F13/D13</f>
        <v>0.27884615384615385</v>
      </c>
      <c r="K13" s="27">
        <f>G13/D13</f>
        <v>0.38461538461538464</v>
      </c>
      <c r="L13" s="27">
        <f>(D13-H13)/D13</f>
        <v>0.33653846153846156</v>
      </c>
      <c r="M13" s="19">
        <v>196000</v>
      </c>
      <c r="N13" s="19">
        <v>11286000</v>
      </c>
      <c r="O13" s="19">
        <v>18973000</v>
      </c>
      <c r="P13" s="19">
        <v>2353000</v>
      </c>
      <c r="Q13" s="19">
        <v>30000</v>
      </c>
      <c r="R13" s="19">
        <v>15000</v>
      </c>
      <c r="S13" s="19">
        <v>1449000</v>
      </c>
      <c r="T13" t="s">
        <v>414</v>
      </c>
      <c r="U13" t="s">
        <v>414</v>
      </c>
      <c r="V13" t="s">
        <v>414</v>
      </c>
      <c r="W13" t="s">
        <v>414</v>
      </c>
    </row>
    <row r="14" spans="1:23">
      <c r="A14" s="178" t="s">
        <v>415</v>
      </c>
      <c r="B14" s="179"/>
      <c r="C14" s="179"/>
      <c r="D14" s="179"/>
      <c r="E14" s="179"/>
      <c r="F14" s="179"/>
      <c r="G14" s="179"/>
      <c r="H14" s="179"/>
      <c r="I14" s="180">
        <f t="shared" si="10"/>
        <v>0</v>
      </c>
      <c r="J14" s="181"/>
      <c r="K14" s="181"/>
      <c r="L14" s="181"/>
      <c r="M14" s="179"/>
      <c r="N14" s="179"/>
      <c r="O14" s="179"/>
      <c r="P14" s="178"/>
      <c r="Q14" s="178"/>
      <c r="R14" s="179"/>
      <c r="S14" s="179"/>
      <c r="T14" s="178"/>
      <c r="U14" s="178"/>
      <c r="V14" s="178"/>
      <c r="W14" s="182"/>
    </row>
    <row r="15" spans="1:23">
      <c r="A15" t="s">
        <v>416</v>
      </c>
      <c r="B15" s="19">
        <v>388000</v>
      </c>
      <c r="C15" s="19">
        <v>2928000</v>
      </c>
      <c r="D15" s="19">
        <v>114000</v>
      </c>
      <c r="E15" s="19">
        <v>88000</v>
      </c>
      <c r="F15" s="19">
        <v>30000</v>
      </c>
      <c r="G15" s="19">
        <f>H15-F15</f>
        <v>42000</v>
      </c>
      <c r="H15" s="19">
        <v>72000</v>
      </c>
      <c r="I15" s="19">
        <f t="shared" si="10"/>
        <v>42000</v>
      </c>
      <c r="J15" s="27">
        <f>F15/D15</f>
        <v>0.26315789473684209</v>
      </c>
      <c r="K15" s="27">
        <f>G15/D15</f>
        <v>0.36842105263157893</v>
      </c>
      <c r="L15" s="27">
        <f>(D15-H15)/D15</f>
        <v>0.36842105263157893</v>
      </c>
      <c r="M15" s="19">
        <v>246000</v>
      </c>
      <c r="N15" s="19">
        <v>11489000</v>
      </c>
      <c r="O15" s="19">
        <v>20672000</v>
      </c>
      <c r="P15" s="19">
        <v>2311000</v>
      </c>
      <c r="Q15" s="19">
        <v>24000</v>
      </c>
      <c r="R15" s="19">
        <v>15000</v>
      </c>
      <c r="S15" s="19">
        <v>1476000</v>
      </c>
      <c r="T15" t="s">
        <v>414</v>
      </c>
      <c r="U15" t="s">
        <v>414</v>
      </c>
      <c r="V15" t="s">
        <v>414</v>
      </c>
      <c r="W15" t="s">
        <v>414</v>
      </c>
    </row>
    <row r="16" spans="1:23">
      <c r="A16" s="178" t="s">
        <v>417</v>
      </c>
      <c r="B16" s="179"/>
      <c r="C16" s="179"/>
      <c r="D16" s="179"/>
      <c r="E16" s="179"/>
      <c r="F16" s="179"/>
      <c r="G16" s="179"/>
      <c r="H16" s="179"/>
      <c r="I16" s="180">
        <f t="shared" si="10"/>
        <v>0</v>
      </c>
      <c r="J16" s="181"/>
      <c r="K16" s="181"/>
      <c r="L16" s="181"/>
      <c r="M16" s="179"/>
      <c r="N16" s="179"/>
      <c r="O16" s="179"/>
      <c r="P16" s="178"/>
      <c r="Q16" s="178"/>
      <c r="R16" s="179"/>
      <c r="S16" s="179"/>
      <c r="T16" s="178"/>
      <c r="U16" s="178"/>
      <c r="V16" s="178"/>
      <c r="W16" s="182"/>
    </row>
    <row r="17" spans="1:23">
      <c r="A17" t="s">
        <v>418</v>
      </c>
      <c r="B17" s="19">
        <v>465000</v>
      </c>
      <c r="C17" s="19">
        <v>3331000</v>
      </c>
      <c r="D17" s="19">
        <v>98000</v>
      </c>
      <c r="E17" s="19">
        <v>82000</v>
      </c>
      <c r="F17" s="19">
        <v>33000</v>
      </c>
      <c r="G17" s="19">
        <f>H17-F17</f>
        <v>41000</v>
      </c>
      <c r="H17" s="19">
        <v>74000</v>
      </c>
      <c r="I17" s="19">
        <f t="shared" si="10"/>
        <v>24000</v>
      </c>
      <c r="J17" s="27">
        <f>F17/D17</f>
        <v>0.33673469387755101</v>
      </c>
      <c r="K17" s="27">
        <f>G17/D17</f>
        <v>0.41836734693877553</v>
      </c>
      <c r="L17" s="27">
        <f>(D17-H17)/D17</f>
        <v>0.24489795918367346</v>
      </c>
      <c r="M17" s="19">
        <v>275000</v>
      </c>
      <c r="N17" s="19">
        <v>12573000</v>
      </c>
      <c r="O17" s="19">
        <v>20755000</v>
      </c>
      <c r="P17" s="19">
        <v>2178000</v>
      </c>
      <c r="Q17" s="19">
        <v>45000</v>
      </c>
      <c r="R17" s="19">
        <v>15000</v>
      </c>
      <c r="S17" s="19">
        <v>1665000</v>
      </c>
      <c r="T17" s="19">
        <v>315000</v>
      </c>
      <c r="U17" t="s">
        <v>419</v>
      </c>
      <c r="W17">
        <f>T17/P17</f>
        <v>0.14462809917355371</v>
      </c>
    </row>
    <row r="18" spans="1:23">
      <c r="A18" s="178" t="s">
        <v>420</v>
      </c>
      <c r="B18" s="179"/>
      <c r="C18" s="179"/>
      <c r="D18" s="179"/>
      <c r="E18" s="179"/>
      <c r="F18" s="179"/>
      <c r="G18" s="179"/>
      <c r="H18" s="179"/>
      <c r="I18" s="180">
        <f t="shared" si="10"/>
        <v>0</v>
      </c>
      <c r="J18" s="181"/>
      <c r="K18" s="181"/>
      <c r="L18" s="181"/>
      <c r="M18" s="179"/>
      <c r="N18" s="179"/>
      <c r="O18" s="179"/>
      <c r="P18" s="178"/>
      <c r="Q18" s="178"/>
      <c r="R18" s="179"/>
      <c r="S18" s="179"/>
      <c r="T18" s="178"/>
      <c r="U18" s="178"/>
      <c r="V18" s="178"/>
      <c r="W18" s="182"/>
    </row>
    <row r="19" spans="1:23">
      <c r="A19" t="s">
        <v>421</v>
      </c>
      <c r="B19" s="19">
        <v>517000</v>
      </c>
      <c r="C19" s="19">
        <v>3230000</v>
      </c>
      <c r="D19" s="19">
        <v>150000</v>
      </c>
      <c r="E19" s="19">
        <v>123000</v>
      </c>
      <c r="F19" s="19">
        <v>45000</v>
      </c>
      <c r="G19" s="19">
        <f>H19-F19</f>
        <v>65000</v>
      </c>
      <c r="H19" s="19">
        <v>110000</v>
      </c>
      <c r="I19" s="19">
        <f t="shared" si="10"/>
        <v>40000</v>
      </c>
      <c r="J19" s="27">
        <f>F19/D19</f>
        <v>0.3</v>
      </c>
      <c r="K19" s="27">
        <f>G19/D19</f>
        <v>0.43333333333333335</v>
      </c>
      <c r="L19" s="27">
        <f>(D19-H19)/D19</f>
        <v>0.26666666666666666</v>
      </c>
      <c r="M19" s="19">
        <v>326000</v>
      </c>
      <c r="N19" s="19">
        <v>12156000</v>
      </c>
      <c r="O19" s="19">
        <v>22918000</v>
      </c>
      <c r="P19" s="19">
        <v>2188000</v>
      </c>
      <c r="Q19" s="19">
        <v>51000</v>
      </c>
      <c r="R19" s="19">
        <v>16000</v>
      </c>
      <c r="S19" s="19">
        <v>1784000</v>
      </c>
      <c r="T19" s="19">
        <v>334000</v>
      </c>
      <c r="U19" t="s">
        <v>419</v>
      </c>
      <c r="W19">
        <f>T19/P19</f>
        <v>0.15265082266910421</v>
      </c>
    </row>
    <row r="20" spans="1:23">
      <c r="A20" s="178" t="s">
        <v>422</v>
      </c>
      <c r="B20" s="179"/>
      <c r="C20" s="179"/>
      <c r="D20" s="179"/>
      <c r="E20" s="179"/>
      <c r="F20" s="179"/>
      <c r="G20" s="179"/>
      <c r="H20" s="179"/>
      <c r="I20" s="180">
        <f t="shared" si="10"/>
        <v>0</v>
      </c>
      <c r="J20" s="181"/>
      <c r="K20" s="181"/>
      <c r="L20" s="181"/>
      <c r="M20" s="179"/>
      <c r="N20" s="179"/>
      <c r="O20" s="179"/>
      <c r="P20" s="178"/>
      <c r="Q20" s="178"/>
      <c r="R20" s="179"/>
      <c r="S20" s="179"/>
      <c r="T20" s="178"/>
      <c r="U20" s="178"/>
      <c r="V20" s="178"/>
      <c r="W20" s="182"/>
    </row>
    <row r="21" spans="1:23">
      <c r="A21" t="s">
        <v>423</v>
      </c>
      <c r="B21" s="19">
        <v>638000</v>
      </c>
      <c r="C21" s="19">
        <v>3584000</v>
      </c>
      <c r="D21" s="19">
        <v>162000</v>
      </c>
      <c r="E21" s="19">
        <v>149000</v>
      </c>
      <c r="F21" s="19">
        <v>70000</v>
      </c>
      <c r="G21" s="19">
        <f>H21-F21</f>
        <v>58000</v>
      </c>
      <c r="H21" s="19">
        <v>128000</v>
      </c>
      <c r="I21" s="19">
        <f t="shared" si="10"/>
        <v>34000</v>
      </c>
      <c r="J21" s="27">
        <f>F21/D21</f>
        <v>0.43209876543209874</v>
      </c>
      <c r="K21" s="27">
        <f>G21/D21</f>
        <v>0.35802469135802467</v>
      </c>
      <c r="L21" s="27">
        <f>(D21-H21)/D21</f>
        <v>0.20987654320987653</v>
      </c>
      <c r="M21" s="19">
        <v>400000</v>
      </c>
      <c r="N21" s="19">
        <v>11797000</v>
      </c>
      <c r="O21" s="19">
        <v>22910000</v>
      </c>
      <c r="P21" s="19">
        <v>1950000</v>
      </c>
      <c r="Q21" s="19">
        <v>47000</v>
      </c>
      <c r="R21" s="19">
        <v>27000</v>
      </c>
      <c r="S21" s="19">
        <v>1864000</v>
      </c>
      <c r="T21" s="19">
        <v>259000</v>
      </c>
      <c r="U21" t="s">
        <v>419</v>
      </c>
      <c r="W21">
        <f>T21/P21</f>
        <v>0.13282051282051283</v>
      </c>
    </row>
    <row r="22" spans="1:23">
      <c r="A22" s="178" t="s">
        <v>424</v>
      </c>
      <c r="B22" s="179"/>
      <c r="C22" s="179"/>
      <c r="D22" s="179"/>
      <c r="E22" s="179"/>
      <c r="F22" s="179"/>
      <c r="G22" s="179"/>
      <c r="H22" s="179"/>
      <c r="I22" s="180">
        <f t="shared" si="10"/>
        <v>0</v>
      </c>
      <c r="J22" s="181"/>
      <c r="K22" s="181"/>
      <c r="L22" s="181"/>
      <c r="M22" s="179"/>
      <c r="N22" s="179"/>
      <c r="O22" s="179"/>
      <c r="P22" s="178"/>
      <c r="Q22" s="178"/>
      <c r="R22" s="179"/>
      <c r="S22" s="179"/>
      <c r="T22" s="178"/>
      <c r="U22" s="178"/>
      <c r="V22" s="178"/>
      <c r="W22" s="182"/>
    </row>
    <row r="23" spans="1:23">
      <c r="A23" t="s">
        <v>425</v>
      </c>
      <c r="B23" s="19">
        <v>666000</v>
      </c>
      <c r="C23" s="19">
        <v>4004000</v>
      </c>
      <c r="D23" s="19">
        <v>163000</v>
      </c>
      <c r="E23" s="19">
        <v>155000</v>
      </c>
      <c r="F23" s="19">
        <v>78000</v>
      </c>
      <c r="G23" s="19">
        <f>H23-F23</f>
        <v>60000</v>
      </c>
      <c r="H23" s="19">
        <v>138000</v>
      </c>
      <c r="I23" s="19">
        <f t="shared" si="10"/>
        <v>25000</v>
      </c>
      <c r="J23" s="27">
        <f>F23/D23</f>
        <v>0.4785276073619632</v>
      </c>
      <c r="K23" s="27">
        <f>G23/D23</f>
        <v>0.36809815950920244</v>
      </c>
      <c r="L23" s="27">
        <f>(D23-H23)/D23</f>
        <v>0.15337423312883436</v>
      </c>
      <c r="M23" s="19">
        <v>488000</v>
      </c>
      <c r="N23" s="19">
        <v>11777000</v>
      </c>
      <c r="O23" s="19">
        <v>24483000</v>
      </c>
      <c r="P23" s="19">
        <v>1719000</v>
      </c>
      <c r="Q23" s="19">
        <v>18000</v>
      </c>
      <c r="R23" s="19">
        <v>14000</v>
      </c>
      <c r="S23" s="19">
        <v>1955000</v>
      </c>
      <c r="T23" s="19">
        <v>294000</v>
      </c>
      <c r="U23" t="s">
        <v>419</v>
      </c>
      <c r="W23">
        <f>T23/P23</f>
        <v>0.17102966841186737</v>
      </c>
    </row>
    <row r="24" spans="1:23">
      <c r="A24" s="178" t="s">
        <v>426</v>
      </c>
      <c r="B24" s="179"/>
      <c r="C24" s="179"/>
      <c r="D24" s="179"/>
      <c r="E24" s="179"/>
      <c r="F24" s="179"/>
      <c r="G24" s="179"/>
      <c r="H24" s="179"/>
      <c r="I24" s="180">
        <f t="shared" si="10"/>
        <v>0</v>
      </c>
      <c r="J24" s="181"/>
      <c r="K24" s="181"/>
      <c r="L24" s="181"/>
      <c r="M24" s="179"/>
      <c r="N24" s="179"/>
      <c r="O24" s="179"/>
      <c r="P24" s="178"/>
      <c r="Q24" s="178"/>
      <c r="R24" s="179"/>
      <c r="S24" s="179"/>
      <c r="T24" s="178"/>
      <c r="U24" s="178"/>
      <c r="V24" s="182"/>
      <c r="W24" s="182"/>
    </row>
    <row r="25" spans="1:23">
      <c r="A25" t="s">
        <v>427</v>
      </c>
      <c r="B25" s="19">
        <v>883000</v>
      </c>
      <c r="C25" s="19">
        <v>2072000</v>
      </c>
      <c r="D25" s="19">
        <v>171000</v>
      </c>
      <c r="E25" s="179"/>
      <c r="F25" s="179"/>
      <c r="G25" s="179"/>
      <c r="H25" s="179"/>
      <c r="I25" s="180">
        <f t="shared" si="10"/>
        <v>171000</v>
      </c>
      <c r="J25" s="181"/>
      <c r="K25" s="181"/>
      <c r="L25" s="181"/>
      <c r="M25" s="19">
        <v>597000</v>
      </c>
      <c r="N25" s="179"/>
      <c r="O25" s="179"/>
      <c r="P25" s="178"/>
      <c r="Q25" s="178"/>
      <c r="R25" s="179"/>
      <c r="S25" s="179"/>
      <c r="T25" s="179"/>
      <c r="U25" s="179"/>
      <c r="V25" s="182"/>
      <c r="W25" s="182"/>
    </row>
    <row r="26" spans="1:23">
      <c r="A26" t="s">
        <v>428</v>
      </c>
      <c r="B26" s="19">
        <v>895000</v>
      </c>
      <c r="C26" s="19">
        <v>4150000</v>
      </c>
      <c r="D26" s="19">
        <v>149000</v>
      </c>
      <c r="E26" s="19">
        <v>119000</v>
      </c>
      <c r="F26" s="19">
        <v>57000</v>
      </c>
      <c r="G26" s="19">
        <f>H26-F26</f>
        <v>55000</v>
      </c>
      <c r="H26" s="19">
        <v>112000</v>
      </c>
      <c r="I26" s="19">
        <f t="shared" si="10"/>
        <v>37000</v>
      </c>
      <c r="J26" s="27">
        <f>F26/D26</f>
        <v>0.3825503355704698</v>
      </c>
      <c r="K26" s="27">
        <f>G26/D26</f>
        <v>0.36912751677852351</v>
      </c>
      <c r="L26" s="27">
        <f>(D26-H26)/D26</f>
        <v>0.24832214765100671</v>
      </c>
      <c r="M26" s="19">
        <v>611000</v>
      </c>
      <c r="N26" s="19">
        <v>11971000</v>
      </c>
      <c r="O26" s="19">
        <v>15434000</v>
      </c>
      <c r="P26" s="19">
        <v>2128000</v>
      </c>
      <c r="Q26" s="19">
        <v>69000</v>
      </c>
      <c r="R26" s="19">
        <v>16000</v>
      </c>
      <c r="S26" s="19">
        <v>1885000</v>
      </c>
      <c r="T26" s="19">
        <v>1200000</v>
      </c>
      <c r="U26" s="19">
        <v>1095000</v>
      </c>
      <c r="V26">
        <f>T26/SUM(T26:U26)</f>
        <v>0.52287581699346408</v>
      </c>
    </row>
    <row r="27" spans="1:23">
      <c r="A27" t="s">
        <v>429</v>
      </c>
      <c r="B27" s="19">
        <v>901000</v>
      </c>
      <c r="C27" s="19">
        <v>4226000</v>
      </c>
      <c r="D27" s="19">
        <v>123000</v>
      </c>
      <c r="E27" s="19">
        <v>106000</v>
      </c>
      <c r="F27" s="19">
        <v>43000</v>
      </c>
      <c r="G27" s="19">
        <f>H27-F27</f>
        <v>56000</v>
      </c>
      <c r="H27" s="19">
        <v>99000</v>
      </c>
      <c r="I27" s="19">
        <f t="shared" si="10"/>
        <v>24000</v>
      </c>
      <c r="J27" s="27">
        <f>F27/D27</f>
        <v>0.34959349593495936</v>
      </c>
      <c r="K27" s="27">
        <f>G27/D27</f>
        <v>0.45528455284552843</v>
      </c>
      <c r="L27" s="27">
        <f>(D27-H27)/D27</f>
        <v>0.1951219512195122</v>
      </c>
      <c r="M27" s="19">
        <v>635000</v>
      </c>
      <c r="N27" s="19">
        <v>11268000</v>
      </c>
      <c r="O27" s="19">
        <v>15946000</v>
      </c>
      <c r="P27" s="19">
        <v>2077000</v>
      </c>
      <c r="Q27" s="19">
        <v>47000</v>
      </c>
      <c r="R27" s="19">
        <v>24000</v>
      </c>
      <c r="S27" s="19">
        <v>1699000</v>
      </c>
      <c r="T27" s="19">
        <v>821000</v>
      </c>
      <c r="U27" s="19">
        <v>1022000</v>
      </c>
      <c r="V27">
        <f>T27/SUM(T27:U27)</f>
        <v>0.44546934346174716</v>
      </c>
    </row>
    <row r="28" spans="1:23">
      <c r="A28" t="s">
        <v>430</v>
      </c>
      <c r="B28" s="19">
        <v>836000</v>
      </c>
      <c r="C28" s="19">
        <v>4314000</v>
      </c>
      <c r="D28" s="19">
        <v>102000</v>
      </c>
      <c r="E28" s="19">
        <v>83000</v>
      </c>
      <c r="F28" s="19">
        <v>38000</v>
      </c>
      <c r="G28" s="19">
        <f>H28-F28</f>
        <v>35000</v>
      </c>
      <c r="H28" s="19">
        <v>73000</v>
      </c>
      <c r="I28" s="19">
        <f t="shared" si="10"/>
        <v>29000</v>
      </c>
      <c r="J28" s="27">
        <f>F28/D28</f>
        <v>0.37254901960784315</v>
      </c>
      <c r="K28" s="27">
        <f>G28/D28</f>
        <v>0.34313725490196079</v>
      </c>
      <c r="L28" s="27">
        <f>(D28-H28)/D28</f>
        <v>0.28431372549019607</v>
      </c>
      <c r="M28" s="19">
        <v>587000</v>
      </c>
      <c r="N28" s="19">
        <v>10527000</v>
      </c>
      <c r="O28" s="19">
        <v>16003000</v>
      </c>
      <c r="P28" s="19">
        <v>1975000</v>
      </c>
      <c r="Q28" s="19">
        <v>48000</v>
      </c>
      <c r="R28" s="19">
        <v>16000</v>
      </c>
      <c r="S28" s="19">
        <v>1688000</v>
      </c>
      <c r="T28" s="19">
        <v>713000</v>
      </c>
      <c r="U28" s="19">
        <v>1003000</v>
      </c>
      <c r="V28">
        <f>T28/SUM(T28:U28)</f>
        <v>0.4155011655011655</v>
      </c>
    </row>
    <row r="29" spans="1:23">
      <c r="A29" t="s">
        <v>431</v>
      </c>
      <c r="B29" s="19">
        <v>764000</v>
      </c>
      <c r="C29" s="19">
        <v>4599000</v>
      </c>
      <c r="D29" s="19">
        <v>82000</v>
      </c>
      <c r="E29" s="19">
        <v>69000</v>
      </c>
      <c r="F29" s="19">
        <v>30000</v>
      </c>
      <c r="G29" s="19">
        <f>H29-F29</f>
        <v>17000</v>
      </c>
      <c r="H29" s="19">
        <v>47000</v>
      </c>
      <c r="I29" s="19">
        <f t="shared" si="10"/>
        <v>35000</v>
      </c>
      <c r="J29" s="27">
        <f>F29/D29</f>
        <v>0.36585365853658536</v>
      </c>
      <c r="K29" s="27">
        <f>G29/D29</f>
        <v>0.2073170731707317</v>
      </c>
      <c r="L29" s="27">
        <f>(D29-H29)/D29</f>
        <v>0.42682926829268292</v>
      </c>
      <c r="M29" s="19">
        <v>481000</v>
      </c>
      <c r="N29" s="19">
        <v>9837000</v>
      </c>
      <c r="O29" s="19">
        <v>16052000</v>
      </c>
      <c r="P29" s="19">
        <v>1762000</v>
      </c>
      <c r="Q29" s="19" t="s">
        <v>419</v>
      </c>
      <c r="R29" s="19" t="s">
        <v>419</v>
      </c>
      <c r="S29" s="19">
        <v>1531000</v>
      </c>
      <c r="T29" s="19">
        <v>638000</v>
      </c>
      <c r="U29" s="19">
        <v>856000</v>
      </c>
      <c r="V29">
        <f>T29/SUM(T29:U29)</f>
        <v>0.42704149933065594</v>
      </c>
    </row>
    <row r="30" spans="1:23">
      <c r="A30" t="s">
        <v>432</v>
      </c>
      <c r="B30" s="19" t="s">
        <v>433</v>
      </c>
      <c r="C30" s="19" t="s">
        <v>433</v>
      </c>
      <c r="D30" s="19" t="s">
        <v>434</v>
      </c>
      <c r="E30" s="19" t="s">
        <v>435</v>
      </c>
      <c r="F30" s="19" t="s">
        <v>436</v>
      </c>
      <c r="G30" s="19"/>
      <c r="H30" s="19" t="s">
        <v>435</v>
      </c>
      <c r="I30" s="19"/>
      <c r="J30" s="19"/>
      <c r="K30" s="19"/>
      <c r="L30" s="19"/>
      <c r="M30" s="19" t="s">
        <v>437</v>
      </c>
      <c r="N30" s="19" t="s">
        <v>438</v>
      </c>
      <c r="O30" s="19" t="s">
        <v>438</v>
      </c>
      <c r="P30" s="19" t="s">
        <v>439</v>
      </c>
      <c r="Q30" s="19" t="s">
        <v>440</v>
      </c>
      <c r="R30" t="s">
        <v>440</v>
      </c>
      <c r="S30" s="19" t="s">
        <v>441</v>
      </c>
      <c r="T30" t="s">
        <v>442</v>
      </c>
      <c r="U30" t="s">
        <v>442</v>
      </c>
      <c r="V30">
        <f>AVERAGE(V26:V29)</f>
        <v>0.45272195632175816</v>
      </c>
      <c r="W30">
        <f>AVERAGE(W17:W23)</f>
        <v>0.15028227576875952</v>
      </c>
    </row>
    <row r="31" spans="1:23">
      <c r="A31" s="419"/>
      <c r="B31" s="419"/>
      <c r="C31" s="419"/>
      <c r="D31" s="419"/>
      <c r="E31" s="419"/>
      <c r="F31" s="419"/>
      <c r="G31" s="419"/>
      <c r="H31" s="419"/>
      <c r="I31" s="419"/>
    </row>
    <row r="32" spans="1:23">
      <c r="A32" s="419"/>
      <c r="B32" s="419"/>
      <c r="C32" s="419"/>
      <c r="D32" s="419"/>
      <c r="E32" s="419"/>
      <c r="F32" s="419"/>
      <c r="G32" s="419"/>
      <c r="H32" s="419"/>
      <c r="I32" s="419"/>
    </row>
    <row r="33" spans="1:20" ht="14.85" customHeight="1"/>
    <row r="34" spans="1:20">
      <c r="A34" s="727" t="s">
        <v>443</v>
      </c>
      <c r="B34" s="727"/>
      <c r="C34" s="727"/>
      <c r="D34" s="727"/>
      <c r="E34" s="727"/>
      <c r="F34" s="727"/>
      <c r="G34" s="727"/>
      <c r="H34" s="727"/>
      <c r="I34" s="727"/>
      <c r="J34" s="727"/>
      <c r="K34" s="727"/>
      <c r="L34" s="727"/>
      <c r="M34" s="727"/>
      <c r="N34" s="727"/>
      <c r="O34" s="727"/>
      <c r="P34" s="727"/>
      <c r="Q34" s="727"/>
      <c r="R34" s="727"/>
      <c r="S34" s="727"/>
    </row>
    <row r="35" spans="1:20">
      <c r="A35" s="727"/>
      <c r="B35" s="727"/>
      <c r="C35" s="727"/>
      <c r="D35" s="727"/>
      <c r="E35" s="727"/>
      <c r="F35" s="727"/>
      <c r="G35" s="727"/>
      <c r="H35" s="727"/>
      <c r="I35" s="727"/>
      <c r="J35" s="727"/>
      <c r="K35" s="727"/>
      <c r="L35" s="727"/>
      <c r="M35" s="727"/>
      <c r="N35" s="727"/>
      <c r="O35" s="727"/>
      <c r="P35" s="727"/>
      <c r="Q35" s="727"/>
      <c r="R35" s="727"/>
      <c r="S35" s="727"/>
    </row>
    <row r="36" spans="1:20">
      <c r="A36" t="s">
        <v>444</v>
      </c>
      <c r="B36" t="s">
        <v>445</v>
      </c>
      <c r="C36" t="s">
        <v>144</v>
      </c>
      <c r="D36" t="s">
        <v>145</v>
      </c>
      <c r="E36" t="s">
        <v>146</v>
      </c>
      <c r="F36" t="s">
        <v>147</v>
      </c>
      <c r="G36" t="s">
        <v>148</v>
      </c>
      <c r="H36" t="s">
        <v>149</v>
      </c>
      <c r="I36" t="s">
        <v>150</v>
      </c>
      <c r="J36" t="s">
        <v>151</v>
      </c>
      <c r="K36" t="s">
        <v>152</v>
      </c>
      <c r="L36" t="s">
        <v>153</v>
      </c>
      <c r="M36" t="s">
        <v>154</v>
      </c>
      <c r="N36" t="s">
        <v>155</v>
      </c>
      <c r="O36" t="s">
        <v>156</v>
      </c>
      <c r="P36" t="s">
        <v>157</v>
      </c>
      <c r="Q36" t="s">
        <v>158</v>
      </c>
      <c r="R36" t="s">
        <v>159</v>
      </c>
      <c r="S36" t="s">
        <v>160</v>
      </c>
      <c r="T36" t="s">
        <v>161</v>
      </c>
    </row>
    <row r="37" spans="1:20" ht="28.8">
      <c r="A37" t="s">
        <v>446</v>
      </c>
      <c r="B37" s="50" t="s">
        <v>436</v>
      </c>
      <c r="D37" s="19">
        <v>29000</v>
      </c>
      <c r="E37" s="19"/>
      <c r="F37" s="19">
        <v>30000</v>
      </c>
      <c r="G37" s="19"/>
      <c r="H37" s="19">
        <v>33000</v>
      </c>
      <c r="I37" s="19"/>
      <c r="J37" s="19">
        <v>45000</v>
      </c>
      <c r="K37" s="19"/>
      <c r="L37" s="19">
        <v>70000</v>
      </c>
      <c r="M37" s="19"/>
      <c r="N37" s="19">
        <v>78000</v>
      </c>
      <c r="O37" s="19"/>
      <c r="P37" s="19"/>
      <c r="Q37" s="19">
        <v>57000</v>
      </c>
      <c r="R37" s="19">
        <v>43000</v>
      </c>
      <c r="S37" s="19">
        <v>38000</v>
      </c>
      <c r="T37" s="19">
        <v>30000</v>
      </c>
    </row>
    <row r="38" spans="1:20" ht="86.4">
      <c r="A38" t="s">
        <v>447</v>
      </c>
      <c r="B38" s="109" t="s">
        <v>448</v>
      </c>
      <c r="D38" s="19">
        <f>D40-D37</f>
        <v>40000</v>
      </c>
      <c r="E38" s="19"/>
      <c r="F38" s="19">
        <f>F40-F37</f>
        <v>42000</v>
      </c>
      <c r="G38" s="19"/>
      <c r="H38" s="19">
        <f>H40-H37</f>
        <v>41000</v>
      </c>
      <c r="I38" s="19"/>
      <c r="J38" s="19">
        <f>J40-J37</f>
        <v>65000</v>
      </c>
      <c r="K38" s="19"/>
      <c r="L38" s="19">
        <f>L40-L37</f>
        <v>58000</v>
      </c>
      <c r="M38" s="19"/>
      <c r="N38" s="19">
        <f>N40-N37</f>
        <v>60000</v>
      </c>
      <c r="O38" s="19"/>
      <c r="P38" s="19"/>
      <c r="Q38" s="19">
        <f>Q40-Q37</f>
        <v>55000</v>
      </c>
      <c r="R38" s="19">
        <f>R40-R37</f>
        <v>56000</v>
      </c>
      <c r="S38" s="19">
        <f>S40-S37</f>
        <v>35000</v>
      </c>
      <c r="T38" s="19">
        <f>T40-T37</f>
        <v>17000</v>
      </c>
    </row>
    <row r="39" spans="1:20" ht="43.2">
      <c r="A39" t="s">
        <v>449</v>
      </c>
      <c r="B39" s="50" t="s">
        <v>435</v>
      </c>
      <c r="D39" s="19">
        <f>D41-D40</f>
        <v>35000</v>
      </c>
      <c r="E39" s="19"/>
      <c r="F39" s="19">
        <f>F41-F40</f>
        <v>42000</v>
      </c>
      <c r="G39" s="19"/>
      <c r="H39" s="19">
        <f>H41-H40</f>
        <v>24000</v>
      </c>
      <c r="I39" s="19"/>
      <c r="J39" s="19">
        <f>J41-J40</f>
        <v>40000</v>
      </c>
      <c r="K39" s="19"/>
      <c r="L39" s="19">
        <f>L41-L40</f>
        <v>34000</v>
      </c>
      <c r="M39" s="19"/>
      <c r="N39" s="19">
        <f>N41-N40</f>
        <v>25000</v>
      </c>
      <c r="O39" s="19"/>
      <c r="P39" s="19"/>
      <c r="Q39" s="19">
        <f>Q41-Q40</f>
        <v>37000</v>
      </c>
      <c r="R39" s="19">
        <f>R41-R40</f>
        <v>24000</v>
      </c>
      <c r="S39" s="19">
        <f>S41-S40</f>
        <v>29000</v>
      </c>
      <c r="T39" s="19">
        <f>T41-T40</f>
        <v>35000</v>
      </c>
    </row>
    <row r="40" spans="1:20" ht="43.2">
      <c r="A40" t="s">
        <v>450</v>
      </c>
      <c r="B40" s="109" t="s">
        <v>435</v>
      </c>
      <c r="D40" s="19">
        <v>69000</v>
      </c>
      <c r="E40" s="19"/>
      <c r="F40" s="19">
        <v>72000</v>
      </c>
      <c r="G40" s="19"/>
      <c r="H40" s="19">
        <v>74000</v>
      </c>
      <c r="I40" s="19"/>
      <c r="J40" s="19">
        <v>110000</v>
      </c>
      <c r="K40" s="19"/>
      <c r="L40" s="19">
        <v>128000</v>
      </c>
      <c r="M40" s="19"/>
      <c r="N40" s="19">
        <v>138000</v>
      </c>
      <c r="O40" s="19"/>
      <c r="P40" s="19"/>
      <c r="Q40" s="19">
        <v>112000</v>
      </c>
      <c r="R40" s="19">
        <v>99000</v>
      </c>
      <c r="S40" s="19">
        <v>73000</v>
      </c>
      <c r="T40" s="19">
        <v>47000</v>
      </c>
    </row>
    <row r="41" spans="1:20" ht="28.8">
      <c r="A41" s="49" t="s">
        <v>451</v>
      </c>
      <c r="B41" s="109" t="s">
        <v>452</v>
      </c>
      <c r="D41" s="19">
        <v>104000</v>
      </c>
      <c r="E41" s="19"/>
      <c r="F41" s="19">
        <v>114000</v>
      </c>
      <c r="G41" s="19"/>
      <c r="H41" s="19">
        <v>98000</v>
      </c>
      <c r="I41" s="19"/>
      <c r="J41" s="19">
        <v>150000</v>
      </c>
      <c r="K41" s="19"/>
      <c r="L41" s="19">
        <v>162000</v>
      </c>
      <c r="M41" s="19"/>
      <c r="N41" s="19">
        <v>163000</v>
      </c>
      <c r="O41" s="19"/>
      <c r="P41" s="19">
        <v>171000</v>
      </c>
      <c r="Q41" s="19">
        <v>149000</v>
      </c>
      <c r="R41" s="19">
        <v>123000</v>
      </c>
      <c r="S41" s="19">
        <v>102000</v>
      </c>
      <c r="T41" s="19">
        <v>82000</v>
      </c>
    </row>
    <row r="42" spans="1:20" ht="28.8">
      <c r="A42" s="26" t="s">
        <v>46</v>
      </c>
      <c r="B42" s="110" t="s">
        <v>453</v>
      </c>
      <c r="C42" s="19">
        <v>117000</v>
      </c>
      <c r="D42" s="19">
        <v>92000</v>
      </c>
      <c r="E42" s="19">
        <v>118000</v>
      </c>
      <c r="F42" s="19">
        <v>108000</v>
      </c>
      <c r="G42" s="19">
        <v>90000</v>
      </c>
      <c r="H42" s="19">
        <v>106000</v>
      </c>
      <c r="I42" s="19">
        <v>116000</v>
      </c>
      <c r="J42" s="19">
        <v>187000</v>
      </c>
      <c r="K42" s="19">
        <v>142000</v>
      </c>
      <c r="L42" s="19">
        <v>178000</v>
      </c>
      <c r="M42" s="19">
        <v>156000</v>
      </c>
      <c r="N42" s="19">
        <v>169000</v>
      </c>
      <c r="O42" s="19">
        <v>212000</v>
      </c>
      <c r="P42" s="19">
        <v>135000</v>
      </c>
      <c r="Q42" s="19">
        <v>170000</v>
      </c>
      <c r="R42" s="19">
        <v>81000</v>
      </c>
      <c r="S42" s="19">
        <v>117000</v>
      </c>
      <c r="T42" s="19">
        <v>50000</v>
      </c>
    </row>
    <row r="43" spans="1:20">
      <c r="A43" t="s">
        <v>454</v>
      </c>
      <c r="C43" s="19">
        <f>AVERAGE(C42:D42)</f>
        <v>104500</v>
      </c>
      <c r="E43" s="19">
        <f>AVERAGE(E42:F42)</f>
        <v>113000</v>
      </c>
      <c r="G43" s="19">
        <f>AVERAGE(G42:H42)</f>
        <v>98000</v>
      </c>
      <c r="I43" s="19">
        <f>AVERAGE(I42:J42)</f>
        <v>151500</v>
      </c>
      <c r="K43" s="19">
        <f>AVERAGE(K42:L42)</f>
        <v>160000</v>
      </c>
      <c r="M43" s="19">
        <f>AVERAGE(M42:N42)</f>
        <v>162500</v>
      </c>
      <c r="O43" s="19">
        <f>AVERAGE(O42:P42)</f>
        <v>173500</v>
      </c>
      <c r="P43" s="19">
        <f>AVERAGE(P42:Q42)</f>
        <v>152500</v>
      </c>
      <c r="Q43" s="19">
        <f>AVERAGE(Q42:R42)</f>
        <v>125500</v>
      </c>
      <c r="R43" s="19">
        <f>AVERAGE(R42:S42)</f>
        <v>99000</v>
      </c>
      <c r="S43" s="19">
        <f>AVERAGE(S42:T42)</f>
        <v>83500</v>
      </c>
    </row>
    <row r="45" spans="1:20">
      <c r="A45" s="26" t="s">
        <v>47</v>
      </c>
      <c r="C45">
        <f>D37/$D$41*$C$42</f>
        <v>32625</v>
      </c>
      <c r="D45" s="21">
        <f>D37/$D$41*$D$42</f>
        <v>25653.846153846156</v>
      </c>
      <c r="E45" s="21">
        <f>F37/$F$41*$E$42</f>
        <v>31052.631578947367</v>
      </c>
      <c r="F45" s="21">
        <f>F37/$F$41*$F$42</f>
        <v>28421.052631578947</v>
      </c>
      <c r="G45" s="21">
        <f>H37/$H$41*$G$42</f>
        <v>30306.12244897959</v>
      </c>
      <c r="H45" s="21">
        <f>H37/$H$41*$H$42</f>
        <v>35693.877551020407</v>
      </c>
      <c r="I45" s="21">
        <f>J37/$J$41*$I$42</f>
        <v>34800</v>
      </c>
      <c r="J45">
        <f>J37/$J$41*$J$42</f>
        <v>56100</v>
      </c>
      <c r="K45" s="21">
        <f>L37/$L$41*$K$42</f>
        <v>61358.024691358019</v>
      </c>
      <c r="L45" s="21">
        <f>L37/$L$41*$L$42</f>
        <v>76913.580246913582</v>
      </c>
      <c r="M45" s="21">
        <f>N37/$N$41*$M$42</f>
        <v>74650.306748466261</v>
      </c>
      <c r="N45" s="21">
        <f>N37/$N$41*$N$42</f>
        <v>80871.165644171779</v>
      </c>
      <c r="O45" s="21">
        <f>P45/$P$48*$O$42</f>
        <v>81100.671140939594</v>
      </c>
      <c r="P45" s="21">
        <f>Q37/$Q$41*$P$42</f>
        <v>51644.295302013423</v>
      </c>
      <c r="Q45" s="21">
        <f>Q37/$Q$41*$Q$42</f>
        <v>65033.557046979869</v>
      </c>
      <c r="R45" s="21">
        <f>R37/$R$41*$R$42</f>
        <v>28317.07317073171</v>
      </c>
      <c r="S45" s="21">
        <f>S37/$S$41*$S$42</f>
        <v>43588.23529411765</v>
      </c>
      <c r="T45" s="21">
        <f>T37/$T$41*$T$42</f>
        <v>18292.682926829268</v>
      </c>
    </row>
    <row r="46" spans="1:20">
      <c r="A46" s="26" t="s">
        <v>387</v>
      </c>
      <c r="C46">
        <f>D38/$D$41*$C$42</f>
        <v>45000</v>
      </c>
      <c r="D46" s="21">
        <f>D38/$D$41*$D$42</f>
        <v>35384.61538461539</v>
      </c>
      <c r="E46" s="21">
        <f>F38/$F$41*$E$42</f>
        <v>43473.684210526313</v>
      </c>
      <c r="F46" s="21">
        <f>F38/$F$41*$F$42</f>
        <v>39789.473684210527</v>
      </c>
      <c r="G46" s="21">
        <f>H38/$H$41*$G$42</f>
        <v>37653.0612244898</v>
      </c>
      <c r="H46" s="21">
        <f>H38/$H$41*$H$42</f>
        <v>44346.938775510207</v>
      </c>
      <c r="I46" s="21">
        <f>J38/$J$41*$I$42</f>
        <v>50266.666666666672</v>
      </c>
      <c r="J46" s="21">
        <f>J38/$J$41*$J$42</f>
        <v>81033.333333333343</v>
      </c>
      <c r="K46" s="21">
        <f>L38/$L$41*$K$42</f>
        <v>50839.506172839501</v>
      </c>
      <c r="L46" s="21">
        <f>L38/$L$41*$L$42</f>
        <v>63728.395061728392</v>
      </c>
      <c r="M46" s="21">
        <f>N38/$N$41*$M$42</f>
        <v>57423.312883435581</v>
      </c>
      <c r="N46" s="21">
        <f>N38/$N$41*$N$42</f>
        <v>62208.58895705521</v>
      </c>
      <c r="O46" s="21">
        <f>P46/$P$48*$O$42</f>
        <v>78255.033557046991</v>
      </c>
      <c r="P46" s="21">
        <f>Q38/$Q$41*$P$42</f>
        <v>49832.214765100674</v>
      </c>
      <c r="Q46" s="21">
        <f>Q38/$Q$41*$Q$42</f>
        <v>62751.677852348999</v>
      </c>
      <c r="R46" s="21">
        <f>R38/$R$41*$R$42</f>
        <v>36878.048780487807</v>
      </c>
      <c r="S46" s="21">
        <f>S38/$S$41*$S$42</f>
        <v>40147.058823529413</v>
      </c>
      <c r="T46" s="21">
        <f>T38/$T$41*$T$42</f>
        <v>10365.853658536585</v>
      </c>
    </row>
    <row r="47" spans="1:20">
      <c r="A47" s="26" t="s">
        <v>388</v>
      </c>
      <c r="C47">
        <f>D39/$D$41*$C$42</f>
        <v>39375</v>
      </c>
      <c r="D47" s="21">
        <f>D39/$D$41*$D$42</f>
        <v>30961.538461538465</v>
      </c>
      <c r="E47" s="21">
        <f>F39/$F$41*$E$42</f>
        <v>43473.684210526313</v>
      </c>
      <c r="F47" s="21">
        <f>F39/$F$41*$F$42</f>
        <v>39789.473684210527</v>
      </c>
      <c r="G47" s="21">
        <f>H39/$H$41*$G$42</f>
        <v>22040.81632653061</v>
      </c>
      <c r="H47" s="21">
        <f>H39/$H$41*$H$42</f>
        <v>25959.183673469386</v>
      </c>
      <c r="I47" s="21">
        <f>J39/$J$41*$I$42</f>
        <v>30933.333333333332</v>
      </c>
      <c r="J47" s="21">
        <f>J39/$J$41*$J$42</f>
        <v>49866.666666666664</v>
      </c>
      <c r="K47" s="21">
        <f>L39/$L$41*$K$42</f>
        <v>29802.469135802468</v>
      </c>
      <c r="L47" s="21">
        <f>L39/$L$41*$L$42</f>
        <v>37358.024691358019</v>
      </c>
      <c r="M47" s="21">
        <f>N39/$N$41*$M$42</f>
        <v>23926.380368098158</v>
      </c>
      <c r="N47" s="21">
        <f>N39/$N$41*$N$42</f>
        <v>25920.245398773008</v>
      </c>
      <c r="O47" s="21">
        <f>P47/$P$48*$O$42</f>
        <v>52644.295302013415</v>
      </c>
      <c r="P47" s="21">
        <f>Q39/$Q$41*$P$42</f>
        <v>33523.489932885903</v>
      </c>
      <c r="Q47" s="21">
        <f>Q39/$Q$41*$Q$42</f>
        <v>42214.765100671138</v>
      </c>
      <c r="R47" s="21">
        <f>R39/$R$41*$R$42</f>
        <v>15804.878048780489</v>
      </c>
      <c r="S47" s="21">
        <f>S39/$S$41*$S$42</f>
        <v>33264.705882352937</v>
      </c>
      <c r="T47" s="21">
        <f>T39/$T$41*$T$42</f>
        <v>21341.463414634145</v>
      </c>
    </row>
    <row r="48" spans="1:20">
      <c r="A48" t="s">
        <v>455</v>
      </c>
      <c r="C48">
        <f>SUM(C45:C47)</f>
        <v>117000</v>
      </c>
      <c r="D48">
        <f t="shared" ref="D48:S48" si="11">SUM(D45:D47)</f>
        <v>92000.000000000015</v>
      </c>
      <c r="E48">
        <f t="shared" si="11"/>
        <v>118000</v>
      </c>
      <c r="F48">
        <f t="shared" si="11"/>
        <v>108000</v>
      </c>
      <c r="G48">
        <f t="shared" si="11"/>
        <v>90000</v>
      </c>
      <c r="H48">
        <f t="shared" si="11"/>
        <v>106000</v>
      </c>
      <c r="I48">
        <f t="shared" si="11"/>
        <v>116000</v>
      </c>
      <c r="J48">
        <f t="shared" si="11"/>
        <v>187000</v>
      </c>
      <c r="K48">
        <f t="shared" si="11"/>
        <v>142000</v>
      </c>
      <c r="L48">
        <f t="shared" si="11"/>
        <v>178000</v>
      </c>
      <c r="M48">
        <f t="shared" si="11"/>
        <v>156000</v>
      </c>
      <c r="N48">
        <f t="shared" si="11"/>
        <v>169000</v>
      </c>
      <c r="O48">
        <f t="shared" si="11"/>
        <v>212000</v>
      </c>
      <c r="P48">
        <f t="shared" si="11"/>
        <v>135000</v>
      </c>
      <c r="Q48">
        <f t="shared" si="11"/>
        <v>170000</v>
      </c>
      <c r="R48">
        <f t="shared" si="11"/>
        <v>81000</v>
      </c>
      <c r="S48">
        <f t="shared" si="11"/>
        <v>117000</v>
      </c>
      <c r="T48">
        <f>SUM(T45:T47)</f>
        <v>50000</v>
      </c>
    </row>
    <row r="49" spans="1:20">
      <c r="B49" t="s">
        <v>456</v>
      </c>
    </row>
    <row r="50" spans="1:20">
      <c r="A50" s="726" t="s">
        <v>457</v>
      </c>
      <c r="B50" s="726"/>
      <c r="C50" s="726"/>
      <c r="D50" s="726"/>
      <c r="E50" s="726"/>
      <c r="F50" s="726"/>
      <c r="G50" s="726"/>
      <c r="H50" s="726"/>
      <c r="I50" s="726"/>
      <c r="J50" s="726"/>
      <c r="K50" s="726"/>
    </row>
    <row r="51" spans="1:20">
      <c r="A51" s="726"/>
      <c r="B51" s="726"/>
      <c r="C51" s="726"/>
      <c r="D51" s="726"/>
      <c r="E51" s="726"/>
      <c r="F51" s="726"/>
      <c r="G51" s="726"/>
      <c r="H51" s="726"/>
      <c r="I51" s="726"/>
      <c r="J51" s="726"/>
      <c r="K51" s="726"/>
    </row>
    <row r="52" spans="1:20" ht="13.35" customHeight="1">
      <c r="A52" s="726"/>
      <c r="B52" s="726"/>
      <c r="C52" s="726"/>
      <c r="D52" s="726"/>
      <c r="E52" s="726"/>
      <c r="F52" s="726"/>
      <c r="G52" s="726"/>
      <c r="H52" s="726"/>
      <c r="I52" s="726"/>
      <c r="J52" s="726"/>
      <c r="K52" s="726"/>
    </row>
    <row r="53" spans="1:20">
      <c r="A53" s="726"/>
      <c r="B53" s="726"/>
      <c r="C53" s="726"/>
      <c r="D53" s="726"/>
      <c r="E53" s="726"/>
      <c r="F53" s="726"/>
      <c r="G53" s="726"/>
      <c r="H53" s="726"/>
      <c r="I53" s="726"/>
      <c r="J53" s="726"/>
      <c r="K53" s="726"/>
    </row>
    <row r="54" spans="1:20">
      <c r="A54" s="726"/>
      <c r="B54" s="726"/>
      <c r="C54" s="726"/>
      <c r="D54" s="726"/>
      <c r="E54" s="726"/>
      <c r="F54" s="726"/>
      <c r="G54" s="726"/>
      <c r="H54" s="726"/>
      <c r="I54" s="726"/>
      <c r="J54" s="726"/>
      <c r="K54" s="726"/>
    </row>
    <row r="56" spans="1:20">
      <c r="A56" s="1" t="s">
        <v>458</v>
      </c>
    </row>
    <row r="57" spans="1:20">
      <c r="B57">
        <v>1993</v>
      </c>
      <c r="C57">
        <v>1994</v>
      </c>
      <c r="D57">
        <v>1995</v>
      </c>
      <c r="E57">
        <v>1996</v>
      </c>
      <c r="F57">
        <v>1997</v>
      </c>
      <c r="G57">
        <v>1998</v>
      </c>
      <c r="H57">
        <v>1999</v>
      </c>
      <c r="I57" s="1">
        <v>2000</v>
      </c>
      <c r="J57" s="1">
        <v>2001</v>
      </c>
      <c r="K57" s="1">
        <v>2002</v>
      </c>
    </row>
    <row r="58" spans="1:20">
      <c r="A58" t="s">
        <v>459</v>
      </c>
      <c r="G58" s="19">
        <v>1548000</v>
      </c>
      <c r="H58">
        <v>1810000</v>
      </c>
      <c r="I58" s="1">
        <v>2268000</v>
      </c>
      <c r="J58" s="1">
        <v>2400000</v>
      </c>
      <c r="K58" s="1"/>
    </row>
    <row r="59" spans="1:20">
      <c r="A59" t="s">
        <v>460</v>
      </c>
      <c r="E59">
        <v>149000</v>
      </c>
      <c r="F59">
        <v>81000</v>
      </c>
      <c r="G59">
        <v>140000</v>
      </c>
      <c r="H59">
        <v>104000</v>
      </c>
      <c r="I59" s="1">
        <v>114000</v>
      </c>
      <c r="J59" s="1">
        <v>154000</v>
      </c>
      <c r="K59" s="1">
        <v>117000</v>
      </c>
    </row>
    <row r="60" spans="1:20">
      <c r="A60" t="s">
        <v>461</v>
      </c>
      <c r="B60">
        <v>713000</v>
      </c>
      <c r="C60">
        <v>1020000</v>
      </c>
      <c r="D60">
        <v>973000</v>
      </c>
      <c r="E60">
        <v>1114000</v>
      </c>
      <c r="F60">
        <v>1434000</v>
      </c>
      <c r="G60">
        <v>1738000</v>
      </c>
      <c r="H60">
        <v>2010000</v>
      </c>
      <c r="I60" s="1">
        <v>2656000</v>
      </c>
      <c r="J60" s="1">
        <v>2389000</v>
      </c>
      <c r="K60" s="1">
        <v>2456000</v>
      </c>
    </row>
    <row r="63" spans="1:20">
      <c r="A63" s="49"/>
      <c r="B63" s="109"/>
      <c r="C63" s="19"/>
      <c r="D63" s="19"/>
      <c r="E63" s="19"/>
      <c r="F63" s="19"/>
      <c r="G63" s="19"/>
      <c r="H63" s="19"/>
      <c r="I63" s="19"/>
      <c r="J63" s="19"/>
      <c r="K63" s="19"/>
      <c r="L63" s="19"/>
      <c r="M63" s="19"/>
      <c r="N63" s="19"/>
      <c r="O63" s="19"/>
      <c r="P63" s="19"/>
      <c r="Q63" s="19"/>
      <c r="R63" s="19"/>
      <c r="S63" s="19"/>
    </row>
    <row r="64" spans="1:20">
      <c r="D64" s="21"/>
      <c r="E64" s="21"/>
      <c r="F64" s="21"/>
      <c r="G64" s="21"/>
      <c r="H64" s="21"/>
      <c r="I64" s="21"/>
      <c r="K64" s="21"/>
      <c r="L64" s="21"/>
      <c r="M64" s="21"/>
      <c r="N64" s="21"/>
      <c r="O64" s="21"/>
      <c r="P64" s="21"/>
      <c r="Q64" s="21"/>
      <c r="R64" s="21"/>
      <c r="S64" s="21"/>
      <c r="T64" s="21"/>
    </row>
    <row r="65" spans="4:20">
      <c r="D65" s="21"/>
      <c r="E65" s="21"/>
      <c r="F65" s="21"/>
      <c r="G65" s="21"/>
      <c r="H65" s="21"/>
      <c r="I65" s="21"/>
      <c r="J65" s="21"/>
      <c r="K65" s="21"/>
      <c r="L65" s="21"/>
      <c r="M65" s="21"/>
      <c r="N65" s="21"/>
      <c r="O65" s="21"/>
      <c r="P65" s="21"/>
      <c r="Q65" s="21"/>
      <c r="R65" s="21"/>
      <c r="S65" s="21"/>
      <c r="T65" s="21"/>
    </row>
    <row r="66" spans="4:20">
      <c r="D66" s="21"/>
      <c r="E66" s="21"/>
      <c r="F66" s="21"/>
      <c r="G66" s="21"/>
      <c r="H66" s="21"/>
      <c r="I66" s="21"/>
      <c r="J66" s="21"/>
      <c r="K66" s="21"/>
      <c r="L66" s="21"/>
      <c r="M66" s="21"/>
      <c r="N66" s="21"/>
      <c r="O66" s="21"/>
      <c r="P66" s="21"/>
      <c r="Q66" s="21"/>
      <c r="R66" s="21"/>
      <c r="S66" s="21"/>
      <c r="T66" s="21"/>
    </row>
  </sheetData>
  <mergeCells count="4">
    <mergeCell ref="A50:K54"/>
    <mergeCell ref="A34:S35"/>
    <mergeCell ref="A9:I9"/>
    <mergeCell ref="A11:H11"/>
  </mergeCells>
  <phoneticPr fontId="40" type="noConversion"/>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23D1B-7549-4A7C-8C28-DC62EAB86378}">
  <dimension ref="A1:BE395"/>
  <sheetViews>
    <sheetView topLeftCell="G1" zoomScale="70" zoomScaleNormal="70" workbookViewId="0">
      <selection activeCell="E6" sqref="E6"/>
    </sheetView>
  </sheetViews>
  <sheetFormatPr defaultColWidth="8.89453125" defaultRowHeight="14.4"/>
  <cols>
    <col min="1" max="1" width="29.89453125" customWidth="1"/>
    <col min="2" max="2" width="13.89453125" customWidth="1"/>
    <col min="3" max="4" width="13.41796875" customWidth="1"/>
    <col min="5" max="5" width="16.3125" customWidth="1"/>
    <col min="6" max="6" width="14.3125" customWidth="1"/>
    <col min="7" max="8" width="14.41796875" bestFit="1" customWidth="1"/>
    <col min="9" max="9" width="16.3125" customWidth="1"/>
    <col min="10" max="11" width="14.41796875" bestFit="1" customWidth="1"/>
    <col min="12" max="12" width="16.1015625" customWidth="1"/>
    <col min="13" max="13" width="17" customWidth="1"/>
    <col min="14" max="25" width="14.41796875" bestFit="1" customWidth="1"/>
    <col min="26" max="26" width="14.41796875" customWidth="1"/>
    <col min="27" max="30" width="14.41796875" bestFit="1" customWidth="1"/>
    <col min="31" max="39" width="18" customWidth="1"/>
    <col min="40" max="40" width="19.41796875" customWidth="1"/>
    <col min="41" max="46" width="18" customWidth="1"/>
  </cols>
  <sheetData>
    <row r="1" spans="1:57">
      <c r="A1" s="58" t="s">
        <v>90</v>
      </c>
      <c r="B1" s="141">
        <v>1999</v>
      </c>
      <c r="C1" s="141">
        <v>2000</v>
      </c>
      <c r="D1" s="141">
        <v>2001</v>
      </c>
      <c r="E1" s="141">
        <v>2002</v>
      </c>
      <c r="F1" s="141">
        <v>2003</v>
      </c>
      <c r="G1" s="141">
        <v>2004</v>
      </c>
      <c r="H1" s="141">
        <v>2005</v>
      </c>
      <c r="I1" s="141">
        <v>2006</v>
      </c>
      <c r="J1" s="141">
        <v>2007</v>
      </c>
      <c r="K1" s="141">
        <v>2008</v>
      </c>
      <c r="L1" s="141">
        <v>2009</v>
      </c>
      <c r="M1" s="141">
        <v>2010</v>
      </c>
      <c r="N1" s="141">
        <v>2011</v>
      </c>
      <c r="O1" s="141">
        <v>2012</v>
      </c>
      <c r="P1" s="141">
        <v>2013</v>
      </c>
      <c r="Q1" s="141">
        <v>2014</v>
      </c>
      <c r="R1" s="141">
        <v>2015</v>
      </c>
      <c r="S1" s="141">
        <v>2016</v>
      </c>
      <c r="T1" s="141">
        <v>2017</v>
      </c>
      <c r="U1" s="141">
        <v>2018</v>
      </c>
      <c r="V1" s="141">
        <v>2019</v>
      </c>
      <c r="W1" s="141">
        <v>2020</v>
      </c>
      <c r="X1" s="141">
        <v>2021</v>
      </c>
      <c r="Y1" s="141">
        <v>2022</v>
      </c>
      <c r="Z1" s="141">
        <v>2023</v>
      </c>
      <c r="AA1" s="141">
        <v>2024</v>
      </c>
      <c r="AB1" s="141">
        <v>2025</v>
      </c>
      <c r="AC1" s="141">
        <v>2026</v>
      </c>
      <c r="AD1" s="141">
        <v>2027</v>
      </c>
      <c r="AE1" s="141">
        <v>2028</v>
      </c>
      <c r="AF1" s="141">
        <v>2029</v>
      </c>
      <c r="AG1" s="142">
        <v>2030</v>
      </c>
      <c r="AI1" t="s">
        <v>462</v>
      </c>
    </row>
    <row r="2" spans="1:57" ht="34.35" customHeight="1">
      <c r="A2" s="81" t="s">
        <v>27</v>
      </c>
      <c r="B2" s="350">
        <v>770417.1</v>
      </c>
      <c r="C2" s="349">
        <v>757479.11</v>
      </c>
      <c r="D2" s="139">
        <v>1109094.96</v>
      </c>
      <c r="E2" s="139">
        <f>AA21</f>
        <v>1665919</v>
      </c>
      <c r="F2" s="139">
        <f t="shared" ref="F2:U2" si="0">AB21</f>
        <v>1578238</v>
      </c>
      <c r="G2" s="139">
        <f t="shared" si="0"/>
        <v>1806262</v>
      </c>
      <c r="H2" s="139">
        <f t="shared" si="0"/>
        <v>1754593</v>
      </c>
      <c r="I2" s="139">
        <f t="shared" si="0"/>
        <v>1768853</v>
      </c>
      <c r="J2" s="139">
        <f t="shared" si="0"/>
        <v>1967314</v>
      </c>
      <c r="K2" s="139">
        <f t="shared" si="0"/>
        <v>1912898</v>
      </c>
      <c r="L2" s="139">
        <f t="shared" si="0"/>
        <v>2039042</v>
      </c>
      <c r="M2" s="139">
        <f t="shared" si="0"/>
        <v>2140500</v>
      </c>
      <c r="N2" s="139">
        <f t="shared" si="0"/>
        <v>1898575</v>
      </c>
      <c r="O2" s="139">
        <f t="shared" si="0"/>
        <v>2301337</v>
      </c>
      <c r="P2" s="139">
        <f t="shared" si="0"/>
        <v>1935811</v>
      </c>
      <c r="Q2" s="139">
        <f t="shared" si="0"/>
        <v>2015605</v>
      </c>
      <c r="R2" s="139">
        <f t="shared" si="0"/>
        <v>2181670</v>
      </c>
      <c r="S2" s="139">
        <f t="shared" si="0"/>
        <v>2178982</v>
      </c>
      <c r="T2" s="139">
        <f t="shared" si="0"/>
        <v>1804716</v>
      </c>
      <c r="U2" s="139">
        <f t="shared" si="0"/>
        <v>1782701</v>
      </c>
      <c r="V2" s="139">
        <f>AR21</f>
        <v>1581223</v>
      </c>
      <c r="W2" s="139"/>
      <c r="X2" s="139"/>
      <c r="Y2" s="139"/>
      <c r="Z2" s="139"/>
      <c r="AA2" s="139"/>
      <c r="AB2" s="139"/>
      <c r="AC2" s="139"/>
      <c r="AD2" s="139"/>
      <c r="AE2" s="139"/>
      <c r="AF2" s="139"/>
      <c r="AG2" s="140"/>
      <c r="AI2" s="729" t="s">
        <v>463</v>
      </c>
      <c r="AJ2" s="729"/>
      <c r="AK2" s="729"/>
      <c r="AL2" s="729"/>
      <c r="AM2" s="223"/>
    </row>
    <row r="3" spans="1:57" ht="34.35" customHeight="1">
      <c r="A3" s="81" t="s">
        <v>464</v>
      </c>
      <c r="B3" s="350">
        <v>11928.3</v>
      </c>
      <c r="C3" s="404">
        <v>7048.27</v>
      </c>
      <c r="D3" s="139">
        <v>24035.85</v>
      </c>
      <c r="E3" s="139">
        <f>AA22</f>
        <v>34954</v>
      </c>
      <c r="F3" s="139">
        <f t="shared" ref="F3:U3" si="1">AB22</f>
        <v>17866</v>
      </c>
      <c r="G3" s="139">
        <f t="shared" si="1"/>
        <v>37915</v>
      </c>
      <c r="H3" s="139">
        <f t="shared" si="1"/>
        <v>22963</v>
      </c>
      <c r="I3" s="139">
        <f t="shared" si="1"/>
        <v>27983</v>
      </c>
      <c r="J3" s="139">
        <f t="shared" si="1"/>
        <v>48397</v>
      </c>
      <c r="K3" s="139">
        <f t="shared" si="1"/>
        <v>50393</v>
      </c>
      <c r="L3" s="139">
        <f t="shared" si="1"/>
        <v>72146</v>
      </c>
      <c r="M3" s="139">
        <f t="shared" si="1"/>
        <v>105068</v>
      </c>
      <c r="N3" s="139">
        <f t="shared" si="1"/>
        <v>47420</v>
      </c>
      <c r="O3" s="139">
        <f t="shared" si="1"/>
        <v>52733</v>
      </c>
      <c r="P3" s="139">
        <f t="shared" si="1"/>
        <v>50314</v>
      </c>
      <c r="Q3" s="139">
        <f t="shared" si="1"/>
        <v>109871</v>
      </c>
      <c r="R3" s="139">
        <f t="shared" si="1"/>
        <v>85042</v>
      </c>
      <c r="S3" s="139">
        <f t="shared" si="1"/>
        <v>53202</v>
      </c>
      <c r="T3" s="139">
        <f t="shared" si="1"/>
        <v>36606</v>
      </c>
      <c r="U3" s="139">
        <f t="shared" si="1"/>
        <v>38649</v>
      </c>
      <c r="V3" s="139">
        <f>AR22</f>
        <v>23310</v>
      </c>
      <c r="W3" s="139"/>
      <c r="X3" s="139"/>
      <c r="Y3" s="139"/>
      <c r="Z3" s="139"/>
      <c r="AA3" s="139"/>
      <c r="AB3" s="139"/>
      <c r="AC3" s="139"/>
      <c r="AD3" s="139"/>
      <c r="AE3" s="139"/>
      <c r="AF3" s="139"/>
      <c r="AG3" s="140"/>
      <c r="AI3" s="729"/>
      <c r="AJ3" s="729"/>
      <c r="AK3" s="729"/>
      <c r="AL3" s="729"/>
      <c r="AM3" s="223"/>
      <c r="AX3" t="s">
        <v>465</v>
      </c>
      <c r="BD3" t="s">
        <v>466</v>
      </c>
    </row>
    <row r="4" spans="1:57" ht="34.35" customHeight="1">
      <c r="A4" s="81" t="s">
        <v>30</v>
      </c>
      <c r="B4" s="350">
        <f>K15</f>
        <v>236997.8</v>
      </c>
      <c r="C4" s="350">
        <v>215666.78</v>
      </c>
      <c r="D4" s="139">
        <v>235351.58</v>
      </c>
      <c r="E4" s="139">
        <f>AA23</f>
        <v>245784</v>
      </c>
      <c r="F4" s="139">
        <f t="shared" ref="F4:U4" si="2">AB23</f>
        <v>216329</v>
      </c>
      <c r="G4" s="139">
        <f t="shared" si="2"/>
        <v>283690</v>
      </c>
      <c r="H4" s="139">
        <f t="shared" si="2"/>
        <v>234246</v>
      </c>
      <c r="I4" s="139">
        <f t="shared" si="2"/>
        <v>319932</v>
      </c>
      <c r="J4" s="139">
        <f t="shared" si="2"/>
        <v>248268</v>
      </c>
      <c r="K4" s="139">
        <f t="shared" si="2"/>
        <v>329347</v>
      </c>
      <c r="L4" s="139">
        <f t="shared" si="2"/>
        <v>423242</v>
      </c>
      <c r="M4" s="139">
        <f t="shared" si="2"/>
        <v>429287</v>
      </c>
      <c r="N4" s="139">
        <f t="shared" si="2"/>
        <v>511316</v>
      </c>
      <c r="O4" s="139">
        <f t="shared" si="2"/>
        <v>503336</v>
      </c>
      <c r="P4" s="139">
        <f t="shared" si="2"/>
        <v>535880</v>
      </c>
      <c r="Q4" s="139">
        <f t="shared" si="2"/>
        <v>622431</v>
      </c>
      <c r="R4" s="139">
        <f t="shared" si="2"/>
        <v>618367</v>
      </c>
      <c r="S4" s="139">
        <f t="shared" si="2"/>
        <v>646546</v>
      </c>
      <c r="T4" s="139">
        <f t="shared" si="2"/>
        <v>705123</v>
      </c>
      <c r="U4" s="139">
        <f t="shared" si="2"/>
        <v>592629</v>
      </c>
      <c r="V4" s="139">
        <f>AR23</f>
        <v>456633</v>
      </c>
      <c r="W4" s="139"/>
      <c r="X4" s="139"/>
      <c r="Y4" s="139"/>
      <c r="Z4" s="139"/>
      <c r="AA4" s="139"/>
      <c r="AB4" s="139"/>
      <c r="AC4" s="139"/>
      <c r="AD4" s="139"/>
      <c r="AE4" s="139"/>
      <c r="AF4" s="139"/>
      <c r="AG4" s="140"/>
      <c r="AI4" s="729"/>
      <c r="AJ4" s="729"/>
      <c r="AK4" s="729"/>
      <c r="AL4" s="729"/>
      <c r="AM4" s="223"/>
      <c r="AW4" t="s">
        <v>180</v>
      </c>
      <c r="AX4" t="s">
        <v>467</v>
      </c>
      <c r="AY4" t="s">
        <v>468</v>
      </c>
      <c r="AZ4" t="s">
        <v>469</v>
      </c>
      <c r="BA4" t="s">
        <v>470</v>
      </c>
      <c r="BC4" t="s">
        <v>180</v>
      </c>
      <c r="BD4" t="s">
        <v>471</v>
      </c>
      <c r="BE4" t="s">
        <v>472</v>
      </c>
    </row>
    <row r="5" spans="1:57" ht="34.35" customHeight="1">
      <c r="A5" s="81" t="s">
        <v>473</v>
      </c>
      <c r="B5" s="350">
        <v>5590140.5</v>
      </c>
      <c r="C5" s="350">
        <v>5586577.2699999996</v>
      </c>
      <c r="D5" s="139">
        <v>6933347.4800000004</v>
      </c>
      <c r="E5" s="139">
        <f>AA24</f>
        <v>9225312</v>
      </c>
      <c r="F5" s="139">
        <f t="shared" ref="F5:U5" si="3">AB24</f>
        <v>10003110</v>
      </c>
      <c r="G5" s="139">
        <f t="shared" si="3"/>
        <v>9389311</v>
      </c>
      <c r="H5" s="139">
        <f t="shared" si="3"/>
        <v>9709431</v>
      </c>
      <c r="I5" s="139">
        <f t="shared" si="3"/>
        <v>10191551</v>
      </c>
      <c r="J5" s="139">
        <f t="shared" si="3"/>
        <v>10292408</v>
      </c>
      <c r="K5" s="139">
        <f t="shared" si="3"/>
        <v>9795118</v>
      </c>
      <c r="L5" s="139">
        <f t="shared" si="3"/>
        <v>9965813</v>
      </c>
      <c r="M5" s="139">
        <f t="shared" si="3"/>
        <v>9823494</v>
      </c>
      <c r="N5" s="139">
        <f t="shared" si="3"/>
        <v>8794760</v>
      </c>
      <c r="O5" s="139">
        <f t="shared" si="3"/>
        <v>9898266</v>
      </c>
      <c r="P5" s="139">
        <f t="shared" si="3"/>
        <v>8543367</v>
      </c>
      <c r="Q5" s="139">
        <f t="shared" si="3"/>
        <v>7654608</v>
      </c>
      <c r="R5" s="139">
        <f t="shared" si="3"/>
        <v>9631764</v>
      </c>
      <c r="S5" s="139">
        <f t="shared" si="3"/>
        <v>8783829</v>
      </c>
      <c r="T5" s="139">
        <f t="shared" si="3"/>
        <v>8379498</v>
      </c>
      <c r="U5" s="139">
        <f t="shared" si="3"/>
        <v>7663420</v>
      </c>
      <c r="V5" s="139">
        <f>AR24</f>
        <v>7798728</v>
      </c>
      <c r="W5" s="139"/>
      <c r="X5" s="139"/>
      <c r="Y5" s="139"/>
      <c r="Z5" s="139"/>
      <c r="AA5" s="139"/>
      <c r="AB5" s="139"/>
      <c r="AC5" s="139"/>
      <c r="AD5" s="139"/>
      <c r="AE5" s="139"/>
      <c r="AF5" s="139"/>
      <c r="AG5" s="140"/>
      <c r="AI5" s="729"/>
      <c r="AJ5" s="729"/>
      <c r="AK5" s="729"/>
      <c r="AL5" s="729"/>
      <c r="AM5" s="223"/>
      <c r="AW5">
        <v>2002</v>
      </c>
      <c r="AX5">
        <f>J28</f>
        <v>0.45270644142824595</v>
      </c>
      <c r="AY5">
        <f>K28</f>
        <v>0.18823845327604727</v>
      </c>
      <c r="AZ5">
        <f>L28</f>
        <v>0.35905510529570678</v>
      </c>
      <c r="BA5">
        <f>AZ5+AY5</f>
        <v>0.54729355857175399</v>
      </c>
      <c r="BC5">
        <v>2002</v>
      </c>
      <c r="BD5">
        <f>J30</f>
        <v>0.45218369078579757</v>
      </c>
      <c r="BE5">
        <f>K30</f>
        <v>0.54781630921420243</v>
      </c>
    </row>
    <row r="6" spans="1:57" ht="34.35" customHeight="1">
      <c r="A6" s="81" t="s">
        <v>474</v>
      </c>
      <c r="B6" s="350">
        <v>114707.8</v>
      </c>
      <c r="C6" s="404">
        <v>119177.21</v>
      </c>
      <c r="D6" s="139">
        <v>204810.57</v>
      </c>
      <c r="E6" s="139">
        <f>AA25</f>
        <v>144961</v>
      </c>
      <c r="F6" s="139">
        <f t="shared" ref="F6:U6" si="4">AB25</f>
        <v>112467</v>
      </c>
      <c r="G6" s="139">
        <f t="shared" si="4"/>
        <v>127737</v>
      </c>
      <c r="H6" s="139">
        <f t="shared" si="4"/>
        <v>143973</v>
      </c>
      <c r="I6" s="139">
        <f t="shared" si="4"/>
        <v>198182</v>
      </c>
      <c r="J6" s="139">
        <f t="shared" si="4"/>
        <v>103162</v>
      </c>
      <c r="K6" s="139">
        <f t="shared" si="4"/>
        <v>140496</v>
      </c>
      <c r="L6" s="139">
        <f t="shared" si="4"/>
        <v>214966</v>
      </c>
      <c r="M6" s="139">
        <f t="shared" si="4"/>
        <v>146161</v>
      </c>
      <c r="N6" s="139">
        <f t="shared" si="4"/>
        <v>134826</v>
      </c>
      <c r="O6" s="139">
        <f t="shared" si="4"/>
        <v>133314</v>
      </c>
      <c r="P6" s="139">
        <f t="shared" si="4"/>
        <v>158816</v>
      </c>
      <c r="Q6" s="139">
        <f t="shared" si="4"/>
        <v>280398</v>
      </c>
      <c r="R6" s="139">
        <f t="shared" si="4"/>
        <v>183638</v>
      </c>
      <c r="S6" s="139">
        <f t="shared" si="4"/>
        <v>276375</v>
      </c>
      <c r="T6" s="139">
        <f t="shared" si="4"/>
        <v>258837</v>
      </c>
      <c r="U6" s="139">
        <f t="shared" si="4"/>
        <v>259887</v>
      </c>
      <c r="V6" s="139">
        <f>AR25</f>
        <v>267714</v>
      </c>
      <c r="W6" s="139"/>
      <c r="X6" s="139"/>
      <c r="Y6" s="139"/>
      <c r="Z6" s="139"/>
      <c r="AA6" s="139"/>
      <c r="AB6" s="139"/>
      <c r="AC6" s="139"/>
      <c r="AD6" s="139"/>
      <c r="AE6" s="139"/>
      <c r="AF6" s="139"/>
      <c r="AG6" s="140"/>
      <c r="AM6" s="223"/>
      <c r="AW6">
        <v>2003</v>
      </c>
      <c r="AX6">
        <f>J49</f>
        <v>0.50528130763790335</v>
      </c>
      <c r="AY6">
        <f>K49</f>
        <v>0.18675720777149618</v>
      </c>
      <c r="AZ6">
        <f>L49</f>
        <v>0.30796148459060041</v>
      </c>
      <c r="BA6">
        <f t="shared" ref="BA6:BA23" si="5">AZ6+AY6</f>
        <v>0.49471869236209659</v>
      </c>
      <c r="BC6">
        <v>2003</v>
      </c>
      <c r="BD6">
        <f>J51</f>
        <v>0.62677941084940469</v>
      </c>
      <c r="BE6">
        <f>K51</f>
        <v>0.37322058915059531</v>
      </c>
    </row>
    <row r="7" spans="1:57" ht="34.35" customHeight="1" thickBot="1">
      <c r="A7" s="82" t="s">
        <v>33</v>
      </c>
      <c r="B7" s="249">
        <f t="shared" ref="B7:AG7" si="6">X71</f>
        <v>221122575</v>
      </c>
      <c r="C7" s="249">
        <f t="shared" si="6"/>
        <v>223279598</v>
      </c>
      <c r="D7" s="249">
        <f t="shared" si="6"/>
        <v>225635789</v>
      </c>
      <c r="E7" s="249">
        <f t="shared" si="6"/>
        <v>235143245</v>
      </c>
      <c r="F7" s="249">
        <f t="shared" si="6"/>
        <v>237682009</v>
      </c>
      <c r="G7" s="249">
        <f t="shared" si="6"/>
        <v>240514815</v>
      </c>
      <c r="H7" s="249">
        <f t="shared" si="6"/>
        <v>243220283</v>
      </c>
      <c r="I7" s="249">
        <f t="shared" si="6"/>
        <v>246021656</v>
      </c>
      <c r="J7" s="249">
        <f t="shared" si="6"/>
        <v>247845207</v>
      </c>
      <c r="K7" s="249">
        <f t="shared" si="6"/>
        <v>249815089</v>
      </c>
      <c r="L7" s="249">
        <f t="shared" si="6"/>
        <v>251815533</v>
      </c>
      <c r="M7" s="249">
        <f t="shared" si="6"/>
        <v>253619107</v>
      </c>
      <c r="N7" s="249">
        <f t="shared" si="6"/>
        <v>257598944</v>
      </c>
      <c r="O7" s="249">
        <f t="shared" si="6"/>
        <v>260057325</v>
      </c>
      <c r="P7" s="249">
        <f t="shared" si="6"/>
        <v>262391455</v>
      </c>
      <c r="Q7" s="249">
        <f t="shared" si="6"/>
        <v>265122864</v>
      </c>
      <c r="R7" s="249">
        <f t="shared" si="6"/>
        <v>267694489</v>
      </c>
      <c r="S7" s="249">
        <f t="shared" si="6"/>
        <v>269430135</v>
      </c>
      <c r="T7" s="249">
        <f t="shared" si="6"/>
        <v>272103335</v>
      </c>
      <c r="U7" s="249">
        <f t="shared" si="6"/>
        <v>273753043</v>
      </c>
      <c r="V7" s="249">
        <f t="shared" si="6"/>
        <v>275221248</v>
      </c>
      <c r="W7" s="249">
        <f t="shared" si="6"/>
        <v>277196227.0557394</v>
      </c>
      <c r="X7" s="249">
        <f t="shared" si="6"/>
        <v>279162039.54202181</v>
      </c>
      <c r="Y7" s="249">
        <f t="shared" si="6"/>
        <v>281115352.1608628</v>
      </c>
      <c r="Z7" s="249">
        <f t="shared" si="6"/>
        <v>283051164.9652859</v>
      </c>
      <c r="AA7" s="249">
        <f t="shared" si="6"/>
        <v>284966144.65730661</v>
      </c>
      <c r="AB7" s="249">
        <f t="shared" si="6"/>
        <v>286858624.58793288</v>
      </c>
      <c r="AC7" s="249">
        <f t="shared" si="6"/>
        <v>288731104.73065287</v>
      </c>
      <c r="AD7" s="249">
        <f t="shared" si="6"/>
        <v>290576085.16500187</v>
      </c>
      <c r="AE7" s="249">
        <f t="shared" si="6"/>
        <v>292390232.59299541</v>
      </c>
      <c r="AF7" s="249">
        <f t="shared" si="6"/>
        <v>294170213.71664917</v>
      </c>
      <c r="AG7" s="249">
        <f t="shared" si="6"/>
        <v>295914361.88697094</v>
      </c>
      <c r="AM7" s="223"/>
      <c r="AW7">
        <v>2004</v>
      </c>
      <c r="AX7">
        <f>J70</f>
        <v>0.51971165709048606</v>
      </c>
      <c r="AY7">
        <f>K70</f>
        <v>0.2939581938030949</v>
      </c>
      <c r="AZ7">
        <f>L70</f>
        <v>0.18633014910641899</v>
      </c>
      <c r="BA7">
        <f t="shared" si="5"/>
        <v>0.48028834290951389</v>
      </c>
      <c r="BC7">
        <v>2004</v>
      </c>
      <c r="BD7">
        <f>J72</f>
        <v>0.60860987810892697</v>
      </c>
      <c r="BE7">
        <f>K72</f>
        <v>0.39139012189107308</v>
      </c>
    </row>
    <row r="8" spans="1:57">
      <c r="A8" s="172" t="s">
        <v>475</v>
      </c>
      <c r="B8" s="223">
        <v>0.43750800000000001</v>
      </c>
      <c r="C8" s="25">
        <v>0.37236187999999998</v>
      </c>
      <c r="D8" s="223">
        <v>0.425927</v>
      </c>
      <c r="E8" s="25">
        <f>$BE5</f>
        <v>0.54781630921420243</v>
      </c>
      <c r="F8" s="25">
        <f>$BE6</f>
        <v>0.37322058915059531</v>
      </c>
      <c r="G8" s="25">
        <f>$BE7</f>
        <v>0.39139012189107308</v>
      </c>
      <c r="H8" s="25">
        <f>$BE8</f>
        <v>0.4877997957950449</v>
      </c>
      <c r="I8" s="25">
        <f>$BE9</f>
        <v>0.57803937794552485</v>
      </c>
      <c r="J8" s="25">
        <f>$BE12</f>
        <v>0.72162230278590955</v>
      </c>
      <c r="K8" s="25">
        <f>$BE13</f>
        <v>0.42434660061496415</v>
      </c>
      <c r="L8" s="25">
        <f>$BE14</f>
        <v>0.67685122298409983</v>
      </c>
      <c r="M8" s="25">
        <f>$BE15</f>
        <v>0.47542778169279082</v>
      </c>
      <c r="N8" s="25">
        <f>$BE16</f>
        <v>0.47088840431370804</v>
      </c>
      <c r="O8" s="25">
        <f>$BE17</f>
        <v>0.48412019742862716</v>
      </c>
      <c r="P8" s="25">
        <f>$BE18</f>
        <v>0.70006800322385654</v>
      </c>
      <c r="Q8" s="25">
        <f>$BE19</f>
        <v>0.45505317441636534</v>
      </c>
      <c r="R8" s="25">
        <f>$BE20</f>
        <v>0.59043335257408602</v>
      </c>
      <c r="S8" s="25">
        <f>$BE21</f>
        <v>0.35116056083220265</v>
      </c>
      <c r="T8" s="25">
        <f>$BE22</f>
        <v>0.52275756557215547</v>
      </c>
      <c r="U8" s="25">
        <f>$BE23</f>
        <v>0.39097376936899497</v>
      </c>
      <c r="V8" s="25">
        <f>$BE24</f>
        <v>0.24577347467820138</v>
      </c>
      <c r="W8" s="25"/>
      <c r="X8" s="25"/>
      <c r="Y8" s="25"/>
      <c r="Z8" s="25"/>
      <c r="AA8" s="25"/>
      <c r="AB8" s="223"/>
      <c r="AC8" s="25"/>
      <c r="AD8" s="25"/>
      <c r="AE8" s="25"/>
      <c r="AF8" s="25"/>
      <c r="AG8" s="25"/>
      <c r="AM8" s="223"/>
      <c r="AW8">
        <v>2005</v>
      </c>
      <c r="AX8">
        <f>J91</f>
        <v>0.33114332795437273</v>
      </c>
      <c r="AY8">
        <f>K91</f>
        <v>0.25389547740409657</v>
      </c>
      <c r="AZ8">
        <f>L91</f>
        <v>0.4149611946415307</v>
      </c>
      <c r="BA8">
        <f t="shared" si="5"/>
        <v>0.66885667204562727</v>
      </c>
      <c r="BC8">
        <v>2005</v>
      </c>
      <c r="BD8">
        <f>J93</f>
        <v>0.51220020420495505</v>
      </c>
      <c r="BE8">
        <f>K93</f>
        <v>0.4877997957950449</v>
      </c>
    </row>
    <row r="9" spans="1:57">
      <c r="A9" s="172" t="s">
        <v>476</v>
      </c>
      <c r="B9" s="223">
        <v>0.43670399999999998</v>
      </c>
      <c r="C9" s="25">
        <v>0.49432921499999999</v>
      </c>
      <c r="D9" s="223">
        <v>0.50452300000000005</v>
      </c>
      <c r="E9" s="25">
        <f>$BA5</f>
        <v>0.54729355857175399</v>
      </c>
      <c r="F9" s="25">
        <f>$BA6</f>
        <v>0.49471869236209659</v>
      </c>
      <c r="G9" s="25">
        <f>$BA7</f>
        <v>0.48028834290951389</v>
      </c>
      <c r="H9" s="25">
        <f>$BA8</f>
        <v>0.66885667204562727</v>
      </c>
      <c r="I9" s="25">
        <f>$BA9</f>
        <v>0.70146781191003083</v>
      </c>
      <c r="J9" s="25">
        <f>$BA12</f>
        <v>0.74580695055343416</v>
      </c>
      <c r="K9" s="25">
        <f>$BA13</f>
        <v>0.74834445129301319</v>
      </c>
      <c r="L9" s="25">
        <f>$BA14</f>
        <v>0.66145609367690361</v>
      </c>
      <c r="M9" s="25">
        <f>$BA15</f>
        <v>0.69965780468544359</v>
      </c>
      <c r="N9" s="25">
        <f>$BA16</f>
        <v>0.71452291733487705</v>
      </c>
      <c r="O9" s="25">
        <f>$BA17</f>
        <v>0.7760462196226775</v>
      </c>
      <c r="P9" s="25">
        <f>$BA18</f>
        <v>0.79410502351272672</v>
      </c>
      <c r="Q9" s="25">
        <f>$BA19</f>
        <v>0.66357395438209221</v>
      </c>
      <c r="R9" s="25">
        <f>$BA20</f>
        <v>0.73309701196862065</v>
      </c>
      <c r="S9" s="25">
        <f>$BA21</f>
        <v>0.7640260708441472</v>
      </c>
      <c r="T9" s="25">
        <f>$BA22</f>
        <v>0.63545225442936903</v>
      </c>
      <c r="U9" s="25">
        <f>$BA23</f>
        <v>0.70188431548236752</v>
      </c>
      <c r="V9" s="25">
        <f>$BA24</f>
        <v>0.63945444153182096</v>
      </c>
      <c r="W9" s="25"/>
      <c r="X9" s="25"/>
      <c r="Y9" s="25"/>
      <c r="Z9" s="25"/>
      <c r="AA9" s="25"/>
      <c r="AB9" s="25"/>
      <c r="AC9" s="25"/>
      <c r="AD9" s="25"/>
      <c r="AE9" s="25"/>
      <c r="AF9" s="25"/>
      <c r="AG9" s="25"/>
      <c r="AM9" s="223"/>
      <c r="AW9">
        <v>2006</v>
      </c>
      <c r="AX9">
        <f>J112</f>
        <v>0.29853218808996912</v>
      </c>
      <c r="AY9">
        <f>K112</f>
        <v>0.4104716002150457</v>
      </c>
      <c r="AZ9">
        <f>L112</f>
        <v>0.29099621169498519</v>
      </c>
      <c r="BA9">
        <f t="shared" si="5"/>
        <v>0.70146781191003083</v>
      </c>
      <c r="BC9">
        <v>2006</v>
      </c>
      <c r="BD9">
        <f>J114</f>
        <v>0.42196062205447515</v>
      </c>
      <c r="BE9">
        <f>K114</f>
        <v>0.57803937794552485</v>
      </c>
    </row>
    <row r="10" spans="1:57">
      <c r="W10" s="25"/>
      <c r="X10" s="25"/>
      <c r="Y10" s="25"/>
      <c r="Z10" s="25"/>
      <c r="AA10" s="25"/>
      <c r="AB10" s="25"/>
      <c r="AC10" s="25"/>
      <c r="AD10" s="25"/>
      <c r="AE10" s="25"/>
      <c r="AF10" s="25"/>
      <c r="AG10" s="25"/>
      <c r="AM10" s="223"/>
    </row>
    <row r="11" spans="1:57">
      <c r="W11" s="25"/>
      <c r="X11" s="25"/>
      <c r="Y11" s="25"/>
      <c r="Z11" s="25"/>
      <c r="AA11" s="25"/>
      <c r="AB11" s="25"/>
      <c r="AC11" s="25"/>
      <c r="AD11" s="25"/>
      <c r="AE11" s="25"/>
      <c r="AF11" s="25"/>
      <c r="AG11" s="25"/>
      <c r="AM11" s="223"/>
    </row>
    <row r="12" spans="1:57" ht="14.7" thickBot="1">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M12" s="223"/>
      <c r="AW12">
        <v>2007</v>
      </c>
      <c r="AX12">
        <f>J133</f>
        <v>0.25419304944656579</v>
      </c>
      <c r="AY12">
        <f>K133</f>
        <v>0.31843411152464274</v>
      </c>
      <c r="AZ12">
        <f>L133</f>
        <v>0.42737283902879147</v>
      </c>
      <c r="BA12">
        <f t="shared" si="5"/>
        <v>0.74580695055343416</v>
      </c>
      <c r="BC12">
        <v>2007</v>
      </c>
      <c r="BD12">
        <f>J135</f>
        <v>0.27837769721409045</v>
      </c>
      <c r="BE12">
        <f>K135</f>
        <v>0.72162230278590955</v>
      </c>
    </row>
    <row r="13" spans="1:57">
      <c r="B13" s="141">
        <v>1990</v>
      </c>
      <c r="C13" s="141">
        <v>1991</v>
      </c>
      <c r="D13" s="141">
        <v>1992</v>
      </c>
      <c r="E13" s="141">
        <v>1993</v>
      </c>
      <c r="F13" s="141">
        <v>1994</v>
      </c>
      <c r="G13" s="141">
        <v>1995</v>
      </c>
      <c r="H13" s="141">
        <v>1996</v>
      </c>
      <c r="I13" s="141">
        <v>1997</v>
      </c>
      <c r="J13" s="141">
        <v>1998</v>
      </c>
      <c r="K13" s="141">
        <v>1999</v>
      </c>
      <c r="L13" s="141">
        <v>2000</v>
      </c>
      <c r="M13" s="141">
        <v>2001</v>
      </c>
      <c r="N13" s="141">
        <v>2002</v>
      </c>
      <c r="O13" s="141"/>
      <c r="P13" s="141"/>
      <c r="Q13" s="249"/>
      <c r="R13" s="249"/>
      <c r="S13" s="249"/>
      <c r="T13" s="25"/>
      <c r="U13" s="25"/>
      <c r="V13" s="25"/>
      <c r="W13" s="25"/>
      <c r="X13" s="25"/>
      <c r="Y13" s="25"/>
      <c r="Z13" s="25"/>
      <c r="AA13" s="25"/>
      <c r="AB13" s="25"/>
      <c r="AC13" s="25"/>
      <c r="AD13" s="25"/>
      <c r="AM13" s="223"/>
      <c r="AW13">
        <v>2008</v>
      </c>
      <c r="AX13">
        <f>J154</f>
        <v>0.25165554870698686</v>
      </c>
      <c r="AY13">
        <f>K154</f>
        <v>0.43953945231017744</v>
      </c>
      <c r="AZ13">
        <f>L154</f>
        <v>0.30880499898283575</v>
      </c>
      <c r="BA13">
        <f t="shared" si="5"/>
        <v>0.74834445129301319</v>
      </c>
      <c r="BC13">
        <v>2008</v>
      </c>
      <c r="BD13">
        <f>J156</f>
        <v>0.5756533993850359</v>
      </c>
      <c r="BE13">
        <f>K156</f>
        <v>0.42434660061496415</v>
      </c>
    </row>
    <row r="14" spans="1:57">
      <c r="A14" t="s">
        <v>477</v>
      </c>
      <c r="B14" s="139"/>
      <c r="C14" s="139"/>
      <c r="D14" s="139"/>
      <c r="E14" s="139"/>
      <c r="F14" s="139"/>
      <c r="G14" s="139">
        <v>211532023</v>
      </c>
      <c r="H14" s="139">
        <v>214047483</v>
      </c>
      <c r="I14" s="139">
        <v>216206090</v>
      </c>
      <c r="J14" s="139">
        <v>218444761</v>
      </c>
      <c r="K14" s="139">
        <v>221122575</v>
      </c>
      <c r="L14" s="139">
        <v>223279598</v>
      </c>
      <c r="M14" s="139">
        <v>225635789</v>
      </c>
      <c r="N14" s="139"/>
      <c r="O14" s="25"/>
      <c r="P14" s="25"/>
      <c r="Q14" s="25"/>
      <c r="R14" s="25"/>
      <c r="S14" s="25"/>
      <c r="T14" s="25"/>
      <c r="U14" s="25"/>
      <c r="V14" s="25"/>
      <c r="W14" s="25"/>
      <c r="X14" s="25"/>
      <c r="Y14" s="25"/>
      <c r="Z14" s="25"/>
      <c r="AA14" s="25"/>
      <c r="AB14" s="25"/>
      <c r="AC14" s="25"/>
      <c r="AD14" s="25"/>
      <c r="AM14" s="223"/>
      <c r="AW14">
        <v>2009</v>
      </c>
      <c r="AX14">
        <f>J175</f>
        <v>0.3385439063230965</v>
      </c>
      <c r="AY14">
        <f>K175</f>
        <v>0.29867546226508712</v>
      </c>
      <c r="AZ14">
        <f>L175</f>
        <v>0.36278063141181643</v>
      </c>
      <c r="BA14">
        <f t="shared" si="5"/>
        <v>0.66145609367690361</v>
      </c>
      <c r="BC14">
        <v>2009</v>
      </c>
      <c r="BD14">
        <f>J177</f>
        <v>0.32314877701590017</v>
      </c>
      <c r="BE14">
        <f>K177</f>
        <v>0.67685122298409983</v>
      </c>
    </row>
    <row r="15" spans="1:57">
      <c r="A15" t="s">
        <v>478</v>
      </c>
      <c r="B15" s="139"/>
      <c r="C15" s="139"/>
      <c r="D15" s="139"/>
      <c r="E15" s="139"/>
      <c r="F15" s="139"/>
      <c r="G15" s="139">
        <v>242565.9</v>
      </c>
      <c r="H15" s="139">
        <v>292344.2</v>
      </c>
      <c r="I15" s="139">
        <v>329014.5</v>
      </c>
      <c r="J15" s="139">
        <v>420848.8</v>
      </c>
      <c r="K15" s="139">
        <v>236997.8</v>
      </c>
      <c r="L15" s="139">
        <v>215666.8</v>
      </c>
      <c r="M15" s="139">
        <v>235351.6</v>
      </c>
      <c r="N15" s="139">
        <f>$E$4</f>
        <v>245784</v>
      </c>
      <c r="O15" s="25" t="s">
        <v>479</v>
      </c>
      <c r="P15" s="25"/>
      <c r="Q15" s="25"/>
      <c r="R15" s="25"/>
      <c r="S15" s="25"/>
      <c r="T15" s="25"/>
      <c r="U15" s="25"/>
      <c r="V15" s="25"/>
      <c r="W15" s="25"/>
      <c r="X15" s="25"/>
      <c r="Y15" s="25"/>
      <c r="Z15" s="25"/>
      <c r="AA15" s="25"/>
      <c r="AB15" s="25"/>
      <c r="AC15" s="25"/>
      <c r="AD15" s="25"/>
      <c r="AW15">
        <v>2010</v>
      </c>
      <c r="AX15">
        <f>J196</f>
        <v>0.30034219531455647</v>
      </c>
      <c r="AY15">
        <f>K196</f>
        <v>0.17720080039693725</v>
      </c>
      <c r="AZ15">
        <f>L196</f>
        <v>0.52245700428850628</v>
      </c>
      <c r="BA15">
        <f t="shared" si="5"/>
        <v>0.69965780468544359</v>
      </c>
      <c r="BC15">
        <v>2010</v>
      </c>
      <c r="BD15">
        <f>J198</f>
        <v>0.52457221830720913</v>
      </c>
      <c r="BE15">
        <f>K198</f>
        <v>0.47542778169279082</v>
      </c>
    </row>
    <row r="16" spans="1:57">
      <c r="A16" t="s">
        <v>480</v>
      </c>
      <c r="B16" s="139"/>
      <c r="C16" s="139"/>
      <c r="D16" s="139"/>
      <c r="E16" s="139"/>
      <c r="F16" s="139">
        <v>3939600</v>
      </c>
      <c r="G16" s="139">
        <v>4102426</v>
      </c>
      <c r="H16" s="139">
        <v>4510485</v>
      </c>
      <c r="I16" s="139">
        <v>4210000</v>
      </c>
      <c r="J16" s="139">
        <v>4070000</v>
      </c>
      <c r="K16" s="139">
        <v>6582000</v>
      </c>
      <c r="L16" s="139">
        <v>6466000</v>
      </c>
      <c r="M16" s="139">
        <v>8353000</v>
      </c>
      <c r="N16" s="139">
        <v>10992000</v>
      </c>
      <c r="O16" s="25" t="s">
        <v>481</v>
      </c>
      <c r="P16" s="25"/>
      <c r="Q16" s="25"/>
      <c r="R16" s="25"/>
      <c r="S16" s="25"/>
      <c r="T16" s="25"/>
      <c r="U16" s="25"/>
      <c r="V16" s="25"/>
      <c r="W16" s="25"/>
      <c r="X16" s="25"/>
      <c r="Y16" s="25"/>
      <c r="Z16" s="25"/>
      <c r="AA16" s="25"/>
      <c r="AB16" s="25"/>
      <c r="AC16" s="25"/>
      <c r="AD16" s="25"/>
      <c r="AW16">
        <v>2011</v>
      </c>
      <c r="AX16">
        <f>J217</f>
        <v>0.28547708266512295</v>
      </c>
      <c r="AY16">
        <f>K217</f>
        <v>0.21036893036791338</v>
      </c>
      <c r="AZ16">
        <f>L217</f>
        <v>0.50415398696696367</v>
      </c>
      <c r="BA16">
        <f t="shared" si="5"/>
        <v>0.71452291733487705</v>
      </c>
      <c r="BC16">
        <v>2011</v>
      </c>
      <c r="BD16">
        <f>J219</f>
        <v>0.52911159568629196</v>
      </c>
      <c r="BE16">
        <f>K219</f>
        <v>0.47088840431370804</v>
      </c>
    </row>
    <row r="17" spans="1:57">
      <c r="A17" t="s">
        <v>482</v>
      </c>
      <c r="B17" s="139"/>
      <c r="C17" s="139"/>
      <c r="D17" s="139"/>
      <c r="E17" s="139"/>
      <c r="F17" s="139"/>
      <c r="G17" s="139">
        <f>0.002*G14</f>
        <v>423064.04600000003</v>
      </c>
      <c r="H17" s="139">
        <f>0.002*H14</f>
        <v>428094.96600000001</v>
      </c>
      <c r="I17" s="139">
        <v>597000</v>
      </c>
      <c r="J17" s="139">
        <f>0.001*J14</f>
        <v>218444.761</v>
      </c>
      <c r="K17" s="139">
        <v>353351</v>
      </c>
      <c r="L17" s="139">
        <v>308000</v>
      </c>
      <c r="M17" s="399">
        <v>455525</v>
      </c>
      <c r="N17" s="139">
        <f>SUM(E6,E4,E3)</f>
        <v>425699</v>
      </c>
      <c r="O17" s="25"/>
      <c r="P17" s="25"/>
      <c r="Q17" s="25"/>
      <c r="R17" s="25"/>
      <c r="S17" s="25"/>
      <c r="T17" s="25"/>
      <c r="U17" s="25"/>
      <c r="V17" s="25"/>
      <c r="W17" s="25"/>
      <c r="X17" s="25"/>
      <c r="Y17" s="25"/>
      <c r="Z17" s="25"/>
      <c r="AA17" s="25"/>
      <c r="AB17" s="25"/>
      <c r="AC17" s="25"/>
      <c r="AD17" s="25"/>
      <c r="AW17">
        <v>2012</v>
      </c>
      <c r="AX17">
        <f>J238</f>
        <v>0.2239537803773225</v>
      </c>
      <c r="AY17">
        <f>K238</f>
        <v>0.20082608833860482</v>
      </c>
      <c r="AZ17">
        <f>L238</f>
        <v>0.57522013128407268</v>
      </c>
      <c r="BA17">
        <f t="shared" si="5"/>
        <v>0.7760462196226775</v>
      </c>
      <c r="BC17">
        <v>2012</v>
      </c>
      <c r="BD17">
        <f>J240</f>
        <v>0.51587980257137289</v>
      </c>
      <c r="BE17">
        <f>K240</f>
        <v>0.48412019742862716</v>
      </c>
    </row>
    <row r="18" spans="1:57">
      <c r="A18" t="s">
        <v>483</v>
      </c>
      <c r="B18" s="139"/>
      <c r="C18" s="139"/>
      <c r="D18" s="139"/>
      <c r="E18" s="139"/>
      <c r="F18" s="139"/>
      <c r="G18" s="139"/>
      <c r="H18" s="139"/>
      <c r="I18" s="139"/>
      <c r="J18" s="139"/>
      <c r="K18" s="139">
        <v>862523.8</v>
      </c>
      <c r="L18" s="139"/>
      <c r="M18" s="139"/>
      <c r="N18" s="139"/>
      <c r="O18" s="25"/>
      <c r="P18" s="25"/>
      <c r="Q18" s="25"/>
      <c r="R18" s="25"/>
      <c r="S18" s="25"/>
      <c r="T18" s="25"/>
      <c r="U18" s="25"/>
      <c r="AW18">
        <v>2013</v>
      </c>
      <c r="AX18">
        <f>J259</f>
        <v>0.20589497648727326</v>
      </c>
      <c r="AY18">
        <f>K259</f>
        <v>0.21616593267149362</v>
      </c>
      <c r="AZ18">
        <f>L259</f>
        <v>0.57793909084123307</v>
      </c>
      <c r="BA18">
        <f t="shared" si="5"/>
        <v>0.79410502351272672</v>
      </c>
      <c r="BC18">
        <v>2013</v>
      </c>
      <c r="BD18">
        <f>J261</f>
        <v>0.29993199677614346</v>
      </c>
      <c r="BE18">
        <f>K261</f>
        <v>0.70006800322385654</v>
      </c>
    </row>
    <row r="19" spans="1:57">
      <c r="O19" s="25"/>
      <c r="P19" s="25"/>
      <c r="Q19" s="25"/>
      <c r="R19" s="25"/>
      <c r="S19" s="25"/>
      <c r="T19" s="25"/>
      <c r="U19" s="25"/>
      <c r="AW19">
        <v>2014</v>
      </c>
      <c r="AX19">
        <f>J280</f>
        <v>0.33642604561790784</v>
      </c>
      <c r="AY19">
        <f>K280</f>
        <v>0.31232056243985279</v>
      </c>
      <c r="AZ19">
        <f>L280</f>
        <v>0.35125339194223937</v>
      </c>
      <c r="BA19">
        <f t="shared" si="5"/>
        <v>0.66357395438209221</v>
      </c>
      <c r="BC19">
        <v>2014</v>
      </c>
      <c r="BD19">
        <f>J282</f>
        <v>0.54494682558363472</v>
      </c>
      <c r="BE19">
        <f>K282</f>
        <v>0.45505317441636534</v>
      </c>
    </row>
    <row r="20" spans="1:57">
      <c r="A20" s="732" t="s">
        <v>484</v>
      </c>
      <c r="B20" s="732"/>
      <c r="C20" s="732"/>
      <c r="D20" s="732"/>
      <c r="E20" s="732"/>
      <c r="F20" s="732"/>
      <c r="G20" s="732"/>
      <c r="I20" s="273"/>
      <c r="AA20" s="1">
        <v>2002</v>
      </c>
      <c r="AB20" s="1">
        <v>2003</v>
      </c>
      <c r="AC20" s="1">
        <v>2004</v>
      </c>
      <c r="AD20" s="1">
        <v>2005</v>
      </c>
      <c r="AE20" s="1">
        <v>2006</v>
      </c>
      <c r="AF20" s="1">
        <v>2007</v>
      </c>
      <c r="AG20" s="1">
        <v>2008</v>
      </c>
      <c r="AH20" s="1">
        <v>2009</v>
      </c>
      <c r="AI20" s="1">
        <v>2010</v>
      </c>
      <c r="AJ20" s="1">
        <v>2011</v>
      </c>
      <c r="AK20" s="1">
        <v>2012</v>
      </c>
      <c r="AL20" s="1">
        <v>2013</v>
      </c>
      <c r="AM20" s="1">
        <v>2014</v>
      </c>
      <c r="AN20" s="1">
        <v>2015</v>
      </c>
      <c r="AO20" s="1">
        <v>2016</v>
      </c>
      <c r="AP20" s="1">
        <v>2017</v>
      </c>
      <c r="AQ20" s="1">
        <v>2018</v>
      </c>
      <c r="AR20" s="1">
        <v>2019</v>
      </c>
      <c r="AS20" s="1"/>
      <c r="AT20" s="1"/>
      <c r="AU20" s="1"/>
      <c r="AV20" s="1"/>
      <c r="AW20">
        <v>2015</v>
      </c>
      <c r="AX20">
        <f>J301</f>
        <v>0.26690298803137941</v>
      </c>
      <c r="AY20">
        <f>K301</f>
        <v>0.32231991681315464</v>
      </c>
      <c r="AZ20">
        <f>L301</f>
        <v>0.41077709515546595</v>
      </c>
      <c r="BA20">
        <f t="shared" si="5"/>
        <v>0.73309701196862065</v>
      </c>
      <c r="BC20">
        <v>2015</v>
      </c>
      <c r="BD20">
        <f>J303</f>
        <v>0.40956664742591403</v>
      </c>
      <c r="BE20">
        <f>K303</f>
        <v>0.59043335257408602</v>
      </c>
    </row>
    <row r="21" spans="1:57" ht="28.8">
      <c r="A21" s="732" t="s">
        <v>485</v>
      </c>
      <c r="B21" s="732"/>
      <c r="C21" s="732"/>
      <c r="D21" s="732"/>
      <c r="E21" s="732"/>
      <c r="F21" s="732"/>
      <c r="G21" s="732"/>
      <c r="Z21" s="49" t="s">
        <v>486</v>
      </c>
      <c r="AA21" s="112">
        <f>P$24</f>
        <v>1665919</v>
      </c>
      <c r="AB21" s="112">
        <f>P$45</f>
        <v>1578238</v>
      </c>
      <c r="AC21" s="112">
        <f>P$66</f>
        <v>1806262</v>
      </c>
      <c r="AD21" s="112">
        <f>P$87</f>
        <v>1754593</v>
      </c>
      <c r="AE21" s="112">
        <f>P$108</f>
        <v>1768853</v>
      </c>
      <c r="AF21" s="112">
        <f>P$129</f>
        <v>1967314</v>
      </c>
      <c r="AG21" s="112">
        <f>P$150</f>
        <v>1912898</v>
      </c>
      <c r="AH21" s="112">
        <f>P$171</f>
        <v>2039042</v>
      </c>
      <c r="AI21" s="112">
        <f>P$192</f>
        <v>2140500</v>
      </c>
      <c r="AJ21" s="112">
        <f>P$213</f>
        <v>1898575</v>
      </c>
      <c r="AK21" s="112">
        <f>P$234</f>
        <v>2301337</v>
      </c>
      <c r="AL21" s="112">
        <f>P$255</f>
        <v>1935811</v>
      </c>
      <c r="AM21" s="112">
        <f>P$276</f>
        <v>2015605</v>
      </c>
      <c r="AN21" s="112">
        <f>P$297</f>
        <v>2181670</v>
      </c>
      <c r="AO21" s="112">
        <f>P$318</f>
        <v>2178982</v>
      </c>
      <c r="AP21" s="112">
        <f>P$339</f>
        <v>1804716</v>
      </c>
      <c r="AQ21" s="112">
        <f>P$360</f>
        <v>1782701</v>
      </c>
      <c r="AR21" s="112">
        <f>P380</f>
        <v>1581223</v>
      </c>
      <c r="AS21" s="112"/>
      <c r="AT21" s="112"/>
      <c r="AU21" s="112"/>
      <c r="AV21" s="112"/>
      <c r="AW21">
        <v>2016</v>
      </c>
      <c r="AX21">
        <f>J322</f>
        <v>0.2359739291558528</v>
      </c>
      <c r="AY21">
        <f>K322</f>
        <v>0.31321205297070898</v>
      </c>
      <c r="AZ21">
        <f>L322</f>
        <v>0.45081401787343822</v>
      </c>
      <c r="BA21">
        <f t="shared" si="5"/>
        <v>0.7640260708441472</v>
      </c>
      <c r="BC21">
        <v>2016</v>
      </c>
      <c r="BD21">
        <f>J324</f>
        <v>0.6488394391677974</v>
      </c>
      <c r="BE21">
        <f>K324</f>
        <v>0.35116056083220265</v>
      </c>
    </row>
    <row r="22" spans="1:57" ht="28.8">
      <c r="A22" s="732" t="s">
        <v>487</v>
      </c>
      <c r="B22" s="732" t="s">
        <v>488</v>
      </c>
      <c r="C22" s="732" t="s">
        <v>489</v>
      </c>
      <c r="D22" s="420" t="s">
        <v>490</v>
      </c>
      <c r="E22" s="420" t="s">
        <v>491</v>
      </c>
      <c r="F22" s="732" t="s">
        <v>492</v>
      </c>
      <c r="G22" s="420" t="s">
        <v>491</v>
      </c>
      <c r="J22" t="s">
        <v>493</v>
      </c>
      <c r="Z22" s="49" t="s">
        <v>464</v>
      </c>
      <c r="AA22" s="112">
        <f>Q$24</f>
        <v>34954</v>
      </c>
      <c r="AB22" s="112">
        <f>Q$45</f>
        <v>17866</v>
      </c>
      <c r="AC22" s="112">
        <f>Q$66</f>
        <v>37915</v>
      </c>
      <c r="AD22" s="112">
        <f>Q$87</f>
        <v>22963</v>
      </c>
      <c r="AE22" s="112">
        <f>Q$108</f>
        <v>27983</v>
      </c>
      <c r="AF22" s="112">
        <f>Q$129</f>
        <v>48397</v>
      </c>
      <c r="AG22" s="112">
        <f>Q$150</f>
        <v>50393</v>
      </c>
      <c r="AH22" s="112">
        <f>Q$171</f>
        <v>72146</v>
      </c>
      <c r="AI22" s="112">
        <f>Q$192</f>
        <v>105068</v>
      </c>
      <c r="AJ22" s="112">
        <f>Q$213</f>
        <v>47420</v>
      </c>
      <c r="AK22" s="112">
        <f>Q$234</f>
        <v>52733</v>
      </c>
      <c r="AL22" s="112">
        <f>Q$255</f>
        <v>50314</v>
      </c>
      <c r="AM22" s="112">
        <f>Q$276</f>
        <v>109871</v>
      </c>
      <c r="AN22" s="112">
        <f>Q$297</f>
        <v>85042</v>
      </c>
      <c r="AO22" s="112">
        <f>Q$318</f>
        <v>53202</v>
      </c>
      <c r="AP22" s="112">
        <f>Q$339</f>
        <v>36606</v>
      </c>
      <c r="AQ22" s="112">
        <f>Q$360</f>
        <v>38649</v>
      </c>
      <c r="AR22" s="112">
        <f>Q380</f>
        <v>23310</v>
      </c>
      <c r="AS22" s="112"/>
      <c r="AT22" s="112"/>
      <c r="AU22" s="112"/>
      <c r="AV22" s="112"/>
      <c r="AW22">
        <v>2017</v>
      </c>
      <c r="AX22">
        <f>J343</f>
        <v>0.36454774557063097</v>
      </c>
      <c r="AY22">
        <f>K343</f>
        <v>0.26674211449633611</v>
      </c>
      <c r="AZ22">
        <f>L343</f>
        <v>0.36871013993303298</v>
      </c>
      <c r="BA22">
        <f t="shared" si="5"/>
        <v>0.63545225442936903</v>
      </c>
      <c r="BC22">
        <v>2017</v>
      </c>
      <c r="BD22">
        <f>J345</f>
        <v>0.47724243442784453</v>
      </c>
      <c r="BE22">
        <f>K345</f>
        <v>0.52275756557215547</v>
      </c>
    </row>
    <row r="23" spans="1:57" ht="28.8">
      <c r="A23" s="732"/>
      <c r="B23" s="732"/>
      <c r="C23" s="732"/>
      <c r="D23" s="420" t="s">
        <v>489</v>
      </c>
      <c r="E23" s="420" t="s">
        <v>494</v>
      </c>
      <c r="F23" s="732"/>
      <c r="G23" s="420" t="s">
        <v>492</v>
      </c>
      <c r="I23">
        <v>2002</v>
      </c>
      <c r="J23" t="s">
        <v>495</v>
      </c>
      <c r="K23" t="s">
        <v>496</v>
      </c>
      <c r="L23" t="s">
        <v>497</v>
      </c>
      <c r="O23" t="s">
        <v>180</v>
      </c>
      <c r="P23" s="49" t="s">
        <v>498</v>
      </c>
      <c r="Q23" s="49" t="s">
        <v>499</v>
      </c>
      <c r="R23" s="49" t="s">
        <v>500</v>
      </c>
      <c r="S23" t="s">
        <v>501</v>
      </c>
      <c r="T23" s="49" t="s">
        <v>502</v>
      </c>
      <c r="U23" s="49" t="s">
        <v>495</v>
      </c>
      <c r="Z23" s="49" t="s">
        <v>500</v>
      </c>
      <c r="AA23" s="112">
        <f>R$24</f>
        <v>245784</v>
      </c>
      <c r="AB23" s="112">
        <f>R$45</f>
        <v>216329</v>
      </c>
      <c r="AC23" s="112">
        <f>R$66</f>
        <v>283690</v>
      </c>
      <c r="AD23" s="112">
        <f>R$87</f>
        <v>234246</v>
      </c>
      <c r="AE23" s="112">
        <f>R$108</f>
        <v>319932</v>
      </c>
      <c r="AF23" s="112">
        <f>R$129</f>
        <v>248268</v>
      </c>
      <c r="AG23" s="112">
        <f>R$150</f>
        <v>329347</v>
      </c>
      <c r="AH23" s="112">
        <f>R$171</f>
        <v>423242</v>
      </c>
      <c r="AI23" s="112">
        <f>R$192</f>
        <v>429287</v>
      </c>
      <c r="AJ23" s="112">
        <f>R$213</f>
        <v>511316</v>
      </c>
      <c r="AK23" s="112">
        <f>R$234</f>
        <v>503336</v>
      </c>
      <c r="AL23" s="112">
        <f>R$255</f>
        <v>535880</v>
      </c>
      <c r="AM23" s="112">
        <f>R$276</f>
        <v>622431</v>
      </c>
      <c r="AN23" s="112">
        <f>R$297</f>
        <v>618367</v>
      </c>
      <c r="AO23" s="112">
        <f>R$318</f>
        <v>646546</v>
      </c>
      <c r="AP23" s="112">
        <f>R$339</f>
        <v>705123</v>
      </c>
      <c r="AQ23" s="112">
        <f>R$360</f>
        <v>592629</v>
      </c>
      <c r="AR23" s="112">
        <f>R380</f>
        <v>456633</v>
      </c>
      <c r="AS23" s="112"/>
      <c r="AT23" s="112"/>
      <c r="AU23" s="112"/>
      <c r="AV23" s="112"/>
      <c r="AW23">
        <v>2018</v>
      </c>
      <c r="AX23">
        <f>J364</f>
        <v>0.29811568451763243</v>
      </c>
      <c r="AY23">
        <f>K364</f>
        <v>0.26652593781269562</v>
      </c>
      <c r="AZ23">
        <f>L364</f>
        <v>0.43535837766967189</v>
      </c>
      <c r="BA23">
        <f t="shared" si="5"/>
        <v>0.70188431548236752</v>
      </c>
      <c r="BC23">
        <v>2018</v>
      </c>
      <c r="BD23">
        <f>J366</f>
        <v>0.60902623063100503</v>
      </c>
      <c r="BE23">
        <f>K366</f>
        <v>0.39097376936899497</v>
      </c>
    </row>
    <row r="24" spans="1:57" ht="28.8">
      <c r="A24" s="420" t="s">
        <v>503</v>
      </c>
      <c r="B24" s="420" t="s">
        <v>503</v>
      </c>
      <c r="C24" s="113">
        <v>31</v>
      </c>
      <c r="D24" s="113">
        <v>79412</v>
      </c>
      <c r="E24" s="113">
        <v>22922</v>
      </c>
      <c r="F24" s="113">
        <v>3.3799999999999997E-2</v>
      </c>
      <c r="G24" s="113">
        <v>9.7000000000000003E-3</v>
      </c>
      <c r="H24" t="s">
        <v>504</v>
      </c>
      <c r="I24" t="s">
        <v>495</v>
      </c>
      <c r="J24" s="114">
        <f>D33</f>
        <v>223826315</v>
      </c>
      <c r="K24" s="115">
        <f>D32</f>
        <v>9225312</v>
      </c>
      <c r="L24" s="116">
        <f>D34</f>
        <v>1665919</v>
      </c>
      <c r="M24" s="112">
        <f>SUM(J24:L24)</f>
        <v>234717546</v>
      </c>
      <c r="N24" s="230" t="s">
        <v>505</v>
      </c>
      <c r="O24">
        <v>2002</v>
      </c>
      <c r="P24" s="117">
        <f>L24</f>
        <v>1665919</v>
      </c>
      <c r="Q24" s="118">
        <f>L25</f>
        <v>34954</v>
      </c>
      <c r="R24" s="119">
        <f>SUM(J26:L26)</f>
        <v>245784</v>
      </c>
      <c r="S24" s="120">
        <f>K24</f>
        <v>9225312</v>
      </c>
      <c r="T24" s="121">
        <f>SUM(J25:K25)</f>
        <v>144961</v>
      </c>
      <c r="U24" s="122">
        <f>J24</f>
        <v>223826315</v>
      </c>
      <c r="Z24" s="49" t="s">
        <v>473</v>
      </c>
      <c r="AA24" s="112">
        <f>S$24</f>
        <v>9225312</v>
      </c>
      <c r="AB24" s="112">
        <f>S$45</f>
        <v>10003110</v>
      </c>
      <c r="AC24" s="112">
        <f>S$66</f>
        <v>9389311</v>
      </c>
      <c r="AD24" s="112">
        <f>S$87</f>
        <v>9709431</v>
      </c>
      <c r="AE24" s="112">
        <f>S$108</f>
        <v>10191551</v>
      </c>
      <c r="AF24" s="112">
        <f>S$129</f>
        <v>10292408</v>
      </c>
      <c r="AG24" s="112">
        <f>S$150</f>
        <v>9795118</v>
      </c>
      <c r="AH24" s="112">
        <f>S$171</f>
        <v>9965813</v>
      </c>
      <c r="AI24" s="112">
        <f>S$192</f>
        <v>9823494</v>
      </c>
      <c r="AJ24" s="112">
        <f>S$213</f>
        <v>8794760</v>
      </c>
      <c r="AK24" s="112">
        <f>S$234</f>
        <v>9898266</v>
      </c>
      <c r="AL24" s="112">
        <f>S$255</f>
        <v>8543367</v>
      </c>
      <c r="AM24" s="112">
        <f>S$276</f>
        <v>7654608</v>
      </c>
      <c r="AN24" s="112">
        <f>S$297</f>
        <v>9631764</v>
      </c>
      <c r="AO24" s="112">
        <f>S$318</f>
        <v>8783829</v>
      </c>
      <c r="AP24" s="112">
        <f>S$339</f>
        <v>8379498</v>
      </c>
      <c r="AQ24" s="112">
        <f>S$360</f>
        <v>7663420</v>
      </c>
      <c r="AR24" s="112">
        <f>S380</f>
        <v>7798728</v>
      </c>
      <c r="AS24" s="112"/>
      <c r="AT24" s="112"/>
      <c r="AU24" s="112"/>
      <c r="AV24" s="112"/>
      <c r="AW24">
        <v>2019</v>
      </c>
      <c r="AX24">
        <f>J384</f>
        <v>0.36054555846817904</v>
      </c>
      <c r="AY24">
        <f>K384</f>
        <v>0.2002373897637709</v>
      </c>
      <c r="AZ24">
        <f>L384</f>
        <v>0.43921705176805004</v>
      </c>
      <c r="BA24">
        <f>AZ24+AY24</f>
        <v>0.63945444153182096</v>
      </c>
      <c r="BC24">
        <v>2019</v>
      </c>
      <c r="BD24">
        <f>J386</f>
        <v>0.75422652532179868</v>
      </c>
      <c r="BE24">
        <f>K386</f>
        <v>0.24577347467820138</v>
      </c>
    </row>
    <row r="25" spans="1:57" ht="28.8">
      <c r="A25" s="420"/>
      <c r="B25" s="420" t="s">
        <v>495</v>
      </c>
      <c r="C25" s="113">
        <v>22</v>
      </c>
      <c r="D25" s="113">
        <v>65549</v>
      </c>
      <c r="E25" s="113">
        <v>33051</v>
      </c>
      <c r="F25" s="113">
        <v>2.7900000000000001E-2</v>
      </c>
      <c r="G25" s="113">
        <v>1.4E-2</v>
      </c>
      <c r="I25" t="s">
        <v>496</v>
      </c>
      <c r="J25" s="123">
        <f>D25</f>
        <v>65549</v>
      </c>
      <c r="K25" s="124">
        <f>D24</f>
        <v>79412</v>
      </c>
      <c r="L25" s="125">
        <f>D26</f>
        <v>34954</v>
      </c>
      <c r="M25" s="112">
        <f t="shared" ref="M25:M26" si="7">SUM(J25:L25)</f>
        <v>179915</v>
      </c>
      <c r="N25">
        <f>K25/(K25+J25)</f>
        <v>0.54781630921420243</v>
      </c>
      <c r="Z25" s="49" t="s">
        <v>474</v>
      </c>
      <c r="AA25" s="112">
        <f>T$24</f>
        <v>144961</v>
      </c>
      <c r="AB25" s="112">
        <f>T$45</f>
        <v>112467</v>
      </c>
      <c r="AC25" s="112">
        <f>T$66</f>
        <v>127737</v>
      </c>
      <c r="AD25" s="112">
        <f>T$87</f>
        <v>143973</v>
      </c>
      <c r="AE25" s="112">
        <f>T$108</f>
        <v>198182</v>
      </c>
      <c r="AF25" s="112">
        <f>T$129</f>
        <v>103162</v>
      </c>
      <c r="AG25" s="112">
        <f>T$150</f>
        <v>140496</v>
      </c>
      <c r="AH25" s="112">
        <f>T$171</f>
        <v>214966</v>
      </c>
      <c r="AI25" s="112">
        <f>T$192</f>
        <v>146161</v>
      </c>
      <c r="AJ25" s="112">
        <f>T$213</f>
        <v>134826</v>
      </c>
      <c r="AK25" s="112">
        <f>T$234</f>
        <v>133314</v>
      </c>
      <c r="AL25" s="112">
        <f>T$255</f>
        <v>158816</v>
      </c>
      <c r="AM25" s="112">
        <f>T$276</f>
        <v>280398</v>
      </c>
      <c r="AN25" s="112">
        <f>T$297</f>
        <v>183638</v>
      </c>
      <c r="AO25" s="112">
        <f>T$318</f>
        <v>276375</v>
      </c>
      <c r="AP25" s="112">
        <f>T$339</f>
        <v>258837</v>
      </c>
      <c r="AQ25" s="112">
        <f>T$360</f>
        <v>259887</v>
      </c>
      <c r="AR25" s="112">
        <f>T380</f>
        <v>267714</v>
      </c>
    </row>
    <row r="26" spans="1:57" ht="14.7" thickBot="1">
      <c r="A26" s="420"/>
      <c r="B26" s="420" t="s">
        <v>506</v>
      </c>
      <c r="C26" s="113">
        <v>21</v>
      </c>
      <c r="D26" s="113">
        <v>34954</v>
      </c>
      <c r="E26" s="113">
        <v>9881</v>
      </c>
      <c r="F26" s="113">
        <v>1.49E-2</v>
      </c>
      <c r="G26" s="113">
        <v>4.1999999999999997E-3</v>
      </c>
      <c r="I26" t="s">
        <v>507</v>
      </c>
      <c r="J26" s="126">
        <f>D29</f>
        <v>111268</v>
      </c>
      <c r="K26" s="127">
        <f>D28</f>
        <v>46266</v>
      </c>
      <c r="L26" s="128">
        <f>D30</f>
        <v>88250</v>
      </c>
      <c r="M26" s="112">
        <f t="shared" si="7"/>
        <v>245784</v>
      </c>
      <c r="Z26" s="49" t="s">
        <v>495</v>
      </c>
      <c r="AA26" s="112">
        <f>U$24</f>
        <v>223826315</v>
      </c>
      <c r="AB26" s="112">
        <f>U$45</f>
        <v>225753999</v>
      </c>
      <c r="AC26" s="112">
        <f>U$66</f>
        <v>228869900</v>
      </c>
      <c r="AD26" s="112">
        <f>U$87</f>
        <v>231355077</v>
      </c>
      <c r="AE26" s="112">
        <f>U$108</f>
        <v>233515153</v>
      </c>
      <c r="AF26" s="112">
        <f>U$129</f>
        <v>235185658</v>
      </c>
      <c r="AG26" s="112">
        <f>U$150</f>
        <v>237586835</v>
      </c>
      <c r="AH26" s="112">
        <f>U$171</f>
        <v>239100324</v>
      </c>
      <c r="AI26" s="112">
        <f>U$192</f>
        <v>240974597</v>
      </c>
      <c r="AJ26" s="112">
        <f>U$213</f>
        <v>246212048</v>
      </c>
      <c r="AK26" s="112">
        <f>U$234</f>
        <v>247168338</v>
      </c>
      <c r="AL26" s="112">
        <f>U$255</f>
        <v>251167266</v>
      </c>
      <c r="AM26" s="112">
        <f>U$276</f>
        <v>254439952</v>
      </c>
      <c r="AN26" s="112">
        <f>U$297</f>
        <v>254994009</v>
      </c>
      <c r="AO26" s="112">
        <f>U$318</f>
        <v>257491202</v>
      </c>
      <c r="AP26" s="112">
        <f>U$339</f>
        <v>260918554</v>
      </c>
      <c r="AQ26" s="112">
        <f>U$360</f>
        <v>263415756</v>
      </c>
      <c r="AR26" s="112">
        <f>U380</f>
        <v>265093638</v>
      </c>
    </row>
    <row r="27" spans="1:57">
      <c r="A27" s="420"/>
      <c r="B27" s="420" t="s">
        <v>250</v>
      </c>
      <c r="C27" s="113">
        <v>74</v>
      </c>
      <c r="D27" s="113">
        <v>179916</v>
      </c>
      <c r="E27" s="113">
        <v>39925</v>
      </c>
      <c r="F27" s="113">
        <v>7.6499999999999999E-2</v>
      </c>
      <c r="G27" s="113">
        <v>1.6899999999999998E-2</v>
      </c>
      <c r="J27" s="92">
        <f>SUM(J24:J26)</f>
        <v>224003132</v>
      </c>
      <c r="K27" s="92">
        <f>SUM(K24:K26)</f>
        <v>9350990</v>
      </c>
      <c r="L27" s="92">
        <f>SUM(L24:L26)</f>
        <v>1789123</v>
      </c>
      <c r="Z27" s="49"/>
      <c r="AA27" s="112"/>
      <c r="AB27" s="112"/>
      <c r="AC27" s="112"/>
      <c r="AD27" s="112"/>
      <c r="AE27" s="112"/>
      <c r="AF27" s="112"/>
      <c r="AG27" s="112"/>
      <c r="AH27" s="112"/>
      <c r="AI27" s="112"/>
      <c r="AJ27" s="112"/>
      <c r="AK27" s="112"/>
      <c r="AL27" s="112"/>
      <c r="AM27" s="112"/>
      <c r="AN27" s="112"/>
      <c r="AO27" s="112"/>
      <c r="AP27" s="112"/>
      <c r="AQ27" s="112"/>
      <c r="AR27" s="112"/>
    </row>
    <row r="28" spans="1:57">
      <c r="A28" s="420" t="s">
        <v>500</v>
      </c>
      <c r="B28" s="420" t="s">
        <v>503</v>
      </c>
      <c r="C28" s="113">
        <v>21</v>
      </c>
      <c r="D28" s="113">
        <v>46266</v>
      </c>
      <c r="E28" s="113">
        <v>17519</v>
      </c>
      <c r="F28" s="113">
        <v>1.9699999999999999E-2</v>
      </c>
      <c r="G28" s="113">
        <v>7.4000000000000003E-3</v>
      </c>
      <c r="J28">
        <f>J26/(J26+K26+L26)</f>
        <v>0.45270644142824595</v>
      </c>
      <c r="K28">
        <f>K26/(K26+J26+L26)</f>
        <v>0.18823845327604727</v>
      </c>
      <c r="L28">
        <f>L26/(K26+L26+J26)</f>
        <v>0.35905510529570678</v>
      </c>
    </row>
    <row r="29" spans="1:57">
      <c r="A29" s="420"/>
      <c r="B29" s="420" t="s">
        <v>495</v>
      </c>
      <c r="C29" s="113">
        <v>24</v>
      </c>
      <c r="D29" s="113">
        <v>111268</v>
      </c>
      <c r="E29" s="113">
        <v>34105</v>
      </c>
      <c r="F29" s="113">
        <v>4.7300000000000002E-2</v>
      </c>
      <c r="G29" s="113">
        <v>1.46E-2</v>
      </c>
    </row>
    <row r="30" spans="1:57">
      <c r="A30" s="420"/>
      <c r="B30" s="420" t="s">
        <v>506</v>
      </c>
      <c r="C30" s="113">
        <v>18</v>
      </c>
      <c r="D30" s="113">
        <v>88250</v>
      </c>
      <c r="E30" s="113">
        <v>40658</v>
      </c>
      <c r="F30" s="113">
        <v>3.7499999999999999E-2</v>
      </c>
      <c r="G30" s="113">
        <v>1.7299999999999999E-2</v>
      </c>
      <c r="J30">
        <f>J25/(J25+K25)</f>
        <v>0.45218369078579757</v>
      </c>
      <c r="K30">
        <f>K25/(K25+J25)</f>
        <v>0.54781630921420243</v>
      </c>
      <c r="AA30" s="251"/>
      <c r="AB30" s="251"/>
      <c r="AC30" s="251"/>
      <c r="AD30" s="251"/>
      <c r="AE30" s="251"/>
      <c r="AF30" s="251"/>
      <c r="AG30" s="251"/>
      <c r="AH30" s="251"/>
      <c r="AI30" s="251"/>
      <c r="AJ30" s="251"/>
      <c r="AK30" s="251"/>
      <c r="AL30" s="251"/>
      <c r="AM30" s="251"/>
      <c r="AN30" s="251"/>
      <c r="AO30" s="251"/>
      <c r="AP30" s="251"/>
      <c r="AQ30" s="251"/>
      <c r="AR30" s="251"/>
    </row>
    <row r="31" spans="1:57">
      <c r="A31" s="420"/>
      <c r="B31" s="420" t="s">
        <v>250</v>
      </c>
      <c r="C31" s="113">
        <v>63</v>
      </c>
      <c r="D31" s="113">
        <v>245784</v>
      </c>
      <c r="E31" s="113">
        <v>50090</v>
      </c>
      <c r="F31" s="113">
        <v>0.1045</v>
      </c>
      <c r="G31" s="113">
        <v>2.1299999999999999E-2</v>
      </c>
      <c r="AA31" s="251"/>
      <c r="AB31" s="251"/>
      <c r="AC31" s="251"/>
      <c r="AD31" s="251"/>
      <c r="AE31" s="251"/>
      <c r="AF31" s="251"/>
      <c r="AG31" s="251"/>
      <c r="AH31" s="251"/>
      <c r="AI31" s="251"/>
      <c r="AJ31" s="251"/>
      <c r="AK31" s="251"/>
      <c r="AL31" s="251"/>
      <c r="AM31" s="251"/>
      <c r="AN31" s="251"/>
      <c r="AO31" s="251"/>
      <c r="AP31" s="251"/>
      <c r="AQ31" s="251"/>
      <c r="AR31" s="251"/>
    </row>
    <row r="32" spans="1:57">
      <c r="A32" s="420" t="s">
        <v>495</v>
      </c>
      <c r="B32" s="420" t="s">
        <v>503</v>
      </c>
      <c r="C32" s="113">
        <v>3359</v>
      </c>
      <c r="D32" s="113">
        <v>9225312</v>
      </c>
      <c r="E32" s="113">
        <v>331319</v>
      </c>
      <c r="F32" s="113">
        <v>3.9232999999999998</v>
      </c>
      <c r="G32" s="113">
        <v>0.12870000000000001</v>
      </c>
      <c r="I32">
        <v>2002</v>
      </c>
      <c r="J32" t="s">
        <v>495</v>
      </c>
      <c r="K32" t="s">
        <v>496</v>
      </c>
      <c r="L32" t="s">
        <v>497</v>
      </c>
      <c r="N32" t="s">
        <v>500</v>
      </c>
      <c r="O32" s="112">
        <f>SUM(J35:L35)</f>
        <v>63</v>
      </c>
      <c r="Z32" s="251"/>
      <c r="AA32" s="251"/>
      <c r="AB32" s="251"/>
      <c r="AC32" s="251"/>
      <c r="AD32" s="251"/>
      <c r="AE32" s="251"/>
      <c r="AF32" s="251"/>
      <c r="AG32" s="251"/>
      <c r="AH32" s="251"/>
      <c r="AI32" s="251"/>
      <c r="AJ32" s="251"/>
      <c r="AK32" s="251"/>
      <c r="AL32" s="251"/>
      <c r="AM32" s="251"/>
      <c r="AN32" s="251"/>
      <c r="AO32" s="251"/>
      <c r="AP32" s="251"/>
      <c r="AQ32" s="251"/>
      <c r="AR32" s="251"/>
    </row>
    <row r="33" spans="1:44">
      <c r="A33" s="420"/>
      <c r="B33" s="420" t="s">
        <v>495</v>
      </c>
      <c r="C33" s="113">
        <v>50018</v>
      </c>
      <c r="D33" s="113">
        <v>223826315</v>
      </c>
      <c r="E33" s="113">
        <v>2114794</v>
      </c>
      <c r="F33" s="113">
        <v>95.187200000000004</v>
      </c>
      <c r="G33" s="113">
        <v>0.14910000000000001</v>
      </c>
      <c r="I33" t="s">
        <v>495</v>
      </c>
      <c r="J33" s="114">
        <f>C33</f>
        <v>50018</v>
      </c>
      <c r="K33" s="115">
        <f>C32</f>
        <v>3359</v>
      </c>
      <c r="L33" s="116">
        <f>C34</f>
        <v>565</v>
      </c>
      <c r="N33" t="s">
        <v>508</v>
      </c>
      <c r="O33" s="112">
        <f>L34</f>
        <v>21</v>
      </c>
      <c r="Z33" s="252"/>
      <c r="AA33" s="251"/>
      <c r="AB33" s="251"/>
      <c r="AC33" s="251"/>
      <c r="AD33" s="251"/>
      <c r="AE33" s="251"/>
      <c r="AF33" s="251"/>
      <c r="AG33" s="251"/>
      <c r="AH33" s="251"/>
      <c r="AI33" s="251"/>
      <c r="AJ33" s="251"/>
      <c r="AK33" s="251"/>
      <c r="AL33" s="251"/>
      <c r="AM33" s="251"/>
      <c r="AN33" s="251"/>
      <c r="AO33" s="251"/>
      <c r="AP33" s="251"/>
      <c r="AQ33" s="251"/>
      <c r="AR33" s="251"/>
    </row>
    <row r="34" spans="1:44">
      <c r="A34" s="420"/>
      <c r="B34" s="420" t="s">
        <v>506</v>
      </c>
      <c r="C34" s="113">
        <v>565</v>
      </c>
      <c r="D34" s="113">
        <v>1665919</v>
      </c>
      <c r="E34" s="113">
        <v>130673</v>
      </c>
      <c r="F34" s="113">
        <v>0.70850000000000002</v>
      </c>
      <c r="G34" s="113">
        <v>5.5E-2</v>
      </c>
      <c r="I34" t="s">
        <v>496</v>
      </c>
      <c r="J34" s="123">
        <f>C25</f>
        <v>22</v>
      </c>
      <c r="K34" s="124">
        <f>C24</f>
        <v>31</v>
      </c>
      <c r="L34" s="125">
        <f>C26</f>
        <v>21</v>
      </c>
      <c r="N34" t="s">
        <v>509</v>
      </c>
      <c r="O34" s="112">
        <f>L33</f>
        <v>565</v>
      </c>
      <c r="Z34" s="251"/>
      <c r="AA34" s="251"/>
      <c r="AB34" s="251"/>
      <c r="AC34" s="251"/>
      <c r="AD34" s="251"/>
      <c r="AE34" s="251"/>
      <c r="AF34" s="251"/>
      <c r="AG34" s="251"/>
      <c r="AH34" s="251"/>
      <c r="AI34" s="251"/>
      <c r="AJ34" s="251"/>
      <c r="AK34" s="251"/>
      <c r="AL34" s="251"/>
      <c r="AM34" s="251"/>
      <c r="AN34" s="251"/>
      <c r="AO34" s="251"/>
      <c r="AP34" s="251"/>
      <c r="AQ34" s="251"/>
      <c r="AR34" s="251"/>
    </row>
    <row r="35" spans="1:44">
      <c r="A35" s="420"/>
      <c r="B35" s="420" t="s">
        <v>250</v>
      </c>
      <c r="C35" s="113">
        <v>53942</v>
      </c>
      <c r="D35" s="113">
        <v>234717546</v>
      </c>
      <c r="E35" s="113">
        <v>2253428</v>
      </c>
      <c r="F35" s="113">
        <v>99.819000000000003</v>
      </c>
      <c r="G35" s="113">
        <v>2.6100000000000002E-2</v>
      </c>
      <c r="I35" t="s">
        <v>507</v>
      </c>
      <c r="J35" s="126">
        <f>C29</f>
        <v>24</v>
      </c>
      <c r="K35" s="127">
        <f>C28</f>
        <v>21</v>
      </c>
      <c r="L35" s="128">
        <f>C30</f>
        <v>18</v>
      </c>
      <c r="N35" t="s">
        <v>510</v>
      </c>
      <c r="O35" s="112">
        <f>SUM(J34:K34)</f>
        <v>53</v>
      </c>
      <c r="Z35" s="251"/>
      <c r="AA35" s="251"/>
      <c r="AB35" s="252"/>
      <c r="AC35" s="251"/>
      <c r="AD35" s="251"/>
      <c r="AE35" s="252"/>
      <c r="AF35" s="252"/>
      <c r="AG35" s="251"/>
      <c r="AH35" s="251"/>
      <c r="AI35" s="251"/>
      <c r="AJ35" s="251"/>
      <c r="AK35" s="251"/>
      <c r="AL35" s="251"/>
      <c r="AM35" s="251"/>
      <c r="AN35" s="251"/>
      <c r="AO35" s="251"/>
      <c r="AP35" s="251"/>
      <c r="AQ35" s="251"/>
      <c r="AR35" s="251"/>
    </row>
    <row r="36" spans="1:44">
      <c r="A36" s="420" t="s">
        <v>250</v>
      </c>
      <c r="B36" s="420" t="s">
        <v>503</v>
      </c>
      <c r="C36" s="113">
        <v>3411</v>
      </c>
      <c r="D36" s="113">
        <v>9350990</v>
      </c>
      <c r="E36" s="113">
        <v>340398</v>
      </c>
      <c r="F36" s="113">
        <v>3.9767000000000001</v>
      </c>
      <c r="G36" s="113">
        <v>0.13189999999999999</v>
      </c>
      <c r="N36" t="s">
        <v>511</v>
      </c>
      <c r="O36" s="112">
        <f>K33</f>
        <v>3359</v>
      </c>
      <c r="Z36" s="252"/>
      <c r="AA36" s="251"/>
    </row>
    <row r="37" spans="1:44">
      <c r="A37" s="420"/>
      <c r="B37" s="420" t="s">
        <v>495</v>
      </c>
      <c r="C37" s="113">
        <v>50064</v>
      </c>
      <c r="D37" s="113">
        <v>224003133</v>
      </c>
      <c r="E37" s="113">
        <v>2113419</v>
      </c>
      <c r="F37" s="113">
        <v>95.2624</v>
      </c>
      <c r="G37" s="113">
        <v>0.1482</v>
      </c>
      <c r="Z37" s="252"/>
      <c r="AA37" s="251"/>
    </row>
    <row r="38" spans="1:44">
      <c r="A38" s="420"/>
      <c r="B38" s="420" t="s">
        <v>506</v>
      </c>
      <c r="C38" s="113">
        <v>604</v>
      </c>
      <c r="D38" s="113">
        <v>1789123</v>
      </c>
      <c r="E38" s="113">
        <v>140479</v>
      </c>
      <c r="F38" s="113">
        <v>0.76090000000000002</v>
      </c>
      <c r="G38" s="113">
        <v>5.91E-2</v>
      </c>
      <c r="Z38" s="251"/>
      <c r="AA38" s="251"/>
    </row>
    <row r="39" spans="1:44">
      <c r="A39" s="420"/>
      <c r="B39" s="420" t="s">
        <v>250</v>
      </c>
      <c r="C39" s="113">
        <v>54079</v>
      </c>
      <c r="D39" s="113">
        <v>235143245</v>
      </c>
      <c r="E39" s="113">
        <v>2260582</v>
      </c>
      <c r="F39" s="113">
        <v>100</v>
      </c>
      <c r="G39" s="113"/>
      <c r="Z39" s="251"/>
      <c r="AA39" s="251"/>
    </row>
    <row r="40" spans="1:44">
      <c r="A40" s="129"/>
      <c r="Z40" s="251"/>
      <c r="AA40" s="251"/>
    </row>
    <row r="41" spans="1:44">
      <c r="A41" s="732" t="s">
        <v>484</v>
      </c>
      <c r="B41" s="732"/>
      <c r="C41" s="732"/>
      <c r="D41" s="732"/>
      <c r="E41" s="732"/>
      <c r="F41" s="732"/>
      <c r="G41" s="732"/>
      <c r="Z41" s="251"/>
      <c r="AA41" s="251"/>
    </row>
    <row r="42" spans="1:44">
      <c r="A42" s="732" t="s">
        <v>512</v>
      </c>
      <c r="B42" s="732"/>
      <c r="C42" s="732"/>
      <c r="D42" s="732"/>
      <c r="E42" s="732"/>
      <c r="F42" s="732"/>
      <c r="G42" s="732"/>
      <c r="Z42" s="251"/>
      <c r="AA42" s="251"/>
    </row>
    <row r="43" spans="1:44">
      <c r="A43" s="732" t="s">
        <v>487</v>
      </c>
      <c r="B43" s="732" t="s">
        <v>488</v>
      </c>
      <c r="C43" s="732" t="s">
        <v>489</v>
      </c>
      <c r="D43" s="420" t="s">
        <v>490</v>
      </c>
      <c r="E43" s="420" t="s">
        <v>491</v>
      </c>
      <c r="F43" s="732" t="s">
        <v>492</v>
      </c>
      <c r="G43" s="420" t="s">
        <v>491</v>
      </c>
      <c r="J43" t="s">
        <v>493</v>
      </c>
      <c r="Z43" s="251"/>
      <c r="AA43" s="251"/>
    </row>
    <row r="44" spans="1:44" ht="29.1" thickBot="1">
      <c r="A44" s="732"/>
      <c r="B44" s="732"/>
      <c r="C44" s="732"/>
      <c r="D44" s="420" t="s">
        <v>489</v>
      </c>
      <c r="E44" s="420" t="s">
        <v>494</v>
      </c>
      <c r="F44" s="732"/>
      <c r="G44" s="420" t="s">
        <v>492</v>
      </c>
      <c r="I44">
        <v>2003</v>
      </c>
      <c r="J44" t="s">
        <v>495</v>
      </c>
      <c r="K44" t="s">
        <v>496</v>
      </c>
      <c r="L44" t="s">
        <v>497</v>
      </c>
      <c r="P44" s="49" t="s">
        <v>498</v>
      </c>
      <c r="Q44" s="49" t="s">
        <v>499</v>
      </c>
      <c r="R44" s="49" t="s">
        <v>500</v>
      </c>
      <c r="S44" t="s">
        <v>501</v>
      </c>
      <c r="T44" s="49" t="s">
        <v>502</v>
      </c>
      <c r="U44" s="49" t="s">
        <v>495</v>
      </c>
      <c r="Z44" s="251"/>
      <c r="AA44" s="251"/>
    </row>
    <row r="45" spans="1:44" ht="28.8">
      <c r="A45" s="420" t="s">
        <v>503</v>
      </c>
      <c r="B45" s="420" t="s">
        <v>503</v>
      </c>
      <c r="C45" s="113">
        <v>28</v>
      </c>
      <c r="D45" s="113">
        <v>41975</v>
      </c>
      <c r="E45" s="113">
        <v>10865</v>
      </c>
      <c r="F45" s="113">
        <v>1.77E-2</v>
      </c>
      <c r="G45" s="113">
        <v>4.5999999999999999E-3</v>
      </c>
      <c r="H45" t="s">
        <v>504</v>
      </c>
      <c r="I45" t="s">
        <v>495</v>
      </c>
      <c r="J45" s="114">
        <f>D54</f>
        <v>225753999</v>
      </c>
      <c r="K45" s="115">
        <f>D53</f>
        <v>10003110</v>
      </c>
      <c r="L45" s="116">
        <f>D55</f>
        <v>1578238</v>
      </c>
      <c r="M45" s="112">
        <f>SUM(J45:L45)</f>
        <v>237335347</v>
      </c>
      <c r="N45" s="230" t="s">
        <v>505</v>
      </c>
      <c r="P45" s="117">
        <f>L45</f>
        <v>1578238</v>
      </c>
      <c r="Q45" s="118">
        <f>L46</f>
        <v>17866</v>
      </c>
      <c r="R45" s="119">
        <f>SUM(J47:L47)</f>
        <v>216329</v>
      </c>
      <c r="S45" s="120">
        <f>K45</f>
        <v>10003110</v>
      </c>
      <c r="T45" s="121">
        <f>SUM(J46:K46)</f>
        <v>112467</v>
      </c>
      <c r="U45" s="122">
        <f>J45</f>
        <v>225753999</v>
      </c>
      <c r="Z45" s="251"/>
      <c r="AA45" s="251"/>
    </row>
    <row r="46" spans="1:44">
      <c r="A46" s="420"/>
      <c r="B46" s="420" t="s">
        <v>495</v>
      </c>
      <c r="C46" s="113">
        <v>34</v>
      </c>
      <c r="D46" s="113">
        <v>70492</v>
      </c>
      <c r="E46" s="113">
        <v>19193</v>
      </c>
      <c r="F46" s="113">
        <v>2.9700000000000001E-2</v>
      </c>
      <c r="G46" s="113">
        <v>8.0000000000000002E-3</v>
      </c>
      <c r="I46" t="s">
        <v>496</v>
      </c>
      <c r="J46" s="123">
        <f>D46</f>
        <v>70492</v>
      </c>
      <c r="K46" s="124">
        <f>D45</f>
        <v>41975</v>
      </c>
      <c r="L46" s="125">
        <f>D47</f>
        <v>17866</v>
      </c>
      <c r="M46" s="112">
        <f t="shared" ref="M46:M47" si="8">SUM(J46:L46)</f>
        <v>130333</v>
      </c>
      <c r="N46">
        <f>K46/(K46+J46)</f>
        <v>0.37322058915059531</v>
      </c>
      <c r="Z46" s="251"/>
      <c r="AA46" s="251"/>
    </row>
    <row r="47" spans="1:44" ht="14.7" thickBot="1">
      <c r="A47" s="420"/>
      <c r="B47" s="420" t="s">
        <v>506</v>
      </c>
      <c r="C47" s="113">
        <v>14</v>
      </c>
      <c r="D47" s="113">
        <v>17866</v>
      </c>
      <c r="E47" s="113">
        <v>6476</v>
      </c>
      <c r="F47" s="113">
        <v>7.4999999999999997E-3</v>
      </c>
      <c r="G47" s="113">
        <v>2.7000000000000001E-3</v>
      </c>
      <c r="I47" t="s">
        <v>507</v>
      </c>
      <c r="J47" s="126">
        <f>D50</f>
        <v>109307</v>
      </c>
      <c r="K47" s="127">
        <f>D49</f>
        <v>40401</v>
      </c>
      <c r="L47" s="128">
        <f>D51</f>
        <v>66621</v>
      </c>
      <c r="M47" s="112">
        <f t="shared" si="8"/>
        <v>216329</v>
      </c>
      <c r="Z47" s="251"/>
      <c r="AA47" s="251"/>
    </row>
    <row r="48" spans="1:44">
      <c r="A48" s="420"/>
      <c r="B48" s="420" t="s">
        <v>250</v>
      </c>
      <c r="C48" s="113">
        <v>76</v>
      </c>
      <c r="D48" s="113">
        <v>130333</v>
      </c>
      <c r="E48" s="113">
        <v>22543</v>
      </c>
      <c r="F48" s="113">
        <v>5.4800000000000001E-2</v>
      </c>
      <c r="G48" s="113">
        <v>9.4000000000000004E-3</v>
      </c>
      <c r="J48" s="92">
        <f>SUM(J45:J47)</f>
        <v>225933798</v>
      </c>
      <c r="K48" s="92">
        <f>SUM(K45:K47)</f>
        <v>10085486</v>
      </c>
      <c r="L48" s="92">
        <f>SUM(L45:L47)</f>
        <v>1662725</v>
      </c>
      <c r="Z48" s="251"/>
      <c r="AA48" s="251"/>
    </row>
    <row r="49" spans="1:43">
      <c r="A49" s="420" t="s">
        <v>500</v>
      </c>
      <c r="B49" s="420" t="s">
        <v>503</v>
      </c>
      <c r="C49" s="113">
        <v>14</v>
      </c>
      <c r="D49" s="113">
        <v>40401</v>
      </c>
      <c r="E49" s="113">
        <v>20785</v>
      </c>
      <c r="F49" s="113">
        <v>1.7000000000000001E-2</v>
      </c>
      <c r="G49" s="113">
        <v>8.8000000000000005E-3</v>
      </c>
      <c r="J49">
        <f>J47/(J47+K47+L47)</f>
        <v>0.50528130763790335</v>
      </c>
      <c r="K49">
        <f>K47/(K47+J47+L47)</f>
        <v>0.18675720777149618</v>
      </c>
      <c r="L49">
        <f>L47/(K47+L47+J47)</f>
        <v>0.30796148459060041</v>
      </c>
      <c r="Z49" s="251"/>
    </row>
    <row r="50" spans="1:43">
      <c r="A50" s="420"/>
      <c r="B50" s="420" t="s">
        <v>495</v>
      </c>
      <c r="C50" s="113">
        <v>26</v>
      </c>
      <c r="D50" s="113">
        <v>109307</v>
      </c>
      <c r="E50" s="113">
        <v>27970</v>
      </c>
      <c r="F50" s="113">
        <v>4.5999999999999999E-2</v>
      </c>
      <c r="G50" s="113">
        <v>1.18E-2</v>
      </c>
    </row>
    <row r="51" spans="1:43">
      <c r="A51" s="420"/>
      <c r="B51" s="420" t="s">
        <v>506</v>
      </c>
      <c r="C51" s="113">
        <v>21</v>
      </c>
      <c r="D51" s="113">
        <v>66621</v>
      </c>
      <c r="E51" s="113">
        <v>22671</v>
      </c>
      <c r="F51" s="113">
        <v>2.8000000000000001E-2</v>
      </c>
      <c r="G51" s="113">
        <v>9.5999999999999992E-3</v>
      </c>
      <c r="J51">
        <f>J46/(J46+K46)</f>
        <v>0.62677941084940469</v>
      </c>
      <c r="K51">
        <f>K46/(K46+J46)</f>
        <v>0.37322058915059531</v>
      </c>
    </row>
    <row r="52" spans="1:43">
      <c r="A52" s="420"/>
      <c r="B52" s="420" t="s">
        <v>250</v>
      </c>
      <c r="C52" s="113">
        <v>61</v>
      </c>
      <c r="D52" s="113">
        <v>216329</v>
      </c>
      <c r="E52" s="113">
        <v>48471</v>
      </c>
      <c r="F52" s="113">
        <v>9.0999999999999998E-2</v>
      </c>
      <c r="G52" s="113">
        <v>2.0500000000000001E-2</v>
      </c>
    </row>
    <row r="53" spans="1:43">
      <c r="A53" s="420" t="s">
        <v>495</v>
      </c>
      <c r="B53" s="420" t="s">
        <v>503</v>
      </c>
      <c r="C53" s="113">
        <v>3608</v>
      </c>
      <c r="D53" s="113">
        <v>10003110</v>
      </c>
      <c r="E53" s="113">
        <v>306323</v>
      </c>
      <c r="F53" s="113">
        <v>4.2085999999999997</v>
      </c>
      <c r="G53" s="113">
        <v>0.12959999999999999</v>
      </c>
    </row>
    <row r="54" spans="1:43">
      <c r="A54" s="420"/>
      <c r="B54" s="420" t="s">
        <v>495</v>
      </c>
      <c r="C54" s="113">
        <v>50883</v>
      </c>
      <c r="D54" s="113">
        <v>225753999</v>
      </c>
      <c r="E54" s="113">
        <v>2346756</v>
      </c>
      <c r="F54" s="113">
        <v>94.981499999999997</v>
      </c>
      <c r="G54" s="113">
        <v>0.14099999999999999</v>
      </c>
    </row>
    <row r="55" spans="1:43">
      <c r="A55" s="420"/>
      <c r="B55" s="420" t="s">
        <v>506</v>
      </c>
      <c r="C55" s="113">
        <v>602</v>
      </c>
      <c r="D55" s="113">
        <v>1578238</v>
      </c>
      <c r="E55" s="113">
        <v>106465</v>
      </c>
      <c r="F55" s="113">
        <v>0.66400000000000003</v>
      </c>
      <c r="G55" s="113">
        <v>4.5199999999999997E-2</v>
      </c>
      <c r="AA55">
        <v>2002</v>
      </c>
      <c r="AB55">
        <v>2003</v>
      </c>
      <c r="AC55">
        <v>2004</v>
      </c>
      <c r="AD55">
        <v>2005</v>
      </c>
      <c r="AE55">
        <v>2006</v>
      </c>
      <c r="AF55">
        <v>2007</v>
      </c>
      <c r="AG55">
        <v>2008</v>
      </c>
      <c r="AH55">
        <v>2009</v>
      </c>
      <c r="AI55">
        <v>2010</v>
      </c>
      <c r="AJ55">
        <v>2011</v>
      </c>
      <c r="AK55">
        <v>2012</v>
      </c>
      <c r="AL55">
        <v>2013</v>
      </c>
      <c r="AM55">
        <v>2014</v>
      </c>
      <c r="AN55">
        <v>2015</v>
      </c>
      <c r="AO55">
        <v>2016</v>
      </c>
      <c r="AP55">
        <v>2017</v>
      </c>
      <c r="AQ55">
        <v>2018</v>
      </c>
    </row>
    <row r="56" spans="1:43">
      <c r="A56" s="420"/>
      <c r="B56" s="420" t="s">
        <v>250</v>
      </c>
      <c r="C56" s="113">
        <v>55093</v>
      </c>
      <c r="D56" s="113">
        <v>237335347</v>
      </c>
      <c r="E56" s="113">
        <v>2370049</v>
      </c>
      <c r="F56" s="113">
        <v>99.854100000000003</v>
      </c>
      <c r="G56" s="113">
        <v>2.18E-2</v>
      </c>
      <c r="Z56" t="s">
        <v>513</v>
      </c>
      <c r="AA56" s="112">
        <f>$K$25</f>
        <v>79412</v>
      </c>
      <c r="AB56" s="112">
        <f>$K$46</f>
        <v>41975</v>
      </c>
      <c r="AC56" s="112">
        <f>$K$67</f>
        <v>49995</v>
      </c>
      <c r="AD56" s="112">
        <f>$K$88</f>
        <v>70230</v>
      </c>
      <c r="AE56" s="112">
        <f>$K$109</f>
        <v>114557</v>
      </c>
      <c r="AF56" s="112">
        <f>$K$130</f>
        <v>74444</v>
      </c>
      <c r="AG56" s="112">
        <f>$K$151</f>
        <v>59619</v>
      </c>
      <c r="AH56" s="112">
        <f>$K$172</f>
        <v>145500</v>
      </c>
      <c r="AI56" s="112">
        <f>$K$193</f>
        <v>69489</v>
      </c>
      <c r="AJ56" s="112">
        <f>$K$214</f>
        <v>63488</v>
      </c>
      <c r="AK56" s="112">
        <f>$K$235</f>
        <v>64540</v>
      </c>
      <c r="AL56" s="112">
        <f>$K$256</f>
        <v>111182</v>
      </c>
      <c r="AM56" s="112">
        <f>$K$277</f>
        <v>127596</v>
      </c>
      <c r="AN56" s="112">
        <f>$K$298</f>
        <v>108426</v>
      </c>
      <c r="AO56" s="112">
        <f>$K$319</f>
        <v>97052</v>
      </c>
      <c r="AP56" s="112">
        <f>$K$340</f>
        <v>135309</v>
      </c>
      <c r="AQ56" s="112">
        <f>$K$361</f>
        <v>101609</v>
      </c>
    </row>
    <row r="57" spans="1:43">
      <c r="A57" s="420" t="s">
        <v>250</v>
      </c>
      <c r="B57" s="420" t="s">
        <v>503</v>
      </c>
      <c r="C57" s="113">
        <v>3650</v>
      </c>
      <c r="D57" s="113">
        <v>10085486</v>
      </c>
      <c r="E57" s="113">
        <v>307565</v>
      </c>
      <c r="F57" s="113">
        <v>4.2432999999999996</v>
      </c>
      <c r="G57" s="113">
        <v>0.13039999999999999</v>
      </c>
      <c r="Z57" t="s">
        <v>514</v>
      </c>
      <c r="AA57" s="112">
        <f>$J25</f>
        <v>65549</v>
      </c>
      <c r="AB57" s="112">
        <f>$J$46</f>
        <v>70492</v>
      </c>
      <c r="AC57" s="112">
        <f>$J$67</f>
        <v>77742</v>
      </c>
      <c r="AD57" s="112">
        <f>$J$88</f>
        <v>73743</v>
      </c>
      <c r="AE57" s="112">
        <f>$J$109</f>
        <v>83625</v>
      </c>
      <c r="AF57" s="112">
        <f>$J$130</f>
        <v>28718</v>
      </c>
      <c r="AG57" s="112">
        <f>$J$151</f>
        <v>80877</v>
      </c>
      <c r="AH57" s="112">
        <f>$J$172</f>
        <v>69466</v>
      </c>
      <c r="AI57" s="112">
        <f>$J$193</f>
        <v>76672</v>
      </c>
      <c r="AJ57" s="112">
        <f>$J$214</f>
        <v>71338</v>
      </c>
      <c r="AK57" s="112">
        <f>$J$235</f>
        <v>68774</v>
      </c>
      <c r="AL57" s="112">
        <f>$J$256</f>
        <v>47634</v>
      </c>
      <c r="AM57" s="112">
        <f>$J$277</f>
        <v>152802</v>
      </c>
      <c r="AN57" s="112">
        <f>$J$298</f>
        <v>75212</v>
      </c>
      <c r="AO57" s="112">
        <f>$J$319</f>
        <v>179323</v>
      </c>
      <c r="AP57" s="112">
        <f>$J$340</f>
        <v>123528</v>
      </c>
      <c r="AQ57" s="112">
        <f>$J$361</f>
        <v>158278</v>
      </c>
    </row>
    <row r="58" spans="1:43">
      <c r="A58" s="420"/>
      <c r="B58" s="420" t="s">
        <v>495</v>
      </c>
      <c r="C58" s="113">
        <v>50943</v>
      </c>
      <c r="D58" s="113">
        <v>225933798</v>
      </c>
      <c r="E58" s="113">
        <v>2348141</v>
      </c>
      <c r="F58" s="113">
        <v>95.057199999999995</v>
      </c>
      <c r="G58" s="113">
        <v>0.14099999999999999</v>
      </c>
      <c r="Z58" t="s">
        <v>515</v>
      </c>
      <c r="AA58" s="112">
        <f>SUM($K26:$L26)</f>
        <v>134516</v>
      </c>
      <c r="AB58" s="112">
        <f>SUM($K47:$L47)</f>
        <v>107022</v>
      </c>
      <c r="AC58" s="112">
        <f>SUM($K68:$L68)</f>
        <v>136253</v>
      </c>
      <c r="AD58" s="112">
        <f>SUM($K89:$L89)</f>
        <v>156677</v>
      </c>
      <c r="AE58" s="112">
        <f>SUM($K110:$L110)</f>
        <v>224422</v>
      </c>
      <c r="AF58" s="112">
        <f>SUM($K131:$L131)</f>
        <v>185160</v>
      </c>
      <c r="AG58" s="112">
        <f>SUM($K152:$L152)</f>
        <v>246465</v>
      </c>
      <c r="AH58" s="112">
        <f>SUM($K173:$L173)</f>
        <v>279956</v>
      </c>
      <c r="AI58" s="112">
        <f>SUM($K194:$L194)</f>
        <v>300354</v>
      </c>
      <c r="AJ58" s="112">
        <f>SUM($K215:$L215)</f>
        <v>365347</v>
      </c>
      <c r="AK58" s="112">
        <f>SUM($K236:$L236)</f>
        <v>390612</v>
      </c>
      <c r="AL58" s="112">
        <f>SUM($K257:$L257)</f>
        <v>425545</v>
      </c>
      <c r="AM58" s="112">
        <f>SUM($K278:$L278)</f>
        <v>413029</v>
      </c>
      <c r="AN58" s="112">
        <f>SUM($K299:$L299)</f>
        <v>453323</v>
      </c>
      <c r="AO58" s="112">
        <f>SUM($K320:$L320)</f>
        <v>493978</v>
      </c>
      <c r="AP58" s="112">
        <f>SUM($K341:$L341)</f>
        <v>448072</v>
      </c>
      <c r="AQ58" s="112">
        <f>SUM($K362:$L362)</f>
        <v>415957</v>
      </c>
    </row>
    <row r="59" spans="1:43">
      <c r="A59" s="420"/>
      <c r="B59" s="420" t="s">
        <v>506</v>
      </c>
      <c r="C59" s="113">
        <v>637</v>
      </c>
      <c r="D59" s="113">
        <v>1662725</v>
      </c>
      <c r="E59" s="113">
        <v>115831</v>
      </c>
      <c r="F59" s="113">
        <v>0.6996</v>
      </c>
      <c r="G59" s="113">
        <v>4.9299999999999997E-2</v>
      </c>
      <c r="Z59" t="s">
        <v>516</v>
      </c>
      <c r="AA59" s="112">
        <f>$J26</f>
        <v>111268</v>
      </c>
      <c r="AB59" s="112">
        <f>$J$47</f>
        <v>109307</v>
      </c>
      <c r="AC59" s="112">
        <f>$J$68</f>
        <v>147437</v>
      </c>
      <c r="AD59" s="112">
        <f>$J$89</f>
        <v>77569</v>
      </c>
      <c r="AE59" s="112">
        <f>$J$110</f>
        <v>95510</v>
      </c>
      <c r="AF59" s="112">
        <f>$J$131</f>
        <v>63108</v>
      </c>
      <c r="AG59" s="112">
        <f>$J$152</f>
        <v>82882</v>
      </c>
      <c r="AH59" s="112">
        <f>$J$173</f>
        <v>143286</v>
      </c>
      <c r="AI59" s="112">
        <f>$J$194</f>
        <v>128933</v>
      </c>
      <c r="AJ59" s="112">
        <f>$J$215</f>
        <v>145969</v>
      </c>
      <c r="AK59" s="112">
        <f>$J$236</f>
        <v>112724</v>
      </c>
      <c r="AL59" s="112">
        <f>$J$257</f>
        <v>110335</v>
      </c>
      <c r="AM59" s="112">
        <f>$J$278</f>
        <v>209402</v>
      </c>
      <c r="AN59" s="112">
        <f>$J$299</f>
        <v>165044</v>
      </c>
      <c r="AO59" s="112">
        <f>$J$320</f>
        <v>152568</v>
      </c>
      <c r="AP59" s="112">
        <f>$J$341</f>
        <v>257051</v>
      </c>
      <c r="AQ59" s="112">
        <f>$J$362</f>
        <v>176672</v>
      </c>
    </row>
    <row r="60" spans="1:43">
      <c r="A60" s="420"/>
      <c r="B60" s="420" t="s">
        <v>250</v>
      </c>
      <c r="C60" s="113">
        <v>55230</v>
      </c>
      <c r="D60" s="113">
        <v>237682009</v>
      </c>
      <c r="E60" s="113">
        <v>2367238</v>
      </c>
      <c r="F60" s="113">
        <v>100</v>
      </c>
      <c r="G60" s="113"/>
      <c r="Z60" t="s">
        <v>517</v>
      </c>
      <c r="AA60">
        <f>AA56/SUM(AA56:AA57)</f>
        <v>0.54781630921420243</v>
      </c>
      <c r="AB60">
        <f t="shared" ref="AB60:AQ60" si="9">AB56/SUM(AB56:AB57)</f>
        <v>0.37322058915059531</v>
      </c>
      <c r="AC60">
        <f t="shared" si="9"/>
        <v>0.39139012189107308</v>
      </c>
      <c r="AD60">
        <f t="shared" si="9"/>
        <v>0.4877997957950449</v>
      </c>
      <c r="AE60">
        <f t="shared" si="9"/>
        <v>0.57803937794552485</v>
      </c>
      <c r="AF60">
        <f t="shared" si="9"/>
        <v>0.72162230278590955</v>
      </c>
      <c r="AG60">
        <f t="shared" si="9"/>
        <v>0.42434660061496415</v>
      </c>
      <c r="AH60">
        <f t="shared" si="9"/>
        <v>0.67685122298409983</v>
      </c>
      <c r="AI60">
        <f t="shared" si="9"/>
        <v>0.47542778169279082</v>
      </c>
      <c r="AJ60">
        <f t="shared" si="9"/>
        <v>0.47088840431370804</v>
      </c>
      <c r="AK60">
        <f t="shared" si="9"/>
        <v>0.48412019742862716</v>
      </c>
      <c r="AL60">
        <f t="shared" si="9"/>
        <v>0.70006800322385654</v>
      </c>
      <c r="AM60">
        <f t="shared" si="9"/>
        <v>0.45505317441636534</v>
      </c>
      <c r="AN60">
        <f t="shared" si="9"/>
        <v>0.59043335257408602</v>
      </c>
      <c r="AO60">
        <f t="shared" si="9"/>
        <v>0.35116056083220265</v>
      </c>
      <c r="AP60">
        <f t="shared" si="9"/>
        <v>0.52275756557215547</v>
      </c>
      <c r="AQ60">
        <f t="shared" si="9"/>
        <v>0.39097376936899497</v>
      </c>
    </row>
    <row r="61" spans="1:43">
      <c r="A61" s="129"/>
      <c r="Z61" t="s">
        <v>518</v>
      </c>
      <c r="AA61">
        <f>AA58/SUM(AA58:AA59)</f>
        <v>0.5472935585717541</v>
      </c>
      <c r="AB61">
        <f t="shared" ref="AB61:AQ61" si="10">AB58/SUM(AB58:AB59)</f>
        <v>0.49471869236209665</v>
      </c>
      <c r="AC61">
        <f t="shared" si="10"/>
        <v>0.48028834290951389</v>
      </c>
      <c r="AD61">
        <f t="shared" si="10"/>
        <v>0.66885667204562727</v>
      </c>
      <c r="AE61">
        <f t="shared" si="10"/>
        <v>0.70146781191003094</v>
      </c>
      <c r="AF61">
        <f t="shared" si="10"/>
        <v>0.74580695055343416</v>
      </c>
      <c r="AG61">
        <f t="shared" si="10"/>
        <v>0.74834445129301319</v>
      </c>
      <c r="AH61">
        <f t="shared" si="10"/>
        <v>0.6614560936769035</v>
      </c>
      <c r="AI61">
        <f t="shared" si="10"/>
        <v>0.69965780468544359</v>
      </c>
      <c r="AJ61">
        <f t="shared" si="10"/>
        <v>0.71452291733487705</v>
      </c>
      <c r="AK61">
        <f t="shared" si="10"/>
        <v>0.7760462196226775</v>
      </c>
      <c r="AL61">
        <f t="shared" si="10"/>
        <v>0.79410502351272672</v>
      </c>
      <c r="AM61">
        <f t="shared" si="10"/>
        <v>0.6635739543820921</v>
      </c>
      <c r="AN61">
        <f t="shared" si="10"/>
        <v>0.73309701196862054</v>
      </c>
      <c r="AO61">
        <f t="shared" si="10"/>
        <v>0.7640260708441472</v>
      </c>
      <c r="AP61">
        <f t="shared" si="10"/>
        <v>0.63545225442936903</v>
      </c>
      <c r="AQ61">
        <f t="shared" si="10"/>
        <v>0.70188431548236752</v>
      </c>
    </row>
    <row r="62" spans="1:43">
      <c r="A62" s="732" t="s">
        <v>484</v>
      </c>
      <c r="B62" s="732"/>
      <c r="C62" s="732"/>
      <c r="D62" s="732"/>
      <c r="E62" s="732"/>
      <c r="F62" s="732"/>
      <c r="G62" s="732"/>
    </row>
    <row r="63" spans="1:43">
      <c r="A63" s="732" t="s">
        <v>519</v>
      </c>
      <c r="B63" s="732"/>
      <c r="C63" s="732"/>
      <c r="D63" s="732"/>
      <c r="E63" s="732"/>
      <c r="F63" s="732"/>
      <c r="G63" s="732"/>
    </row>
    <row r="64" spans="1:43">
      <c r="A64" s="732" t="s">
        <v>487</v>
      </c>
      <c r="B64" s="732" t="s">
        <v>488</v>
      </c>
      <c r="C64" s="732" t="s">
        <v>489</v>
      </c>
      <c r="D64" s="420" t="s">
        <v>490</v>
      </c>
      <c r="E64" s="420" t="s">
        <v>491</v>
      </c>
      <c r="F64" s="732" t="s">
        <v>492</v>
      </c>
      <c r="G64" s="420" t="s">
        <v>491</v>
      </c>
      <c r="J64" t="s">
        <v>493</v>
      </c>
    </row>
    <row r="65" spans="1:55" ht="29.1" thickBot="1">
      <c r="A65" s="732"/>
      <c r="B65" s="732"/>
      <c r="C65" s="732"/>
      <c r="D65" s="420" t="s">
        <v>489</v>
      </c>
      <c r="E65" s="420" t="s">
        <v>494</v>
      </c>
      <c r="F65" s="732"/>
      <c r="G65" s="420" t="s">
        <v>492</v>
      </c>
      <c r="I65">
        <v>2004</v>
      </c>
      <c r="J65" t="s">
        <v>495</v>
      </c>
      <c r="K65" t="s">
        <v>496</v>
      </c>
      <c r="L65" t="s">
        <v>497</v>
      </c>
      <c r="P65" s="49" t="s">
        <v>498</v>
      </c>
      <c r="Q65" s="49" t="s">
        <v>499</v>
      </c>
      <c r="R65" s="49" t="s">
        <v>500</v>
      </c>
      <c r="S65" t="s">
        <v>501</v>
      </c>
      <c r="T65" s="49" t="s">
        <v>502</v>
      </c>
      <c r="U65" s="49" t="s">
        <v>495</v>
      </c>
      <c r="W65" s="582"/>
      <c r="X65" s="582"/>
      <c r="Y65" s="582"/>
      <c r="Z65" s="582"/>
      <c r="AA65" s="582"/>
      <c r="AB65" s="582"/>
      <c r="AC65" s="582"/>
      <c r="AD65" s="582"/>
      <c r="AE65" s="582"/>
      <c r="AF65" s="582"/>
    </row>
    <row r="66" spans="1:55" ht="28.8">
      <c r="A66" s="420" t="s">
        <v>503</v>
      </c>
      <c r="B66" s="420" t="s">
        <v>503</v>
      </c>
      <c r="C66" s="113">
        <v>32</v>
      </c>
      <c r="D66" s="113">
        <v>49995</v>
      </c>
      <c r="E66" s="113">
        <v>11544</v>
      </c>
      <c r="F66" s="113">
        <v>2.0799999999999999E-2</v>
      </c>
      <c r="G66" s="113">
        <v>4.7999999999999996E-3</v>
      </c>
      <c r="H66" t="s">
        <v>504</v>
      </c>
      <c r="I66" t="s">
        <v>495</v>
      </c>
      <c r="J66" s="114">
        <f>D75</f>
        <v>228869900</v>
      </c>
      <c r="K66" s="115">
        <f>D74</f>
        <v>9389311</v>
      </c>
      <c r="L66" s="116">
        <f>D76</f>
        <v>1806262</v>
      </c>
      <c r="M66" s="112">
        <f>SUM(J66:L66)</f>
        <v>240065473</v>
      </c>
      <c r="N66" s="230" t="s">
        <v>505</v>
      </c>
      <c r="P66" s="117">
        <f>L66</f>
        <v>1806262</v>
      </c>
      <c r="Q66" s="118">
        <f>L67</f>
        <v>37915</v>
      </c>
      <c r="R66" s="119">
        <f>SUM(J68:L68)</f>
        <v>283690</v>
      </c>
      <c r="S66" s="120">
        <f>K66</f>
        <v>9389311</v>
      </c>
      <c r="T66" s="121">
        <f>SUM(J67:K67)</f>
        <v>127737</v>
      </c>
      <c r="U66" s="122">
        <f>J66</f>
        <v>228869900</v>
      </c>
      <c r="W66" s="582"/>
      <c r="X66" s="582">
        <v>1999</v>
      </c>
      <c r="Y66" s="582">
        <v>2000</v>
      </c>
      <c r="Z66" s="582">
        <v>2001</v>
      </c>
      <c r="AA66" s="582">
        <v>2002</v>
      </c>
      <c r="AB66" s="582">
        <v>2003</v>
      </c>
      <c r="AC66" s="582">
        <v>2004</v>
      </c>
      <c r="AD66" s="582">
        <v>2005</v>
      </c>
      <c r="AE66" s="582">
        <v>2006</v>
      </c>
      <c r="AF66" s="582">
        <v>2007</v>
      </c>
      <c r="AG66" s="582">
        <v>2008</v>
      </c>
      <c r="AH66" s="582">
        <v>2009</v>
      </c>
      <c r="AI66" s="582">
        <v>2010</v>
      </c>
      <c r="AJ66" s="582">
        <v>2011</v>
      </c>
      <c r="AK66" s="582">
        <v>2012</v>
      </c>
      <c r="AL66" s="582">
        <v>2013</v>
      </c>
      <c r="AM66" s="582">
        <v>2014</v>
      </c>
      <c r="AN66" s="582">
        <v>2015</v>
      </c>
      <c r="AO66" s="582">
        <v>2016</v>
      </c>
      <c r="AP66" s="582">
        <v>2017</v>
      </c>
      <c r="AQ66" s="582">
        <v>2018</v>
      </c>
      <c r="AR66" s="582">
        <v>2019</v>
      </c>
      <c r="AS66" s="582">
        <v>2020</v>
      </c>
      <c r="AT66" s="582">
        <v>2021</v>
      </c>
      <c r="AU66" s="582">
        <v>2022</v>
      </c>
      <c r="AV66" s="582">
        <v>2023</v>
      </c>
      <c r="AW66" s="582">
        <v>2024</v>
      </c>
      <c r="AX66" s="582">
        <v>2025</v>
      </c>
      <c r="AY66" s="582">
        <v>2026</v>
      </c>
      <c r="AZ66" s="582">
        <v>2027</v>
      </c>
      <c r="BA66" s="582">
        <v>2028</v>
      </c>
      <c r="BB66" s="582">
        <v>2029</v>
      </c>
      <c r="BC66" s="582">
        <v>2030</v>
      </c>
    </row>
    <row r="67" spans="1:55" ht="28.8">
      <c r="A67" s="420"/>
      <c r="B67" s="420" t="s">
        <v>495</v>
      </c>
      <c r="C67" s="113">
        <v>24</v>
      </c>
      <c r="D67" s="113">
        <v>77742</v>
      </c>
      <c r="E67" s="113">
        <v>32101</v>
      </c>
      <c r="F67" s="113">
        <v>3.2300000000000002E-2</v>
      </c>
      <c r="G67" s="113">
        <v>1.3299999999999999E-2</v>
      </c>
      <c r="I67" t="s">
        <v>496</v>
      </c>
      <c r="J67" s="123">
        <f>D67</f>
        <v>77742</v>
      </c>
      <c r="K67" s="124">
        <f>D66</f>
        <v>49995</v>
      </c>
      <c r="L67" s="125">
        <f>D68</f>
        <v>37915</v>
      </c>
      <c r="M67" s="112">
        <f t="shared" ref="M67:M68" si="11">SUM(J67:L67)</f>
        <v>165652</v>
      </c>
      <c r="N67">
        <f>K67/(K67+J67)</f>
        <v>0.39139012189107308</v>
      </c>
      <c r="W67" s="582" t="s">
        <v>520</v>
      </c>
      <c r="X67" s="583">
        <v>221122575</v>
      </c>
      <c r="Y67" s="583">
        <v>223279598</v>
      </c>
      <c r="Z67" s="583">
        <v>225635789</v>
      </c>
      <c r="AA67" s="583">
        <v>235143245</v>
      </c>
      <c r="AB67" s="583">
        <v>237682009</v>
      </c>
      <c r="AC67" s="583">
        <v>240514815</v>
      </c>
      <c r="AD67" s="583">
        <v>243220283</v>
      </c>
      <c r="AE67" s="583">
        <v>246021656</v>
      </c>
      <c r="AF67" s="583">
        <v>247845207</v>
      </c>
      <c r="AG67" s="583">
        <v>249815089</v>
      </c>
      <c r="AH67" s="583">
        <v>251815533</v>
      </c>
      <c r="AI67" s="583">
        <v>253619107</v>
      </c>
      <c r="AJ67" s="583">
        <v>257598944</v>
      </c>
      <c r="AK67" s="583">
        <v>260057325</v>
      </c>
      <c r="AL67" s="583">
        <v>262391455</v>
      </c>
      <c r="AM67" s="583">
        <v>265122864</v>
      </c>
      <c r="AN67" s="583">
        <v>267694489</v>
      </c>
      <c r="AO67" s="583">
        <v>269430135</v>
      </c>
      <c r="AP67" s="583">
        <v>272103335</v>
      </c>
      <c r="AQ67" s="583">
        <v>273753043</v>
      </c>
      <c r="AR67" s="583">
        <v>275221248</v>
      </c>
      <c r="AS67" s="582"/>
      <c r="AT67" s="582"/>
      <c r="AU67" s="582"/>
      <c r="AV67" s="582"/>
      <c r="AW67" s="582"/>
      <c r="AX67" s="582"/>
      <c r="AY67" s="582"/>
      <c r="AZ67" s="582"/>
      <c r="BA67" s="582"/>
      <c r="BB67" s="582"/>
      <c r="BC67" s="582"/>
    </row>
    <row r="68" spans="1:55" ht="43.5" thickBot="1">
      <c r="A68" s="420"/>
      <c r="B68" s="420" t="s">
        <v>506</v>
      </c>
      <c r="C68" s="113">
        <v>21</v>
      </c>
      <c r="D68" s="113">
        <v>37915</v>
      </c>
      <c r="E68" s="113">
        <v>10748</v>
      </c>
      <c r="F68" s="113">
        <v>1.5800000000000002E-2</v>
      </c>
      <c r="G68" s="113">
        <v>4.4999999999999997E-3</v>
      </c>
      <c r="I68" t="s">
        <v>507</v>
      </c>
      <c r="J68" s="126">
        <f>D71</f>
        <v>147437</v>
      </c>
      <c r="K68" s="127">
        <f>D70</f>
        <v>83393</v>
      </c>
      <c r="L68" s="128">
        <f>D72</f>
        <v>52860</v>
      </c>
      <c r="M68" s="112">
        <f t="shared" si="11"/>
        <v>283690</v>
      </c>
      <c r="W68" s="582" t="s">
        <v>521</v>
      </c>
      <c r="X68" s="582"/>
      <c r="Y68" s="582"/>
      <c r="Z68" s="582"/>
      <c r="AA68" s="582"/>
      <c r="AB68" s="582"/>
      <c r="AC68" s="582"/>
      <c r="AD68" s="582"/>
      <c r="AE68" s="582"/>
      <c r="AF68" s="582"/>
      <c r="AG68" s="582"/>
      <c r="AH68" s="582"/>
      <c r="AI68" s="582"/>
      <c r="AJ68" s="582"/>
      <c r="AK68" s="582"/>
      <c r="AL68" s="582"/>
      <c r="AM68" s="582"/>
      <c r="AN68" s="582"/>
      <c r="AO68" s="583">
        <v>323128000</v>
      </c>
      <c r="AP68" s="583">
        <v>325511000</v>
      </c>
      <c r="AQ68" s="583">
        <v>327892000</v>
      </c>
      <c r="AR68" s="583">
        <v>330269000</v>
      </c>
      <c r="AS68" s="583">
        <v>332639000</v>
      </c>
      <c r="AT68" s="583">
        <v>334998000</v>
      </c>
      <c r="AU68" s="583">
        <v>337342000</v>
      </c>
      <c r="AV68" s="583">
        <v>339665000</v>
      </c>
      <c r="AW68" s="583">
        <v>341963000</v>
      </c>
      <c r="AX68" s="583">
        <v>344234000</v>
      </c>
      <c r="AY68" s="583">
        <v>346481000</v>
      </c>
      <c r="AZ68" s="583">
        <v>348695000</v>
      </c>
      <c r="BA68" s="583">
        <v>350872000</v>
      </c>
      <c r="BB68" s="583">
        <v>353008000</v>
      </c>
      <c r="BC68" s="583">
        <v>355101000</v>
      </c>
    </row>
    <row r="69" spans="1:55" ht="57.6">
      <c r="A69" s="420"/>
      <c r="B69" s="420" t="s">
        <v>250</v>
      </c>
      <c r="C69" s="113">
        <v>77</v>
      </c>
      <c r="D69" s="113">
        <v>165652</v>
      </c>
      <c r="E69" s="113">
        <v>32545</v>
      </c>
      <c r="F69" s="113">
        <v>6.8900000000000003E-2</v>
      </c>
      <c r="G69" s="113">
        <v>1.35E-2</v>
      </c>
      <c r="J69" s="92">
        <f>SUM(J66:J68)</f>
        <v>229095079</v>
      </c>
      <c r="K69" s="92">
        <f>SUM(K66:K68)</f>
        <v>9522699</v>
      </c>
      <c r="L69" s="92">
        <f>SUM(L66:L68)</f>
        <v>1897037</v>
      </c>
      <c r="W69" s="582" t="s">
        <v>522</v>
      </c>
      <c r="X69" s="582"/>
      <c r="Y69" s="582"/>
      <c r="Z69" s="582"/>
      <c r="AA69" s="582"/>
      <c r="AB69" s="582"/>
      <c r="AC69" s="582"/>
      <c r="AD69" s="582"/>
      <c r="AE69" s="582"/>
      <c r="AF69" s="582"/>
      <c r="AG69" s="582"/>
      <c r="AH69" s="582"/>
      <c r="AI69" s="582"/>
      <c r="AJ69" s="582"/>
      <c r="AK69" s="582"/>
      <c r="AL69" s="582"/>
      <c r="AM69" s="582"/>
      <c r="AN69" s="582"/>
      <c r="AO69" s="582"/>
      <c r="AP69" s="582"/>
      <c r="AQ69" s="582" t="s">
        <v>523</v>
      </c>
      <c r="AR69" s="582">
        <f>AR67/AR68</f>
        <v>0.83332449609257908</v>
      </c>
      <c r="AS69" s="582"/>
      <c r="AT69" s="582"/>
      <c r="AU69" s="582"/>
      <c r="AV69" s="582"/>
      <c r="AW69" s="582"/>
      <c r="AX69" s="582"/>
      <c r="AY69" s="582"/>
      <c r="AZ69" s="582"/>
      <c r="BA69" s="582"/>
      <c r="BB69" s="582"/>
      <c r="BC69" s="582"/>
    </row>
    <row r="70" spans="1:55" ht="43.2">
      <c r="A70" s="420" t="s">
        <v>500</v>
      </c>
      <c r="B70" s="420" t="s">
        <v>503</v>
      </c>
      <c r="C70" s="113">
        <v>31</v>
      </c>
      <c r="D70" s="113">
        <v>83393</v>
      </c>
      <c r="E70" s="113">
        <v>23560</v>
      </c>
      <c r="F70" s="113">
        <v>3.4700000000000002E-2</v>
      </c>
      <c r="G70" s="113">
        <v>9.7999999999999997E-3</v>
      </c>
      <c r="J70">
        <f>J68/(J68+K68+L68)</f>
        <v>0.51971165709048606</v>
      </c>
      <c r="K70">
        <f>K68/(K68+J68+L68)</f>
        <v>0.2939581938030949</v>
      </c>
      <c r="L70">
        <f>L68/(K68+L68+J68)</f>
        <v>0.18633014910641899</v>
      </c>
      <c r="W70" s="582" t="s">
        <v>524</v>
      </c>
      <c r="X70" s="582"/>
      <c r="Y70" s="582"/>
      <c r="Z70" s="582"/>
      <c r="AA70" s="582"/>
      <c r="AB70" s="582"/>
      <c r="AC70" s="582"/>
      <c r="AD70" s="582"/>
      <c r="AE70" s="582"/>
      <c r="AF70" s="582"/>
      <c r="AG70" s="582"/>
      <c r="AH70" s="582"/>
      <c r="AI70" s="582"/>
      <c r="AJ70" s="582"/>
      <c r="AK70" s="582"/>
      <c r="AL70" s="582"/>
      <c r="AM70" s="582"/>
      <c r="AN70" s="582"/>
      <c r="AO70" s="582"/>
      <c r="AP70" s="582"/>
      <c r="AQ70" s="582"/>
      <c r="AR70" s="582"/>
      <c r="AS70" s="583">
        <f t="shared" ref="AS70:BC70" si="12">$AR$69*AS68</f>
        <v>277196227.0557394</v>
      </c>
      <c r="AT70" s="583">
        <f t="shared" si="12"/>
        <v>279162039.54202181</v>
      </c>
      <c r="AU70" s="583">
        <f t="shared" si="12"/>
        <v>281115352.1608628</v>
      </c>
      <c r="AV70" s="583">
        <f t="shared" si="12"/>
        <v>283051164.9652859</v>
      </c>
      <c r="AW70" s="583">
        <f t="shared" si="12"/>
        <v>284966144.65730661</v>
      </c>
      <c r="AX70" s="583">
        <f t="shared" si="12"/>
        <v>286858624.58793288</v>
      </c>
      <c r="AY70" s="583">
        <f t="shared" si="12"/>
        <v>288731104.73065287</v>
      </c>
      <c r="AZ70" s="583">
        <f t="shared" si="12"/>
        <v>290576085.16500187</v>
      </c>
      <c r="BA70" s="583">
        <f t="shared" si="12"/>
        <v>292390232.59299541</v>
      </c>
      <c r="BB70" s="583">
        <f t="shared" si="12"/>
        <v>294170213.71664917</v>
      </c>
      <c r="BC70" s="583">
        <f t="shared" si="12"/>
        <v>295914361.88697094</v>
      </c>
    </row>
    <row r="71" spans="1:55">
      <c r="A71" s="420"/>
      <c r="B71" s="420" t="s">
        <v>495</v>
      </c>
      <c r="C71" s="113">
        <v>25</v>
      </c>
      <c r="D71" s="113">
        <v>147437</v>
      </c>
      <c r="E71" s="113">
        <v>45344</v>
      </c>
      <c r="F71" s="113">
        <v>6.13E-2</v>
      </c>
      <c r="G71" s="113">
        <v>1.89E-2</v>
      </c>
      <c r="W71" s="582" t="s">
        <v>33</v>
      </c>
      <c r="X71" s="583">
        <f t="shared" ref="X71:AR71" si="13">X67</f>
        <v>221122575</v>
      </c>
      <c r="Y71" s="583">
        <f t="shared" si="13"/>
        <v>223279598</v>
      </c>
      <c r="Z71" s="583">
        <f t="shared" si="13"/>
        <v>225635789</v>
      </c>
      <c r="AA71" s="583">
        <f t="shared" si="13"/>
        <v>235143245</v>
      </c>
      <c r="AB71" s="583">
        <f t="shared" si="13"/>
        <v>237682009</v>
      </c>
      <c r="AC71" s="583">
        <f t="shared" si="13"/>
        <v>240514815</v>
      </c>
      <c r="AD71" s="583">
        <f t="shared" si="13"/>
        <v>243220283</v>
      </c>
      <c r="AE71" s="583">
        <f t="shared" si="13"/>
        <v>246021656</v>
      </c>
      <c r="AF71" s="583">
        <f t="shared" si="13"/>
        <v>247845207</v>
      </c>
      <c r="AG71" s="583">
        <f t="shared" si="13"/>
        <v>249815089</v>
      </c>
      <c r="AH71" s="583">
        <f t="shared" si="13"/>
        <v>251815533</v>
      </c>
      <c r="AI71" s="583">
        <f t="shared" si="13"/>
        <v>253619107</v>
      </c>
      <c r="AJ71" s="583">
        <f t="shared" si="13"/>
        <v>257598944</v>
      </c>
      <c r="AK71" s="583">
        <f t="shared" si="13"/>
        <v>260057325</v>
      </c>
      <c r="AL71" s="583">
        <f t="shared" si="13"/>
        <v>262391455</v>
      </c>
      <c r="AM71" s="583">
        <f t="shared" si="13"/>
        <v>265122864</v>
      </c>
      <c r="AN71" s="583">
        <f t="shared" si="13"/>
        <v>267694489</v>
      </c>
      <c r="AO71" s="583">
        <f t="shared" si="13"/>
        <v>269430135</v>
      </c>
      <c r="AP71" s="583">
        <f t="shared" si="13"/>
        <v>272103335</v>
      </c>
      <c r="AQ71" s="583">
        <f t="shared" si="13"/>
        <v>273753043</v>
      </c>
      <c r="AR71" s="583">
        <f t="shared" si="13"/>
        <v>275221248</v>
      </c>
      <c r="AS71" s="583">
        <f t="shared" ref="AS71:BC71" si="14">AS70</f>
        <v>277196227.0557394</v>
      </c>
      <c r="AT71" s="583">
        <f t="shared" si="14"/>
        <v>279162039.54202181</v>
      </c>
      <c r="AU71" s="583">
        <f t="shared" si="14"/>
        <v>281115352.1608628</v>
      </c>
      <c r="AV71" s="583">
        <f t="shared" si="14"/>
        <v>283051164.9652859</v>
      </c>
      <c r="AW71" s="583">
        <f t="shared" si="14"/>
        <v>284966144.65730661</v>
      </c>
      <c r="AX71" s="583">
        <f t="shared" si="14"/>
        <v>286858624.58793288</v>
      </c>
      <c r="AY71" s="583">
        <f t="shared" si="14"/>
        <v>288731104.73065287</v>
      </c>
      <c r="AZ71" s="583">
        <f t="shared" si="14"/>
        <v>290576085.16500187</v>
      </c>
      <c r="BA71" s="583">
        <f t="shared" si="14"/>
        <v>292390232.59299541</v>
      </c>
      <c r="BB71" s="583">
        <f t="shared" si="14"/>
        <v>294170213.71664917</v>
      </c>
      <c r="BC71" s="583">
        <f t="shared" si="14"/>
        <v>295914361.88697094</v>
      </c>
    </row>
    <row r="72" spans="1:55">
      <c r="A72" s="420"/>
      <c r="B72" s="420" t="s">
        <v>506</v>
      </c>
      <c r="C72" s="113">
        <v>26</v>
      </c>
      <c r="D72" s="113">
        <v>52860</v>
      </c>
      <c r="E72" s="113">
        <v>15178</v>
      </c>
      <c r="F72" s="113">
        <v>2.1999999999999999E-2</v>
      </c>
      <c r="G72" s="113">
        <v>6.3E-3</v>
      </c>
      <c r="J72">
        <f>J67/(J67+K67)</f>
        <v>0.60860987810892697</v>
      </c>
      <c r="K72">
        <f>K67/(K67+J67)</f>
        <v>0.39139012189107308</v>
      </c>
      <c r="Z72" s="582"/>
      <c r="AA72" s="582"/>
      <c r="AB72" s="582"/>
      <c r="AC72" s="582"/>
      <c r="AD72" s="582"/>
      <c r="AE72" s="582"/>
      <c r="AF72" s="582"/>
      <c r="AG72" s="582"/>
      <c r="AH72" s="582"/>
      <c r="AI72" s="582"/>
      <c r="AJ72" s="582"/>
    </row>
    <row r="73" spans="1:55">
      <c r="A73" s="420"/>
      <c r="B73" s="420" t="s">
        <v>250</v>
      </c>
      <c r="C73" s="113">
        <v>82</v>
      </c>
      <c r="D73" s="113">
        <v>283690</v>
      </c>
      <c r="E73" s="113">
        <v>50809</v>
      </c>
      <c r="F73" s="113">
        <v>0.11799999999999999</v>
      </c>
      <c r="G73" s="113">
        <v>2.12E-2</v>
      </c>
      <c r="Z73" s="582"/>
      <c r="AA73" s="582"/>
      <c r="AB73" s="582"/>
      <c r="AC73" s="582"/>
      <c r="AD73" s="582"/>
      <c r="AE73" s="582"/>
      <c r="AF73" s="582"/>
      <c r="AG73" s="582"/>
      <c r="AH73" s="582"/>
      <c r="AI73" s="582"/>
      <c r="AJ73" s="582"/>
    </row>
    <row r="74" spans="1:55">
      <c r="A74" s="420" t="s">
        <v>495</v>
      </c>
      <c r="B74" s="420" t="s">
        <v>503</v>
      </c>
      <c r="C74" s="113">
        <v>3508</v>
      </c>
      <c r="D74" s="113">
        <v>9389311</v>
      </c>
      <c r="E74" s="113">
        <v>307360</v>
      </c>
      <c r="F74" s="113">
        <v>3.9037999999999999</v>
      </c>
      <c r="G74" s="113">
        <v>0.1239</v>
      </c>
      <c r="Z74" s="582"/>
      <c r="AA74" s="582"/>
      <c r="AB74" s="582"/>
      <c r="AC74" s="582"/>
      <c r="AD74" s="582"/>
      <c r="AE74" s="582"/>
      <c r="AF74" s="582"/>
      <c r="AG74" s="582"/>
      <c r="AH74" s="582"/>
      <c r="AI74" s="582"/>
      <c r="AJ74" s="582"/>
      <c r="AR74" s="584">
        <v>328239523</v>
      </c>
    </row>
    <row r="75" spans="1:55">
      <c r="A75" s="420"/>
      <c r="B75" s="420" t="s">
        <v>495</v>
      </c>
      <c r="C75" s="113">
        <v>51203</v>
      </c>
      <c r="D75" s="113">
        <v>228869900</v>
      </c>
      <c r="E75" s="113">
        <v>2293974</v>
      </c>
      <c r="F75" s="113">
        <v>95.158299999999997</v>
      </c>
      <c r="G75" s="113">
        <v>0.13500000000000001</v>
      </c>
      <c r="Z75" s="582"/>
      <c r="AA75" s="582"/>
      <c r="AB75" s="582"/>
      <c r="AC75" s="582"/>
      <c r="AD75" s="582"/>
      <c r="AE75" s="582"/>
      <c r="AF75" s="582"/>
      <c r="AG75" s="582"/>
      <c r="AH75" s="582"/>
      <c r="AI75" s="582"/>
      <c r="AJ75" s="582"/>
    </row>
    <row r="76" spans="1:55">
      <c r="A76" s="420"/>
      <c r="B76" s="420" t="s">
        <v>506</v>
      </c>
      <c r="C76" s="113">
        <v>732</v>
      </c>
      <c r="D76" s="113">
        <v>1806262</v>
      </c>
      <c r="E76" s="113">
        <v>98144</v>
      </c>
      <c r="F76" s="113">
        <v>0.751</v>
      </c>
      <c r="G76" s="113">
        <v>3.9699999999999999E-2</v>
      </c>
      <c r="Z76" s="582"/>
      <c r="AA76" s="582"/>
      <c r="AB76" s="582"/>
      <c r="AC76" s="582"/>
      <c r="AD76" s="582"/>
      <c r="AE76" s="582"/>
      <c r="AF76" s="582"/>
      <c r="AG76" s="582"/>
      <c r="AH76" s="582"/>
      <c r="AI76" s="582"/>
      <c r="AJ76" s="582"/>
    </row>
    <row r="77" spans="1:55">
      <c r="A77" s="420"/>
      <c r="B77" s="420" t="s">
        <v>250</v>
      </c>
      <c r="C77" s="113">
        <v>55443</v>
      </c>
      <c r="D77" s="113">
        <v>240065472</v>
      </c>
      <c r="E77" s="113">
        <v>2372191</v>
      </c>
      <c r="F77" s="113">
        <v>99.813199999999995</v>
      </c>
      <c r="G77" s="113">
        <v>2.5399999999999999E-2</v>
      </c>
      <c r="Z77" s="582"/>
      <c r="AA77" s="582"/>
      <c r="AB77" s="582"/>
      <c r="AC77" s="582"/>
      <c r="AD77" s="582"/>
      <c r="AE77" s="582"/>
      <c r="AF77" s="582"/>
      <c r="AG77" s="582"/>
      <c r="AH77" s="582"/>
      <c r="AI77" s="582"/>
      <c r="AJ77" s="582"/>
    </row>
    <row r="78" spans="1:55">
      <c r="A78" s="420" t="s">
        <v>250</v>
      </c>
      <c r="B78" s="420" t="s">
        <v>503</v>
      </c>
      <c r="C78" s="113">
        <v>3571</v>
      </c>
      <c r="D78" s="113">
        <v>9522699</v>
      </c>
      <c r="E78" s="113">
        <v>308206</v>
      </c>
      <c r="F78" s="113">
        <v>3.9592999999999998</v>
      </c>
      <c r="G78" s="113">
        <v>0.1239</v>
      </c>
      <c r="Z78" s="582"/>
      <c r="AA78" s="582"/>
      <c r="AB78" s="582"/>
      <c r="AC78" s="582"/>
      <c r="AD78" s="582"/>
      <c r="AE78" s="582"/>
      <c r="AF78" s="582"/>
      <c r="AG78" s="582"/>
      <c r="AH78" s="582"/>
      <c r="AI78" s="582"/>
      <c r="AJ78" s="582"/>
    </row>
    <row r="79" spans="1:55">
      <c r="A79" s="420"/>
      <c r="B79" s="420" t="s">
        <v>495</v>
      </c>
      <c r="C79" s="113">
        <v>51252</v>
      </c>
      <c r="D79" s="113">
        <v>229095079</v>
      </c>
      <c r="E79" s="113">
        <v>2290636</v>
      </c>
      <c r="F79" s="113">
        <v>95.251999999999995</v>
      </c>
      <c r="G79" s="113">
        <v>0.1318</v>
      </c>
      <c r="Z79" s="582"/>
      <c r="AA79" s="582"/>
      <c r="AB79" s="582"/>
      <c r="AC79" s="582"/>
      <c r="AD79" s="582"/>
      <c r="AE79" s="582"/>
      <c r="AF79" s="582"/>
      <c r="AG79" s="582"/>
      <c r="AH79" s="582"/>
      <c r="AI79" s="582"/>
      <c r="AJ79" s="582"/>
    </row>
    <row r="80" spans="1:55">
      <c r="A80" s="420"/>
      <c r="B80" s="420" t="s">
        <v>506</v>
      </c>
      <c r="C80" s="113">
        <v>779</v>
      </c>
      <c r="D80" s="113">
        <v>1897036</v>
      </c>
      <c r="E80" s="113">
        <v>101330</v>
      </c>
      <c r="F80" s="113">
        <v>0.78869999999999996</v>
      </c>
      <c r="G80" s="113">
        <v>4.1000000000000002E-2</v>
      </c>
      <c r="Z80" s="582"/>
      <c r="AA80" s="582"/>
      <c r="AB80" s="582"/>
      <c r="AC80" s="582"/>
      <c r="AD80" s="582"/>
      <c r="AE80" s="582"/>
      <c r="AF80" s="582"/>
      <c r="AG80" s="582"/>
      <c r="AH80" s="582"/>
      <c r="AI80" s="582"/>
      <c r="AJ80" s="582"/>
    </row>
    <row r="81" spans="1:36">
      <c r="A81" s="420"/>
      <c r="B81" s="420" t="s">
        <v>250</v>
      </c>
      <c r="C81" s="113">
        <v>55602</v>
      </c>
      <c r="D81" s="113">
        <v>240514815</v>
      </c>
      <c r="E81" s="113">
        <v>2371771</v>
      </c>
      <c r="F81" s="113">
        <v>100</v>
      </c>
      <c r="G81" s="113"/>
      <c r="Z81" s="582"/>
      <c r="AA81" s="582"/>
      <c r="AB81" s="582"/>
      <c r="AC81" s="582"/>
      <c r="AD81" s="582"/>
      <c r="AE81" s="582"/>
      <c r="AF81" s="582"/>
      <c r="AG81" s="582"/>
      <c r="AH81" s="582"/>
      <c r="AI81" s="582"/>
      <c r="AJ81" s="582"/>
    </row>
    <row r="82" spans="1:36">
      <c r="A82" s="129"/>
      <c r="Z82" s="582"/>
      <c r="AA82" s="582"/>
      <c r="AB82" s="582"/>
      <c r="AC82" s="582"/>
      <c r="AD82" s="582"/>
      <c r="AE82" s="582"/>
      <c r="AF82" s="582"/>
      <c r="AG82" s="582"/>
      <c r="AH82" s="582"/>
      <c r="AI82" s="582"/>
      <c r="AJ82" s="582"/>
    </row>
    <row r="83" spans="1:36">
      <c r="A83" s="732" t="s">
        <v>484</v>
      </c>
      <c r="B83" s="732"/>
      <c r="C83" s="732"/>
      <c r="D83" s="732"/>
      <c r="E83" s="732"/>
      <c r="F83" s="732"/>
      <c r="G83" s="732"/>
      <c r="Z83" s="582"/>
      <c r="AA83" s="582"/>
      <c r="AB83" s="582"/>
      <c r="AC83" s="582"/>
      <c r="AD83" s="582"/>
      <c r="AE83" s="582"/>
      <c r="AF83" s="582"/>
      <c r="AG83" s="582"/>
      <c r="AH83" s="582"/>
      <c r="AI83" s="582"/>
      <c r="AJ83" s="582"/>
    </row>
    <row r="84" spans="1:36">
      <c r="A84" s="732" t="s">
        <v>525</v>
      </c>
      <c r="B84" s="732"/>
      <c r="C84" s="732"/>
      <c r="D84" s="732"/>
      <c r="E84" s="732"/>
      <c r="F84" s="732"/>
      <c r="G84" s="732"/>
      <c r="Z84" s="582"/>
      <c r="AA84" s="582"/>
      <c r="AB84" s="582"/>
      <c r="AC84" s="582"/>
      <c r="AD84" s="582"/>
      <c r="AE84" s="582"/>
      <c r="AF84" s="582"/>
      <c r="AG84" s="582"/>
      <c r="AH84" s="582"/>
      <c r="AI84" s="582"/>
      <c r="AJ84" s="582"/>
    </row>
    <row r="85" spans="1:36">
      <c r="A85" s="732" t="s">
        <v>487</v>
      </c>
      <c r="B85" s="732" t="s">
        <v>488</v>
      </c>
      <c r="C85" s="732" t="s">
        <v>489</v>
      </c>
      <c r="D85" s="420" t="s">
        <v>490</v>
      </c>
      <c r="E85" s="420" t="s">
        <v>491</v>
      </c>
      <c r="F85" s="732" t="s">
        <v>492</v>
      </c>
      <c r="G85" s="420" t="s">
        <v>491</v>
      </c>
      <c r="J85" t="s">
        <v>493</v>
      </c>
      <c r="Z85" s="582"/>
      <c r="AA85" s="582"/>
      <c r="AB85" s="582"/>
      <c r="AC85" s="582"/>
      <c r="AD85" s="582"/>
      <c r="AE85" s="582"/>
      <c r="AF85" s="582"/>
      <c r="AG85" s="582"/>
      <c r="AH85" s="582"/>
      <c r="AI85" s="582"/>
      <c r="AJ85" s="582"/>
    </row>
    <row r="86" spans="1:36" ht="29.1" thickBot="1">
      <c r="A86" s="732"/>
      <c r="B86" s="732"/>
      <c r="C86" s="732"/>
      <c r="D86" s="420" t="s">
        <v>489</v>
      </c>
      <c r="E86" s="420" t="s">
        <v>494</v>
      </c>
      <c r="F86" s="732"/>
      <c r="G86" s="420" t="s">
        <v>492</v>
      </c>
      <c r="I86">
        <v>2005</v>
      </c>
      <c r="J86" t="s">
        <v>495</v>
      </c>
      <c r="K86" t="s">
        <v>496</v>
      </c>
      <c r="L86" t="s">
        <v>497</v>
      </c>
      <c r="P86" s="49" t="s">
        <v>498</v>
      </c>
      <c r="Q86" s="49" t="s">
        <v>499</v>
      </c>
      <c r="R86" s="49" t="s">
        <v>500</v>
      </c>
      <c r="S86" t="s">
        <v>501</v>
      </c>
      <c r="T86" s="49" t="s">
        <v>502</v>
      </c>
      <c r="U86" s="49" t="s">
        <v>495</v>
      </c>
      <c r="Z86" s="582"/>
      <c r="AA86" s="582"/>
      <c r="AB86" s="582"/>
      <c r="AC86" s="582"/>
      <c r="AD86" s="582"/>
      <c r="AE86" s="582"/>
      <c r="AF86" s="582"/>
      <c r="AG86" s="582"/>
      <c r="AH86" s="582"/>
      <c r="AI86" s="582"/>
      <c r="AJ86" s="582"/>
    </row>
    <row r="87" spans="1:36" ht="28.8">
      <c r="A87" s="420" t="s">
        <v>503</v>
      </c>
      <c r="B87" s="420" t="s">
        <v>503</v>
      </c>
      <c r="C87" s="113">
        <v>30</v>
      </c>
      <c r="D87" s="113">
        <v>70230</v>
      </c>
      <c r="E87" s="113">
        <v>19814</v>
      </c>
      <c r="F87" s="113">
        <v>2.8899999999999999E-2</v>
      </c>
      <c r="G87" s="113">
        <v>8.0999999999999996E-3</v>
      </c>
      <c r="H87" t="s">
        <v>504</v>
      </c>
      <c r="I87" t="s">
        <v>495</v>
      </c>
      <c r="J87" s="114">
        <f>D96</f>
        <v>231355077</v>
      </c>
      <c r="K87" s="115">
        <f>D95</f>
        <v>9709431</v>
      </c>
      <c r="L87" s="116">
        <f>D97</f>
        <v>1754593</v>
      </c>
      <c r="M87" s="112">
        <f>SUM(J87:L87)</f>
        <v>242819101</v>
      </c>
      <c r="N87" s="230" t="s">
        <v>505</v>
      </c>
      <c r="P87" s="117">
        <f>L87</f>
        <v>1754593</v>
      </c>
      <c r="Q87" s="118">
        <f>L88</f>
        <v>22963</v>
      </c>
      <c r="R87" s="119">
        <f>SUM(J89:L89)</f>
        <v>234246</v>
      </c>
      <c r="S87" s="120">
        <f>K87</f>
        <v>9709431</v>
      </c>
      <c r="T87" s="121">
        <f>SUM(J88:K88)</f>
        <v>143973</v>
      </c>
      <c r="U87" s="122">
        <f>J87</f>
        <v>231355077</v>
      </c>
      <c r="Z87" s="582"/>
      <c r="AA87" s="582"/>
      <c r="AB87" s="582"/>
      <c r="AC87" s="582"/>
      <c r="AD87" s="582"/>
      <c r="AE87" s="582"/>
      <c r="AF87" s="582"/>
      <c r="AG87" s="582"/>
      <c r="AH87" s="582"/>
      <c r="AI87" s="582"/>
      <c r="AJ87" s="582"/>
    </row>
    <row r="88" spans="1:36">
      <c r="A88" s="420"/>
      <c r="B88" s="420" t="s">
        <v>495</v>
      </c>
      <c r="C88" s="113">
        <v>26</v>
      </c>
      <c r="D88" s="113">
        <v>73743</v>
      </c>
      <c r="E88" s="113">
        <v>19097</v>
      </c>
      <c r="F88" s="113">
        <v>3.0300000000000001E-2</v>
      </c>
      <c r="G88" s="113">
        <v>7.7999999999999996E-3</v>
      </c>
      <c r="I88" t="s">
        <v>496</v>
      </c>
      <c r="J88" s="123">
        <f>D88</f>
        <v>73743</v>
      </c>
      <c r="K88" s="124">
        <f>D87</f>
        <v>70230</v>
      </c>
      <c r="L88" s="125">
        <f>D89</f>
        <v>22963</v>
      </c>
      <c r="M88" s="112">
        <f t="shared" ref="M88:M89" si="15">SUM(J88:L88)</f>
        <v>166936</v>
      </c>
      <c r="N88">
        <f>K88/(K88+J88)</f>
        <v>0.4877997957950449</v>
      </c>
      <c r="Z88" s="582"/>
      <c r="AA88" s="582"/>
      <c r="AB88" s="582"/>
      <c r="AC88" s="582"/>
      <c r="AD88" s="582"/>
      <c r="AE88" s="582"/>
      <c r="AF88" s="582"/>
      <c r="AG88" s="582"/>
      <c r="AH88" s="582"/>
      <c r="AI88" s="582"/>
      <c r="AJ88" s="582"/>
    </row>
    <row r="89" spans="1:36" ht="14.7" thickBot="1">
      <c r="A89" s="420"/>
      <c r="B89" s="420" t="s">
        <v>506</v>
      </c>
      <c r="C89" s="113">
        <v>18</v>
      </c>
      <c r="D89" s="113">
        <v>22963</v>
      </c>
      <c r="E89" s="113">
        <v>8322</v>
      </c>
      <c r="F89" s="113">
        <v>9.4000000000000004E-3</v>
      </c>
      <c r="G89" s="113">
        <v>3.3999999999999998E-3</v>
      </c>
      <c r="I89" t="s">
        <v>507</v>
      </c>
      <c r="J89" s="126">
        <f>D92</f>
        <v>77569</v>
      </c>
      <c r="K89" s="127">
        <f>D91</f>
        <v>59474</v>
      </c>
      <c r="L89" s="128">
        <f>D93</f>
        <v>97203</v>
      </c>
      <c r="M89" s="112">
        <f t="shared" si="15"/>
        <v>234246</v>
      </c>
      <c r="Z89" s="582"/>
      <c r="AA89" s="582"/>
      <c r="AB89" s="582"/>
      <c r="AC89" s="582"/>
      <c r="AD89" s="582"/>
      <c r="AE89" s="582"/>
      <c r="AF89" s="582"/>
      <c r="AG89" s="582"/>
      <c r="AH89" s="582"/>
      <c r="AI89" s="582"/>
      <c r="AJ89" s="582"/>
    </row>
    <row r="90" spans="1:36">
      <c r="A90" s="420"/>
      <c r="B90" s="420" t="s">
        <v>250</v>
      </c>
      <c r="C90" s="113">
        <v>74</v>
      </c>
      <c r="D90" s="113">
        <v>166936</v>
      </c>
      <c r="E90" s="113">
        <v>28910</v>
      </c>
      <c r="F90" s="113">
        <v>6.8599999999999994E-2</v>
      </c>
      <c r="G90" s="113">
        <v>1.18E-2</v>
      </c>
      <c r="J90" s="92">
        <f>SUM(J87:J89)</f>
        <v>231506389</v>
      </c>
      <c r="K90" s="92">
        <f>SUM(K87:K89)</f>
        <v>9839135</v>
      </c>
      <c r="L90" s="92">
        <f>SUM(L87:L89)</f>
        <v>1874759</v>
      </c>
      <c r="Z90" s="582"/>
      <c r="AA90" s="582"/>
      <c r="AB90" s="582"/>
      <c r="AC90" s="582"/>
      <c r="AD90" s="582"/>
      <c r="AE90" s="582"/>
      <c r="AF90" s="582"/>
      <c r="AG90" s="582"/>
      <c r="AH90" s="582"/>
      <c r="AI90" s="582"/>
      <c r="AJ90" s="582"/>
    </row>
    <row r="91" spans="1:36">
      <c r="A91" s="420" t="s">
        <v>500</v>
      </c>
      <c r="B91" s="420" t="s">
        <v>503</v>
      </c>
      <c r="C91" s="113">
        <v>29</v>
      </c>
      <c r="D91" s="113">
        <v>59474</v>
      </c>
      <c r="E91" s="113">
        <v>15037</v>
      </c>
      <c r="F91" s="113">
        <v>2.4500000000000001E-2</v>
      </c>
      <c r="G91" s="113">
        <v>6.1999999999999998E-3</v>
      </c>
      <c r="J91">
        <f>J89/(J89+K89+L89)</f>
        <v>0.33114332795437273</v>
      </c>
      <c r="K91">
        <f>K89/(K89+J89+L89)</f>
        <v>0.25389547740409657</v>
      </c>
      <c r="L91">
        <f>L89/(K89+L89+J89)</f>
        <v>0.4149611946415307</v>
      </c>
      <c r="Z91" s="582"/>
      <c r="AA91" s="582"/>
      <c r="AB91" s="582"/>
      <c r="AC91" s="582"/>
      <c r="AD91" s="582"/>
      <c r="AE91" s="582"/>
      <c r="AF91" s="582"/>
      <c r="AG91" s="582"/>
      <c r="AH91" s="582"/>
      <c r="AI91" s="582"/>
      <c r="AJ91" s="582"/>
    </row>
    <row r="92" spans="1:36">
      <c r="A92" s="420"/>
      <c r="B92" s="420" t="s">
        <v>495</v>
      </c>
      <c r="C92" s="113">
        <v>25</v>
      </c>
      <c r="D92" s="113">
        <v>77569</v>
      </c>
      <c r="E92" s="113">
        <v>22929</v>
      </c>
      <c r="F92" s="113">
        <v>3.1899999999999998E-2</v>
      </c>
      <c r="G92" s="113">
        <v>9.4999999999999998E-3</v>
      </c>
      <c r="Z92" s="582"/>
      <c r="AA92" s="582"/>
      <c r="AB92" s="582"/>
      <c r="AC92" s="582"/>
      <c r="AD92" s="582"/>
      <c r="AE92" s="582"/>
      <c r="AF92" s="582"/>
      <c r="AG92" s="582"/>
      <c r="AH92" s="582"/>
      <c r="AI92" s="582"/>
      <c r="AJ92" s="582"/>
    </row>
    <row r="93" spans="1:36">
      <c r="A93" s="420"/>
      <c r="B93" s="420" t="s">
        <v>506</v>
      </c>
      <c r="C93" s="113">
        <v>38</v>
      </c>
      <c r="D93" s="113">
        <v>97203</v>
      </c>
      <c r="E93" s="113">
        <v>26346</v>
      </c>
      <c r="F93" s="113">
        <v>0.04</v>
      </c>
      <c r="G93" s="113">
        <v>1.0800000000000001E-2</v>
      </c>
      <c r="J93">
        <f>J88/(J88+K88)</f>
        <v>0.51220020420495505</v>
      </c>
      <c r="K93">
        <f>K88/(K88+J88)</f>
        <v>0.4877997957950449</v>
      </c>
      <c r="Z93" s="582"/>
      <c r="AA93" s="582"/>
      <c r="AB93" s="582"/>
      <c r="AC93" s="582"/>
      <c r="AD93" s="582"/>
      <c r="AE93" s="582"/>
      <c r="AF93" s="582"/>
      <c r="AG93" s="582"/>
      <c r="AH93" s="582"/>
      <c r="AI93" s="582"/>
      <c r="AJ93" s="582"/>
    </row>
    <row r="94" spans="1:36">
      <c r="A94" s="420"/>
      <c r="B94" s="420" t="s">
        <v>250</v>
      </c>
      <c r="C94" s="113">
        <v>92</v>
      </c>
      <c r="D94" s="113">
        <v>234246</v>
      </c>
      <c r="E94" s="113">
        <v>39567</v>
      </c>
      <c r="F94" s="113">
        <v>9.6299999999999997E-2</v>
      </c>
      <c r="G94" s="113">
        <v>1.6299999999999999E-2</v>
      </c>
      <c r="Z94" s="582"/>
      <c r="AA94" s="582"/>
      <c r="AB94" s="582"/>
      <c r="AC94" s="582"/>
      <c r="AD94" s="582"/>
      <c r="AE94" s="582"/>
      <c r="AF94" s="582"/>
      <c r="AG94" s="582"/>
      <c r="AH94" s="582"/>
      <c r="AI94" s="582"/>
      <c r="AJ94" s="582"/>
    </row>
    <row r="95" spans="1:36">
      <c r="A95" s="420" t="s">
        <v>495</v>
      </c>
      <c r="B95" s="420" t="s">
        <v>503</v>
      </c>
      <c r="C95" s="113">
        <v>3535</v>
      </c>
      <c r="D95" s="113">
        <v>9709431</v>
      </c>
      <c r="E95" s="113">
        <v>300627</v>
      </c>
      <c r="F95" s="113">
        <v>3.992</v>
      </c>
      <c r="G95" s="113">
        <v>0.1203</v>
      </c>
      <c r="Z95" s="582"/>
      <c r="AA95" s="582"/>
      <c r="AB95" s="582"/>
      <c r="AC95" s="582"/>
      <c r="AD95" s="582"/>
      <c r="AE95" s="582"/>
      <c r="AF95" s="582"/>
      <c r="AG95" s="582"/>
      <c r="AH95" s="582"/>
      <c r="AI95" s="582"/>
      <c r="AJ95" s="582"/>
    </row>
    <row r="96" spans="1:36">
      <c r="A96" s="420"/>
      <c r="B96" s="420" t="s">
        <v>495</v>
      </c>
      <c r="C96" s="113">
        <v>51515</v>
      </c>
      <c r="D96" s="113">
        <v>231355077</v>
      </c>
      <c r="E96" s="113">
        <v>2042648</v>
      </c>
      <c r="F96" s="113">
        <v>95.121600000000001</v>
      </c>
      <c r="G96" s="113">
        <v>0.13</v>
      </c>
      <c r="Z96" s="582"/>
      <c r="AA96" s="582"/>
      <c r="AB96" s="582"/>
      <c r="AC96" s="582"/>
      <c r="AD96" s="582"/>
      <c r="AE96" s="582"/>
      <c r="AF96" s="582"/>
      <c r="AG96" s="582"/>
      <c r="AH96" s="582"/>
      <c r="AI96" s="582"/>
      <c r="AJ96" s="582"/>
    </row>
    <row r="97" spans="1:42">
      <c r="A97" s="420"/>
      <c r="B97" s="420" t="s">
        <v>506</v>
      </c>
      <c r="C97" s="113">
        <v>689</v>
      </c>
      <c r="D97" s="113">
        <v>1754593</v>
      </c>
      <c r="E97" s="113">
        <v>120502</v>
      </c>
      <c r="F97" s="113">
        <v>0.72140000000000004</v>
      </c>
      <c r="G97" s="113">
        <v>4.9700000000000001E-2</v>
      </c>
      <c r="Z97" s="582"/>
      <c r="AA97" s="582"/>
      <c r="AB97" s="582"/>
      <c r="AC97" s="582"/>
      <c r="AD97" s="582"/>
      <c r="AE97" s="582"/>
      <c r="AF97" s="582"/>
      <c r="AG97" s="582"/>
      <c r="AH97" s="582"/>
      <c r="AI97" s="582"/>
      <c r="AJ97" s="582"/>
    </row>
    <row r="98" spans="1:42">
      <c r="A98" s="420"/>
      <c r="B98" s="420" t="s">
        <v>250</v>
      </c>
      <c r="C98" s="113">
        <v>55739</v>
      </c>
      <c r="D98" s="113">
        <v>242819101</v>
      </c>
      <c r="E98" s="113">
        <v>2094315</v>
      </c>
      <c r="F98" s="113">
        <v>99.835099999999997</v>
      </c>
      <c r="G98" s="113">
        <v>1.9699999999999999E-2</v>
      </c>
      <c r="Z98" s="582"/>
      <c r="AA98" s="582"/>
      <c r="AB98" s="582"/>
      <c r="AC98" s="582"/>
      <c r="AD98" s="582"/>
      <c r="AE98" s="582"/>
      <c r="AF98" s="582"/>
      <c r="AG98" s="582"/>
      <c r="AH98" s="582"/>
      <c r="AI98" s="582"/>
      <c r="AJ98" s="582"/>
      <c r="AK98" s="582"/>
      <c r="AL98" s="582"/>
      <c r="AM98" s="582"/>
      <c r="AN98" s="582"/>
      <c r="AO98" s="582"/>
      <c r="AP98" s="582"/>
    </row>
    <row r="99" spans="1:42" ht="273.60000000000002">
      <c r="A99" s="420" t="s">
        <v>250</v>
      </c>
      <c r="B99" s="420" t="s">
        <v>503</v>
      </c>
      <c r="C99" s="113">
        <v>3594</v>
      </c>
      <c r="D99" s="113">
        <v>9839135</v>
      </c>
      <c r="E99" s="113">
        <v>300133</v>
      </c>
      <c r="F99" s="113">
        <v>4.0453999999999999</v>
      </c>
      <c r="G99" s="113">
        <v>0.12</v>
      </c>
      <c r="Z99" s="582"/>
      <c r="AA99" s="582" t="s">
        <v>526</v>
      </c>
      <c r="AB99" s="582"/>
      <c r="AC99" s="49"/>
      <c r="AD99" s="49"/>
      <c r="AE99" s="49"/>
      <c r="AF99" s="49"/>
      <c r="AG99" s="49"/>
      <c r="AH99" s="49"/>
      <c r="AI99" s="49"/>
      <c r="AJ99" s="49"/>
      <c r="AK99" s="49"/>
      <c r="AL99" s="49"/>
      <c r="AM99" s="49"/>
      <c r="AN99" s="49"/>
      <c r="AO99" s="49"/>
      <c r="AP99" s="49"/>
    </row>
    <row r="100" spans="1:42">
      <c r="A100" s="420"/>
      <c r="B100" s="420" t="s">
        <v>495</v>
      </c>
      <c r="C100" s="113">
        <v>51566</v>
      </c>
      <c r="D100" s="113">
        <v>231506390</v>
      </c>
      <c r="E100" s="113">
        <v>2040617</v>
      </c>
      <c r="F100" s="113">
        <v>95.183800000000005</v>
      </c>
      <c r="G100" s="113">
        <v>0.12690000000000001</v>
      </c>
    </row>
    <row r="101" spans="1:42">
      <c r="A101" s="420"/>
      <c r="B101" s="420" t="s">
        <v>506</v>
      </c>
      <c r="C101" s="113">
        <v>745</v>
      </c>
      <c r="D101" s="113">
        <v>1874759</v>
      </c>
      <c r="E101" s="113">
        <v>122675</v>
      </c>
      <c r="F101" s="113">
        <v>0.77080000000000004</v>
      </c>
      <c r="G101" s="113">
        <v>5.0500000000000003E-2</v>
      </c>
    </row>
    <row r="102" spans="1:42">
      <c r="A102" s="420"/>
      <c r="B102" s="420" t="s">
        <v>250</v>
      </c>
      <c r="C102" s="113">
        <v>55905</v>
      </c>
      <c r="D102" s="113">
        <v>243220283</v>
      </c>
      <c r="E102" s="113">
        <v>2095953</v>
      </c>
      <c r="F102" s="113">
        <v>100</v>
      </c>
      <c r="G102" s="113"/>
    </row>
    <row r="103" spans="1:42">
      <c r="A103" s="129"/>
    </row>
    <row r="104" spans="1:42">
      <c r="A104" s="732" t="s">
        <v>484</v>
      </c>
      <c r="B104" s="732"/>
      <c r="C104" s="732"/>
      <c r="D104" s="732"/>
      <c r="E104" s="732"/>
      <c r="F104" s="732"/>
      <c r="G104" s="732"/>
    </row>
    <row r="105" spans="1:42">
      <c r="A105" s="732" t="s">
        <v>527</v>
      </c>
      <c r="B105" s="732"/>
      <c r="C105" s="732"/>
      <c r="D105" s="732"/>
      <c r="E105" s="732"/>
      <c r="F105" s="732"/>
      <c r="G105" s="732"/>
    </row>
    <row r="106" spans="1:42">
      <c r="A106" s="732" t="s">
        <v>487</v>
      </c>
      <c r="B106" s="732" t="s">
        <v>488</v>
      </c>
      <c r="C106" s="732" t="s">
        <v>489</v>
      </c>
      <c r="D106" s="420" t="s">
        <v>490</v>
      </c>
      <c r="E106" s="420" t="s">
        <v>491</v>
      </c>
      <c r="F106" s="732" t="s">
        <v>492</v>
      </c>
      <c r="G106" s="420" t="s">
        <v>491</v>
      </c>
      <c r="J106" t="s">
        <v>493</v>
      </c>
    </row>
    <row r="107" spans="1:42" ht="29.1" thickBot="1">
      <c r="A107" s="732"/>
      <c r="B107" s="732"/>
      <c r="C107" s="732"/>
      <c r="D107" s="420" t="s">
        <v>489</v>
      </c>
      <c r="E107" s="420" t="s">
        <v>494</v>
      </c>
      <c r="F107" s="732"/>
      <c r="G107" s="420" t="s">
        <v>492</v>
      </c>
      <c r="I107">
        <v>2006</v>
      </c>
      <c r="J107" t="s">
        <v>495</v>
      </c>
      <c r="K107" t="s">
        <v>496</v>
      </c>
      <c r="L107" t="s">
        <v>497</v>
      </c>
      <c r="P107" s="49" t="s">
        <v>498</v>
      </c>
      <c r="Q107" s="49" t="s">
        <v>499</v>
      </c>
      <c r="R107" s="49" t="s">
        <v>500</v>
      </c>
      <c r="S107" t="s">
        <v>501</v>
      </c>
      <c r="T107" s="49" t="s">
        <v>502</v>
      </c>
      <c r="U107" s="49" t="s">
        <v>495</v>
      </c>
    </row>
    <row r="108" spans="1:42" ht="28.8">
      <c r="A108" s="420" t="s">
        <v>503</v>
      </c>
      <c r="B108" s="420" t="s">
        <v>503</v>
      </c>
      <c r="C108" s="113">
        <v>30</v>
      </c>
      <c r="D108" s="113">
        <v>114557</v>
      </c>
      <c r="E108" s="113">
        <v>60749</v>
      </c>
      <c r="F108" s="113">
        <v>4.6600000000000003E-2</v>
      </c>
      <c r="G108" s="113">
        <v>2.47E-2</v>
      </c>
      <c r="H108" t="s">
        <v>504</v>
      </c>
      <c r="I108" t="s">
        <v>495</v>
      </c>
      <c r="J108" s="114">
        <f>D117</f>
        <v>233515153</v>
      </c>
      <c r="K108" s="115">
        <f>D116</f>
        <v>10191551</v>
      </c>
      <c r="L108" s="116">
        <f>D118</f>
        <v>1768853</v>
      </c>
      <c r="M108" s="112">
        <f>SUM(J108:L108)</f>
        <v>245475557</v>
      </c>
      <c r="N108" s="230" t="s">
        <v>505</v>
      </c>
      <c r="P108" s="117">
        <f>L108</f>
        <v>1768853</v>
      </c>
      <c r="Q108" s="118">
        <f>L109</f>
        <v>27983</v>
      </c>
      <c r="R108" s="119">
        <f>SUM(J110:L110)</f>
        <v>319932</v>
      </c>
      <c r="S108" s="120">
        <f>K108</f>
        <v>10191551</v>
      </c>
      <c r="T108" s="121">
        <f>SUM(J109:K109)</f>
        <v>198182</v>
      </c>
      <c r="U108" s="122">
        <f>J108</f>
        <v>233515153</v>
      </c>
    </row>
    <row r="109" spans="1:42">
      <c r="A109" s="420"/>
      <c r="B109" s="420" t="s">
        <v>495</v>
      </c>
      <c r="C109" s="113">
        <v>29</v>
      </c>
      <c r="D109" s="113">
        <v>83625</v>
      </c>
      <c r="E109" s="113">
        <v>36396</v>
      </c>
      <c r="F109" s="113">
        <v>3.4000000000000002E-2</v>
      </c>
      <c r="G109" s="113">
        <v>1.4800000000000001E-2</v>
      </c>
      <c r="I109" t="s">
        <v>496</v>
      </c>
      <c r="J109" s="123">
        <f>D109</f>
        <v>83625</v>
      </c>
      <c r="K109" s="124">
        <f>D108</f>
        <v>114557</v>
      </c>
      <c r="L109" s="125">
        <f>D110</f>
        <v>27983</v>
      </c>
      <c r="M109" s="112">
        <f t="shared" ref="M109:M110" si="16">SUM(J109:L109)</f>
        <v>226165</v>
      </c>
      <c r="N109">
        <f>K109/(K109+J109)</f>
        <v>0.57803937794552485</v>
      </c>
    </row>
    <row r="110" spans="1:42" ht="14.7" thickBot="1">
      <c r="A110" s="420"/>
      <c r="B110" s="420" t="s">
        <v>506</v>
      </c>
      <c r="C110" s="113">
        <v>15</v>
      </c>
      <c r="D110" s="113">
        <v>27983</v>
      </c>
      <c r="E110" s="113">
        <v>9463</v>
      </c>
      <c r="F110" s="113">
        <v>1.14E-2</v>
      </c>
      <c r="G110" s="113">
        <v>3.8999999999999998E-3</v>
      </c>
      <c r="I110" t="s">
        <v>507</v>
      </c>
      <c r="J110" s="126">
        <f>D113</f>
        <v>95510</v>
      </c>
      <c r="K110" s="127">
        <f>D112</f>
        <v>131323</v>
      </c>
      <c r="L110" s="128">
        <f>D114</f>
        <v>93099</v>
      </c>
      <c r="M110" s="112">
        <f t="shared" si="16"/>
        <v>319932</v>
      </c>
    </row>
    <row r="111" spans="1:42">
      <c r="A111" s="420"/>
      <c r="B111" s="420" t="s">
        <v>250</v>
      </c>
      <c r="C111" s="113">
        <v>74</v>
      </c>
      <c r="D111" s="113">
        <v>226166</v>
      </c>
      <c r="E111" s="113">
        <v>71692</v>
      </c>
      <c r="F111" s="113">
        <v>9.1899999999999996E-2</v>
      </c>
      <c r="G111" s="113">
        <v>2.93E-2</v>
      </c>
      <c r="J111" s="92">
        <f>SUM(J108:J110)</f>
        <v>233694288</v>
      </c>
      <c r="K111" s="92">
        <f>SUM(K108:K110)</f>
        <v>10437431</v>
      </c>
      <c r="L111" s="92">
        <f>SUM(L108:L110)</f>
        <v>1889935</v>
      </c>
    </row>
    <row r="112" spans="1:42">
      <c r="A112" s="420" t="s">
        <v>500</v>
      </c>
      <c r="B112" s="420" t="s">
        <v>503</v>
      </c>
      <c r="C112" s="113">
        <v>23</v>
      </c>
      <c r="D112" s="113">
        <v>131323</v>
      </c>
      <c r="E112" s="113">
        <v>53896</v>
      </c>
      <c r="F112" s="113">
        <v>5.3400000000000003E-2</v>
      </c>
      <c r="G112" s="113">
        <v>2.1899999999999999E-2</v>
      </c>
      <c r="J112">
        <f>J110/(J110+K110+L110)</f>
        <v>0.29853218808996912</v>
      </c>
      <c r="K112">
        <f>K110/(K110+J110+L110)</f>
        <v>0.4104716002150457</v>
      </c>
      <c r="L112">
        <f>L110/(K110+L110+J110)</f>
        <v>0.29099621169498519</v>
      </c>
    </row>
    <row r="113" spans="1:21">
      <c r="A113" s="420"/>
      <c r="B113" s="420" t="s">
        <v>495</v>
      </c>
      <c r="C113" s="113">
        <v>22</v>
      </c>
      <c r="D113" s="113">
        <v>95510</v>
      </c>
      <c r="E113" s="113">
        <v>28069</v>
      </c>
      <c r="F113" s="113">
        <v>3.8800000000000001E-2</v>
      </c>
      <c r="G113" s="113">
        <v>1.14E-2</v>
      </c>
    </row>
    <row r="114" spans="1:21">
      <c r="A114" s="420"/>
      <c r="B114" s="420" t="s">
        <v>506</v>
      </c>
      <c r="C114" s="113">
        <v>33</v>
      </c>
      <c r="D114" s="113">
        <v>93099</v>
      </c>
      <c r="E114" s="113">
        <v>29695</v>
      </c>
      <c r="F114" s="113">
        <v>3.78E-2</v>
      </c>
      <c r="G114" s="113">
        <v>1.2E-2</v>
      </c>
      <c r="J114">
        <f>J109/(J109+K109)</f>
        <v>0.42196062205447515</v>
      </c>
      <c r="K114">
        <f>K109/(K109+J109)</f>
        <v>0.57803937794552485</v>
      </c>
    </row>
    <row r="115" spans="1:21">
      <c r="A115" s="420"/>
      <c r="B115" s="420" t="s">
        <v>250</v>
      </c>
      <c r="C115" s="113">
        <v>78</v>
      </c>
      <c r="D115" s="113">
        <v>319933</v>
      </c>
      <c r="E115" s="113">
        <v>68513</v>
      </c>
      <c r="F115" s="113">
        <v>0.13</v>
      </c>
      <c r="G115" s="113">
        <v>2.7699999999999999E-2</v>
      </c>
    </row>
    <row r="116" spans="1:21">
      <c r="A116" s="420" t="s">
        <v>495</v>
      </c>
      <c r="B116" s="420" t="s">
        <v>503</v>
      </c>
      <c r="C116" s="113">
        <v>3502</v>
      </c>
      <c r="D116" s="113">
        <v>10191551</v>
      </c>
      <c r="E116" s="113">
        <v>333715</v>
      </c>
      <c r="F116" s="113">
        <v>4.1425000000000001</v>
      </c>
      <c r="G116" s="113">
        <v>0.1356</v>
      </c>
    </row>
    <row r="117" spans="1:21">
      <c r="A117" s="420"/>
      <c r="B117" s="420" t="s">
        <v>495</v>
      </c>
      <c r="C117" s="113">
        <v>50716</v>
      </c>
      <c r="D117" s="113">
        <v>233515153</v>
      </c>
      <c r="E117" s="113">
        <v>1919178</v>
      </c>
      <c r="F117" s="113">
        <v>94.916499999999999</v>
      </c>
      <c r="G117" s="113">
        <v>0.14699999999999999</v>
      </c>
    </row>
    <row r="118" spans="1:21">
      <c r="A118" s="420"/>
      <c r="B118" s="420" t="s">
        <v>506</v>
      </c>
      <c r="C118" s="113">
        <v>665</v>
      </c>
      <c r="D118" s="113">
        <v>1768853</v>
      </c>
      <c r="E118" s="113">
        <v>121451</v>
      </c>
      <c r="F118" s="113">
        <v>0.71899999999999997</v>
      </c>
      <c r="G118" s="113">
        <v>4.9000000000000002E-2</v>
      </c>
    </row>
    <row r="119" spans="1:21">
      <c r="A119" s="420"/>
      <c r="B119" s="420" t="s">
        <v>250</v>
      </c>
      <c r="C119" s="113">
        <v>54883</v>
      </c>
      <c r="D119" s="113">
        <v>245475557</v>
      </c>
      <c r="E119" s="113">
        <v>1944100</v>
      </c>
      <c r="F119" s="113">
        <v>99.778000000000006</v>
      </c>
      <c r="G119" s="113">
        <v>3.8800000000000001E-2</v>
      </c>
    </row>
    <row r="120" spans="1:21">
      <c r="A120" s="420" t="s">
        <v>250</v>
      </c>
      <c r="B120" s="420" t="s">
        <v>503</v>
      </c>
      <c r="C120" s="113">
        <v>3555</v>
      </c>
      <c r="D120" s="113">
        <v>10437431</v>
      </c>
      <c r="E120" s="113">
        <v>370997</v>
      </c>
      <c r="F120" s="113">
        <v>4.2424999999999997</v>
      </c>
      <c r="G120" s="113">
        <v>0.15090000000000001</v>
      </c>
    </row>
    <row r="121" spans="1:21">
      <c r="A121" s="420"/>
      <c r="B121" s="420" t="s">
        <v>495</v>
      </c>
      <c r="C121" s="113">
        <v>50767</v>
      </c>
      <c r="D121" s="113">
        <v>233694289</v>
      </c>
      <c r="E121" s="113">
        <v>1914428</v>
      </c>
      <c r="F121" s="113">
        <v>94.9893</v>
      </c>
      <c r="G121" s="113">
        <v>0.14399999999999999</v>
      </c>
    </row>
    <row r="122" spans="1:21">
      <c r="A122" s="420"/>
      <c r="B122" s="420" t="s">
        <v>506</v>
      </c>
      <c r="C122" s="113">
        <v>713</v>
      </c>
      <c r="D122" s="113">
        <v>1889936</v>
      </c>
      <c r="E122" s="113">
        <v>121724</v>
      </c>
      <c r="F122" s="113">
        <v>0.76819999999999999</v>
      </c>
      <c r="G122" s="113">
        <v>4.8899999999999999E-2</v>
      </c>
    </row>
    <row r="123" spans="1:21">
      <c r="A123" s="420"/>
      <c r="B123" s="420" t="s">
        <v>250</v>
      </c>
      <c r="C123" s="113">
        <v>55035</v>
      </c>
      <c r="D123" s="113">
        <v>246021656</v>
      </c>
      <c r="E123" s="113">
        <v>1940330</v>
      </c>
      <c r="F123" s="113">
        <v>100</v>
      </c>
      <c r="G123" s="113"/>
    </row>
    <row r="124" spans="1:21">
      <c r="A124" s="129"/>
    </row>
    <row r="125" spans="1:21">
      <c r="A125" s="732" t="s">
        <v>484</v>
      </c>
      <c r="B125" s="732"/>
      <c r="C125" s="732"/>
      <c r="D125" s="732"/>
      <c r="E125" s="732"/>
      <c r="F125" s="732"/>
      <c r="G125" s="732"/>
    </row>
    <row r="126" spans="1:21">
      <c r="A126" s="732" t="s">
        <v>528</v>
      </c>
      <c r="B126" s="732"/>
      <c r="C126" s="732"/>
      <c r="D126" s="732"/>
      <c r="E126" s="732"/>
      <c r="F126" s="732"/>
      <c r="G126" s="732"/>
    </row>
    <row r="127" spans="1:21">
      <c r="A127" s="732" t="s">
        <v>487</v>
      </c>
      <c r="B127" s="732" t="s">
        <v>488</v>
      </c>
      <c r="C127" s="732" t="s">
        <v>489</v>
      </c>
      <c r="D127" s="420" t="s">
        <v>490</v>
      </c>
      <c r="E127" s="420" t="s">
        <v>491</v>
      </c>
      <c r="F127" s="732" t="s">
        <v>492</v>
      </c>
      <c r="G127" s="420" t="s">
        <v>491</v>
      </c>
      <c r="J127" t="s">
        <v>493</v>
      </c>
    </row>
    <row r="128" spans="1:21" ht="29.1" thickBot="1">
      <c r="A128" s="732"/>
      <c r="B128" s="732"/>
      <c r="C128" s="732"/>
      <c r="D128" s="420" t="s">
        <v>489</v>
      </c>
      <c r="E128" s="420" t="s">
        <v>494</v>
      </c>
      <c r="F128" s="732"/>
      <c r="G128" s="420" t="s">
        <v>492</v>
      </c>
      <c r="I128">
        <v>2007</v>
      </c>
      <c r="J128" t="s">
        <v>495</v>
      </c>
      <c r="K128" t="s">
        <v>496</v>
      </c>
      <c r="L128" t="s">
        <v>497</v>
      </c>
      <c r="P128" s="49" t="s">
        <v>498</v>
      </c>
      <c r="Q128" s="49" t="s">
        <v>499</v>
      </c>
      <c r="R128" s="49" t="s">
        <v>500</v>
      </c>
      <c r="S128" t="s">
        <v>501</v>
      </c>
      <c r="T128" s="49" t="s">
        <v>502</v>
      </c>
      <c r="U128" s="49" t="s">
        <v>495</v>
      </c>
    </row>
    <row r="129" spans="1:21" ht="28.8">
      <c r="A129" s="420" t="s">
        <v>503</v>
      </c>
      <c r="B129" s="420" t="s">
        <v>503</v>
      </c>
      <c r="C129" s="113">
        <v>23</v>
      </c>
      <c r="D129" s="113">
        <v>74444</v>
      </c>
      <c r="E129" s="113">
        <v>26729</v>
      </c>
      <c r="F129" s="113">
        <v>0.03</v>
      </c>
      <c r="G129" s="113">
        <v>1.0800000000000001E-2</v>
      </c>
      <c r="H129" t="s">
        <v>504</v>
      </c>
      <c r="I129" t="s">
        <v>495</v>
      </c>
      <c r="J129" s="114">
        <f>D138</f>
        <v>235185658</v>
      </c>
      <c r="K129" s="115">
        <f>D137</f>
        <v>10292408</v>
      </c>
      <c r="L129" s="116">
        <f>D139</f>
        <v>1967314</v>
      </c>
      <c r="M129" s="112">
        <f>SUM(J129:L129)</f>
        <v>247445380</v>
      </c>
      <c r="N129" s="230" t="s">
        <v>505</v>
      </c>
      <c r="P129" s="117">
        <f>L129</f>
        <v>1967314</v>
      </c>
      <c r="Q129" s="118">
        <f>L130</f>
        <v>48397</v>
      </c>
      <c r="R129" s="119">
        <f>SUM(J131:L131)</f>
        <v>248268</v>
      </c>
      <c r="S129" s="120">
        <f>K129</f>
        <v>10292408</v>
      </c>
      <c r="T129" s="121">
        <f>SUM(J130:K130)</f>
        <v>103162</v>
      </c>
      <c r="U129" s="122">
        <f>J129</f>
        <v>235185658</v>
      </c>
    </row>
    <row r="130" spans="1:21">
      <c r="A130" s="420"/>
      <c r="B130" s="420" t="s">
        <v>495</v>
      </c>
      <c r="C130" s="113">
        <v>11</v>
      </c>
      <c r="D130" s="113">
        <v>28718</v>
      </c>
      <c r="E130" s="113">
        <v>12495</v>
      </c>
      <c r="F130" s="113">
        <v>1.1599999999999999E-2</v>
      </c>
      <c r="G130" s="113">
        <v>5.1000000000000004E-3</v>
      </c>
      <c r="I130" t="s">
        <v>496</v>
      </c>
      <c r="J130" s="123">
        <f>D130</f>
        <v>28718</v>
      </c>
      <c r="K130" s="124">
        <f>D129</f>
        <v>74444</v>
      </c>
      <c r="L130" s="125">
        <f>D131</f>
        <v>48397</v>
      </c>
      <c r="M130" s="112">
        <f t="shared" ref="M130:M131" si="17">SUM(J130:L130)</f>
        <v>151559</v>
      </c>
      <c r="N130">
        <f>K130/(K130+J130)</f>
        <v>0.72162230278590955</v>
      </c>
    </row>
    <row r="131" spans="1:21" ht="14.7" thickBot="1">
      <c r="A131" s="420"/>
      <c r="B131" s="420" t="s">
        <v>506</v>
      </c>
      <c r="C131" s="113">
        <v>25</v>
      </c>
      <c r="D131" s="113">
        <v>48397</v>
      </c>
      <c r="E131" s="113">
        <v>14240</v>
      </c>
      <c r="F131" s="113">
        <v>1.95E-2</v>
      </c>
      <c r="G131" s="113">
        <v>5.7999999999999996E-3</v>
      </c>
      <c r="I131" t="s">
        <v>507</v>
      </c>
      <c r="J131" s="126">
        <f>D134</f>
        <v>63108</v>
      </c>
      <c r="K131" s="127">
        <f>D133</f>
        <v>79057</v>
      </c>
      <c r="L131" s="128">
        <f>D135</f>
        <v>106103</v>
      </c>
      <c r="M131" s="112">
        <f t="shared" si="17"/>
        <v>248268</v>
      </c>
    </row>
    <row r="132" spans="1:21">
      <c r="A132" s="420"/>
      <c r="B132" s="420" t="s">
        <v>250</v>
      </c>
      <c r="C132" s="113">
        <v>59</v>
      </c>
      <c r="D132" s="113">
        <v>151559</v>
      </c>
      <c r="E132" s="113">
        <v>34367</v>
      </c>
      <c r="F132" s="113">
        <v>6.1199999999999997E-2</v>
      </c>
      <c r="G132" s="113">
        <v>1.3899999999999999E-2</v>
      </c>
      <c r="J132" s="92">
        <f>SUM(J129:J131)</f>
        <v>235277484</v>
      </c>
      <c r="K132" s="92">
        <f>SUM(K129:K131)</f>
        <v>10445909</v>
      </c>
      <c r="L132" s="92">
        <f>SUM(L129:L131)</f>
        <v>2121814</v>
      </c>
    </row>
    <row r="133" spans="1:21">
      <c r="A133" s="420" t="s">
        <v>500</v>
      </c>
      <c r="B133" s="420" t="s">
        <v>503</v>
      </c>
      <c r="C133" s="113">
        <v>27</v>
      </c>
      <c r="D133" s="113">
        <v>79057</v>
      </c>
      <c r="E133" s="113">
        <v>21068</v>
      </c>
      <c r="F133" s="113">
        <v>3.1899999999999998E-2</v>
      </c>
      <c r="G133" s="113">
        <v>8.5000000000000006E-3</v>
      </c>
      <c r="J133">
        <f>J131/(J131+K131+L131)</f>
        <v>0.25419304944656579</v>
      </c>
      <c r="K133">
        <f>K131/(K131+J131+L131)</f>
        <v>0.31843411152464274</v>
      </c>
      <c r="L133">
        <f>L131/(K131+L131+J131)</f>
        <v>0.42737283902879147</v>
      </c>
    </row>
    <row r="134" spans="1:21">
      <c r="A134" s="420"/>
      <c r="B134" s="420" t="s">
        <v>495</v>
      </c>
      <c r="C134" s="113">
        <v>12</v>
      </c>
      <c r="D134" s="113">
        <v>63108</v>
      </c>
      <c r="E134" s="113">
        <v>33727</v>
      </c>
      <c r="F134" s="113">
        <v>2.5499999999999998E-2</v>
      </c>
      <c r="G134" s="113">
        <v>1.35E-2</v>
      </c>
    </row>
    <row r="135" spans="1:21">
      <c r="A135" s="420"/>
      <c r="B135" s="420" t="s">
        <v>506</v>
      </c>
      <c r="C135" s="113">
        <v>33</v>
      </c>
      <c r="D135" s="113">
        <v>106103</v>
      </c>
      <c r="E135" s="113">
        <v>37119</v>
      </c>
      <c r="F135" s="113">
        <v>4.2799999999999998E-2</v>
      </c>
      <c r="G135" s="113">
        <v>1.4999999999999999E-2</v>
      </c>
      <c r="J135">
        <f>J130/(J130+K130)</f>
        <v>0.27837769721409045</v>
      </c>
      <c r="K135">
        <f>K130/(K130+J130)</f>
        <v>0.72162230278590955</v>
      </c>
    </row>
    <row r="136" spans="1:21">
      <c r="A136" s="420"/>
      <c r="B136" s="420" t="s">
        <v>250</v>
      </c>
      <c r="C136" s="113">
        <v>72</v>
      </c>
      <c r="D136" s="113">
        <v>248268</v>
      </c>
      <c r="E136" s="113">
        <v>54866</v>
      </c>
      <c r="F136" s="113">
        <v>0.1002</v>
      </c>
      <c r="G136" s="113">
        <v>2.1999999999999999E-2</v>
      </c>
    </row>
    <row r="137" spans="1:21">
      <c r="A137" s="420" t="s">
        <v>495</v>
      </c>
      <c r="B137" s="420" t="s">
        <v>503</v>
      </c>
      <c r="C137" s="113">
        <v>3446</v>
      </c>
      <c r="D137" s="113">
        <v>10292408</v>
      </c>
      <c r="E137" s="113">
        <v>305496</v>
      </c>
      <c r="F137" s="113">
        <v>4.1528</v>
      </c>
      <c r="G137" s="113">
        <v>0.1152</v>
      </c>
    </row>
    <row r="138" spans="1:21">
      <c r="A138" s="420"/>
      <c r="B138" s="420" t="s">
        <v>495</v>
      </c>
      <c r="C138" s="113">
        <v>50757</v>
      </c>
      <c r="D138" s="113">
        <v>235185658</v>
      </c>
      <c r="E138" s="113">
        <v>2357185</v>
      </c>
      <c r="F138" s="113">
        <v>94.892200000000003</v>
      </c>
      <c r="G138" s="113">
        <v>0.1202</v>
      </c>
    </row>
    <row r="139" spans="1:21">
      <c r="A139" s="420"/>
      <c r="B139" s="420" t="s">
        <v>506</v>
      </c>
      <c r="C139" s="113">
        <v>715</v>
      </c>
      <c r="D139" s="113">
        <v>1967314</v>
      </c>
      <c r="E139" s="113">
        <v>170083</v>
      </c>
      <c r="F139" s="113">
        <v>0.79379999999999995</v>
      </c>
      <c r="G139" s="113">
        <v>6.6799999999999998E-2</v>
      </c>
    </row>
    <row r="140" spans="1:21">
      <c r="A140" s="420"/>
      <c r="B140" s="420" t="s">
        <v>250</v>
      </c>
      <c r="C140" s="113">
        <v>54918</v>
      </c>
      <c r="D140" s="113">
        <v>247445380</v>
      </c>
      <c r="E140" s="113">
        <v>2495625</v>
      </c>
      <c r="F140" s="113">
        <v>99.838700000000003</v>
      </c>
      <c r="G140" s="113">
        <v>2.5600000000000001E-2</v>
      </c>
    </row>
    <row r="141" spans="1:21">
      <c r="A141" s="420" t="s">
        <v>250</v>
      </c>
      <c r="B141" s="420" t="s">
        <v>503</v>
      </c>
      <c r="C141" s="113">
        <v>3496</v>
      </c>
      <c r="D141" s="113">
        <v>10445910</v>
      </c>
      <c r="E141" s="113">
        <v>311281</v>
      </c>
      <c r="F141" s="113">
        <v>4.2146999999999997</v>
      </c>
      <c r="G141" s="113">
        <v>0.1179</v>
      </c>
    </row>
    <row r="142" spans="1:21">
      <c r="A142" s="420"/>
      <c r="B142" s="420" t="s">
        <v>495</v>
      </c>
      <c r="C142" s="113">
        <v>50780</v>
      </c>
      <c r="D142" s="113">
        <v>235277484</v>
      </c>
      <c r="E142" s="113">
        <v>2365937</v>
      </c>
      <c r="F142" s="113">
        <v>94.929199999999994</v>
      </c>
      <c r="G142" s="113">
        <v>0.122</v>
      </c>
    </row>
    <row r="143" spans="1:21">
      <c r="A143" s="420"/>
      <c r="B143" s="420" t="s">
        <v>506</v>
      </c>
      <c r="C143" s="113">
        <v>773</v>
      </c>
      <c r="D143" s="113">
        <v>2121814</v>
      </c>
      <c r="E143" s="113">
        <v>174566</v>
      </c>
      <c r="F143" s="113">
        <v>0.85609999999999997</v>
      </c>
      <c r="G143" s="113">
        <v>6.8699999999999997E-2</v>
      </c>
    </row>
    <row r="144" spans="1:21">
      <c r="A144" s="420"/>
      <c r="B144" s="420" t="s">
        <v>250</v>
      </c>
      <c r="C144" s="113">
        <v>55049</v>
      </c>
      <c r="D144" s="113">
        <v>247845207</v>
      </c>
      <c r="E144" s="113">
        <v>2499997</v>
      </c>
      <c r="F144" s="113">
        <v>100</v>
      </c>
      <c r="G144" s="113"/>
    </row>
    <row r="145" spans="1:21">
      <c r="A145" s="129"/>
    </row>
    <row r="146" spans="1:21">
      <c r="A146" s="732" t="s">
        <v>484</v>
      </c>
      <c r="B146" s="732"/>
      <c r="C146" s="732"/>
      <c r="D146" s="732"/>
      <c r="E146" s="732"/>
      <c r="F146" s="732"/>
      <c r="G146" s="732"/>
    </row>
    <row r="147" spans="1:21">
      <c r="A147" s="732" t="s">
        <v>529</v>
      </c>
      <c r="B147" s="732"/>
      <c r="C147" s="732"/>
      <c r="D147" s="732"/>
      <c r="E147" s="732"/>
      <c r="F147" s="732"/>
      <c r="G147" s="732"/>
    </row>
    <row r="148" spans="1:21">
      <c r="A148" s="732" t="s">
        <v>487</v>
      </c>
      <c r="B148" s="732" t="s">
        <v>488</v>
      </c>
      <c r="C148" s="732" t="s">
        <v>489</v>
      </c>
      <c r="D148" s="420" t="s">
        <v>490</v>
      </c>
      <c r="E148" s="420" t="s">
        <v>491</v>
      </c>
      <c r="F148" s="732" t="s">
        <v>492</v>
      </c>
      <c r="G148" s="420" t="s">
        <v>491</v>
      </c>
      <c r="J148" t="s">
        <v>493</v>
      </c>
    </row>
    <row r="149" spans="1:21" ht="29.1" thickBot="1">
      <c r="A149" s="732"/>
      <c r="B149" s="732"/>
      <c r="C149" s="732"/>
      <c r="D149" s="420" t="s">
        <v>489</v>
      </c>
      <c r="E149" s="420" t="s">
        <v>494</v>
      </c>
      <c r="F149" s="732"/>
      <c r="G149" s="420" t="s">
        <v>492</v>
      </c>
      <c r="I149">
        <v>2008</v>
      </c>
      <c r="J149" t="s">
        <v>495</v>
      </c>
      <c r="K149" t="s">
        <v>496</v>
      </c>
      <c r="L149" t="s">
        <v>497</v>
      </c>
      <c r="P149" s="49" t="s">
        <v>498</v>
      </c>
      <c r="Q149" s="49" t="s">
        <v>499</v>
      </c>
      <c r="R149" s="49" t="s">
        <v>500</v>
      </c>
      <c r="S149" t="s">
        <v>501</v>
      </c>
      <c r="T149" s="49" t="s">
        <v>502</v>
      </c>
      <c r="U149" s="49" t="s">
        <v>495</v>
      </c>
    </row>
    <row r="150" spans="1:21" ht="28.8">
      <c r="A150" s="420" t="s">
        <v>503</v>
      </c>
      <c r="B150" s="420" t="s">
        <v>503</v>
      </c>
      <c r="C150" s="113">
        <v>35</v>
      </c>
      <c r="D150" s="113">
        <v>59619</v>
      </c>
      <c r="E150" s="113">
        <v>12423</v>
      </c>
      <c r="F150" s="113">
        <v>2.3900000000000001E-2</v>
      </c>
      <c r="G150" s="113">
        <v>5.0000000000000001E-3</v>
      </c>
      <c r="H150" t="s">
        <v>504</v>
      </c>
      <c r="I150" t="s">
        <v>495</v>
      </c>
      <c r="J150" s="130">
        <f>D159</f>
        <v>237586835</v>
      </c>
      <c r="K150" s="131">
        <f>D158</f>
        <v>9795118</v>
      </c>
      <c r="L150" s="132">
        <f>D160</f>
        <v>1912898</v>
      </c>
      <c r="M150" s="112">
        <f>SUM(J150:L150)</f>
        <v>249294851</v>
      </c>
      <c r="N150" s="230" t="s">
        <v>505</v>
      </c>
      <c r="P150" s="117">
        <f>L150</f>
        <v>1912898</v>
      </c>
      <c r="Q150" s="118">
        <f>L151</f>
        <v>50393</v>
      </c>
      <c r="R150" s="119">
        <f>SUM(J152:L152)</f>
        <v>329347</v>
      </c>
      <c r="S150" s="120">
        <f>K150</f>
        <v>9795118</v>
      </c>
      <c r="T150" s="121">
        <f>SUM(J151:K151)</f>
        <v>140496</v>
      </c>
      <c r="U150" s="122">
        <f>J150</f>
        <v>237586835</v>
      </c>
    </row>
    <row r="151" spans="1:21">
      <c r="A151" s="420"/>
      <c r="B151" s="420" t="s">
        <v>495</v>
      </c>
      <c r="C151" s="113">
        <v>16</v>
      </c>
      <c r="D151" s="113">
        <v>80877</v>
      </c>
      <c r="E151" s="113">
        <v>28992</v>
      </c>
      <c r="F151" s="113">
        <v>3.2399999999999998E-2</v>
      </c>
      <c r="G151" s="113">
        <v>1.1599999999999999E-2</v>
      </c>
      <c r="I151" t="s">
        <v>496</v>
      </c>
      <c r="J151" s="133">
        <f>D151</f>
        <v>80877</v>
      </c>
      <c r="K151" s="134">
        <f>D150</f>
        <v>59619</v>
      </c>
      <c r="L151" s="135">
        <f>D152</f>
        <v>50393</v>
      </c>
      <c r="M151" s="112">
        <f t="shared" ref="M151:M152" si="18">SUM(J151:L151)</f>
        <v>190889</v>
      </c>
      <c r="N151">
        <f>K151/(K151+J151)</f>
        <v>0.42434660061496415</v>
      </c>
    </row>
    <row r="152" spans="1:21" ht="14.7" thickBot="1">
      <c r="A152" s="420"/>
      <c r="B152" s="420" t="s">
        <v>506</v>
      </c>
      <c r="C152" s="113">
        <v>24</v>
      </c>
      <c r="D152" s="113">
        <v>50393</v>
      </c>
      <c r="E152" s="113">
        <v>15463</v>
      </c>
      <c r="F152" s="113">
        <v>2.0199999999999999E-2</v>
      </c>
      <c r="G152" s="113">
        <v>6.1999999999999998E-3</v>
      </c>
      <c r="I152" t="s">
        <v>507</v>
      </c>
      <c r="J152" s="136">
        <f>D155</f>
        <v>82882</v>
      </c>
      <c r="K152" s="137">
        <f>D154</f>
        <v>144761</v>
      </c>
      <c r="L152" s="138">
        <f>D156</f>
        <v>101704</v>
      </c>
      <c r="M152" s="112">
        <f t="shared" si="18"/>
        <v>329347</v>
      </c>
    </row>
    <row r="153" spans="1:21">
      <c r="A153" s="420"/>
      <c r="B153" s="420" t="s">
        <v>250</v>
      </c>
      <c r="C153" s="113">
        <v>75</v>
      </c>
      <c r="D153" s="113">
        <v>190890</v>
      </c>
      <c r="E153" s="113">
        <v>32812</v>
      </c>
      <c r="F153" s="113">
        <v>7.6399999999999996E-2</v>
      </c>
      <c r="G153" s="113">
        <v>1.32E-2</v>
      </c>
      <c r="J153" s="92">
        <f>SUM(J150:J152)</f>
        <v>237750594</v>
      </c>
      <c r="K153" s="92">
        <f>SUM(K150:K152)</f>
        <v>9999498</v>
      </c>
      <c r="L153" s="92">
        <f>SUM(L150:L152)</f>
        <v>2064995</v>
      </c>
    </row>
    <row r="154" spans="1:21">
      <c r="A154" s="420" t="s">
        <v>500</v>
      </c>
      <c r="B154" s="420" t="s">
        <v>503</v>
      </c>
      <c r="C154" s="113">
        <v>36</v>
      </c>
      <c r="D154" s="113">
        <v>144761</v>
      </c>
      <c r="E154" s="113">
        <v>41808</v>
      </c>
      <c r="F154" s="113">
        <v>5.79E-2</v>
      </c>
      <c r="G154" s="113">
        <v>1.6799999999999999E-2</v>
      </c>
      <c r="J154">
        <f>J152/(J152+K152+L152)</f>
        <v>0.25165554870698686</v>
      </c>
      <c r="K154">
        <f>K152/(K152+J152+L152)</f>
        <v>0.43953945231017744</v>
      </c>
      <c r="L154">
        <f>L152/(K152+L152+J152)</f>
        <v>0.30880499898283575</v>
      </c>
    </row>
    <row r="155" spans="1:21">
      <c r="A155" s="420"/>
      <c r="B155" s="420" t="s">
        <v>495</v>
      </c>
      <c r="C155" s="113">
        <v>24</v>
      </c>
      <c r="D155" s="113">
        <v>82882</v>
      </c>
      <c r="E155" s="113">
        <v>25267</v>
      </c>
      <c r="F155" s="113">
        <v>3.32E-2</v>
      </c>
      <c r="G155" s="113">
        <v>1.0200000000000001E-2</v>
      </c>
    </row>
    <row r="156" spans="1:21">
      <c r="A156" s="420"/>
      <c r="B156" s="420" t="s">
        <v>506</v>
      </c>
      <c r="C156" s="113">
        <v>37</v>
      </c>
      <c r="D156" s="113">
        <v>101704</v>
      </c>
      <c r="E156" s="113">
        <v>31640</v>
      </c>
      <c r="F156" s="113">
        <v>4.07E-2</v>
      </c>
      <c r="G156" s="113">
        <v>1.2699999999999999E-2</v>
      </c>
      <c r="J156">
        <f>J151/(J151+K151)</f>
        <v>0.5756533993850359</v>
      </c>
      <c r="K156">
        <f>K151/(K151+J151)</f>
        <v>0.42434660061496415</v>
      </c>
    </row>
    <row r="157" spans="1:21">
      <c r="A157" s="420"/>
      <c r="B157" s="420" t="s">
        <v>250</v>
      </c>
      <c r="C157" s="113">
        <v>97</v>
      </c>
      <c r="D157" s="113">
        <v>329348</v>
      </c>
      <c r="E157" s="113">
        <v>56402</v>
      </c>
      <c r="F157" s="113">
        <v>0.1318</v>
      </c>
      <c r="G157" s="113">
        <v>2.29E-2</v>
      </c>
    </row>
    <row r="158" spans="1:21">
      <c r="A158" s="420" t="s">
        <v>495</v>
      </c>
      <c r="B158" s="420" t="s">
        <v>503</v>
      </c>
      <c r="C158" s="113">
        <v>3368</v>
      </c>
      <c r="D158" s="113">
        <v>9795118</v>
      </c>
      <c r="E158" s="113">
        <v>251141</v>
      </c>
      <c r="F158" s="113">
        <v>3.9209000000000001</v>
      </c>
      <c r="G158" s="113">
        <v>0.1084</v>
      </c>
    </row>
    <row r="159" spans="1:21">
      <c r="A159" s="420"/>
      <c r="B159" s="420" t="s">
        <v>495</v>
      </c>
      <c r="C159" s="113">
        <v>50798</v>
      </c>
      <c r="D159" s="113">
        <v>237586835</v>
      </c>
      <c r="E159" s="113">
        <v>2656878</v>
      </c>
      <c r="F159" s="113">
        <v>95.105099999999993</v>
      </c>
      <c r="G159" s="113">
        <v>0.1079</v>
      </c>
    </row>
    <row r="160" spans="1:21">
      <c r="A160" s="420"/>
      <c r="B160" s="420" t="s">
        <v>506</v>
      </c>
      <c r="C160" s="113">
        <v>772</v>
      </c>
      <c r="D160" s="113">
        <v>1912898</v>
      </c>
      <c r="E160" s="113">
        <v>98962</v>
      </c>
      <c r="F160" s="113">
        <v>0.76570000000000005</v>
      </c>
      <c r="G160" s="113">
        <v>4.0300000000000002E-2</v>
      </c>
    </row>
    <row r="161" spans="1:21">
      <c r="A161" s="420"/>
      <c r="B161" s="420" t="s">
        <v>250</v>
      </c>
      <c r="C161" s="113">
        <v>54938</v>
      </c>
      <c r="D161" s="113">
        <v>249294851</v>
      </c>
      <c r="E161" s="113">
        <v>2651542</v>
      </c>
      <c r="F161" s="113">
        <v>99.791799999999995</v>
      </c>
      <c r="G161" s="113">
        <v>2.5999999999999999E-2</v>
      </c>
    </row>
    <row r="162" spans="1:21">
      <c r="A162" s="420" t="s">
        <v>250</v>
      </c>
      <c r="B162" s="420" t="s">
        <v>503</v>
      </c>
      <c r="C162" s="113">
        <v>3439</v>
      </c>
      <c r="D162" s="113">
        <v>9999499</v>
      </c>
      <c r="E162" s="113">
        <v>259052</v>
      </c>
      <c r="F162" s="113">
        <v>4.0027999999999997</v>
      </c>
      <c r="G162" s="113">
        <v>0.11310000000000001</v>
      </c>
    </row>
    <row r="163" spans="1:21">
      <c r="A163" s="420"/>
      <c r="B163" s="420" t="s">
        <v>495</v>
      </c>
      <c r="C163" s="113">
        <v>50838</v>
      </c>
      <c r="D163" s="113">
        <v>237750594</v>
      </c>
      <c r="E163" s="113">
        <v>2656407</v>
      </c>
      <c r="F163" s="113">
        <v>95.170599999999993</v>
      </c>
      <c r="G163" s="113">
        <v>0.1096</v>
      </c>
    </row>
    <row r="164" spans="1:21">
      <c r="A164" s="420"/>
      <c r="B164" s="420" t="s">
        <v>506</v>
      </c>
      <c r="C164" s="113">
        <v>833</v>
      </c>
      <c r="D164" s="113">
        <v>2064996</v>
      </c>
      <c r="E164" s="113">
        <v>98901</v>
      </c>
      <c r="F164" s="113">
        <v>0.8266</v>
      </c>
      <c r="G164" s="113">
        <v>4.0599999999999997E-2</v>
      </c>
    </row>
    <row r="165" spans="1:21">
      <c r="A165" s="420"/>
      <c r="B165" s="420" t="s">
        <v>250</v>
      </c>
      <c r="C165" s="113">
        <v>55110</v>
      </c>
      <c r="D165" s="113">
        <v>249815089</v>
      </c>
      <c r="E165" s="113">
        <v>2637688</v>
      </c>
      <c r="F165" s="113">
        <v>100</v>
      </c>
      <c r="G165" s="113"/>
    </row>
    <row r="166" spans="1:21">
      <c r="A166" s="129"/>
    </row>
    <row r="167" spans="1:21">
      <c r="A167" s="732" t="s">
        <v>484</v>
      </c>
      <c r="B167" s="732"/>
      <c r="C167" s="732"/>
      <c r="D167" s="732"/>
      <c r="E167" s="732"/>
      <c r="F167" s="732"/>
      <c r="G167" s="732"/>
    </row>
    <row r="168" spans="1:21">
      <c r="A168" s="732" t="s">
        <v>530</v>
      </c>
      <c r="B168" s="732"/>
      <c r="C168" s="732"/>
      <c r="D168" s="732"/>
      <c r="E168" s="732"/>
      <c r="F168" s="732"/>
      <c r="G168" s="732"/>
    </row>
    <row r="169" spans="1:21">
      <c r="A169" s="732" t="s">
        <v>487</v>
      </c>
      <c r="B169" s="732" t="s">
        <v>488</v>
      </c>
      <c r="C169" s="732" t="s">
        <v>489</v>
      </c>
      <c r="D169" s="420" t="s">
        <v>490</v>
      </c>
      <c r="E169" s="420" t="s">
        <v>491</v>
      </c>
      <c r="F169" s="732" t="s">
        <v>492</v>
      </c>
      <c r="G169" s="420" t="s">
        <v>491</v>
      </c>
      <c r="J169" t="s">
        <v>493</v>
      </c>
    </row>
    <row r="170" spans="1:21" ht="29.1" thickBot="1">
      <c r="A170" s="732"/>
      <c r="B170" s="732"/>
      <c r="C170" s="732"/>
      <c r="D170" s="420" t="s">
        <v>489</v>
      </c>
      <c r="E170" s="420" t="s">
        <v>494</v>
      </c>
      <c r="F170" s="732"/>
      <c r="G170" s="420" t="s">
        <v>492</v>
      </c>
      <c r="I170">
        <v>2009</v>
      </c>
      <c r="J170" t="s">
        <v>495</v>
      </c>
      <c r="K170" t="s">
        <v>496</v>
      </c>
      <c r="L170" t="s">
        <v>497</v>
      </c>
      <c r="P170" s="49" t="s">
        <v>498</v>
      </c>
      <c r="Q170" s="49" t="s">
        <v>499</v>
      </c>
      <c r="R170" s="49" t="s">
        <v>500</v>
      </c>
      <c r="S170" t="s">
        <v>501</v>
      </c>
      <c r="T170" s="49" t="s">
        <v>502</v>
      </c>
      <c r="U170" s="49" t="s">
        <v>495</v>
      </c>
    </row>
    <row r="171" spans="1:21" ht="28.8">
      <c r="A171" s="420" t="s">
        <v>503</v>
      </c>
      <c r="B171" s="420" t="s">
        <v>503</v>
      </c>
      <c r="C171" s="113">
        <v>28</v>
      </c>
      <c r="D171" s="113">
        <v>145500</v>
      </c>
      <c r="E171" s="113">
        <v>60721</v>
      </c>
      <c r="F171" s="113">
        <v>5.7799999999999997E-2</v>
      </c>
      <c r="G171" s="113">
        <v>2.4199999999999999E-2</v>
      </c>
      <c r="H171" t="s">
        <v>504</v>
      </c>
      <c r="I171" t="s">
        <v>495</v>
      </c>
      <c r="J171" s="130">
        <f>D180</f>
        <v>239100324</v>
      </c>
      <c r="K171" s="131">
        <f>D179</f>
        <v>9965813</v>
      </c>
      <c r="L171" s="132">
        <f>D181</f>
        <v>2039042</v>
      </c>
      <c r="M171" s="112">
        <f>SUM(J171:L171)</f>
        <v>251105179</v>
      </c>
      <c r="N171" s="230" t="s">
        <v>505</v>
      </c>
      <c r="P171" s="117">
        <f>L171</f>
        <v>2039042</v>
      </c>
      <c r="Q171" s="118">
        <f>L172</f>
        <v>72146</v>
      </c>
      <c r="R171" s="119">
        <f>SUM(J173:L173)</f>
        <v>423242</v>
      </c>
      <c r="S171" s="120">
        <f>K171</f>
        <v>9965813</v>
      </c>
      <c r="T171" s="121">
        <f>SUM(J172:K172)</f>
        <v>214966</v>
      </c>
      <c r="U171" s="122">
        <f>J171</f>
        <v>239100324</v>
      </c>
    </row>
    <row r="172" spans="1:21">
      <c r="A172" s="420"/>
      <c r="B172" s="420" t="s">
        <v>495</v>
      </c>
      <c r="C172" s="113">
        <v>24</v>
      </c>
      <c r="D172" s="113">
        <v>69466</v>
      </c>
      <c r="E172" s="113">
        <v>22395</v>
      </c>
      <c r="F172" s="113">
        <v>2.76E-2</v>
      </c>
      <c r="G172" s="113">
        <v>8.8999999999999999E-3</v>
      </c>
      <c r="I172" t="s">
        <v>496</v>
      </c>
      <c r="J172" s="133">
        <f>D172</f>
        <v>69466</v>
      </c>
      <c r="K172" s="134">
        <f>D171</f>
        <v>145500</v>
      </c>
      <c r="L172" s="135">
        <f>D173</f>
        <v>72146</v>
      </c>
      <c r="M172" s="112">
        <f t="shared" ref="M172:M173" si="19">SUM(J172:L172)</f>
        <v>287112</v>
      </c>
      <c r="N172">
        <f>K172/(K172+J172)</f>
        <v>0.67685122298409983</v>
      </c>
    </row>
    <row r="173" spans="1:21" ht="14.7" thickBot="1">
      <c r="A173" s="420"/>
      <c r="B173" s="420" t="s">
        <v>506</v>
      </c>
      <c r="C173" s="113">
        <v>39</v>
      </c>
      <c r="D173" s="113">
        <v>72146</v>
      </c>
      <c r="E173" s="113">
        <v>15561</v>
      </c>
      <c r="F173" s="113">
        <v>2.87E-2</v>
      </c>
      <c r="G173" s="113">
        <v>6.3E-3</v>
      </c>
      <c r="I173" t="s">
        <v>507</v>
      </c>
      <c r="J173" s="136">
        <f>D176</f>
        <v>143286</v>
      </c>
      <c r="K173" s="137">
        <f>D175</f>
        <v>126412</v>
      </c>
      <c r="L173" s="138">
        <f>D177</f>
        <v>153544</v>
      </c>
      <c r="M173" s="112">
        <f t="shared" si="19"/>
        <v>423242</v>
      </c>
    </row>
    <row r="174" spans="1:21">
      <c r="A174" s="420"/>
      <c r="B174" s="420" t="s">
        <v>250</v>
      </c>
      <c r="C174" s="113">
        <v>91</v>
      </c>
      <c r="D174" s="113">
        <v>287112</v>
      </c>
      <c r="E174" s="113">
        <v>70036</v>
      </c>
      <c r="F174" s="113">
        <v>0.114</v>
      </c>
      <c r="G174" s="113">
        <v>2.8000000000000001E-2</v>
      </c>
      <c r="J174" s="92">
        <f>SUM(J171:J173)</f>
        <v>239313076</v>
      </c>
      <c r="K174" s="92">
        <f>SUM(K171:K173)</f>
        <v>10237725</v>
      </c>
      <c r="L174" s="92">
        <f>SUM(L171:L173)</f>
        <v>2264732</v>
      </c>
    </row>
    <row r="175" spans="1:21">
      <c r="A175" s="420" t="s">
        <v>500</v>
      </c>
      <c r="B175" s="420" t="s">
        <v>503</v>
      </c>
      <c r="C175" s="113">
        <v>27</v>
      </c>
      <c r="D175" s="113">
        <v>126412</v>
      </c>
      <c r="E175" s="113">
        <v>40776</v>
      </c>
      <c r="F175" s="113">
        <v>5.0200000000000002E-2</v>
      </c>
      <c r="G175" s="113">
        <v>1.6199999999999999E-2</v>
      </c>
      <c r="J175">
        <f>J173/(J173+K173+L173)</f>
        <v>0.3385439063230965</v>
      </c>
      <c r="K175">
        <f>K173/(K173+J173+L173)</f>
        <v>0.29867546226508712</v>
      </c>
      <c r="L175">
        <f>L173/(K173+L173+J173)</f>
        <v>0.36278063141181643</v>
      </c>
    </row>
    <row r="176" spans="1:21">
      <c r="A176" s="420"/>
      <c r="B176" s="420" t="s">
        <v>495</v>
      </c>
      <c r="C176" s="113">
        <v>26</v>
      </c>
      <c r="D176" s="113">
        <v>143286</v>
      </c>
      <c r="E176" s="113">
        <v>48268</v>
      </c>
      <c r="F176" s="113">
        <v>5.6899999999999999E-2</v>
      </c>
      <c r="G176" s="113">
        <v>1.9199999999999998E-2</v>
      </c>
    </row>
    <row r="177" spans="1:21">
      <c r="A177" s="420"/>
      <c r="B177" s="420" t="s">
        <v>506</v>
      </c>
      <c r="C177" s="113">
        <v>64</v>
      </c>
      <c r="D177" s="113">
        <v>153544</v>
      </c>
      <c r="E177" s="113">
        <v>27873</v>
      </c>
      <c r="F177" s="113">
        <v>6.0999999999999999E-2</v>
      </c>
      <c r="G177" s="113">
        <v>1.0999999999999999E-2</v>
      </c>
      <c r="J177">
        <f>J172/(J172+K172)</f>
        <v>0.32314877701590017</v>
      </c>
      <c r="K177">
        <f>K172/(K172+J172)</f>
        <v>0.67685122298409983</v>
      </c>
    </row>
    <row r="178" spans="1:21">
      <c r="A178" s="420"/>
      <c r="B178" s="420" t="s">
        <v>250</v>
      </c>
      <c r="C178" s="113">
        <v>117</v>
      </c>
      <c r="D178" s="113">
        <v>423242</v>
      </c>
      <c r="E178" s="113">
        <v>68313</v>
      </c>
      <c r="F178" s="113">
        <v>0.1681</v>
      </c>
      <c r="G178" s="113">
        <v>2.69E-2</v>
      </c>
    </row>
    <row r="179" spans="1:21">
      <c r="A179" s="420" t="s">
        <v>495</v>
      </c>
      <c r="B179" s="420" t="s">
        <v>503</v>
      </c>
      <c r="C179" s="113">
        <v>3429</v>
      </c>
      <c r="D179" s="113">
        <v>9965813</v>
      </c>
      <c r="E179" s="113">
        <v>284997</v>
      </c>
      <c r="F179" s="113">
        <v>3.9575999999999998</v>
      </c>
      <c r="G179" s="113">
        <v>0.11409999999999999</v>
      </c>
    </row>
    <row r="180" spans="1:21">
      <c r="A180" s="420"/>
      <c r="B180" s="420" t="s">
        <v>495</v>
      </c>
      <c r="C180" s="113">
        <v>50842</v>
      </c>
      <c r="D180" s="113">
        <v>239100324</v>
      </c>
      <c r="E180" s="113">
        <v>2730842</v>
      </c>
      <c r="F180" s="113">
        <v>94.950599999999994</v>
      </c>
      <c r="G180" s="113">
        <v>0.13289999999999999</v>
      </c>
    </row>
    <row r="181" spans="1:21">
      <c r="A181" s="420"/>
      <c r="B181" s="420" t="s">
        <v>506</v>
      </c>
      <c r="C181" s="113">
        <v>755</v>
      </c>
      <c r="D181" s="113">
        <v>2039042</v>
      </c>
      <c r="E181" s="113">
        <v>110805</v>
      </c>
      <c r="F181" s="113">
        <v>0.80969999999999998</v>
      </c>
      <c r="G181" s="113">
        <v>4.5699999999999998E-2</v>
      </c>
    </row>
    <row r="182" spans="1:21">
      <c r="A182" s="420"/>
      <c r="B182" s="420" t="s">
        <v>250</v>
      </c>
      <c r="C182" s="113">
        <v>55026</v>
      </c>
      <c r="D182" s="113">
        <v>251105179</v>
      </c>
      <c r="E182" s="113">
        <v>2751644</v>
      </c>
      <c r="F182" s="113">
        <v>99.7179</v>
      </c>
      <c r="G182" s="113">
        <v>3.6499999999999998E-2</v>
      </c>
    </row>
    <row r="183" spans="1:21">
      <c r="A183" s="420" t="s">
        <v>250</v>
      </c>
      <c r="B183" s="420" t="s">
        <v>503</v>
      </c>
      <c r="C183" s="113">
        <v>3484</v>
      </c>
      <c r="D183" s="113">
        <v>10237725</v>
      </c>
      <c r="E183" s="113">
        <v>293280</v>
      </c>
      <c r="F183" s="113">
        <v>4.0655999999999999</v>
      </c>
      <c r="G183" s="113">
        <v>0.1183</v>
      </c>
    </row>
    <row r="184" spans="1:21">
      <c r="A184" s="420"/>
      <c r="B184" s="420" t="s">
        <v>495</v>
      </c>
      <c r="C184" s="113">
        <v>50892</v>
      </c>
      <c r="D184" s="113">
        <v>239313076</v>
      </c>
      <c r="E184" s="113">
        <v>2733032</v>
      </c>
      <c r="F184" s="113">
        <v>95.0351</v>
      </c>
      <c r="G184" s="113">
        <v>0.12820000000000001</v>
      </c>
    </row>
    <row r="185" spans="1:21">
      <c r="A185" s="420"/>
      <c r="B185" s="420" t="s">
        <v>506</v>
      </c>
      <c r="C185" s="113">
        <v>858</v>
      </c>
      <c r="D185" s="113">
        <v>2264732</v>
      </c>
      <c r="E185" s="113">
        <v>114318</v>
      </c>
      <c r="F185" s="113">
        <v>0.89939999999999998</v>
      </c>
      <c r="G185" s="113">
        <v>4.7300000000000002E-2</v>
      </c>
    </row>
    <row r="186" spans="1:21">
      <c r="A186" s="420"/>
      <c r="B186" s="420" t="s">
        <v>250</v>
      </c>
      <c r="C186" s="113">
        <v>55234</v>
      </c>
      <c r="D186" s="113">
        <v>251815533</v>
      </c>
      <c r="E186" s="113">
        <v>2749174</v>
      </c>
      <c r="F186" s="113">
        <v>100</v>
      </c>
      <c r="G186" s="113"/>
    </row>
    <row r="187" spans="1:21">
      <c r="A187" s="129"/>
    </row>
    <row r="188" spans="1:21">
      <c r="A188" s="732" t="s">
        <v>484</v>
      </c>
      <c r="B188" s="732"/>
      <c r="C188" s="732"/>
      <c r="D188" s="732"/>
      <c r="E188" s="732"/>
      <c r="F188" s="732"/>
      <c r="G188" s="732"/>
    </row>
    <row r="189" spans="1:21">
      <c r="A189" s="732" t="s">
        <v>531</v>
      </c>
      <c r="B189" s="732"/>
      <c r="C189" s="732"/>
      <c r="D189" s="732"/>
      <c r="E189" s="732"/>
      <c r="F189" s="732"/>
      <c r="G189" s="732"/>
    </row>
    <row r="190" spans="1:21">
      <c r="A190" s="732" t="s">
        <v>487</v>
      </c>
      <c r="B190" s="732" t="s">
        <v>488</v>
      </c>
      <c r="C190" s="732" t="s">
        <v>489</v>
      </c>
      <c r="D190" s="420" t="s">
        <v>490</v>
      </c>
      <c r="E190" s="420" t="s">
        <v>491</v>
      </c>
      <c r="F190" s="732" t="s">
        <v>492</v>
      </c>
      <c r="G190" s="420" t="s">
        <v>491</v>
      </c>
      <c r="J190" t="s">
        <v>493</v>
      </c>
    </row>
    <row r="191" spans="1:21" ht="29.1" thickBot="1">
      <c r="A191" s="732"/>
      <c r="B191" s="732"/>
      <c r="C191" s="732"/>
      <c r="D191" s="420" t="s">
        <v>489</v>
      </c>
      <c r="E191" s="420" t="s">
        <v>494</v>
      </c>
      <c r="F191" s="732"/>
      <c r="G191" s="420" t="s">
        <v>492</v>
      </c>
      <c r="I191">
        <v>2010</v>
      </c>
      <c r="J191" t="s">
        <v>495</v>
      </c>
      <c r="K191" t="s">
        <v>496</v>
      </c>
      <c r="L191" t="s">
        <v>497</v>
      </c>
      <c r="P191" s="49" t="s">
        <v>498</v>
      </c>
      <c r="Q191" s="49" t="s">
        <v>499</v>
      </c>
      <c r="R191" s="49" t="s">
        <v>500</v>
      </c>
      <c r="S191" t="s">
        <v>501</v>
      </c>
      <c r="T191" s="49" t="s">
        <v>502</v>
      </c>
      <c r="U191" s="49" t="s">
        <v>495</v>
      </c>
    </row>
    <row r="192" spans="1:21" ht="28.8">
      <c r="A192" s="420" t="s">
        <v>503</v>
      </c>
      <c r="B192" s="420" t="s">
        <v>503</v>
      </c>
      <c r="C192" s="113">
        <v>27</v>
      </c>
      <c r="D192" s="113">
        <v>69489</v>
      </c>
      <c r="E192" s="113">
        <v>18870</v>
      </c>
      <c r="F192" s="113">
        <v>2.7400000000000001E-2</v>
      </c>
      <c r="G192" s="113">
        <v>7.4000000000000003E-3</v>
      </c>
      <c r="H192" t="s">
        <v>504</v>
      </c>
      <c r="I192" t="s">
        <v>495</v>
      </c>
      <c r="J192" s="130">
        <f>D201</f>
        <v>240974597</v>
      </c>
      <c r="K192" s="131">
        <f>D200</f>
        <v>9823494</v>
      </c>
      <c r="L192" s="132">
        <f>D202</f>
        <v>2140500</v>
      </c>
      <c r="M192" s="112">
        <f>SUM(J192:L192)</f>
        <v>252938591</v>
      </c>
      <c r="N192" s="230" t="s">
        <v>505</v>
      </c>
      <c r="P192" s="117">
        <f>L192</f>
        <v>2140500</v>
      </c>
      <c r="Q192" s="118">
        <f>L193</f>
        <v>105068</v>
      </c>
      <c r="R192" s="119">
        <f>SUM(J194:L194)</f>
        <v>429287</v>
      </c>
      <c r="S192" s="120">
        <f>K192</f>
        <v>9823494</v>
      </c>
      <c r="T192" s="121">
        <f>SUM(J193:K193)</f>
        <v>146161</v>
      </c>
      <c r="U192" s="122">
        <f>J192</f>
        <v>240974597</v>
      </c>
    </row>
    <row r="193" spans="1:14">
      <c r="A193" s="420"/>
      <c r="B193" s="420" t="s">
        <v>495</v>
      </c>
      <c r="C193" s="113">
        <v>21</v>
      </c>
      <c r="D193" s="113">
        <v>76672</v>
      </c>
      <c r="E193" s="113">
        <v>30343</v>
      </c>
      <c r="F193" s="113">
        <v>3.0200000000000001E-2</v>
      </c>
      <c r="G193" s="113">
        <v>1.1900000000000001E-2</v>
      </c>
      <c r="I193" t="s">
        <v>496</v>
      </c>
      <c r="J193" s="133">
        <f>D193</f>
        <v>76672</v>
      </c>
      <c r="K193" s="134">
        <f>D192</f>
        <v>69489</v>
      </c>
      <c r="L193" s="135">
        <f>D194</f>
        <v>105068</v>
      </c>
      <c r="M193" s="112">
        <f t="shared" ref="M193:M194" si="20">SUM(J193:L193)</f>
        <v>251229</v>
      </c>
      <c r="N193">
        <f>K193/(K193+J193)</f>
        <v>0.47542778169279082</v>
      </c>
    </row>
    <row r="194" spans="1:14" ht="14.7" thickBot="1">
      <c r="A194" s="420"/>
      <c r="B194" s="420" t="s">
        <v>506</v>
      </c>
      <c r="C194" s="113">
        <v>28</v>
      </c>
      <c r="D194" s="113">
        <v>105068</v>
      </c>
      <c r="E194" s="113">
        <v>25775</v>
      </c>
      <c r="F194" s="113">
        <v>4.1399999999999999E-2</v>
      </c>
      <c r="G194" s="113">
        <v>1.01E-2</v>
      </c>
      <c r="I194" t="s">
        <v>507</v>
      </c>
      <c r="J194" s="136">
        <f>D197</f>
        <v>128933</v>
      </c>
      <c r="K194" s="137">
        <f>D196</f>
        <v>76070</v>
      </c>
      <c r="L194" s="138">
        <f>D198</f>
        <v>224284</v>
      </c>
      <c r="M194" s="112">
        <f t="shared" si="20"/>
        <v>429287</v>
      </c>
    </row>
    <row r="195" spans="1:14">
      <c r="A195" s="420"/>
      <c r="B195" s="420" t="s">
        <v>250</v>
      </c>
      <c r="C195" s="113">
        <v>76</v>
      </c>
      <c r="D195" s="113">
        <v>251229</v>
      </c>
      <c r="E195" s="113">
        <v>44286</v>
      </c>
      <c r="F195" s="113">
        <v>9.9099999999999994E-2</v>
      </c>
      <c r="G195" s="113">
        <v>1.72E-2</v>
      </c>
      <c r="J195" s="92">
        <f>SUM(J192:J194)</f>
        <v>241180202</v>
      </c>
      <c r="K195" s="92">
        <f>SUM(K192:K194)</f>
        <v>9969053</v>
      </c>
      <c r="L195" s="92">
        <f>SUM(L192:L194)</f>
        <v>2469852</v>
      </c>
    </row>
    <row r="196" spans="1:14">
      <c r="A196" s="420" t="s">
        <v>500</v>
      </c>
      <c r="B196" s="420" t="s">
        <v>503</v>
      </c>
      <c r="C196" s="113">
        <v>30</v>
      </c>
      <c r="D196" s="113">
        <v>76070</v>
      </c>
      <c r="E196" s="113">
        <v>21622</v>
      </c>
      <c r="F196" s="113">
        <v>0.03</v>
      </c>
      <c r="G196" s="113">
        <v>8.3999999999999995E-3</v>
      </c>
      <c r="J196">
        <f>J194/(J194+K194+L194)</f>
        <v>0.30034219531455647</v>
      </c>
      <c r="K196">
        <f>K194/(K194+J194+L194)</f>
        <v>0.17720080039693725</v>
      </c>
      <c r="L196">
        <f>L194/(K194+L194+J194)</f>
        <v>0.52245700428850628</v>
      </c>
    </row>
    <row r="197" spans="1:14">
      <c r="A197" s="420"/>
      <c r="B197" s="420" t="s">
        <v>495</v>
      </c>
      <c r="C197" s="113">
        <v>26</v>
      </c>
      <c r="D197" s="113">
        <v>128933</v>
      </c>
      <c r="E197" s="113">
        <v>33570</v>
      </c>
      <c r="F197" s="113">
        <v>5.0799999999999998E-2</v>
      </c>
      <c r="G197" s="113">
        <v>1.32E-2</v>
      </c>
    </row>
    <row r="198" spans="1:14">
      <c r="A198" s="420"/>
      <c r="B198" s="420" t="s">
        <v>506</v>
      </c>
      <c r="C198" s="113">
        <v>54</v>
      </c>
      <c r="D198" s="113">
        <v>224284</v>
      </c>
      <c r="E198" s="113">
        <v>48304</v>
      </c>
      <c r="F198" s="113">
        <v>8.8400000000000006E-2</v>
      </c>
      <c r="G198" s="113">
        <v>1.89E-2</v>
      </c>
      <c r="J198">
        <f>J193/(J193+K193)</f>
        <v>0.52457221830720913</v>
      </c>
      <c r="K198">
        <f>K193/(K193+J193)</f>
        <v>0.47542778169279082</v>
      </c>
    </row>
    <row r="199" spans="1:14">
      <c r="A199" s="420"/>
      <c r="B199" s="420" t="s">
        <v>250</v>
      </c>
      <c r="C199" s="113">
        <v>110</v>
      </c>
      <c r="D199" s="113">
        <v>429287</v>
      </c>
      <c r="E199" s="113">
        <v>64239</v>
      </c>
      <c r="F199" s="113">
        <v>0.16930000000000001</v>
      </c>
      <c r="G199" s="113">
        <v>2.4899999999999999E-2</v>
      </c>
    </row>
    <row r="200" spans="1:14">
      <c r="A200" s="420" t="s">
        <v>495</v>
      </c>
      <c r="B200" s="420" t="s">
        <v>503</v>
      </c>
      <c r="C200" s="113">
        <v>3205</v>
      </c>
      <c r="D200" s="113">
        <v>9823494</v>
      </c>
      <c r="E200" s="113">
        <v>283919</v>
      </c>
      <c r="F200" s="113">
        <v>3.8733</v>
      </c>
      <c r="G200" s="113">
        <v>0.10050000000000001</v>
      </c>
    </row>
    <row r="201" spans="1:14">
      <c r="A201" s="420"/>
      <c r="B201" s="420" t="s">
        <v>495</v>
      </c>
      <c r="C201" s="113">
        <v>53193</v>
      </c>
      <c r="D201" s="113">
        <v>240974597</v>
      </c>
      <c r="E201" s="113">
        <v>2588256</v>
      </c>
      <c r="F201" s="113">
        <v>95.014399999999995</v>
      </c>
      <c r="G201" s="113">
        <v>0.12709999999999999</v>
      </c>
    </row>
    <row r="202" spans="1:14">
      <c r="A202" s="420"/>
      <c r="B202" s="420" t="s">
        <v>506</v>
      </c>
      <c r="C202" s="113">
        <v>729</v>
      </c>
      <c r="D202" s="113">
        <v>2140500</v>
      </c>
      <c r="E202" s="113">
        <v>176785</v>
      </c>
      <c r="F202" s="113">
        <v>0.84399999999999997</v>
      </c>
      <c r="G202" s="113">
        <v>6.8000000000000005E-2</v>
      </c>
    </row>
    <row r="203" spans="1:14">
      <c r="A203" s="420"/>
      <c r="B203" s="420" t="s">
        <v>250</v>
      </c>
      <c r="C203" s="113">
        <v>57127</v>
      </c>
      <c r="D203" s="113">
        <v>252938591</v>
      </c>
      <c r="E203" s="113">
        <v>2740766</v>
      </c>
      <c r="F203" s="113">
        <v>99.731700000000004</v>
      </c>
      <c r="G203" s="113">
        <v>2.9600000000000001E-2</v>
      </c>
    </row>
    <row r="204" spans="1:14">
      <c r="A204" s="420" t="s">
        <v>250</v>
      </c>
      <c r="B204" s="420" t="s">
        <v>503</v>
      </c>
      <c r="C204" s="113">
        <v>3262</v>
      </c>
      <c r="D204" s="113">
        <v>9969053</v>
      </c>
      <c r="E204" s="113">
        <v>286503</v>
      </c>
      <c r="F204" s="113">
        <v>3.9306999999999999</v>
      </c>
      <c r="G204" s="113">
        <v>0.10050000000000001</v>
      </c>
    </row>
    <row r="205" spans="1:14">
      <c r="A205" s="420"/>
      <c r="B205" s="420" t="s">
        <v>495</v>
      </c>
      <c r="C205" s="113">
        <v>53240</v>
      </c>
      <c r="D205" s="113">
        <v>241180202</v>
      </c>
      <c r="E205" s="113">
        <v>2596993</v>
      </c>
      <c r="F205" s="113">
        <v>95.095399999999998</v>
      </c>
      <c r="G205" s="113">
        <v>0.1242</v>
      </c>
    </row>
    <row r="206" spans="1:14">
      <c r="A206" s="420"/>
      <c r="B206" s="420" t="s">
        <v>506</v>
      </c>
      <c r="C206" s="113">
        <v>811</v>
      </c>
      <c r="D206" s="113">
        <v>2469852</v>
      </c>
      <c r="E206" s="113">
        <v>186125</v>
      </c>
      <c r="F206" s="113">
        <v>0.9738</v>
      </c>
      <c r="G206" s="113">
        <v>7.0999999999999994E-2</v>
      </c>
    </row>
    <row r="207" spans="1:14">
      <c r="A207" s="420"/>
      <c r="B207" s="420" t="s">
        <v>250</v>
      </c>
      <c r="C207" s="113">
        <v>57313</v>
      </c>
      <c r="D207" s="113">
        <v>253619107</v>
      </c>
      <c r="E207" s="113">
        <v>2765635</v>
      </c>
      <c r="F207" s="113">
        <v>100</v>
      </c>
      <c r="G207" s="113"/>
    </row>
    <row r="208" spans="1:14">
      <c r="A208" s="129"/>
    </row>
    <row r="209" spans="1:21">
      <c r="A209" s="732" t="s">
        <v>484</v>
      </c>
      <c r="B209" s="732"/>
      <c r="C209" s="732"/>
      <c r="D209" s="732"/>
      <c r="E209" s="732"/>
      <c r="F209" s="732"/>
      <c r="G209" s="732"/>
    </row>
    <row r="210" spans="1:21">
      <c r="A210" s="732" t="s">
        <v>532</v>
      </c>
      <c r="B210" s="732"/>
      <c r="C210" s="732"/>
      <c r="D210" s="732"/>
      <c r="E210" s="732"/>
      <c r="F210" s="732"/>
      <c r="G210" s="732"/>
    </row>
    <row r="211" spans="1:21">
      <c r="A211" s="732" t="s">
        <v>487</v>
      </c>
      <c r="B211" s="732" t="s">
        <v>488</v>
      </c>
      <c r="C211" s="732" t="s">
        <v>489</v>
      </c>
      <c r="D211" s="420" t="s">
        <v>490</v>
      </c>
      <c r="E211" s="420" t="s">
        <v>491</v>
      </c>
      <c r="F211" s="732" t="s">
        <v>492</v>
      </c>
      <c r="G211" s="420" t="s">
        <v>491</v>
      </c>
      <c r="J211" t="s">
        <v>493</v>
      </c>
    </row>
    <row r="212" spans="1:21" ht="29.1" thickBot="1">
      <c r="A212" s="732"/>
      <c r="B212" s="732"/>
      <c r="C212" s="732"/>
      <c r="D212" s="420" t="s">
        <v>489</v>
      </c>
      <c r="E212" s="420" t="s">
        <v>494</v>
      </c>
      <c r="F212" s="732"/>
      <c r="G212" s="420" t="s">
        <v>492</v>
      </c>
      <c r="I212">
        <v>2011</v>
      </c>
      <c r="J212" t="s">
        <v>495</v>
      </c>
      <c r="K212" t="s">
        <v>496</v>
      </c>
      <c r="L212" t="s">
        <v>497</v>
      </c>
      <c r="P212" s="49" t="s">
        <v>498</v>
      </c>
      <c r="Q212" s="49" t="s">
        <v>499</v>
      </c>
      <c r="R212" s="49" t="s">
        <v>500</v>
      </c>
      <c r="S212" t="s">
        <v>501</v>
      </c>
      <c r="T212" s="49" t="s">
        <v>502</v>
      </c>
      <c r="U212" s="49" t="s">
        <v>495</v>
      </c>
    </row>
    <row r="213" spans="1:21" ht="28.8">
      <c r="A213" s="420" t="s">
        <v>503</v>
      </c>
      <c r="B213" s="420" t="s">
        <v>503</v>
      </c>
      <c r="C213" s="113">
        <v>29</v>
      </c>
      <c r="D213" s="113">
        <v>63488</v>
      </c>
      <c r="E213" s="113">
        <v>17064</v>
      </c>
      <c r="F213" s="113">
        <v>2.46E-2</v>
      </c>
      <c r="G213" s="113">
        <v>6.7000000000000002E-3</v>
      </c>
      <c r="H213" t="s">
        <v>504</v>
      </c>
      <c r="I213" t="s">
        <v>495</v>
      </c>
      <c r="J213" s="130">
        <f>D222</f>
        <v>246212048</v>
      </c>
      <c r="K213" s="131">
        <f>D221</f>
        <v>8794760</v>
      </c>
      <c r="L213" s="132">
        <f>D223</f>
        <v>1898575</v>
      </c>
      <c r="M213" s="112">
        <f>SUM(J213:L213)</f>
        <v>256905383</v>
      </c>
      <c r="N213" s="230" t="s">
        <v>505</v>
      </c>
      <c r="P213" s="117">
        <f>L213</f>
        <v>1898575</v>
      </c>
      <c r="Q213" s="118">
        <f>L214</f>
        <v>47420</v>
      </c>
      <c r="R213" s="119">
        <f>SUM(J215:L215)</f>
        <v>511316</v>
      </c>
      <c r="S213" s="120">
        <f>K213</f>
        <v>8794760</v>
      </c>
      <c r="T213" s="121">
        <f>SUM(J214:K214)</f>
        <v>134826</v>
      </c>
      <c r="U213" s="122">
        <f>J213</f>
        <v>246212048</v>
      </c>
    </row>
    <row r="214" spans="1:21">
      <c r="A214" s="420"/>
      <c r="B214" s="420" t="s">
        <v>495</v>
      </c>
      <c r="C214" s="113">
        <v>27</v>
      </c>
      <c r="D214" s="113">
        <v>71338</v>
      </c>
      <c r="E214" s="113">
        <v>25609</v>
      </c>
      <c r="F214" s="113">
        <v>2.7699999999999999E-2</v>
      </c>
      <c r="G214" s="113">
        <v>0.01</v>
      </c>
      <c r="I214" t="s">
        <v>496</v>
      </c>
      <c r="J214" s="133">
        <f>D214</f>
        <v>71338</v>
      </c>
      <c r="K214" s="134">
        <f>D213</f>
        <v>63488</v>
      </c>
      <c r="L214" s="135">
        <f>D215</f>
        <v>47420</v>
      </c>
      <c r="M214" s="112">
        <f t="shared" ref="M214:M215" si="21">SUM(J214:L214)</f>
        <v>182246</v>
      </c>
      <c r="N214">
        <f>K214/(K214+J214)</f>
        <v>0.47088840431370804</v>
      </c>
    </row>
    <row r="215" spans="1:21" ht="14.7" thickBot="1">
      <c r="A215" s="420"/>
      <c r="B215" s="420" t="s">
        <v>506</v>
      </c>
      <c r="C215" s="113">
        <v>32</v>
      </c>
      <c r="D215" s="113">
        <v>47420</v>
      </c>
      <c r="E215" s="113">
        <v>9724</v>
      </c>
      <c r="F215" s="113">
        <v>1.84E-2</v>
      </c>
      <c r="G215" s="113">
        <v>3.8E-3</v>
      </c>
      <c r="I215" t="s">
        <v>507</v>
      </c>
      <c r="J215" s="136">
        <f>D218</f>
        <v>145969</v>
      </c>
      <c r="K215" s="137">
        <f>D217</f>
        <v>107565</v>
      </c>
      <c r="L215" s="138">
        <f>D219</f>
        <v>257782</v>
      </c>
      <c r="M215" s="112">
        <f t="shared" si="21"/>
        <v>511316</v>
      </c>
    </row>
    <row r="216" spans="1:21">
      <c r="A216" s="420"/>
      <c r="B216" s="420" t="s">
        <v>250</v>
      </c>
      <c r="C216" s="113">
        <v>88</v>
      </c>
      <c r="D216" s="113">
        <v>182246</v>
      </c>
      <c r="E216" s="113">
        <v>32438</v>
      </c>
      <c r="F216" s="113">
        <v>7.0699999999999999E-2</v>
      </c>
      <c r="G216" s="113">
        <v>1.2699999999999999E-2</v>
      </c>
      <c r="J216" s="92">
        <f>SUM(J213:J215)</f>
        <v>246429355</v>
      </c>
      <c r="K216" s="92">
        <f>SUM(K213:K215)</f>
        <v>8965813</v>
      </c>
      <c r="L216" s="92">
        <f>SUM(L213:L215)</f>
        <v>2203777</v>
      </c>
    </row>
    <row r="217" spans="1:21">
      <c r="A217" s="420" t="s">
        <v>500</v>
      </c>
      <c r="B217" s="420" t="s">
        <v>503</v>
      </c>
      <c r="C217" s="113">
        <v>29</v>
      </c>
      <c r="D217" s="113">
        <v>107565</v>
      </c>
      <c r="E217" s="113">
        <v>26929</v>
      </c>
      <c r="F217" s="113">
        <v>4.1799999999999997E-2</v>
      </c>
      <c r="G217" s="113">
        <v>1.0500000000000001E-2</v>
      </c>
      <c r="J217">
        <f>J215/(J215+K215+L215)</f>
        <v>0.28547708266512295</v>
      </c>
      <c r="K217">
        <f>K215/(K215+J215+L215)</f>
        <v>0.21036893036791338</v>
      </c>
      <c r="L217">
        <f>L215/(K215+L215+J215)</f>
        <v>0.50415398696696367</v>
      </c>
    </row>
    <row r="218" spans="1:21">
      <c r="A218" s="420"/>
      <c r="B218" s="420" t="s">
        <v>495</v>
      </c>
      <c r="C218" s="113">
        <v>34</v>
      </c>
      <c r="D218" s="113">
        <v>145969</v>
      </c>
      <c r="E218" s="113">
        <v>38063</v>
      </c>
      <c r="F218" s="113">
        <v>5.67E-2</v>
      </c>
      <c r="G218" s="113">
        <v>1.4800000000000001E-2</v>
      </c>
    </row>
    <row r="219" spans="1:21">
      <c r="A219" s="420"/>
      <c r="B219" s="420" t="s">
        <v>506</v>
      </c>
      <c r="C219" s="113">
        <v>68</v>
      </c>
      <c r="D219" s="113">
        <v>257782</v>
      </c>
      <c r="E219" s="113">
        <v>54252</v>
      </c>
      <c r="F219" s="113">
        <v>0.10009999999999999</v>
      </c>
      <c r="G219" s="113">
        <v>2.12E-2</v>
      </c>
      <c r="J219">
        <f>J214/(J214+K214)</f>
        <v>0.52911159568629196</v>
      </c>
      <c r="K219">
        <f>K214/(K214+J214)</f>
        <v>0.47088840431370804</v>
      </c>
    </row>
    <row r="220" spans="1:21">
      <c r="A220" s="420"/>
      <c r="B220" s="420" t="s">
        <v>250</v>
      </c>
      <c r="C220" s="113">
        <v>131</v>
      </c>
      <c r="D220" s="113">
        <v>511316</v>
      </c>
      <c r="E220" s="113">
        <v>73390</v>
      </c>
      <c r="F220" s="113">
        <v>0.19850000000000001</v>
      </c>
      <c r="G220" s="113">
        <v>2.8799999999999999E-2</v>
      </c>
    </row>
    <row r="221" spans="1:21">
      <c r="A221" s="420" t="s">
        <v>495</v>
      </c>
      <c r="B221" s="420" t="s">
        <v>503</v>
      </c>
      <c r="C221" s="113">
        <v>3095</v>
      </c>
      <c r="D221" s="113">
        <v>8794760</v>
      </c>
      <c r="E221" s="113">
        <v>318461</v>
      </c>
      <c r="F221" s="113">
        <v>3.4140999999999999</v>
      </c>
      <c r="G221" s="113">
        <v>0.1183</v>
      </c>
    </row>
    <row r="222" spans="1:21">
      <c r="A222" s="420"/>
      <c r="B222" s="420" t="s">
        <v>495</v>
      </c>
      <c r="C222" s="113">
        <v>54376</v>
      </c>
      <c r="D222" s="113">
        <v>246212048</v>
      </c>
      <c r="E222" s="113">
        <v>2487824</v>
      </c>
      <c r="F222" s="113">
        <v>95.579599999999999</v>
      </c>
      <c r="G222" s="113">
        <v>0.13780000000000001</v>
      </c>
    </row>
    <row r="223" spans="1:21">
      <c r="A223" s="420"/>
      <c r="B223" s="420" t="s">
        <v>506</v>
      </c>
      <c r="C223" s="113">
        <v>707</v>
      </c>
      <c r="D223" s="113">
        <v>1898575</v>
      </c>
      <c r="E223" s="113">
        <v>116180</v>
      </c>
      <c r="F223" s="113">
        <v>0.73699999999999999</v>
      </c>
      <c r="G223" s="113">
        <v>4.5499999999999999E-2</v>
      </c>
    </row>
    <row r="224" spans="1:21">
      <c r="A224" s="420"/>
      <c r="B224" s="420" t="s">
        <v>250</v>
      </c>
      <c r="C224" s="113">
        <v>58178</v>
      </c>
      <c r="D224" s="113">
        <v>256905382</v>
      </c>
      <c r="E224" s="113">
        <v>2559778</v>
      </c>
      <c r="F224" s="113">
        <v>99.730800000000002</v>
      </c>
      <c r="G224" s="113">
        <v>3.39E-2</v>
      </c>
    </row>
    <row r="225" spans="1:21">
      <c r="A225" s="420" t="s">
        <v>250</v>
      </c>
      <c r="B225" s="420" t="s">
        <v>503</v>
      </c>
      <c r="C225" s="113">
        <v>3153</v>
      </c>
      <c r="D225" s="113">
        <v>8965814</v>
      </c>
      <c r="E225" s="113">
        <v>321823</v>
      </c>
      <c r="F225" s="113">
        <v>3.4805000000000001</v>
      </c>
      <c r="G225" s="113">
        <v>0.1201</v>
      </c>
    </row>
    <row r="226" spans="1:21">
      <c r="A226" s="420"/>
      <c r="B226" s="420" t="s">
        <v>495</v>
      </c>
      <c r="C226" s="113">
        <v>54437</v>
      </c>
      <c r="D226" s="113">
        <v>246429354</v>
      </c>
      <c r="E226" s="113">
        <v>2481476</v>
      </c>
      <c r="F226" s="113">
        <v>95.664000000000001</v>
      </c>
      <c r="G226" s="113">
        <v>0.13519999999999999</v>
      </c>
    </row>
    <row r="227" spans="1:21">
      <c r="A227" s="420"/>
      <c r="B227" s="420" t="s">
        <v>506</v>
      </c>
      <c r="C227" s="113">
        <v>807</v>
      </c>
      <c r="D227" s="113">
        <v>2203776</v>
      </c>
      <c r="E227" s="113">
        <v>128728</v>
      </c>
      <c r="F227" s="113">
        <v>0.85550000000000004</v>
      </c>
      <c r="G227" s="113">
        <v>5.0999999999999997E-2</v>
      </c>
    </row>
    <row r="228" spans="1:21">
      <c r="A228" s="420"/>
      <c r="B228" s="420" t="s">
        <v>250</v>
      </c>
      <c r="C228" s="113">
        <v>58397</v>
      </c>
      <c r="D228" s="113">
        <v>257598944</v>
      </c>
      <c r="E228" s="113">
        <v>2541166</v>
      </c>
      <c r="F228" s="113">
        <v>100</v>
      </c>
      <c r="G228" s="113"/>
    </row>
    <row r="229" spans="1:21">
      <c r="A229" s="129"/>
    </row>
    <row r="230" spans="1:21">
      <c r="A230" s="732" t="s">
        <v>484</v>
      </c>
      <c r="B230" s="732"/>
      <c r="C230" s="732"/>
      <c r="D230" s="732"/>
      <c r="E230" s="732"/>
      <c r="F230" s="732"/>
      <c r="G230" s="732"/>
    </row>
    <row r="231" spans="1:21">
      <c r="A231" s="732" t="s">
        <v>533</v>
      </c>
      <c r="B231" s="732"/>
      <c r="C231" s="732"/>
      <c r="D231" s="732"/>
      <c r="E231" s="732"/>
      <c r="F231" s="732"/>
      <c r="G231" s="732"/>
    </row>
    <row r="232" spans="1:21">
      <c r="A232" s="732" t="s">
        <v>487</v>
      </c>
      <c r="B232" s="732" t="s">
        <v>488</v>
      </c>
      <c r="C232" s="732" t="s">
        <v>489</v>
      </c>
      <c r="D232" s="420" t="s">
        <v>490</v>
      </c>
      <c r="E232" s="420" t="s">
        <v>491</v>
      </c>
      <c r="F232" s="732" t="s">
        <v>492</v>
      </c>
      <c r="G232" s="420" t="s">
        <v>491</v>
      </c>
      <c r="J232" t="s">
        <v>493</v>
      </c>
    </row>
    <row r="233" spans="1:21" ht="29.1" thickBot="1">
      <c r="A233" s="732"/>
      <c r="B233" s="732"/>
      <c r="C233" s="732"/>
      <c r="D233" s="420" t="s">
        <v>489</v>
      </c>
      <c r="E233" s="420" t="s">
        <v>494</v>
      </c>
      <c r="F233" s="732"/>
      <c r="G233" s="420" t="s">
        <v>492</v>
      </c>
      <c r="I233">
        <v>2012</v>
      </c>
      <c r="J233" t="s">
        <v>495</v>
      </c>
      <c r="K233" t="s">
        <v>496</v>
      </c>
      <c r="L233" t="s">
        <v>497</v>
      </c>
      <c r="P233" s="49" t="s">
        <v>498</v>
      </c>
      <c r="Q233" s="49" t="s">
        <v>499</v>
      </c>
      <c r="R233" s="49" t="s">
        <v>500</v>
      </c>
      <c r="S233" t="s">
        <v>501</v>
      </c>
      <c r="T233" s="49" t="s">
        <v>502</v>
      </c>
      <c r="U233" s="49" t="s">
        <v>495</v>
      </c>
    </row>
    <row r="234" spans="1:21" ht="28.8">
      <c r="A234" s="420" t="s">
        <v>503</v>
      </c>
      <c r="B234" s="420" t="s">
        <v>503</v>
      </c>
      <c r="C234" s="113">
        <v>24</v>
      </c>
      <c r="D234" s="113">
        <v>64540</v>
      </c>
      <c r="E234" s="113">
        <v>20233</v>
      </c>
      <c r="F234" s="113">
        <v>2.4799999999999999E-2</v>
      </c>
      <c r="G234" s="113">
        <v>7.7000000000000002E-3</v>
      </c>
      <c r="H234" t="s">
        <v>504</v>
      </c>
      <c r="I234" t="s">
        <v>495</v>
      </c>
      <c r="J234" s="130">
        <f>D243</f>
        <v>247168338</v>
      </c>
      <c r="K234" s="131">
        <f>D242</f>
        <v>9898266</v>
      </c>
      <c r="L234" s="132">
        <f>D244</f>
        <v>2301337</v>
      </c>
      <c r="M234" s="112">
        <f>SUM(J234:L234)</f>
        <v>259367941</v>
      </c>
      <c r="N234" s="230" t="s">
        <v>505</v>
      </c>
      <c r="P234" s="117">
        <f>L234</f>
        <v>2301337</v>
      </c>
      <c r="Q234" s="118">
        <f>L235</f>
        <v>52733</v>
      </c>
      <c r="R234" s="119">
        <f>SUM(J236:L236)</f>
        <v>503336</v>
      </c>
      <c r="S234" s="120">
        <f>K234</f>
        <v>9898266</v>
      </c>
      <c r="T234" s="121">
        <f>SUM(J235:K235)</f>
        <v>133314</v>
      </c>
      <c r="U234" s="122">
        <f>J234</f>
        <v>247168338</v>
      </c>
    </row>
    <row r="235" spans="1:21">
      <c r="A235" s="420"/>
      <c r="B235" s="420" t="s">
        <v>495</v>
      </c>
      <c r="C235" s="113">
        <v>21</v>
      </c>
      <c r="D235" s="113">
        <v>68774</v>
      </c>
      <c r="E235" s="113">
        <v>25627</v>
      </c>
      <c r="F235" s="113">
        <v>2.64E-2</v>
      </c>
      <c r="G235" s="113">
        <v>9.9000000000000008E-3</v>
      </c>
      <c r="I235" t="s">
        <v>496</v>
      </c>
      <c r="J235" s="133">
        <f>D235</f>
        <v>68774</v>
      </c>
      <c r="K235" s="134">
        <f>D234</f>
        <v>64540</v>
      </c>
      <c r="L235" s="135">
        <f>D236</f>
        <v>52733</v>
      </c>
      <c r="M235" s="112">
        <f t="shared" ref="M235:M236" si="22">SUM(J235:L235)</f>
        <v>186047</v>
      </c>
      <c r="N235">
        <f>K235/(K235+J235)</f>
        <v>0.48412019742862716</v>
      </c>
    </row>
    <row r="236" spans="1:21" ht="14.7" thickBot="1">
      <c r="A236" s="420"/>
      <c r="B236" s="420" t="s">
        <v>506</v>
      </c>
      <c r="C236" s="113">
        <v>22</v>
      </c>
      <c r="D236" s="113">
        <v>52733</v>
      </c>
      <c r="E236" s="113">
        <v>12911</v>
      </c>
      <c r="F236" s="113">
        <v>2.0299999999999999E-2</v>
      </c>
      <c r="G236" s="113">
        <v>5.0000000000000001E-3</v>
      </c>
      <c r="I236" t="s">
        <v>507</v>
      </c>
      <c r="J236" s="136">
        <f>D239</f>
        <v>112724</v>
      </c>
      <c r="K236" s="137">
        <f>D238</f>
        <v>101083</v>
      </c>
      <c r="L236" s="138">
        <f>D240</f>
        <v>289529</v>
      </c>
      <c r="M236" s="112">
        <f t="shared" si="22"/>
        <v>503336</v>
      </c>
    </row>
    <row r="237" spans="1:21">
      <c r="A237" s="420"/>
      <c r="B237" s="420" t="s">
        <v>250</v>
      </c>
      <c r="C237" s="113">
        <v>67</v>
      </c>
      <c r="D237" s="113">
        <v>186047</v>
      </c>
      <c r="E237" s="113">
        <v>40187</v>
      </c>
      <c r="F237" s="113">
        <v>7.1499999999999994E-2</v>
      </c>
      <c r="G237" s="113">
        <v>1.54E-2</v>
      </c>
      <c r="J237" s="92">
        <f>SUM(J234:J236)</f>
        <v>247349836</v>
      </c>
      <c r="K237" s="92">
        <f>SUM(K234:K236)</f>
        <v>10063889</v>
      </c>
      <c r="L237" s="92">
        <f>SUM(L234:L236)</f>
        <v>2643599</v>
      </c>
    </row>
    <row r="238" spans="1:21">
      <c r="A238" s="420" t="s">
        <v>500</v>
      </c>
      <c r="B238" s="420" t="s">
        <v>503</v>
      </c>
      <c r="C238" s="113">
        <v>30</v>
      </c>
      <c r="D238" s="113">
        <v>101083</v>
      </c>
      <c r="E238" s="113">
        <v>29756</v>
      </c>
      <c r="F238" s="113">
        <v>3.8899999999999997E-2</v>
      </c>
      <c r="G238" s="113">
        <v>1.15E-2</v>
      </c>
      <c r="J238">
        <f>J236/(J236+K236+L236)</f>
        <v>0.2239537803773225</v>
      </c>
      <c r="K238">
        <f>K236/(K236+J236+L236)</f>
        <v>0.20082608833860482</v>
      </c>
      <c r="L238">
        <f>L236/(K236+L236+J236)</f>
        <v>0.57522013128407268</v>
      </c>
    </row>
    <row r="239" spans="1:21">
      <c r="A239" s="420"/>
      <c r="B239" s="420" t="s">
        <v>495</v>
      </c>
      <c r="C239" s="113">
        <v>38</v>
      </c>
      <c r="D239" s="113">
        <v>112724</v>
      </c>
      <c r="E239" s="113">
        <v>30413</v>
      </c>
      <c r="F239" s="113">
        <v>4.3299999999999998E-2</v>
      </c>
      <c r="G239" s="113">
        <v>1.17E-2</v>
      </c>
    </row>
    <row r="240" spans="1:21">
      <c r="A240" s="420"/>
      <c r="B240" s="420" t="s">
        <v>506</v>
      </c>
      <c r="C240" s="113">
        <v>83</v>
      </c>
      <c r="D240" s="113">
        <v>289529</v>
      </c>
      <c r="E240" s="113">
        <v>50313</v>
      </c>
      <c r="F240" s="113">
        <v>0.1113</v>
      </c>
      <c r="G240" s="113">
        <v>1.9199999999999998E-2</v>
      </c>
      <c r="J240">
        <f>J235/(J235+K235)</f>
        <v>0.51587980257137289</v>
      </c>
      <c r="K240">
        <f>K235/(K235+J235)</f>
        <v>0.48412019742862716</v>
      </c>
    </row>
    <row r="241" spans="1:21">
      <c r="A241" s="420"/>
      <c r="B241" s="420" t="s">
        <v>250</v>
      </c>
      <c r="C241" s="113">
        <v>151</v>
      </c>
      <c r="D241" s="113">
        <v>503336</v>
      </c>
      <c r="E241" s="113">
        <v>74873</v>
      </c>
      <c r="F241" s="113">
        <v>0.19350000000000001</v>
      </c>
      <c r="G241" s="113">
        <v>2.87E-2</v>
      </c>
    </row>
    <row r="242" spans="1:21">
      <c r="A242" s="420" t="s">
        <v>495</v>
      </c>
      <c r="B242" s="420" t="s">
        <v>503</v>
      </c>
      <c r="C242" s="113">
        <v>2867</v>
      </c>
      <c r="D242" s="113">
        <v>9898266</v>
      </c>
      <c r="E242" s="113">
        <v>373128</v>
      </c>
      <c r="F242" s="113">
        <v>3.8062</v>
      </c>
      <c r="G242" s="113">
        <v>0.14680000000000001</v>
      </c>
    </row>
    <row r="243" spans="1:21">
      <c r="A243" s="420"/>
      <c r="B243" s="420" t="s">
        <v>495</v>
      </c>
      <c r="C243" s="113">
        <v>51536</v>
      </c>
      <c r="D243" s="113">
        <v>247168338</v>
      </c>
      <c r="E243" s="113">
        <v>2500209</v>
      </c>
      <c r="F243" s="113">
        <v>95.043800000000005</v>
      </c>
      <c r="G243" s="113">
        <v>0.1678</v>
      </c>
    </row>
    <row r="244" spans="1:21">
      <c r="A244" s="420"/>
      <c r="B244" s="420" t="s">
        <v>506</v>
      </c>
      <c r="C244" s="113">
        <v>647</v>
      </c>
      <c r="D244" s="113">
        <v>2301337</v>
      </c>
      <c r="E244" s="113">
        <v>193725</v>
      </c>
      <c r="F244" s="113">
        <v>0.88490000000000002</v>
      </c>
      <c r="G244" s="113">
        <v>7.3400000000000007E-2</v>
      </c>
    </row>
    <row r="245" spans="1:21">
      <c r="A245" s="420"/>
      <c r="B245" s="420" t="s">
        <v>250</v>
      </c>
      <c r="C245" s="113">
        <v>55050</v>
      </c>
      <c r="D245" s="113">
        <v>259367942</v>
      </c>
      <c r="E245" s="113">
        <v>2514751</v>
      </c>
      <c r="F245" s="113">
        <v>99.734899999999996</v>
      </c>
      <c r="G245" s="113">
        <v>3.4200000000000001E-2</v>
      </c>
    </row>
    <row r="246" spans="1:21">
      <c r="A246" s="420" t="s">
        <v>250</v>
      </c>
      <c r="B246" s="420" t="s">
        <v>503</v>
      </c>
      <c r="C246" s="113">
        <v>2921</v>
      </c>
      <c r="D246" s="113">
        <v>10063889</v>
      </c>
      <c r="E246" s="113">
        <v>384511</v>
      </c>
      <c r="F246" s="113">
        <v>3.8698999999999999</v>
      </c>
      <c r="G246" s="113">
        <v>0.15060000000000001</v>
      </c>
    </row>
    <row r="247" spans="1:21">
      <c r="A247" s="420"/>
      <c r="B247" s="420" t="s">
        <v>495</v>
      </c>
      <c r="C247" s="113">
        <v>51595</v>
      </c>
      <c r="D247" s="113">
        <v>247349836</v>
      </c>
      <c r="E247" s="113">
        <v>2498543</v>
      </c>
      <c r="F247" s="113">
        <v>95.113600000000005</v>
      </c>
      <c r="G247" s="113">
        <v>0.1661</v>
      </c>
    </row>
    <row r="248" spans="1:21">
      <c r="A248" s="420"/>
      <c r="B248" s="420" t="s">
        <v>506</v>
      </c>
      <c r="C248" s="113">
        <v>752</v>
      </c>
      <c r="D248" s="113">
        <v>2643600</v>
      </c>
      <c r="E248" s="113">
        <v>198092</v>
      </c>
      <c r="F248" s="113">
        <v>1.0165</v>
      </c>
      <c r="G248" s="113">
        <v>7.4700000000000003E-2</v>
      </c>
    </row>
    <row r="249" spans="1:21">
      <c r="A249" s="420"/>
      <c r="B249" s="420" t="s">
        <v>250</v>
      </c>
      <c r="C249" s="113">
        <v>55268</v>
      </c>
      <c r="D249" s="113">
        <v>260057325</v>
      </c>
      <c r="E249" s="113">
        <v>2523736</v>
      </c>
      <c r="F249" s="113">
        <v>100</v>
      </c>
      <c r="G249" s="113"/>
    </row>
    <row r="250" spans="1:21">
      <c r="A250" s="129"/>
    </row>
    <row r="251" spans="1:21">
      <c r="A251" s="732" t="s">
        <v>484</v>
      </c>
      <c r="B251" s="732"/>
      <c r="C251" s="732"/>
      <c r="D251" s="732"/>
      <c r="E251" s="732"/>
      <c r="F251" s="732"/>
      <c r="G251" s="732"/>
    </row>
    <row r="252" spans="1:21">
      <c r="A252" s="732" t="s">
        <v>534</v>
      </c>
      <c r="B252" s="732"/>
      <c r="C252" s="732"/>
      <c r="D252" s="732"/>
      <c r="E252" s="732"/>
      <c r="F252" s="732"/>
      <c r="G252" s="732"/>
    </row>
    <row r="253" spans="1:21">
      <c r="A253" s="732" t="s">
        <v>487</v>
      </c>
      <c r="B253" s="732" t="s">
        <v>488</v>
      </c>
      <c r="C253" s="732" t="s">
        <v>489</v>
      </c>
      <c r="D253" s="420" t="s">
        <v>490</v>
      </c>
      <c r="E253" s="420" t="s">
        <v>491</v>
      </c>
      <c r="F253" s="732" t="s">
        <v>492</v>
      </c>
      <c r="G253" s="420" t="s">
        <v>491</v>
      </c>
      <c r="J253" t="s">
        <v>493</v>
      </c>
    </row>
    <row r="254" spans="1:21" ht="29.1" thickBot="1">
      <c r="A254" s="732"/>
      <c r="B254" s="732"/>
      <c r="C254" s="732"/>
      <c r="D254" s="420" t="s">
        <v>489</v>
      </c>
      <c r="E254" s="420" t="s">
        <v>494</v>
      </c>
      <c r="F254" s="732"/>
      <c r="G254" s="420" t="s">
        <v>492</v>
      </c>
      <c r="I254">
        <v>2013</v>
      </c>
      <c r="J254" t="s">
        <v>495</v>
      </c>
      <c r="K254" t="s">
        <v>496</v>
      </c>
      <c r="L254" t="s">
        <v>497</v>
      </c>
      <c r="P254" s="49" t="s">
        <v>498</v>
      </c>
      <c r="Q254" s="49" t="s">
        <v>499</v>
      </c>
      <c r="R254" s="49" t="s">
        <v>500</v>
      </c>
      <c r="S254" t="s">
        <v>501</v>
      </c>
      <c r="T254" s="49" t="s">
        <v>502</v>
      </c>
      <c r="U254" s="49" t="s">
        <v>495</v>
      </c>
    </row>
    <row r="255" spans="1:21" ht="28.8">
      <c r="A255" s="420" t="s">
        <v>503</v>
      </c>
      <c r="B255" s="420" t="s">
        <v>503</v>
      </c>
      <c r="C255" s="113">
        <v>33</v>
      </c>
      <c r="D255" s="113">
        <v>111182</v>
      </c>
      <c r="E255" s="113">
        <v>33209</v>
      </c>
      <c r="F255" s="113">
        <v>4.24E-2</v>
      </c>
      <c r="G255" s="113">
        <v>1.26E-2</v>
      </c>
      <c r="H255" t="s">
        <v>504</v>
      </c>
      <c r="I255" t="s">
        <v>495</v>
      </c>
      <c r="J255" s="130">
        <f>D264</f>
        <v>251167266</v>
      </c>
      <c r="K255" s="131">
        <f>D263</f>
        <v>8543367</v>
      </c>
      <c r="L255" s="132">
        <f>D265</f>
        <v>1935811</v>
      </c>
      <c r="M255" s="112">
        <f>SUM(J255:L255)</f>
        <v>261646444</v>
      </c>
      <c r="N255" s="230" t="s">
        <v>505</v>
      </c>
      <c r="P255" s="117">
        <f>L255</f>
        <v>1935811</v>
      </c>
      <c r="Q255" s="118">
        <f>L256</f>
        <v>50314</v>
      </c>
      <c r="R255" s="119">
        <f>SUM(J257:L257)</f>
        <v>535880</v>
      </c>
      <c r="S255" s="120">
        <f>K255</f>
        <v>8543367</v>
      </c>
      <c r="T255" s="121">
        <f>SUM(J256:K256)</f>
        <v>158816</v>
      </c>
      <c r="U255" s="122">
        <f>J255</f>
        <v>251167266</v>
      </c>
    </row>
    <row r="256" spans="1:21">
      <c r="A256" s="420"/>
      <c r="B256" s="420" t="s">
        <v>495</v>
      </c>
      <c r="C256" s="113">
        <v>26</v>
      </c>
      <c r="D256" s="113">
        <v>47634</v>
      </c>
      <c r="E256" s="113">
        <v>12397</v>
      </c>
      <c r="F256" s="113">
        <v>1.8200000000000001E-2</v>
      </c>
      <c r="G256" s="113">
        <v>4.7000000000000002E-3</v>
      </c>
      <c r="I256" t="s">
        <v>496</v>
      </c>
      <c r="J256" s="133">
        <f>D256</f>
        <v>47634</v>
      </c>
      <c r="K256" s="134">
        <f>D255</f>
        <v>111182</v>
      </c>
      <c r="L256" s="135">
        <f>D257</f>
        <v>50314</v>
      </c>
      <c r="M256" s="112">
        <f t="shared" ref="M256:M257" si="23">SUM(J256:L256)</f>
        <v>209130</v>
      </c>
      <c r="N256">
        <f>K256/(K256+J256)</f>
        <v>0.70006800322385654</v>
      </c>
    </row>
    <row r="257" spans="1:13" ht="14.7" thickBot="1">
      <c r="A257" s="420"/>
      <c r="B257" s="420" t="s">
        <v>506</v>
      </c>
      <c r="C257" s="113">
        <v>19</v>
      </c>
      <c r="D257" s="113">
        <v>50314</v>
      </c>
      <c r="E257" s="113">
        <v>17294</v>
      </c>
      <c r="F257" s="113">
        <v>1.9199999999999998E-2</v>
      </c>
      <c r="G257" s="113">
        <v>6.6E-3</v>
      </c>
      <c r="I257" t="s">
        <v>507</v>
      </c>
      <c r="J257" s="136">
        <f>D260</f>
        <v>110335</v>
      </c>
      <c r="K257" s="137">
        <f>D259</f>
        <v>115839</v>
      </c>
      <c r="L257" s="138">
        <f>D261</f>
        <v>309706</v>
      </c>
      <c r="M257" s="112">
        <f t="shared" si="23"/>
        <v>535880</v>
      </c>
    </row>
    <row r="258" spans="1:13">
      <c r="A258" s="420"/>
      <c r="B258" s="420" t="s">
        <v>250</v>
      </c>
      <c r="C258" s="113">
        <v>78</v>
      </c>
      <c r="D258" s="113">
        <v>209131</v>
      </c>
      <c r="E258" s="113">
        <v>34555</v>
      </c>
      <c r="F258" s="113">
        <v>7.9699999999999993E-2</v>
      </c>
      <c r="G258" s="113">
        <v>1.3100000000000001E-2</v>
      </c>
      <c r="J258" s="92">
        <f>SUM(J255:J257)</f>
        <v>251325235</v>
      </c>
      <c r="K258" s="92">
        <f>SUM(K255:K257)</f>
        <v>8770388</v>
      </c>
      <c r="L258" s="92">
        <f>SUM(L255:L257)</f>
        <v>2295831</v>
      </c>
    </row>
    <row r="259" spans="1:13">
      <c r="A259" s="420" t="s">
        <v>500</v>
      </c>
      <c r="B259" s="420" t="s">
        <v>503</v>
      </c>
      <c r="C259" s="113">
        <v>40</v>
      </c>
      <c r="D259" s="113">
        <v>115839</v>
      </c>
      <c r="E259" s="113">
        <v>31050</v>
      </c>
      <c r="F259" s="113">
        <v>4.41E-2</v>
      </c>
      <c r="G259" s="113">
        <v>1.18E-2</v>
      </c>
      <c r="J259">
        <f>J257/(J257+K257+L257)</f>
        <v>0.20589497648727326</v>
      </c>
      <c r="K259">
        <f>K257/(K257+J257+L257)</f>
        <v>0.21616593267149362</v>
      </c>
      <c r="L259">
        <f>L257/(K257+L257+J257)</f>
        <v>0.57793909084123307</v>
      </c>
    </row>
    <row r="260" spans="1:13">
      <c r="A260" s="420"/>
      <c r="B260" s="420" t="s">
        <v>495</v>
      </c>
      <c r="C260" s="113">
        <v>45</v>
      </c>
      <c r="D260" s="113">
        <v>110335</v>
      </c>
      <c r="E260" s="113">
        <v>28142</v>
      </c>
      <c r="F260" s="113">
        <v>4.2000000000000003E-2</v>
      </c>
      <c r="G260" s="113">
        <v>1.0699999999999999E-2</v>
      </c>
    </row>
    <row r="261" spans="1:13">
      <c r="A261" s="420"/>
      <c r="B261" s="420" t="s">
        <v>506</v>
      </c>
      <c r="C261" s="113">
        <v>82</v>
      </c>
      <c r="D261" s="113">
        <v>309706</v>
      </c>
      <c r="E261" s="113">
        <v>51409</v>
      </c>
      <c r="F261" s="113">
        <v>0.11799999999999999</v>
      </c>
      <c r="G261" s="113">
        <v>1.9699999999999999E-2</v>
      </c>
      <c r="J261">
        <f>J256/(J256+K256)</f>
        <v>0.29993199677614346</v>
      </c>
      <c r="K261">
        <f>K256/(K256+J256)</f>
        <v>0.70006800322385654</v>
      </c>
    </row>
    <row r="262" spans="1:13">
      <c r="A262" s="420"/>
      <c r="B262" s="420" t="s">
        <v>250</v>
      </c>
      <c r="C262" s="113">
        <v>167</v>
      </c>
      <c r="D262" s="113">
        <v>535880</v>
      </c>
      <c r="E262" s="113">
        <v>69992</v>
      </c>
      <c r="F262" s="113">
        <v>0.20419999999999999</v>
      </c>
      <c r="G262" s="113">
        <v>2.6700000000000002E-2</v>
      </c>
    </row>
    <row r="263" spans="1:13">
      <c r="A263" s="420" t="s">
        <v>495</v>
      </c>
      <c r="B263" s="420" t="s">
        <v>503</v>
      </c>
      <c r="C263" s="113">
        <v>2444</v>
      </c>
      <c r="D263" s="113">
        <v>8543367</v>
      </c>
      <c r="E263" s="113">
        <v>303293</v>
      </c>
      <c r="F263" s="113">
        <v>3.2559999999999998</v>
      </c>
      <c r="G263" s="113">
        <v>0.11559999999999999</v>
      </c>
    </row>
    <row r="264" spans="1:13">
      <c r="A264" s="420"/>
      <c r="B264" s="420" t="s">
        <v>495</v>
      </c>
      <c r="C264" s="113">
        <v>51915</v>
      </c>
      <c r="D264" s="113">
        <v>251167266</v>
      </c>
      <c r="E264" s="113">
        <v>2616524</v>
      </c>
      <c r="F264" s="113">
        <v>95.722300000000004</v>
      </c>
      <c r="G264" s="113">
        <v>0.13500000000000001</v>
      </c>
    </row>
    <row r="265" spans="1:13">
      <c r="A265" s="420"/>
      <c r="B265" s="420" t="s">
        <v>506</v>
      </c>
      <c r="C265" s="113">
        <v>556</v>
      </c>
      <c r="D265" s="113">
        <v>1935811</v>
      </c>
      <c r="E265" s="113">
        <v>163006</v>
      </c>
      <c r="F265" s="113">
        <v>0.73780000000000001</v>
      </c>
      <c r="G265" s="113">
        <v>6.4100000000000004E-2</v>
      </c>
    </row>
    <row r="266" spans="1:13">
      <c r="A266" s="420"/>
      <c r="B266" s="420" t="s">
        <v>250</v>
      </c>
      <c r="C266" s="113">
        <v>54915</v>
      </c>
      <c r="D266" s="113">
        <v>261646444</v>
      </c>
      <c r="E266" s="113">
        <v>2602824</v>
      </c>
      <c r="F266" s="113">
        <v>99.716099999999997</v>
      </c>
      <c r="G266" s="113">
        <v>2.9700000000000001E-2</v>
      </c>
    </row>
    <row r="267" spans="1:13">
      <c r="A267" s="420" t="s">
        <v>250</v>
      </c>
      <c r="B267" s="420" t="s">
        <v>503</v>
      </c>
      <c r="C267" s="113">
        <v>2517</v>
      </c>
      <c r="D267" s="113">
        <v>8770388</v>
      </c>
      <c r="E267" s="113">
        <v>309679</v>
      </c>
      <c r="F267" s="113">
        <v>3.3424999999999998</v>
      </c>
      <c r="G267" s="113">
        <v>0.1173</v>
      </c>
    </row>
    <row r="268" spans="1:13">
      <c r="A268" s="420"/>
      <c r="B268" s="420" t="s">
        <v>495</v>
      </c>
      <c r="C268" s="113">
        <v>51986</v>
      </c>
      <c r="D268" s="113">
        <v>251325235</v>
      </c>
      <c r="E268" s="113">
        <v>2620286</v>
      </c>
      <c r="F268" s="113">
        <v>95.782600000000002</v>
      </c>
      <c r="G268" s="113">
        <v>0.13300000000000001</v>
      </c>
    </row>
    <row r="269" spans="1:13">
      <c r="A269" s="420"/>
      <c r="B269" s="420" t="s">
        <v>506</v>
      </c>
      <c r="C269" s="113">
        <v>657</v>
      </c>
      <c r="D269" s="113">
        <v>2295831</v>
      </c>
      <c r="E269" s="113">
        <v>184591</v>
      </c>
      <c r="F269" s="113">
        <v>0.875</v>
      </c>
      <c r="G269" s="113">
        <v>7.2800000000000004E-2</v>
      </c>
    </row>
    <row r="270" spans="1:13">
      <c r="A270" s="420"/>
      <c r="B270" s="420" t="s">
        <v>250</v>
      </c>
      <c r="C270" s="113">
        <v>55160</v>
      </c>
      <c r="D270" s="113">
        <v>262391455</v>
      </c>
      <c r="E270" s="113">
        <v>2608186</v>
      </c>
      <c r="F270" s="113">
        <v>100</v>
      </c>
      <c r="G270" s="113"/>
    </row>
    <row r="271" spans="1:13">
      <c r="A271" s="129"/>
    </row>
    <row r="272" spans="1:13">
      <c r="A272" s="732" t="s">
        <v>484</v>
      </c>
      <c r="B272" s="732"/>
      <c r="C272" s="732"/>
      <c r="D272" s="732"/>
      <c r="E272" s="732"/>
      <c r="F272" s="732"/>
      <c r="G272" s="732"/>
    </row>
    <row r="273" spans="1:21">
      <c r="A273" s="732" t="s">
        <v>535</v>
      </c>
      <c r="B273" s="732"/>
      <c r="C273" s="732"/>
      <c r="D273" s="732"/>
      <c r="E273" s="732"/>
      <c r="F273" s="732"/>
      <c r="G273" s="732"/>
    </row>
    <row r="274" spans="1:21">
      <c r="A274" s="732" t="s">
        <v>487</v>
      </c>
      <c r="B274" s="732" t="s">
        <v>488</v>
      </c>
      <c r="C274" s="732" t="s">
        <v>489</v>
      </c>
      <c r="D274" s="420" t="s">
        <v>490</v>
      </c>
      <c r="E274" s="420" t="s">
        <v>491</v>
      </c>
      <c r="F274" s="732" t="s">
        <v>492</v>
      </c>
      <c r="G274" s="420" t="s">
        <v>491</v>
      </c>
      <c r="J274" t="s">
        <v>493</v>
      </c>
    </row>
    <row r="275" spans="1:21" ht="29.1" thickBot="1">
      <c r="A275" s="732"/>
      <c r="B275" s="732"/>
      <c r="C275" s="732"/>
      <c r="D275" s="420" t="s">
        <v>489</v>
      </c>
      <c r="E275" s="420" t="s">
        <v>494</v>
      </c>
      <c r="F275" s="732"/>
      <c r="G275" s="420" t="s">
        <v>492</v>
      </c>
      <c r="I275">
        <v>2014</v>
      </c>
      <c r="J275" t="s">
        <v>495</v>
      </c>
      <c r="K275" t="s">
        <v>496</v>
      </c>
      <c r="L275" t="s">
        <v>497</v>
      </c>
      <c r="P275" s="49" t="s">
        <v>498</v>
      </c>
      <c r="Q275" s="49" t="s">
        <v>499</v>
      </c>
      <c r="R275" s="49" t="s">
        <v>500</v>
      </c>
      <c r="S275" t="s">
        <v>501</v>
      </c>
      <c r="T275" s="49" t="s">
        <v>502</v>
      </c>
      <c r="U275" s="49" t="s">
        <v>495</v>
      </c>
    </row>
    <row r="276" spans="1:21" ht="28.8">
      <c r="A276" s="420" t="s">
        <v>503</v>
      </c>
      <c r="B276" s="420" t="s">
        <v>503</v>
      </c>
      <c r="C276" s="113">
        <v>31</v>
      </c>
      <c r="D276" s="113">
        <v>127596</v>
      </c>
      <c r="E276" s="113">
        <v>31083</v>
      </c>
      <c r="F276" s="113">
        <v>4.8099999999999997E-2</v>
      </c>
      <c r="G276" s="113">
        <v>1.18E-2</v>
      </c>
      <c r="H276" t="s">
        <v>504</v>
      </c>
      <c r="I276" t="s">
        <v>495</v>
      </c>
      <c r="J276" s="130">
        <f>D285</f>
        <v>254439952</v>
      </c>
      <c r="K276" s="131">
        <f>D284</f>
        <v>7654608</v>
      </c>
      <c r="L276" s="132">
        <f>D286</f>
        <v>2015605</v>
      </c>
      <c r="M276" s="112">
        <f>SUM(J276:L276)</f>
        <v>264110165</v>
      </c>
      <c r="N276" s="230" t="s">
        <v>505</v>
      </c>
      <c r="P276" s="117">
        <f>L276</f>
        <v>2015605</v>
      </c>
      <c r="Q276" s="118">
        <f>L277</f>
        <v>109871</v>
      </c>
      <c r="R276" s="119">
        <f>SUM(J278:L278)</f>
        <v>622431</v>
      </c>
      <c r="S276" s="120">
        <f>K276</f>
        <v>7654608</v>
      </c>
      <c r="T276" s="121">
        <f>SUM(J277:K277)</f>
        <v>280398</v>
      </c>
      <c r="U276" s="122">
        <f>J276</f>
        <v>254439952</v>
      </c>
    </row>
    <row r="277" spans="1:21">
      <c r="A277" s="420"/>
      <c r="B277" s="420" t="s">
        <v>495</v>
      </c>
      <c r="C277" s="113">
        <v>34</v>
      </c>
      <c r="D277" s="113">
        <v>152802</v>
      </c>
      <c r="E277" s="113">
        <v>41592</v>
      </c>
      <c r="F277" s="113">
        <v>5.7599999999999998E-2</v>
      </c>
      <c r="G277" s="113">
        <v>1.5800000000000002E-2</v>
      </c>
      <c r="I277" t="s">
        <v>496</v>
      </c>
      <c r="J277" s="133">
        <f>D277</f>
        <v>152802</v>
      </c>
      <c r="K277" s="134">
        <f>D276</f>
        <v>127596</v>
      </c>
      <c r="L277" s="135">
        <f>D278</f>
        <v>109871</v>
      </c>
      <c r="M277" s="112">
        <f t="shared" ref="M277:M278" si="24">SUM(J277:L277)</f>
        <v>390269</v>
      </c>
      <c r="N277">
        <f>K277/(K277+J277)</f>
        <v>0.45505317441636534</v>
      </c>
    </row>
    <row r="278" spans="1:21" ht="14.7" thickBot="1">
      <c r="A278" s="420"/>
      <c r="B278" s="420" t="s">
        <v>506</v>
      </c>
      <c r="C278" s="113">
        <v>28</v>
      </c>
      <c r="D278" s="113">
        <v>109871</v>
      </c>
      <c r="E278" s="113">
        <v>28609</v>
      </c>
      <c r="F278" s="113">
        <v>4.1399999999999999E-2</v>
      </c>
      <c r="G278" s="113">
        <v>1.0800000000000001E-2</v>
      </c>
      <c r="I278" t="s">
        <v>507</v>
      </c>
      <c r="J278" s="136">
        <f>D281</f>
        <v>209402</v>
      </c>
      <c r="K278" s="137">
        <f>D280</f>
        <v>194398</v>
      </c>
      <c r="L278" s="138">
        <f>D282</f>
        <v>218631</v>
      </c>
      <c r="M278" s="112">
        <f t="shared" si="24"/>
        <v>622431</v>
      </c>
    </row>
    <row r="279" spans="1:21">
      <c r="A279" s="420"/>
      <c r="B279" s="420" t="s">
        <v>250</v>
      </c>
      <c r="C279" s="113">
        <v>93</v>
      </c>
      <c r="D279" s="113">
        <v>390270</v>
      </c>
      <c r="E279" s="113">
        <v>56448</v>
      </c>
      <c r="F279" s="113">
        <v>0.1472</v>
      </c>
      <c r="G279" s="113">
        <v>2.1499999999999998E-2</v>
      </c>
      <c r="J279" s="92">
        <f>SUM(J276:J278)</f>
        <v>254802156</v>
      </c>
      <c r="K279" s="92">
        <f>SUM(K276:K278)</f>
        <v>7976602</v>
      </c>
      <c r="L279" s="92">
        <f>SUM(L276:L278)</f>
        <v>2344107</v>
      </c>
    </row>
    <row r="280" spans="1:21">
      <c r="A280" s="420" t="s">
        <v>500</v>
      </c>
      <c r="B280" s="420" t="s">
        <v>503</v>
      </c>
      <c r="C280" s="113">
        <v>40</v>
      </c>
      <c r="D280" s="113">
        <v>194398</v>
      </c>
      <c r="E280" s="113">
        <v>36948</v>
      </c>
      <c r="F280" s="113">
        <v>7.3300000000000004E-2</v>
      </c>
      <c r="G280" s="113">
        <v>1.3899999999999999E-2</v>
      </c>
      <c r="J280">
        <f>J278/(J278+K278+L278)</f>
        <v>0.33642604561790784</v>
      </c>
      <c r="K280">
        <f>K278/(K278+J278+L278)</f>
        <v>0.31232056243985279</v>
      </c>
      <c r="L280">
        <f>L278/(K278+L278+J278)</f>
        <v>0.35125339194223937</v>
      </c>
    </row>
    <row r="281" spans="1:21">
      <c r="A281" s="420"/>
      <c r="B281" s="420" t="s">
        <v>495</v>
      </c>
      <c r="C281" s="113">
        <v>55</v>
      </c>
      <c r="D281" s="113">
        <v>209402</v>
      </c>
      <c r="E281" s="113">
        <v>40206</v>
      </c>
      <c r="F281" s="113">
        <v>7.9000000000000001E-2</v>
      </c>
      <c r="G281" s="113">
        <v>1.4999999999999999E-2</v>
      </c>
    </row>
    <row r="282" spans="1:21">
      <c r="A282" s="420"/>
      <c r="B282" s="420" t="s">
        <v>506</v>
      </c>
      <c r="C282" s="113">
        <v>61</v>
      </c>
      <c r="D282" s="113">
        <v>218631</v>
      </c>
      <c r="E282" s="113">
        <v>33333</v>
      </c>
      <c r="F282" s="113">
        <v>8.2500000000000004E-2</v>
      </c>
      <c r="G282" s="113">
        <v>1.26E-2</v>
      </c>
      <c r="J282">
        <f>J277/(J277+K277)</f>
        <v>0.54494682558363472</v>
      </c>
      <c r="K282">
        <f>K277/(K277+J277)</f>
        <v>0.45505317441636534</v>
      </c>
    </row>
    <row r="283" spans="1:21">
      <c r="A283" s="420"/>
      <c r="B283" s="420" t="s">
        <v>250</v>
      </c>
      <c r="C283" s="113">
        <v>156</v>
      </c>
      <c r="D283" s="113">
        <v>622430</v>
      </c>
      <c r="E283" s="113">
        <v>69140</v>
      </c>
      <c r="F283" s="113">
        <v>0.23480000000000001</v>
      </c>
      <c r="G283" s="113">
        <v>2.58E-2</v>
      </c>
    </row>
    <row r="284" spans="1:21">
      <c r="A284" s="420" t="s">
        <v>495</v>
      </c>
      <c r="B284" s="420" t="s">
        <v>503</v>
      </c>
      <c r="C284" s="113">
        <v>2054</v>
      </c>
      <c r="D284" s="113">
        <v>7654608</v>
      </c>
      <c r="E284" s="113">
        <v>236170</v>
      </c>
      <c r="F284" s="113">
        <v>2.8872</v>
      </c>
      <c r="G284" s="113">
        <v>9.0399999999999994E-2</v>
      </c>
    </row>
    <row r="285" spans="1:21">
      <c r="A285" s="420"/>
      <c r="B285" s="420" t="s">
        <v>495</v>
      </c>
      <c r="C285" s="113">
        <v>52485</v>
      </c>
      <c r="D285" s="113">
        <v>254439952</v>
      </c>
      <c r="E285" s="113">
        <v>2062356</v>
      </c>
      <c r="F285" s="113">
        <v>95.970600000000005</v>
      </c>
      <c r="G285" s="113">
        <v>0.1028</v>
      </c>
    </row>
    <row r="286" spans="1:21">
      <c r="A286" s="420"/>
      <c r="B286" s="420" t="s">
        <v>506</v>
      </c>
      <c r="C286" s="113">
        <v>483</v>
      </c>
      <c r="D286" s="113">
        <v>2015605</v>
      </c>
      <c r="E286" s="113">
        <v>128136</v>
      </c>
      <c r="F286" s="113">
        <v>0.76029999999999998</v>
      </c>
      <c r="G286" s="113">
        <v>4.8599999999999997E-2</v>
      </c>
    </row>
    <row r="287" spans="1:21">
      <c r="A287" s="420"/>
      <c r="B287" s="420" t="s">
        <v>250</v>
      </c>
      <c r="C287" s="113">
        <v>55022</v>
      </c>
      <c r="D287" s="113">
        <v>264110165</v>
      </c>
      <c r="E287" s="113">
        <v>2065225</v>
      </c>
      <c r="F287" s="113">
        <v>99.617999999999995</v>
      </c>
      <c r="G287" s="113">
        <v>3.1E-2</v>
      </c>
    </row>
    <row r="288" spans="1:21">
      <c r="A288" s="420" t="s">
        <v>250</v>
      </c>
      <c r="B288" s="420" t="s">
        <v>503</v>
      </c>
      <c r="C288" s="113">
        <v>2125</v>
      </c>
      <c r="D288" s="113">
        <v>7976602</v>
      </c>
      <c r="E288" s="113">
        <v>242719</v>
      </c>
      <c r="F288" s="113">
        <v>3.0085999999999999</v>
      </c>
      <c r="G288" s="113">
        <v>9.2999999999999999E-2</v>
      </c>
    </row>
    <row r="289" spans="1:21">
      <c r="A289" s="420"/>
      <c r="B289" s="420" t="s">
        <v>495</v>
      </c>
      <c r="C289" s="113">
        <v>52574</v>
      </c>
      <c r="D289" s="113">
        <v>254802156</v>
      </c>
      <c r="E289" s="113">
        <v>2067325</v>
      </c>
      <c r="F289" s="113">
        <v>96.107200000000006</v>
      </c>
      <c r="G289" s="113">
        <v>0.1075</v>
      </c>
    </row>
    <row r="290" spans="1:21">
      <c r="A290" s="420"/>
      <c r="B290" s="420" t="s">
        <v>506</v>
      </c>
      <c r="C290" s="113">
        <v>572</v>
      </c>
      <c r="D290" s="113">
        <v>2344106</v>
      </c>
      <c r="E290" s="113">
        <v>131470</v>
      </c>
      <c r="F290" s="113">
        <v>0.88419999999999999</v>
      </c>
      <c r="G290" s="113">
        <v>5.0099999999999999E-2</v>
      </c>
    </row>
    <row r="291" spans="1:21">
      <c r="A291" s="420"/>
      <c r="B291" s="420" t="s">
        <v>250</v>
      </c>
      <c r="C291" s="113">
        <v>55271</v>
      </c>
      <c r="D291" s="113">
        <v>265122864</v>
      </c>
      <c r="E291" s="113">
        <v>2063976</v>
      </c>
      <c r="F291" s="113">
        <v>100</v>
      </c>
      <c r="G291" s="113"/>
    </row>
    <row r="292" spans="1:21">
      <c r="A292" s="129"/>
    </row>
    <row r="293" spans="1:21">
      <c r="A293" s="732" t="s">
        <v>484</v>
      </c>
      <c r="B293" s="732"/>
      <c r="C293" s="732"/>
      <c r="D293" s="732"/>
      <c r="E293" s="732"/>
      <c r="F293" s="732"/>
      <c r="G293" s="732"/>
    </row>
    <row r="294" spans="1:21">
      <c r="A294" s="732" t="s">
        <v>536</v>
      </c>
      <c r="B294" s="732"/>
      <c r="C294" s="732"/>
      <c r="D294" s="732"/>
      <c r="E294" s="732"/>
      <c r="F294" s="732"/>
      <c r="G294" s="732"/>
    </row>
    <row r="295" spans="1:21">
      <c r="A295" s="732" t="s">
        <v>487</v>
      </c>
      <c r="B295" s="732" t="s">
        <v>488</v>
      </c>
      <c r="C295" s="732" t="s">
        <v>489</v>
      </c>
      <c r="D295" s="420" t="s">
        <v>490</v>
      </c>
      <c r="E295" s="420" t="s">
        <v>491</v>
      </c>
      <c r="F295" s="732" t="s">
        <v>492</v>
      </c>
      <c r="G295" s="420" t="s">
        <v>491</v>
      </c>
      <c r="J295" t="s">
        <v>493</v>
      </c>
    </row>
    <row r="296" spans="1:21" ht="29.1" thickBot="1">
      <c r="A296" s="732"/>
      <c r="B296" s="732"/>
      <c r="C296" s="732"/>
      <c r="D296" s="420" t="s">
        <v>489</v>
      </c>
      <c r="E296" s="420" t="s">
        <v>494</v>
      </c>
      <c r="F296" s="732"/>
      <c r="G296" s="420" t="s">
        <v>492</v>
      </c>
      <c r="I296">
        <v>2015</v>
      </c>
      <c r="J296" t="s">
        <v>495</v>
      </c>
      <c r="K296" t="s">
        <v>496</v>
      </c>
      <c r="L296" t="s">
        <v>497</v>
      </c>
      <c r="P296" s="49" t="s">
        <v>498</v>
      </c>
      <c r="Q296" s="49" t="s">
        <v>499</v>
      </c>
      <c r="R296" s="49" t="s">
        <v>500</v>
      </c>
      <c r="S296" t="s">
        <v>501</v>
      </c>
      <c r="T296" s="49" t="s">
        <v>502</v>
      </c>
      <c r="U296" s="49" t="s">
        <v>495</v>
      </c>
    </row>
    <row r="297" spans="1:21" ht="28.8">
      <c r="A297" s="420" t="s">
        <v>503</v>
      </c>
      <c r="B297" s="420" t="s">
        <v>503</v>
      </c>
      <c r="C297" s="113">
        <v>30</v>
      </c>
      <c r="D297" s="113">
        <v>108426</v>
      </c>
      <c r="E297" s="113">
        <v>28070</v>
      </c>
      <c r="F297" s="113">
        <v>4.0500000000000001E-2</v>
      </c>
      <c r="G297" s="113">
        <v>1.0500000000000001E-2</v>
      </c>
      <c r="H297" t="s">
        <v>504</v>
      </c>
      <c r="I297" t="s">
        <v>495</v>
      </c>
      <c r="J297" s="130">
        <f>D306</f>
        <v>254994009</v>
      </c>
      <c r="K297" s="131">
        <f>D305</f>
        <v>9631764</v>
      </c>
      <c r="L297" s="132">
        <f>D307</f>
        <v>2181670</v>
      </c>
      <c r="M297" s="112">
        <f>SUM(J297:L297)</f>
        <v>266807443</v>
      </c>
      <c r="N297" s="230" t="s">
        <v>505</v>
      </c>
      <c r="P297" s="117">
        <f>L297</f>
        <v>2181670</v>
      </c>
      <c r="Q297" s="118">
        <f>L298</f>
        <v>85042</v>
      </c>
      <c r="R297" s="119">
        <f>SUM(J299:L299)</f>
        <v>618367</v>
      </c>
      <c r="S297" s="120">
        <f>K297</f>
        <v>9631764</v>
      </c>
      <c r="T297" s="121">
        <f>SUM(J298:K298)</f>
        <v>183638</v>
      </c>
      <c r="U297" s="122">
        <f>J297</f>
        <v>254994009</v>
      </c>
    </row>
    <row r="298" spans="1:21">
      <c r="A298" s="420"/>
      <c r="B298" s="420" t="s">
        <v>495</v>
      </c>
      <c r="C298" s="113">
        <v>21</v>
      </c>
      <c r="D298" s="113">
        <v>75212</v>
      </c>
      <c r="E298" s="113">
        <v>24782</v>
      </c>
      <c r="F298" s="113">
        <v>2.81E-2</v>
      </c>
      <c r="G298" s="113">
        <v>9.2999999999999992E-3</v>
      </c>
      <c r="I298" t="s">
        <v>496</v>
      </c>
      <c r="J298" s="133">
        <f>D298</f>
        <v>75212</v>
      </c>
      <c r="K298" s="134">
        <f>D297</f>
        <v>108426</v>
      </c>
      <c r="L298" s="135">
        <f>D299</f>
        <v>85042</v>
      </c>
      <c r="M298" s="112">
        <f t="shared" ref="M298:M299" si="25">SUM(J298:L298)</f>
        <v>268680</v>
      </c>
      <c r="N298">
        <f>K298/(K298+J298)</f>
        <v>0.59043335257408602</v>
      </c>
    </row>
    <row r="299" spans="1:21" ht="14.7" thickBot="1">
      <c r="A299" s="420"/>
      <c r="B299" s="420" t="s">
        <v>506</v>
      </c>
      <c r="C299" s="113">
        <v>19</v>
      </c>
      <c r="D299" s="113">
        <v>85042</v>
      </c>
      <c r="E299" s="113">
        <v>31969</v>
      </c>
      <c r="F299" s="113">
        <v>3.1800000000000002E-2</v>
      </c>
      <c r="G299" s="113">
        <v>1.1900000000000001E-2</v>
      </c>
      <c r="I299" t="s">
        <v>507</v>
      </c>
      <c r="J299" s="136">
        <f>D302</f>
        <v>165044</v>
      </c>
      <c r="K299" s="137">
        <f>D301</f>
        <v>199312</v>
      </c>
      <c r="L299" s="138">
        <f>D303</f>
        <v>254011</v>
      </c>
      <c r="M299" s="112">
        <f t="shared" si="25"/>
        <v>618367</v>
      </c>
    </row>
    <row r="300" spans="1:21">
      <c r="A300" s="420"/>
      <c r="B300" s="420" t="s">
        <v>250</v>
      </c>
      <c r="C300" s="113">
        <v>70</v>
      </c>
      <c r="D300" s="113">
        <v>268680</v>
      </c>
      <c r="E300" s="113">
        <v>51453</v>
      </c>
      <c r="F300" s="113">
        <v>0.1004</v>
      </c>
      <c r="G300" s="113">
        <v>1.9099999999999999E-2</v>
      </c>
      <c r="J300" s="92">
        <f>SUM(J297:J299)</f>
        <v>255234265</v>
      </c>
      <c r="K300" s="92">
        <f>SUM(K297:K299)</f>
        <v>9939502</v>
      </c>
      <c r="L300" s="92">
        <f>SUM(L297:L299)</f>
        <v>2520723</v>
      </c>
    </row>
    <row r="301" spans="1:21">
      <c r="A301" s="420" t="s">
        <v>500</v>
      </c>
      <c r="B301" s="420" t="s">
        <v>503</v>
      </c>
      <c r="C301" s="113">
        <v>57</v>
      </c>
      <c r="D301" s="113">
        <v>199312</v>
      </c>
      <c r="E301" s="113">
        <v>36345</v>
      </c>
      <c r="F301" s="113">
        <v>7.4499999999999997E-2</v>
      </c>
      <c r="G301" s="113">
        <v>1.3599999999999999E-2</v>
      </c>
      <c r="J301">
        <f>J299/(J299+K299+L299)</f>
        <v>0.26690298803137941</v>
      </c>
      <c r="K301">
        <f>K299/(K299+J299+L299)</f>
        <v>0.32231991681315464</v>
      </c>
      <c r="L301">
        <f>L299/(K299+L299+J299)</f>
        <v>0.41077709515546595</v>
      </c>
    </row>
    <row r="302" spans="1:21">
      <c r="A302" s="420"/>
      <c r="B302" s="420" t="s">
        <v>495</v>
      </c>
      <c r="C302" s="113">
        <v>36</v>
      </c>
      <c r="D302" s="113">
        <v>165044</v>
      </c>
      <c r="E302" s="113">
        <v>38528</v>
      </c>
      <c r="F302" s="113">
        <v>6.1699999999999998E-2</v>
      </c>
      <c r="G302" s="113">
        <v>1.43E-2</v>
      </c>
    </row>
    <row r="303" spans="1:21">
      <c r="A303" s="420"/>
      <c r="B303" s="420" t="s">
        <v>506</v>
      </c>
      <c r="C303" s="113">
        <v>70</v>
      </c>
      <c r="D303" s="113">
        <v>254011</v>
      </c>
      <c r="E303" s="113">
        <v>39496</v>
      </c>
      <c r="F303" s="113">
        <v>9.4899999999999998E-2</v>
      </c>
      <c r="G303" s="113">
        <v>1.47E-2</v>
      </c>
      <c r="J303">
        <f>J298/(J298+K298)</f>
        <v>0.40956664742591403</v>
      </c>
      <c r="K303">
        <f>K298/(K298+J298)</f>
        <v>0.59043335257408602</v>
      </c>
    </row>
    <row r="304" spans="1:21">
      <c r="A304" s="420"/>
      <c r="B304" s="420" t="s">
        <v>250</v>
      </c>
      <c r="C304" s="113">
        <v>163</v>
      </c>
      <c r="D304" s="113">
        <v>618367</v>
      </c>
      <c r="E304" s="113">
        <v>67108</v>
      </c>
      <c r="F304" s="113">
        <v>0.23100000000000001</v>
      </c>
      <c r="G304" s="113">
        <v>2.4799999999999999E-2</v>
      </c>
    </row>
    <row r="305" spans="1:21">
      <c r="A305" s="420" t="s">
        <v>495</v>
      </c>
      <c r="B305" s="420" t="s">
        <v>503</v>
      </c>
      <c r="C305" s="113">
        <v>2478</v>
      </c>
      <c r="D305" s="113">
        <v>9631764</v>
      </c>
      <c r="E305" s="113">
        <v>278646</v>
      </c>
      <c r="F305" s="113">
        <v>3.5979999999999999</v>
      </c>
      <c r="G305" s="113">
        <v>0.10920000000000001</v>
      </c>
    </row>
    <row r="306" spans="1:21">
      <c r="A306" s="420"/>
      <c r="B306" s="420" t="s">
        <v>495</v>
      </c>
      <c r="C306" s="113">
        <v>53877</v>
      </c>
      <c r="D306" s="113">
        <v>254994009</v>
      </c>
      <c r="E306" s="113">
        <v>2449090</v>
      </c>
      <c r="F306" s="113">
        <v>95.255600000000001</v>
      </c>
      <c r="G306" s="113">
        <v>0.1263</v>
      </c>
    </row>
    <row r="307" spans="1:21">
      <c r="A307" s="420"/>
      <c r="B307" s="420" t="s">
        <v>506</v>
      </c>
      <c r="C307" s="113">
        <v>558</v>
      </c>
      <c r="D307" s="113">
        <v>2181670</v>
      </c>
      <c r="E307" s="113">
        <v>149461</v>
      </c>
      <c r="F307" s="113">
        <v>0.81499999999999995</v>
      </c>
      <c r="G307" s="113">
        <v>5.5399999999999998E-2</v>
      </c>
    </row>
    <row r="308" spans="1:21">
      <c r="A308" s="420"/>
      <c r="B308" s="420" t="s">
        <v>250</v>
      </c>
      <c r="C308" s="113">
        <v>56913</v>
      </c>
      <c r="D308" s="113">
        <v>266807442</v>
      </c>
      <c r="E308" s="113">
        <v>2446564</v>
      </c>
      <c r="F308" s="113">
        <v>99.668599999999998</v>
      </c>
      <c r="G308" s="113">
        <v>3.2300000000000002E-2</v>
      </c>
    </row>
    <row r="309" spans="1:21">
      <c r="A309" s="420" t="s">
        <v>250</v>
      </c>
      <c r="B309" s="420" t="s">
        <v>503</v>
      </c>
      <c r="C309" s="113">
        <v>2565</v>
      </c>
      <c r="D309" s="113">
        <v>9939503</v>
      </c>
      <c r="E309" s="113">
        <v>282309</v>
      </c>
      <c r="F309" s="113">
        <v>3.7130000000000001</v>
      </c>
      <c r="G309" s="113">
        <v>0.1108</v>
      </c>
    </row>
    <row r="310" spans="1:21">
      <c r="A310" s="420"/>
      <c r="B310" s="420" t="s">
        <v>495</v>
      </c>
      <c r="C310" s="113">
        <v>53934</v>
      </c>
      <c r="D310" s="113">
        <v>255234265</v>
      </c>
      <c r="E310" s="113">
        <v>2457415</v>
      </c>
      <c r="F310" s="113">
        <v>95.345399999999998</v>
      </c>
      <c r="G310" s="113">
        <v>0.1268</v>
      </c>
    </row>
    <row r="311" spans="1:21">
      <c r="A311" s="420"/>
      <c r="B311" s="420" t="s">
        <v>506</v>
      </c>
      <c r="C311" s="113">
        <v>647</v>
      </c>
      <c r="D311" s="113">
        <v>2520722</v>
      </c>
      <c r="E311" s="113">
        <v>147314</v>
      </c>
      <c r="F311" s="113">
        <v>0.94159999999999999</v>
      </c>
      <c r="G311" s="113">
        <v>5.4199999999999998E-2</v>
      </c>
    </row>
    <row r="312" spans="1:21">
      <c r="A312" s="420"/>
      <c r="B312" s="420" t="s">
        <v>250</v>
      </c>
      <c r="C312" s="113">
        <v>57146</v>
      </c>
      <c r="D312" s="113">
        <v>267694489</v>
      </c>
      <c r="E312" s="113">
        <v>2461298</v>
      </c>
      <c r="F312" s="113">
        <v>100</v>
      </c>
      <c r="G312" s="113"/>
    </row>
    <row r="313" spans="1:21">
      <c r="A313" s="129"/>
    </row>
    <row r="314" spans="1:21">
      <c r="A314" s="732" t="s">
        <v>484</v>
      </c>
      <c r="B314" s="732"/>
      <c r="C314" s="732"/>
      <c r="D314" s="732"/>
      <c r="E314" s="732"/>
      <c r="F314" s="732"/>
      <c r="G314" s="732"/>
    </row>
    <row r="315" spans="1:21">
      <c r="A315" s="732" t="s">
        <v>537</v>
      </c>
      <c r="B315" s="732"/>
      <c r="C315" s="732"/>
      <c r="D315" s="732"/>
      <c r="E315" s="732"/>
      <c r="F315" s="732"/>
      <c r="G315" s="732"/>
    </row>
    <row r="316" spans="1:21">
      <c r="A316" s="732" t="s">
        <v>487</v>
      </c>
      <c r="B316" s="732" t="s">
        <v>488</v>
      </c>
      <c r="C316" s="732" t="s">
        <v>489</v>
      </c>
      <c r="D316" s="420" t="s">
        <v>490</v>
      </c>
      <c r="E316" s="420" t="s">
        <v>491</v>
      </c>
      <c r="F316" s="732" t="s">
        <v>492</v>
      </c>
      <c r="G316" s="420" t="s">
        <v>491</v>
      </c>
      <c r="J316" t="s">
        <v>493</v>
      </c>
    </row>
    <row r="317" spans="1:21" ht="29.1" thickBot="1">
      <c r="A317" s="732"/>
      <c r="B317" s="732"/>
      <c r="C317" s="732"/>
      <c r="D317" s="420" t="s">
        <v>489</v>
      </c>
      <c r="E317" s="420" t="s">
        <v>494</v>
      </c>
      <c r="F317" s="732"/>
      <c r="G317" s="420" t="s">
        <v>492</v>
      </c>
      <c r="I317">
        <v>2016</v>
      </c>
      <c r="J317" t="s">
        <v>495</v>
      </c>
      <c r="K317" t="s">
        <v>496</v>
      </c>
      <c r="L317" t="s">
        <v>497</v>
      </c>
      <c r="P317" s="49" t="s">
        <v>498</v>
      </c>
      <c r="Q317" s="49" t="s">
        <v>499</v>
      </c>
      <c r="R317" s="49" t="s">
        <v>500</v>
      </c>
      <c r="S317" t="s">
        <v>501</v>
      </c>
      <c r="T317" s="49" t="s">
        <v>502</v>
      </c>
      <c r="U317" s="49" t="s">
        <v>495</v>
      </c>
    </row>
    <row r="318" spans="1:21" ht="28.8">
      <c r="A318" s="420" t="s">
        <v>503</v>
      </c>
      <c r="B318" s="420" t="s">
        <v>503</v>
      </c>
      <c r="C318" s="113">
        <v>24</v>
      </c>
      <c r="D318" s="113">
        <v>97052</v>
      </c>
      <c r="E318" s="113">
        <v>27204</v>
      </c>
      <c r="F318" s="113">
        <v>3.5999999999999997E-2</v>
      </c>
      <c r="G318" s="113">
        <v>0.01</v>
      </c>
      <c r="H318" t="s">
        <v>504</v>
      </c>
      <c r="I318" t="s">
        <v>495</v>
      </c>
      <c r="J318" s="130">
        <f>D327</f>
        <v>257491202</v>
      </c>
      <c r="K318" s="131">
        <f>D326</f>
        <v>8783829</v>
      </c>
      <c r="L318" s="132">
        <f>D328</f>
        <v>2178982</v>
      </c>
      <c r="M318" s="112">
        <f>SUM(J318:L318)</f>
        <v>268454013</v>
      </c>
      <c r="N318" s="230" t="s">
        <v>505</v>
      </c>
      <c r="P318" s="117">
        <f>L318</f>
        <v>2178982</v>
      </c>
      <c r="Q318" s="118">
        <f>L319</f>
        <v>53202</v>
      </c>
      <c r="R318" s="119">
        <f>SUM(J320:L320)</f>
        <v>646546</v>
      </c>
      <c r="S318" s="120">
        <f>K318</f>
        <v>8783829</v>
      </c>
      <c r="T318" s="121">
        <f>SUM(J319:K319)</f>
        <v>276375</v>
      </c>
      <c r="U318" s="122">
        <f>J318</f>
        <v>257491202</v>
      </c>
    </row>
    <row r="319" spans="1:21">
      <c r="A319" s="420"/>
      <c r="B319" s="420" t="s">
        <v>495</v>
      </c>
      <c r="C319" s="113">
        <v>40</v>
      </c>
      <c r="D319" s="113">
        <v>179323</v>
      </c>
      <c r="E319" s="113">
        <v>44401</v>
      </c>
      <c r="F319" s="113">
        <v>6.6600000000000006E-2</v>
      </c>
      <c r="G319" s="113">
        <v>1.6400000000000001E-2</v>
      </c>
      <c r="I319" t="s">
        <v>496</v>
      </c>
      <c r="J319" s="133">
        <f>D319</f>
        <v>179323</v>
      </c>
      <c r="K319" s="134">
        <f>D318</f>
        <v>97052</v>
      </c>
      <c r="L319" s="135">
        <f>D320</f>
        <v>53202</v>
      </c>
      <c r="M319" s="112">
        <f t="shared" ref="M319:M320" si="26">SUM(J319:L319)</f>
        <v>329577</v>
      </c>
      <c r="N319">
        <f>K319/(K319+J319)</f>
        <v>0.35116056083220265</v>
      </c>
    </row>
    <row r="320" spans="1:21" ht="14.7" thickBot="1">
      <c r="A320" s="420"/>
      <c r="B320" s="420" t="s">
        <v>506</v>
      </c>
      <c r="C320" s="113">
        <v>18</v>
      </c>
      <c r="D320" s="113">
        <v>53202</v>
      </c>
      <c r="E320" s="113">
        <v>18256</v>
      </c>
      <c r="F320" s="113">
        <v>1.9699999999999999E-2</v>
      </c>
      <c r="G320" s="113">
        <v>6.7000000000000002E-3</v>
      </c>
      <c r="I320" t="s">
        <v>507</v>
      </c>
      <c r="J320" s="136">
        <f>D323</f>
        <v>152568</v>
      </c>
      <c r="K320" s="137">
        <f>D322</f>
        <v>202506</v>
      </c>
      <c r="L320" s="138">
        <f>D324</f>
        <v>291472</v>
      </c>
      <c r="M320" s="112">
        <f t="shared" si="26"/>
        <v>646546</v>
      </c>
    </row>
    <row r="321" spans="1:12">
      <c r="A321" s="420"/>
      <c r="B321" s="420" t="s">
        <v>250</v>
      </c>
      <c r="C321" s="113">
        <v>82</v>
      </c>
      <c r="D321" s="113">
        <v>329576</v>
      </c>
      <c r="E321" s="113">
        <v>54600</v>
      </c>
      <c r="F321" s="113">
        <v>0.12230000000000001</v>
      </c>
      <c r="G321" s="113">
        <v>1.9900000000000001E-2</v>
      </c>
      <c r="J321" s="92">
        <f>SUM(J318:J320)</f>
        <v>257823093</v>
      </c>
      <c r="K321" s="92">
        <f>SUM(K318:K320)</f>
        <v>9083387</v>
      </c>
      <c r="L321" s="92">
        <f>SUM(L318:L320)</f>
        <v>2523656</v>
      </c>
    </row>
    <row r="322" spans="1:12">
      <c r="A322" s="420" t="s">
        <v>500</v>
      </c>
      <c r="B322" s="420" t="s">
        <v>503</v>
      </c>
      <c r="C322" s="113">
        <v>61</v>
      </c>
      <c r="D322" s="113">
        <v>202506</v>
      </c>
      <c r="E322" s="113">
        <v>32630</v>
      </c>
      <c r="F322" s="113">
        <v>7.5200000000000003E-2</v>
      </c>
      <c r="G322" s="113">
        <v>1.2200000000000001E-2</v>
      </c>
      <c r="J322">
        <f>J320/(J320+K320+L320)</f>
        <v>0.2359739291558528</v>
      </c>
      <c r="K322">
        <f>K320/(K320+J320+L320)</f>
        <v>0.31321205297070898</v>
      </c>
      <c r="L322">
        <f>L320/(K320+L320+J320)</f>
        <v>0.45081401787343822</v>
      </c>
    </row>
    <row r="323" spans="1:12">
      <c r="A323" s="420"/>
      <c r="B323" s="420" t="s">
        <v>495</v>
      </c>
      <c r="C323" s="113">
        <v>39</v>
      </c>
      <c r="D323" s="113">
        <v>152568</v>
      </c>
      <c r="E323" s="113">
        <v>32153</v>
      </c>
      <c r="F323" s="113">
        <v>5.6599999999999998E-2</v>
      </c>
      <c r="G323" s="113">
        <v>1.1900000000000001E-2</v>
      </c>
    </row>
    <row r="324" spans="1:12">
      <c r="A324" s="420"/>
      <c r="B324" s="420" t="s">
        <v>506</v>
      </c>
      <c r="C324" s="113">
        <v>76</v>
      </c>
      <c r="D324" s="113">
        <v>291472</v>
      </c>
      <c r="E324" s="113">
        <v>42934</v>
      </c>
      <c r="F324" s="113">
        <v>0.1082</v>
      </c>
      <c r="G324" s="113">
        <v>1.5900000000000001E-2</v>
      </c>
      <c r="J324">
        <f>J319/(J319+K319)</f>
        <v>0.6488394391677974</v>
      </c>
      <c r="K324">
        <f>K319/(K319+J319)</f>
        <v>0.35116056083220265</v>
      </c>
    </row>
    <row r="325" spans="1:12">
      <c r="A325" s="420"/>
      <c r="B325" s="420" t="s">
        <v>250</v>
      </c>
      <c r="C325" s="113">
        <v>176</v>
      </c>
      <c r="D325" s="113">
        <v>646546</v>
      </c>
      <c r="E325" s="113">
        <v>60521</v>
      </c>
      <c r="F325" s="113">
        <v>0.24</v>
      </c>
      <c r="G325" s="113">
        <v>2.2499999999999999E-2</v>
      </c>
    </row>
    <row r="326" spans="1:12">
      <c r="A326" s="420" t="s">
        <v>495</v>
      </c>
      <c r="B326" s="420" t="s">
        <v>503</v>
      </c>
      <c r="C326" s="113">
        <v>2170</v>
      </c>
      <c r="D326" s="113">
        <v>8783829</v>
      </c>
      <c r="E326" s="113">
        <v>253606</v>
      </c>
      <c r="F326" s="113">
        <v>3.2602000000000002</v>
      </c>
      <c r="G326" s="113">
        <v>9.3899999999999997E-2</v>
      </c>
    </row>
    <row r="327" spans="1:12">
      <c r="A327" s="420"/>
      <c r="B327" s="420" t="s">
        <v>495</v>
      </c>
      <c r="C327" s="113">
        <v>53997</v>
      </c>
      <c r="D327" s="113">
        <v>257491202</v>
      </c>
      <c r="E327" s="113">
        <v>2269414</v>
      </c>
      <c r="F327" s="113">
        <v>95.568799999999996</v>
      </c>
      <c r="G327" s="113">
        <v>0.11849999999999999</v>
      </c>
    </row>
    <row r="328" spans="1:12">
      <c r="A328" s="420"/>
      <c r="B328" s="420" t="s">
        <v>506</v>
      </c>
      <c r="C328" s="113">
        <v>472</v>
      </c>
      <c r="D328" s="113">
        <v>2178982</v>
      </c>
      <c r="E328" s="113">
        <v>163588</v>
      </c>
      <c r="F328" s="113">
        <v>0.80869999999999997</v>
      </c>
      <c r="G328" s="113">
        <v>6.1600000000000002E-2</v>
      </c>
    </row>
    <row r="329" spans="1:12">
      <c r="A329" s="420"/>
      <c r="B329" s="420" t="s">
        <v>250</v>
      </c>
      <c r="C329" s="113">
        <v>56639</v>
      </c>
      <c r="D329" s="113">
        <v>268454013</v>
      </c>
      <c r="E329" s="113">
        <v>2276053</v>
      </c>
      <c r="F329" s="113">
        <v>99.637699999999995</v>
      </c>
      <c r="G329" s="113">
        <v>2.9000000000000001E-2</v>
      </c>
    </row>
    <row r="330" spans="1:12">
      <c r="A330" s="420" t="s">
        <v>250</v>
      </c>
      <c r="B330" s="420" t="s">
        <v>503</v>
      </c>
      <c r="C330" s="113">
        <v>2255</v>
      </c>
      <c r="D330" s="113">
        <v>9083386</v>
      </c>
      <c r="E330" s="113">
        <v>255337</v>
      </c>
      <c r="F330" s="113">
        <v>3.3713000000000002</v>
      </c>
      <c r="G330" s="113">
        <v>9.4200000000000006E-2</v>
      </c>
    </row>
    <row r="331" spans="1:12">
      <c r="A331" s="420"/>
      <c r="B331" s="420" t="s">
        <v>495</v>
      </c>
      <c r="C331" s="113">
        <v>54076</v>
      </c>
      <c r="D331" s="113">
        <v>257823093</v>
      </c>
      <c r="E331" s="113">
        <v>2278764</v>
      </c>
      <c r="F331" s="113">
        <v>95.691999999999993</v>
      </c>
      <c r="G331" s="113">
        <v>0.1177</v>
      </c>
    </row>
    <row r="332" spans="1:12">
      <c r="A332" s="420"/>
      <c r="B332" s="420" t="s">
        <v>506</v>
      </c>
      <c r="C332" s="113">
        <v>566</v>
      </c>
      <c r="D332" s="113">
        <v>2523656</v>
      </c>
      <c r="E332" s="113">
        <v>172048</v>
      </c>
      <c r="F332" s="113">
        <v>0.93669999999999998</v>
      </c>
      <c r="G332" s="113">
        <v>6.4600000000000005E-2</v>
      </c>
    </row>
    <row r="333" spans="1:12">
      <c r="A333" s="420"/>
      <c r="B333" s="420" t="s">
        <v>250</v>
      </c>
      <c r="C333" s="113">
        <v>56897</v>
      </c>
      <c r="D333" s="113">
        <v>269430135</v>
      </c>
      <c r="E333" s="113">
        <v>2296214</v>
      </c>
      <c r="F333" s="113">
        <v>100</v>
      </c>
      <c r="G333" s="113"/>
    </row>
    <row r="334" spans="1:12">
      <c r="A334" s="129"/>
    </row>
    <row r="335" spans="1:12">
      <c r="A335" s="732" t="s">
        <v>484</v>
      </c>
      <c r="B335" s="732"/>
      <c r="C335" s="732"/>
      <c r="D335" s="732"/>
      <c r="E335" s="732"/>
      <c r="F335" s="732"/>
      <c r="G335" s="732"/>
    </row>
    <row r="336" spans="1:12">
      <c r="A336" s="732" t="s">
        <v>538</v>
      </c>
      <c r="B336" s="732"/>
      <c r="C336" s="732"/>
      <c r="D336" s="732"/>
      <c r="E336" s="732"/>
      <c r="F336" s="732"/>
      <c r="G336" s="732"/>
    </row>
    <row r="337" spans="1:21">
      <c r="A337" s="732" t="s">
        <v>487</v>
      </c>
      <c r="B337" s="732" t="s">
        <v>488</v>
      </c>
      <c r="C337" s="732" t="s">
        <v>489</v>
      </c>
      <c r="D337" s="420" t="s">
        <v>490</v>
      </c>
      <c r="E337" s="420" t="s">
        <v>491</v>
      </c>
      <c r="F337" s="732" t="s">
        <v>492</v>
      </c>
      <c r="G337" s="420" t="s">
        <v>491</v>
      </c>
      <c r="J337" t="s">
        <v>493</v>
      </c>
    </row>
    <row r="338" spans="1:21" ht="29.1" thickBot="1">
      <c r="A338" s="732"/>
      <c r="B338" s="732"/>
      <c r="C338" s="732"/>
      <c r="D338" s="420" t="s">
        <v>489</v>
      </c>
      <c r="E338" s="420" t="s">
        <v>494</v>
      </c>
      <c r="F338" s="732"/>
      <c r="G338" s="420" t="s">
        <v>492</v>
      </c>
      <c r="I338">
        <v>2017</v>
      </c>
      <c r="J338" t="s">
        <v>495</v>
      </c>
      <c r="K338" t="s">
        <v>496</v>
      </c>
      <c r="L338" t="s">
        <v>497</v>
      </c>
      <c r="P338" s="49" t="s">
        <v>498</v>
      </c>
      <c r="Q338" s="49" t="s">
        <v>499</v>
      </c>
      <c r="R338" s="49" t="s">
        <v>500</v>
      </c>
      <c r="S338" t="s">
        <v>501</v>
      </c>
      <c r="T338" s="49" t="s">
        <v>502</v>
      </c>
      <c r="U338" s="49" t="s">
        <v>495</v>
      </c>
    </row>
    <row r="339" spans="1:21" ht="28.8">
      <c r="A339" s="420" t="s">
        <v>503</v>
      </c>
      <c r="B339" s="420" t="s">
        <v>503</v>
      </c>
      <c r="C339" s="113">
        <v>32</v>
      </c>
      <c r="D339" s="113">
        <v>135309</v>
      </c>
      <c r="E339" s="113">
        <v>32134</v>
      </c>
      <c r="F339" s="113">
        <v>4.9700000000000001E-2</v>
      </c>
      <c r="G339" s="113">
        <v>1.17E-2</v>
      </c>
      <c r="H339" t="s">
        <v>504</v>
      </c>
      <c r="I339" t="s">
        <v>495</v>
      </c>
      <c r="J339" s="130">
        <f>D348</f>
        <v>260918554</v>
      </c>
      <c r="K339" s="131">
        <f>D347</f>
        <v>8379498</v>
      </c>
      <c r="L339" s="132">
        <f>D349</f>
        <v>1804716</v>
      </c>
      <c r="M339" s="112">
        <f>SUM(J339:L339)</f>
        <v>271102768</v>
      </c>
      <c r="N339" s="230" t="s">
        <v>505</v>
      </c>
      <c r="P339" s="117">
        <f>L339</f>
        <v>1804716</v>
      </c>
      <c r="Q339" s="118">
        <f>L340</f>
        <v>36606</v>
      </c>
      <c r="R339" s="119">
        <f>SUM(J341:L341)</f>
        <v>705123</v>
      </c>
      <c r="S339" s="120">
        <f>K339</f>
        <v>8379498</v>
      </c>
      <c r="T339" s="121">
        <f>SUM(J340:K340)</f>
        <v>258837</v>
      </c>
      <c r="U339" s="122">
        <f>J339</f>
        <v>260918554</v>
      </c>
    </row>
    <row r="340" spans="1:21">
      <c r="A340" s="420"/>
      <c r="B340" s="420" t="s">
        <v>495</v>
      </c>
      <c r="C340" s="113">
        <v>23</v>
      </c>
      <c r="D340" s="113">
        <v>123528</v>
      </c>
      <c r="E340" s="113">
        <v>38616</v>
      </c>
      <c r="F340" s="113">
        <v>4.5400000000000003E-2</v>
      </c>
      <c r="G340" s="113">
        <v>1.4200000000000001E-2</v>
      </c>
      <c r="I340" t="s">
        <v>496</v>
      </c>
      <c r="J340" s="133">
        <f>D340</f>
        <v>123528</v>
      </c>
      <c r="K340" s="134">
        <f>D339</f>
        <v>135309</v>
      </c>
      <c r="L340" s="135">
        <f>D341</f>
        <v>36606</v>
      </c>
      <c r="M340" s="112">
        <f t="shared" ref="M340:M341" si="27">SUM(J340:L340)</f>
        <v>295443</v>
      </c>
      <c r="N340">
        <f>K340/(K340+J340)</f>
        <v>0.52275756557215547</v>
      </c>
    </row>
    <row r="341" spans="1:21" ht="14.7" thickBot="1">
      <c r="A341" s="420"/>
      <c r="B341" s="420" t="s">
        <v>506</v>
      </c>
      <c r="C341" s="113">
        <v>12</v>
      </c>
      <c r="D341" s="113">
        <v>36606</v>
      </c>
      <c r="E341" s="113">
        <v>10054</v>
      </c>
      <c r="F341" s="113">
        <v>1.35E-2</v>
      </c>
      <c r="G341" s="113">
        <v>3.7000000000000002E-3</v>
      </c>
      <c r="I341" t="s">
        <v>507</v>
      </c>
      <c r="J341" s="136">
        <f>D344</f>
        <v>257051</v>
      </c>
      <c r="K341" s="137">
        <f>D343</f>
        <v>188086</v>
      </c>
      <c r="L341" s="138">
        <f>D345</f>
        <v>259986</v>
      </c>
      <c r="M341" s="112">
        <f t="shared" si="27"/>
        <v>705123</v>
      </c>
    </row>
    <row r="342" spans="1:21">
      <c r="A342" s="420"/>
      <c r="B342" s="420" t="s">
        <v>250</v>
      </c>
      <c r="C342" s="113">
        <v>67</v>
      </c>
      <c r="D342" s="113">
        <v>295444</v>
      </c>
      <c r="E342" s="113">
        <v>57696</v>
      </c>
      <c r="F342" s="113">
        <v>0.1086</v>
      </c>
      <c r="G342" s="113">
        <v>2.12E-2</v>
      </c>
      <c r="J342" s="92">
        <f>SUM(J339:J341)</f>
        <v>261299133</v>
      </c>
      <c r="K342" s="92">
        <f>SUM(K339:K341)</f>
        <v>8702893</v>
      </c>
      <c r="L342" s="92">
        <f>SUM(L339:L341)</f>
        <v>2101308</v>
      </c>
    </row>
    <row r="343" spans="1:21">
      <c r="A343" s="420" t="s">
        <v>500</v>
      </c>
      <c r="B343" s="420" t="s">
        <v>503</v>
      </c>
      <c r="C343" s="113">
        <v>54</v>
      </c>
      <c r="D343" s="113">
        <v>188086</v>
      </c>
      <c r="E343" s="113">
        <v>34497</v>
      </c>
      <c r="F343" s="113">
        <v>6.9099999999999995E-2</v>
      </c>
      <c r="G343" s="113">
        <v>1.26E-2</v>
      </c>
      <c r="J343">
        <f>J341/(J341+K341+L341)</f>
        <v>0.36454774557063097</v>
      </c>
      <c r="K343">
        <f>K341/(K341+J341+L341)</f>
        <v>0.26674211449633611</v>
      </c>
      <c r="L343">
        <f>L341/(K341+L341+J341)</f>
        <v>0.36871013993303298</v>
      </c>
    </row>
    <row r="344" spans="1:21">
      <c r="A344" s="420"/>
      <c r="B344" s="420" t="s">
        <v>495</v>
      </c>
      <c r="C344" s="113">
        <v>53</v>
      </c>
      <c r="D344" s="113">
        <v>257051</v>
      </c>
      <c r="E344" s="113">
        <v>50688</v>
      </c>
      <c r="F344" s="113">
        <v>9.4500000000000001E-2</v>
      </c>
      <c r="G344" s="113">
        <v>1.8499999999999999E-2</v>
      </c>
    </row>
    <row r="345" spans="1:21">
      <c r="A345" s="420"/>
      <c r="B345" s="420" t="s">
        <v>506</v>
      </c>
      <c r="C345" s="113">
        <v>66</v>
      </c>
      <c r="D345" s="113">
        <v>259986</v>
      </c>
      <c r="E345" s="113">
        <v>41333</v>
      </c>
      <c r="F345" s="113">
        <v>9.5500000000000002E-2</v>
      </c>
      <c r="G345" s="113">
        <v>1.52E-2</v>
      </c>
      <c r="J345">
        <f>J340/(J340+K340)</f>
        <v>0.47724243442784453</v>
      </c>
      <c r="K345">
        <f>K340/(K340+J340)</f>
        <v>0.52275756557215547</v>
      </c>
    </row>
    <row r="346" spans="1:21">
      <c r="A346" s="420"/>
      <c r="B346" s="420" t="s">
        <v>250</v>
      </c>
      <c r="C346" s="113">
        <v>173</v>
      </c>
      <c r="D346" s="113">
        <v>705124</v>
      </c>
      <c r="E346" s="113">
        <v>79741</v>
      </c>
      <c r="F346" s="113">
        <v>0.2591</v>
      </c>
      <c r="G346" s="113">
        <v>2.9000000000000001E-2</v>
      </c>
    </row>
    <row r="347" spans="1:21">
      <c r="A347" s="420" t="s">
        <v>495</v>
      </c>
      <c r="B347" s="420" t="s">
        <v>503</v>
      </c>
      <c r="C347" s="113">
        <v>2104</v>
      </c>
      <c r="D347" s="113">
        <v>8379498</v>
      </c>
      <c r="E347" s="113">
        <v>316868</v>
      </c>
      <c r="F347" s="113">
        <v>3.0794999999999999</v>
      </c>
      <c r="G347" s="113">
        <v>0.106</v>
      </c>
    </row>
    <row r="348" spans="1:21">
      <c r="A348" s="420"/>
      <c r="B348" s="420" t="s">
        <v>495</v>
      </c>
      <c r="C348" s="113">
        <v>53475</v>
      </c>
      <c r="D348" s="113">
        <v>260918554</v>
      </c>
      <c r="E348" s="113">
        <v>1717385</v>
      </c>
      <c r="F348" s="113">
        <v>95.889499999999998</v>
      </c>
      <c r="G348" s="113">
        <v>0.1085</v>
      </c>
    </row>
    <row r="349" spans="1:21">
      <c r="A349" s="420"/>
      <c r="B349" s="420" t="s">
        <v>506</v>
      </c>
      <c r="C349" s="113">
        <v>457</v>
      </c>
      <c r="D349" s="113">
        <v>1804716</v>
      </c>
      <c r="E349" s="113">
        <v>109863</v>
      </c>
      <c r="F349" s="113">
        <v>0.66320000000000001</v>
      </c>
      <c r="G349" s="113">
        <v>4.07E-2</v>
      </c>
    </row>
    <row r="350" spans="1:21">
      <c r="A350" s="420"/>
      <c r="B350" s="420" t="s">
        <v>250</v>
      </c>
      <c r="C350" s="113">
        <v>56036</v>
      </c>
      <c r="D350" s="113">
        <v>271102768</v>
      </c>
      <c r="E350" s="113">
        <v>1873094</v>
      </c>
      <c r="F350" s="113">
        <v>99.632300000000001</v>
      </c>
      <c r="G350" s="113">
        <v>3.3799999999999997E-2</v>
      </c>
    </row>
    <row r="351" spans="1:21">
      <c r="A351" s="420" t="s">
        <v>250</v>
      </c>
      <c r="B351" s="420" t="s">
        <v>503</v>
      </c>
      <c r="C351" s="113">
        <v>2190</v>
      </c>
      <c r="D351" s="113">
        <v>8702893</v>
      </c>
      <c r="E351" s="113">
        <v>321826</v>
      </c>
      <c r="F351" s="113">
        <v>3.1983999999999999</v>
      </c>
      <c r="G351" s="113">
        <v>0.10680000000000001</v>
      </c>
    </row>
    <row r="352" spans="1:21">
      <c r="A352" s="420"/>
      <c r="B352" s="420" t="s">
        <v>495</v>
      </c>
      <c r="C352" s="113">
        <v>53551</v>
      </c>
      <c r="D352" s="113">
        <v>261299133</v>
      </c>
      <c r="E352" s="113">
        <v>1725508</v>
      </c>
      <c r="F352" s="113">
        <v>96.029399999999995</v>
      </c>
      <c r="G352" s="113">
        <v>0.1076</v>
      </c>
    </row>
    <row r="353" spans="1:21">
      <c r="A353" s="420"/>
      <c r="B353" s="420" t="s">
        <v>506</v>
      </c>
      <c r="C353" s="113">
        <v>535</v>
      </c>
      <c r="D353" s="113">
        <v>2101309</v>
      </c>
      <c r="E353" s="113">
        <v>116380</v>
      </c>
      <c r="F353" s="113">
        <v>0.7722</v>
      </c>
      <c r="G353" s="113">
        <v>4.3099999999999999E-2</v>
      </c>
    </row>
    <row r="354" spans="1:21">
      <c r="A354" s="420"/>
      <c r="B354" s="420" t="s">
        <v>250</v>
      </c>
      <c r="C354" s="113">
        <v>56276</v>
      </c>
      <c r="D354" s="113">
        <v>272103335</v>
      </c>
      <c r="E354" s="113">
        <v>1892182</v>
      </c>
      <c r="F354" s="113">
        <v>100</v>
      </c>
      <c r="G354" s="113"/>
    </row>
    <row r="355" spans="1:21">
      <c r="A355" s="129"/>
    </row>
    <row r="356" spans="1:21">
      <c r="A356" s="732" t="s">
        <v>484</v>
      </c>
      <c r="B356" s="732"/>
      <c r="C356" s="732"/>
      <c r="D356" s="732"/>
      <c r="E356" s="732"/>
      <c r="F356" s="732"/>
      <c r="G356" s="732"/>
    </row>
    <row r="357" spans="1:21">
      <c r="A357" s="732" t="s">
        <v>539</v>
      </c>
      <c r="B357" s="732"/>
      <c r="C357" s="732"/>
      <c r="D357" s="732"/>
      <c r="E357" s="732"/>
      <c r="F357" s="732"/>
      <c r="G357" s="732"/>
    </row>
    <row r="358" spans="1:21">
      <c r="A358" s="732" t="s">
        <v>487</v>
      </c>
      <c r="B358" s="732" t="s">
        <v>488</v>
      </c>
      <c r="C358" s="732" t="s">
        <v>489</v>
      </c>
      <c r="D358" s="420" t="s">
        <v>490</v>
      </c>
      <c r="E358" s="420" t="s">
        <v>491</v>
      </c>
      <c r="F358" s="732" t="s">
        <v>492</v>
      </c>
      <c r="G358" s="420" t="s">
        <v>491</v>
      </c>
      <c r="J358" t="s">
        <v>493</v>
      </c>
    </row>
    <row r="359" spans="1:21" ht="29.1" thickBot="1">
      <c r="A359" s="732"/>
      <c r="B359" s="732"/>
      <c r="C359" s="732"/>
      <c r="D359" s="420" t="s">
        <v>489</v>
      </c>
      <c r="E359" s="420" t="s">
        <v>494</v>
      </c>
      <c r="F359" s="732"/>
      <c r="G359" s="420" t="s">
        <v>492</v>
      </c>
      <c r="I359">
        <v>2018</v>
      </c>
      <c r="J359" t="s">
        <v>495</v>
      </c>
      <c r="K359" t="s">
        <v>496</v>
      </c>
      <c r="L359" t="s">
        <v>497</v>
      </c>
      <c r="P359" s="49" t="s">
        <v>498</v>
      </c>
      <c r="Q359" s="49" t="s">
        <v>499</v>
      </c>
      <c r="R359" s="49" t="s">
        <v>500</v>
      </c>
      <c r="S359" t="s">
        <v>501</v>
      </c>
      <c r="T359" s="49" t="s">
        <v>502</v>
      </c>
      <c r="U359" s="49" t="s">
        <v>495</v>
      </c>
    </row>
    <row r="360" spans="1:21" ht="28.8">
      <c r="A360" s="420" t="s">
        <v>503</v>
      </c>
      <c r="B360" s="420" t="s">
        <v>503</v>
      </c>
      <c r="C360" s="113">
        <v>33</v>
      </c>
      <c r="D360" s="113">
        <v>101609</v>
      </c>
      <c r="E360" s="113">
        <v>18722</v>
      </c>
      <c r="F360" s="113">
        <v>3.7100000000000001E-2</v>
      </c>
      <c r="G360" s="113">
        <v>6.7999999999999996E-3</v>
      </c>
      <c r="H360" t="s">
        <v>504</v>
      </c>
      <c r="I360" t="s">
        <v>495</v>
      </c>
      <c r="J360" s="130">
        <f>D369</f>
        <v>263415756</v>
      </c>
      <c r="K360" s="131">
        <f>D368</f>
        <v>7663420</v>
      </c>
      <c r="L360" s="132">
        <f>D370</f>
        <v>1782701</v>
      </c>
      <c r="M360" s="112">
        <f>SUM(J360:L360)</f>
        <v>272861877</v>
      </c>
      <c r="N360" s="230" t="s">
        <v>505</v>
      </c>
      <c r="P360" s="117">
        <f>L360</f>
        <v>1782701</v>
      </c>
      <c r="Q360" s="118">
        <f>L361</f>
        <v>38649</v>
      </c>
      <c r="R360" s="119">
        <f>SUM(J362:L362)</f>
        <v>592629</v>
      </c>
      <c r="S360" s="120">
        <f>K360</f>
        <v>7663420</v>
      </c>
      <c r="T360" s="121">
        <f>SUM(J361:K361)</f>
        <v>259887</v>
      </c>
      <c r="U360" s="122">
        <f>J360</f>
        <v>263415756</v>
      </c>
    </row>
    <row r="361" spans="1:21">
      <c r="A361" s="420"/>
      <c r="B361" s="420" t="s">
        <v>495</v>
      </c>
      <c r="C361" s="113">
        <v>37</v>
      </c>
      <c r="D361" s="113">
        <v>158278</v>
      </c>
      <c r="E361" s="113">
        <v>36048</v>
      </c>
      <c r="F361" s="113">
        <v>5.7799999999999997E-2</v>
      </c>
      <c r="G361" s="113">
        <v>1.32E-2</v>
      </c>
      <c r="I361" t="s">
        <v>496</v>
      </c>
      <c r="J361" s="133">
        <f>D361</f>
        <v>158278</v>
      </c>
      <c r="K361" s="134">
        <f>D360</f>
        <v>101609</v>
      </c>
      <c r="L361" s="135">
        <f>D362</f>
        <v>38649</v>
      </c>
      <c r="M361" s="112">
        <f t="shared" ref="M361:M362" si="28">SUM(J361:L361)</f>
        <v>298536</v>
      </c>
      <c r="N361">
        <f>K361/(K361+J361)</f>
        <v>0.39097376936899497</v>
      </c>
    </row>
    <row r="362" spans="1:21" ht="14.7" thickBot="1">
      <c r="A362" s="420"/>
      <c r="B362" s="420" t="s">
        <v>506</v>
      </c>
      <c r="C362" s="113">
        <v>12</v>
      </c>
      <c r="D362" s="113">
        <v>38649</v>
      </c>
      <c r="E362" s="113">
        <v>15986</v>
      </c>
      <c r="F362" s="113">
        <v>1.41E-2</v>
      </c>
      <c r="G362" s="113">
        <v>5.7999999999999996E-3</v>
      </c>
      <c r="I362" t="s">
        <v>507</v>
      </c>
      <c r="J362" s="136">
        <f>D365</f>
        <v>176672</v>
      </c>
      <c r="K362" s="137">
        <f>D364</f>
        <v>157951</v>
      </c>
      <c r="L362" s="138">
        <f>D366</f>
        <v>258006</v>
      </c>
      <c r="M362" s="112">
        <f t="shared" si="28"/>
        <v>592629</v>
      </c>
    </row>
    <row r="363" spans="1:21">
      <c r="A363" s="420"/>
      <c r="B363" s="420" t="s">
        <v>250</v>
      </c>
      <c r="C363" s="113">
        <v>82</v>
      </c>
      <c r="D363" s="113">
        <v>298537</v>
      </c>
      <c r="E363" s="113">
        <v>44646</v>
      </c>
      <c r="F363" s="113">
        <v>0.1091</v>
      </c>
      <c r="G363" s="113">
        <v>1.6400000000000001E-2</v>
      </c>
      <c r="J363" s="92">
        <f>SUM(J360:J362)</f>
        <v>263750706</v>
      </c>
      <c r="K363" s="92">
        <f>SUM(K360:K362)</f>
        <v>7922980</v>
      </c>
      <c r="L363" s="92">
        <f>SUM(L360:L362)</f>
        <v>2079356</v>
      </c>
    </row>
    <row r="364" spans="1:21">
      <c r="A364" s="420" t="s">
        <v>500</v>
      </c>
      <c r="B364" s="420" t="s">
        <v>503</v>
      </c>
      <c r="C364" s="113">
        <v>47</v>
      </c>
      <c r="D364" s="113">
        <v>157951</v>
      </c>
      <c r="E364" s="113">
        <v>27182</v>
      </c>
      <c r="F364" s="113">
        <v>5.7700000000000001E-2</v>
      </c>
      <c r="G364" s="113">
        <v>9.9000000000000008E-3</v>
      </c>
      <c r="J364">
        <f>J362/(J362+K362+L362)</f>
        <v>0.29811568451763243</v>
      </c>
      <c r="K364">
        <f>K362/(K362+J362+L362)</f>
        <v>0.26652593781269562</v>
      </c>
      <c r="L364">
        <f>L362/(K362+L362+J362)</f>
        <v>0.43535837766967189</v>
      </c>
    </row>
    <row r="365" spans="1:21">
      <c r="A365" s="420"/>
      <c r="B365" s="420" t="s">
        <v>495</v>
      </c>
      <c r="C365" s="113">
        <v>33</v>
      </c>
      <c r="D365" s="113">
        <v>176672</v>
      </c>
      <c r="E365" s="113">
        <v>54491</v>
      </c>
      <c r="F365" s="113">
        <v>6.4500000000000002E-2</v>
      </c>
      <c r="G365" s="113">
        <v>1.9900000000000001E-2</v>
      </c>
    </row>
    <row r="366" spans="1:21">
      <c r="A366" s="420"/>
      <c r="B366" s="420" t="s">
        <v>506</v>
      </c>
      <c r="C366" s="113">
        <v>53</v>
      </c>
      <c r="D366" s="113">
        <v>258006</v>
      </c>
      <c r="E366" s="113">
        <v>63107</v>
      </c>
      <c r="F366" s="113">
        <v>9.4200000000000006E-2</v>
      </c>
      <c r="G366" s="113">
        <v>2.3E-2</v>
      </c>
      <c r="J366">
        <f>J361/(J361+K361)</f>
        <v>0.60902623063100503</v>
      </c>
      <c r="K366">
        <f>K361/(K361+J361)</f>
        <v>0.39097376936899497</v>
      </c>
    </row>
    <row r="367" spans="1:21">
      <c r="A367" s="420"/>
      <c r="B367" s="420" t="s">
        <v>250</v>
      </c>
      <c r="C367" s="113">
        <v>133</v>
      </c>
      <c r="D367" s="113">
        <v>592629</v>
      </c>
      <c r="E367" s="113">
        <v>97497</v>
      </c>
      <c r="F367" s="113">
        <v>0.2165</v>
      </c>
      <c r="G367" s="113">
        <v>3.5499999999999997E-2</v>
      </c>
    </row>
    <row r="368" spans="1:21">
      <c r="A368" s="420" t="s">
        <v>495</v>
      </c>
      <c r="B368" s="420" t="s">
        <v>503</v>
      </c>
      <c r="C368" s="113">
        <v>1800</v>
      </c>
      <c r="D368" s="113">
        <v>7663420</v>
      </c>
      <c r="E368" s="113">
        <v>245121</v>
      </c>
      <c r="F368" s="113">
        <v>2.7993999999999999</v>
      </c>
      <c r="G368" s="113">
        <v>9.0700000000000003E-2</v>
      </c>
    </row>
    <row r="369" spans="1:21">
      <c r="A369" s="420"/>
      <c r="B369" s="420" t="s">
        <v>495</v>
      </c>
      <c r="C369" s="113">
        <v>53922</v>
      </c>
      <c r="D369" s="113">
        <v>263415756</v>
      </c>
      <c r="E369" s="113">
        <v>1877679</v>
      </c>
      <c r="F369" s="113">
        <v>96.2239</v>
      </c>
      <c r="G369" s="113">
        <v>0.11890000000000001</v>
      </c>
    </row>
    <row r="370" spans="1:21">
      <c r="A370" s="420"/>
      <c r="B370" s="420" t="s">
        <v>506</v>
      </c>
      <c r="C370" s="113">
        <v>376</v>
      </c>
      <c r="D370" s="113">
        <v>1782701</v>
      </c>
      <c r="E370" s="113">
        <v>158645</v>
      </c>
      <c r="F370" s="113">
        <v>0.6512</v>
      </c>
      <c r="G370" s="113">
        <v>5.9200000000000003E-2</v>
      </c>
    </row>
    <row r="371" spans="1:21">
      <c r="A371" s="420"/>
      <c r="B371" s="420" t="s">
        <v>250</v>
      </c>
      <c r="C371" s="113">
        <v>56098</v>
      </c>
      <c r="D371" s="113">
        <v>272861877</v>
      </c>
      <c r="E371" s="113">
        <v>1821724</v>
      </c>
      <c r="F371" s="113">
        <v>99.674499999999995</v>
      </c>
      <c r="G371" s="113">
        <v>3.2800000000000003E-2</v>
      </c>
    </row>
    <row r="372" spans="1:21">
      <c r="A372" s="420" t="s">
        <v>250</v>
      </c>
      <c r="B372" s="420" t="s">
        <v>503</v>
      </c>
      <c r="C372" s="113">
        <v>1880</v>
      </c>
      <c r="D372" s="113">
        <v>7922979</v>
      </c>
      <c r="E372" s="113">
        <v>248650</v>
      </c>
      <c r="F372" s="113">
        <v>2.8942000000000001</v>
      </c>
      <c r="G372" s="113">
        <v>9.1999999999999998E-2</v>
      </c>
    </row>
    <row r="373" spans="1:21">
      <c r="A373" s="420"/>
      <c r="B373" s="420" t="s">
        <v>495</v>
      </c>
      <c r="C373" s="113">
        <v>53992</v>
      </c>
      <c r="D373" s="113">
        <v>263750706</v>
      </c>
      <c r="E373" s="113">
        <v>1872882</v>
      </c>
      <c r="F373" s="113">
        <v>96.346199999999996</v>
      </c>
      <c r="G373" s="113">
        <v>0.11700000000000001</v>
      </c>
    </row>
    <row r="374" spans="1:21">
      <c r="A374" s="420"/>
      <c r="B374" s="420" t="s">
        <v>506</v>
      </c>
      <c r="C374" s="113">
        <v>441</v>
      </c>
      <c r="D374" s="113">
        <v>2079357</v>
      </c>
      <c r="E374" s="113">
        <v>181018</v>
      </c>
      <c r="F374" s="113">
        <v>0.75960000000000005</v>
      </c>
      <c r="G374" s="113">
        <v>6.7199999999999996E-2</v>
      </c>
    </row>
    <row r="375" spans="1:21" ht="14.85" customHeight="1">
      <c r="A375" s="420"/>
      <c r="B375" s="420" t="s">
        <v>250</v>
      </c>
      <c r="C375" s="113">
        <v>56313</v>
      </c>
      <c r="D375" s="113">
        <v>273753043</v>
      </c>
      <c r="E375" s="113">
        <v>1824764</v>
      </c>
      <c r="F375" s="113">
        <v>100</v>
      </c>
      <c r="G375" s="113"/>
    </row>
    <row r="376" spans="1:21" ht="14.85" customHeight="1"/>
    <row r="377" spans="1:21">
      <c r="A377" s="730" t="s">
        <v>484</v>
      </c>
      <c r="B377" s="731"/>
      <c r="C377" s="731"/>
      <c r="D377" s="731"/>
      <c r="E377" s="731"/>
      <c r="F377" s="731"/>
      <c r="G377" s="731"/>
    </row>
    <row r="378" spans="1:21">
      <c r="A378" s="732" t="s">
        <v>540</v>
      </c>
      <c r="B378" s="732"/>
      <c r="C378" s="732"/>
      <c r="D378" s="732"/>
      <c r="E378" s="732"/>
      <c r="F378" s="732"/>
      <c r="G378" s="732"/>
      <c r="J378" t="s">
        <v>493</v>
      </c>
    </row>
    <row r="379" spans="1:21" ht="29.1" thickBot="1">
      <c r="A379" s="231" t="s">
        <v>487</v>
      </c>
      <c r="B379" s="230" t="s">
        <v>488</v>
      </c>
      <c r="C379" s="230" t="s">
        <v>489</v>
      </c>
      <c r="D379" s="230" t="s">
        <v>541</v>
      </c>
      <c r="E379" s="230" t="s">
        <v>542</v>
      </c>
      <c r="F379" s="230" t="s">
        <v>492</v>
      </c>
      <c r="G379" s="230" t="s">
        <v>543</v>
      </c>
      <c r="I379">
        <v>2019</v>
      </c>
      <c r="J379" t="s">
        <v>495</v>
      </c>
      <c r="K379" t="s">
        <v>496</v>
      </c>
      <c r="L379" t="s">
        <v>497</v>
      </c>
      <c r="P379" s="49" t="s">
        <v>498</v>
      </c>
      <c r="Q379" s="49" t="s">
        <v>499</v>
      </c>
      <c r="R379" s="49" t="s">
        <v>500</v>
      </c>
      <c r="S379" t="s">
        <v>501</v>
      </c>
      <c r="T379" s="49" t="s">
        <v>502</v>
      </c>
      <c r="U379" s="49" t="s">
        <v>495</v>
      </c>
    </row>
    <row r="380" spans="1:21" ht="28.8">
      <c r="A380" s="231" t="s">
        <v>503</v>
      </c>
      <c r="B380" s="230" t="s">
        <v>503</v>
      </c>
      <c r="C380" s="49">
        <v>20</v>
      </c>
      <c r="D380" s="49">
        <v>65797</v>
      </c>
      <c r="E380" s="49">
        <v>19762</v>
      </c>
      <c r="F380" s="49">
        <v>2.3900000000000001E-2</v>
      </c>
      <c r="G380" s="49">
        <v>7.1000000000000004E-3</v>
      </c>
      <c r="H380" t="s">
        <v>504</v>
      </c>
      <c r="I380" t="s">
        <v>495</v>
      </c>
      <c r="J380" s="232">
        <f>D389</f>
        <v>265093638</v>
      </c>
      <c r="K380" s="233">
        <f>D388</f>
        <v>7798728</v>
      </c>
      <c r="L380" s="234">
        <f>D390</f>
        <v>1581223</v>
      </c>
      <c r="M380" s="112">
        <f>SUM(J380:L380)</f>
        <v>274473589</v>
      </c>
      <c r="N380" s="230" t="s">
        <v>505</v>
      </c>
      <c r="P380" s="117">
        <f>L380</f>
        <v>1581223</v>
      </c>
      <c r="Q380" s="118">
        <f>L381</f>
        <v>23310</v>
      </c>
      <c r="R380" s="119">
        <f>SUM(J382:L382)</f>
        <v>456633</v>
      </c>
      <c r="S380" s="120">
        <f>K380</f>
        <v>7798728</v>
      </c>
      <c r="T380" s="121">
        <f>SUM(J381:K381)</f>
        <v>267714</v>
      </c>
      <c r="U380" s="122">
        <f>J380</f>
        <v>265093638</v>
      </c>
    </row>
    <row r="381" spans="1:21">
      <c r="A381" s="231" t="s">
        <v>544</v>
      </c>
      <c r="B381" s="230" t="s">
        <v>495</v>
      </c>
      <c r="C381" s="49">
        <v>27</v>
      </c>
      <c r="D381" s="49">
        <v>201917</v>
      </c>
      <c r="E381" s="49">
        <v>70655</v>
      </c>
      <c r="F381" s="49">
        <v>7.3400000000000007E-2</v>
      </c>
      <c r="G381" s="49">
        <v>2.5600000000000001E-2</v>
      </c>
      <c r="I381" t="s">
        <v>496</v>
      </c>
      <c r="J381" s="235">
        <f>D381</f>
        <v>201917</v>
      </c>
      <c r="K381" s="92">
        <f>D380</f>
        <v>65797</v>
      </c>
      <c r="L381" s="236">
        <f>D382</f>
        <v>23310</v>
      </c>
      <c r="M381" s="112">
        <f>SUM(J381:L381)</f>
        <v>291024</v>
      </c>
      <c r="N381">
        <f>K381/(K381+J381)</f>
        <v>0.24577347467820138</v>
      </c>
    </row>
    <row r="382" spans="1:21" ht="14.7" thickBot="1">
      <c r="A382" s="231" t="s">
        <v>544</v>
      </c>
      <c r="B382" s="230" t="s">
        <v>506</v>
      </c>
      <c r="C382" s="49">
        <v>6</v>
      </c>
      <c r="D382" s="49">
        <v>23310</v>
      </c>
      <c r="E382" s="49">
        <v>11700</v>
      </c>
      <c r="F382" s="49">
        <v>8.5000000000000006E-3</v>
      </c>
      <c r="G382" s="49">
        <v>4.1999999999999997E-3</v>
      </c>
      <c r="I382" t="s">
        <v>507</v>
      </c>
      <c r="J382" s="237">
        <f>D385</f>
        <v>164637</v>
      </c>
      <c r="K382" s="238">
        <f>D384</f>
        <v>91435</v>
      </c>
      <c r="L382" s="239">
        <f>D386</f>
        <v>200561</v>
      </c>
      <c r="M382" s="112">
        <f>SUM(J382:L382)</f>
        <v>456633</v>
      </c>
    </row>
    <row r="383" spans="1:21">
      <c r="A383" s="231" t="s">
        <v>544</v>
      </c>
      <c r="B383" s="230" t="s">
        <v>250</v>
      </c>
      <c r="C383" s="49">
        <v>53</v>
      </c>
      <c r="D383" s="49">
        <v>291025</v>
      </c>
      <c r="E383" s="49">
        <v>75019</v>
      </c>
      <c r="F383" s="49">
        <v>0.1057</v>
      </c>
      <c r="G383" s="49">
        <v>2.7099999999999999E-2</v>
      </c>
      <c r="J383" s="92">
        <f>SUM(J380:J382)</f>
        <v>265460192</v>
      </c>
      <c r="K383" s="92">
        <f>SUM(K380:K382)</f>
        <v>7955960</v>
      </c>
      <c r="L383" s="92">
        <f>SUM(L380:L382)</f>
        <v>1805094</v>
      </c>
    </row>
    <row r="384" spans="1:21">
      <c r="A384" s="231" t="s">
        <v>500</v>
      </c>
      <c r="B384" s="230" t="s">
        <v>503</v>
      </c>
      <c r="C384" s="49">
        <v>34</v>
      </c>
      <c r="D384" s="49">
        <v>91435</v>
      </c>
      <c r="E384" s="49">
        <v>21617</v>
      </c>
      <c r="F384" s="49">
        <v>3.32E-2</v>
      </c>
      <c r="G384" s="49">
        <v>7.9000000000000008E-3</v>
      </c>
      <c r="J384">
        <f>J382/(J382+K382+L382)</f>
        <v>0.36054555846817904</v>
      </c>
      <c r="K384">
        <f>K382/(K382+J382+L382)</f>
        <v>0.2002373897637709</v>
      </c>
      <c r="L384">
        <f>L382/(K382+L382+J382)</f>
        <v>0.43921705176805004</v>
      </c>
    </row>
    <row r="385" spans="1:11">
      <c r="A385" s="231" t="s">
        <v>544</v>
      </c>
      <c r="B385" s="230" t="s">
        <v>495</v>
      </c>
      <c r="C385" s="49">
        <v>34</v>
      </c>
      <c r="D385" s="49">
        <v>164637</v>
      </c>
      <c r="E385" s="49">
        <v>39902</v>
      </c>
      <c r="F385" s="49">
        <v>5.9799999999999999E-2</v>
      </c>
      <c r="G385" s="49">
        <v>1.4500000000000001E-2</v>
      </c>
    </row>
    <row r="386" spans="1:11">
      <c r="A386" s="231" t="s">
        <v>544</v>
      </c>
      <c r="B386" s="230" t="s">
        <v>506</v>
      </c>
      <c r="C386" s="49">
        <v>44</v>
      </c>
      <c r="D386" s="49">
        <v>200561</v>
      </c>
      <c r="E386" s="49">
        <v>38458</v>
      </c>
      <c r="F386" s="49">
        <v>7.2900000000000006E-2</v>
      </c>
      <c r="G386" s="49">
        <v>1.4E-2</v>
      </c>
      <c r="J386">
        <f>J381/(J381+K381)</f>
        <v>0.75422652532179868</v>
      </c>
      <c r="K386">
        <f>K381/(K381+J381)</f>
        <v>0.24577347467820138</v>
      </c>
    </row>
    <row r="387" spans="1:11">
      <c r="A387" s="231" t="s">
        <v>544</v>
      </c>
      <c r="B387" s="230" t="s">
        <v>250</v>
      </c>
      <c r="C387" s="49">
        <v>112</v>
      </c>
      <c r="D387" s="49">
        <v>456633</v>
      </c>
      <c r="E387" s="49">
        <v>64576</v>
      </c>
      <c r="F387" s="49">
        <v>0.16589999999999999</v>
      </c>
      <c r="G387" s="49">
        <v>2.3599999999999999E-2</v>
      </c>
    </row>
    <row r="388" spans="1:11">
      <c r="A388" s="231" t="s">
        <v>495</v>
      </c>
      <c r="B388" s="230" t="s">
        <v>503</v>
      </c>
      <c r="C388" s="49">
        <v>1756</v>
      </c>
      <c r="D388" s="49">
        <v>7798728</v>
      </c>
      <c r="E388" s="49">
        <v>305110</v>
      </c>
      <c r="F388" s="49">
        <v>2.8336000000000001</v>
      </c>
      <c r="G388" s="49">
        <v>0.1038</v>
      </c>
    </row>
    <row r="389" spans="1:11">
      <c r="A389" s="231" t="s">
        <v>544</v>
      </c>
      <c r="B389" s="230" t="s">
        <v>495</v>
      </c>
      <c r="C389" s="49">
        <v>53895</v>
      </c>
      <c r="D389" s="49">
        <v>265093638</v>
      </c>
      <c r="E389" s="49">
        <v>2637019</v>
      </c>
      <c r="F389" s="49">
        <v>96.3202</v>
      </c>
      <c r="G389" s="49">
        <v>0.11940000000000001</v>
      </c>
    </row>
    <row r="390" spans="1:11">
      <c r="A390" s="231" t="s">
        <v>544</v>
      </c>
      <c r="B390" s="230" t="s">
        <v>506</v>
      </c>
      <c r="C390" s="49">
        <v>320</v>
      </c>
      <c r="D390" s="49">
        <v>1581223</v>
      </c>
      <c r="E390" s="49">
        <v>139066</v>
      </c>
      <c r="F390" s="49">
        <v>0.57450000000000001</v>
      </c>
      <c r="G390" s="49">
        <v>5.0999999999999997E-2</v>
      </c>
    </row>
    <row r="391" spans="1:11">
      <c r="A391" s="231" t="s">
        <v>544</v>
      </c>
      <c r="B391" s="230" t="s">
        <v>250</v>
      </c>
      <c r="C391" s="49">
        <v>55971</v>
      </c>
      <c r="D391" s="49">
        <v>274473590</v>
      </c>
      <c r="E391" s="49">
        <v>2728182</v>
      </c>
      <c r="F391" s="49">
        <v>99.728300000000004</v>
      </c>
      <c r="G391" s="49">
        <v>3.5900000000000001E-2</v>
      </c>
    </row>
    <row r="392" spans="1:11">
      <c r="A392" s="231" t="s">
        <v>250</v>
      </c>
      <c r="B392" s="230" t="s">
        <v>503</v>
      </c>
      <c r="C392" s="49">
        <v>1810</v>
      </c>
      <c r="D392" s="49">
        <v>7955961</v>
      </c>
      <c r="E392" s="49">
        <v>303717</v>
      </c>
      <c r="F392" s="49">
        <v>2.8908</v>
      </c>
      <c r="G392" s="49">
        <v>0.1026</v>
      </c>
    </row>
    <row r="393" spans="1:11">
      <c r="A393" s="231" t="s">
        <v>544</v>
      </c>
      <c r="B393" s="230" t="s">
        <v>495</v>
      </c>
      <c r="C393" s="49">
        <v>53956</v>
      </c>
      <c r="D393" s="49">
        <v>265460193</v>
      </c>
      <c r="E393" s="49">
        <v>2641026</v>
      </c>
      <c r="F393" s="49">
        <v>96.453400000000002</v>
      </c>
      <c r="G393" s="49">
        <v>0.1207</v>
      </c>
    </row>
    <row r="394" spans="1:11">
      <c r="A394" s="231" t="s">
        <v>544</v>
      </c>
      <c r="B394" s="230" t="s">
        <v>506</v>
      </c>
      <c r="C394" s="49">
        <v>370</v>
      </c>
      <c r="D394" s="49">
        <v>1805095</v>
      </c>
      <c r="E394" s="49">
        <v>142050</v>
      </c>
      <c r="F394" s="49">
        <v>0.65590000000000004</v>
      </c>
      <c r="G394" s="49">
        <v>5.2200000000000003E-2</v>
      </c>
    </row>
    <row r="395" spans="1:11">
      <c r="A395" s="231" t="s">
        <v>544</v>
      </c>
      <c r="B395" s="230" t="s">
        <v>250</v>
      </c>
      <c r="C395" s="49">
        <v>56136</v>
      </c>
      <c r="D395" s="49">
        <v>275221248</v>
      </c>
      <c r="E395" s="49">
        <v>2734553</v>
      </c>
      <c r="F395" s="49">
        <v>100</v>
      </c>
      <c r="G395" s="49"/>
    </row>
  </sheetData>
  <mergeCells count="105">
    <mergeCell ref="A83:G83"/>
    <mergeCell ref="A84:G84"/>
    <mergeCell ref="A85:A86"/>
    <mergeCell ref="B85:B86"/>
    <mergeCell ref="C85:C86"/>
    <mergeCell ref="F85:F86"/>
    <mergeCell ref="A20:G20"/>
    <mergeCell ref="A21:G21"/>
    <mergeCell ref="A22:A23"/>
    <mergeCell ref="B22:B23"/>
    <mergeCell ref="C22:C23"/>
    <mergeCell ref="F22:F23"/>
    <mergeCell ref="A62:G62"/>
    <mergeCell ref="A63:G63"/>
    <mergeCell ref="A64:A65"/>
    <mergeCell ref="B64:B65"/>
    <mergeCell ref="C64:C65"/>
    <mergeCell ref="F64:F65"/>
    <mergeCell ref="A41:G41"/>
    <mergeCell ref="A42:G42"/>
    <mergeCell ref="A43:A44"/>
    <mergeCell ref="B43:B44"/>
    <mergeCell ref="C43:C44"/>
    <mergeCell ref="F43:F44"/>
    <mergeCell ref="A125:G125"/>
    <mergeCell ref="A126:G126"/>
    <mergeCell ref="A127:A128"/>
    <mergeCell ref="B127:B128"/>
    <mergeCell ref="C127:C128"/>
    <mergeCell ref="F127:F128"/>
    <mergeCell ref="A104:G104"/>
    <mergeCell ref="A105:G105"/>
    <mergeCell ref="A106:A107"/>
    <mergeCell ref="B106:B107"/>
    <mergeCell ref="C106:C107"/>
    <mergeCell ref="F106:F107"/>
    <mergeCell ref="A167:G167"/>
    <mergeCell ref="A168:G168"/>
    <mergeCell ref="A169:A170"/>
    <mergeCell ref="B169:B170"/>
    <mergeCell ref="C169:C170"/>
    <mergeCell ref="F169:F170"/>
    <mergeCell ref="A146:G146"/>
    <mergeCell ref="A147:G147"/>
    <mergeCell ref="A148:A149"/>
    <mergeCell ref="B148:B149"/>
    <mergeCell ref="C148:C149"/>
    <mergeCell ref="F148:F149"/>
    <mergeCell ref="A209:G209"/>
    <mergeCell ref="A210:G210"/>
    <mergeCell ref="A211:A212"/>
    <mergeCell ref="B211:B212"/>
    <mergeCell ref="C211:C212"/>
    <mergeCell ref="F211:F212"/>
    <mergeCell ref="A188:G188"/>
    <mergeCell ref="A189:G189"/>
    <mergeCell ref="A190:A191"/>
    <mergeCell ref="B190:B191"/>
    <mergeCell ref="C190:C191"/>
    <mergeCell ref="F190:F191"/>
    <mergeCell ref="A251:G251"/>
    <mergeCell ref="A252:G252"/>
    <mergeCell ref="A253:A254"/>
    <mergeCell ref="B253:B254"/>
    <mergeCell ref="C253:C254"/>
    <mergeCell ref="F253:F254"/>
    <mergeCell ref="A230:G230"/>
    <mergeCell ref="A231:G231"/>
    <mergeCell ref="A232:A233"/>
    <mergeCell ref="B232:B233"/>
    <mergeCell ref="C232:C233"/>
    <mergeCell ref="F232:F233"/>
    <mergeCell ref="B295:B296"/>
    <mergeCell ref="C295:C296"/>
    <mergeCell ref="F295:F296"/>
    <mergeCell ref="A272:G272"/>
    <mergeCell ref="A273:G273"/>
    <mergeCell ref="A274:A275"/>
    <mergeCell ref="B274:B275"/>
    <mergeCell ref="C274:C275"/>
    <mergeCell ref="F274:F275"/>
    <mergeCell ref="AI2:AL5"/>
    <mergeCell ref="A377:G377"/>
    <mergeCell ref="A378:G378"/>
    <mergeCell ref="A356:G356"/>
    <mergeCell ref="A357:G357"/>
    <mergeCell ref="A358:A359"/>
    <mergeCell ref="B358:B359"/>
    <mergeCell ref="C358:C359"/>
    <mergeCell ref="F358:F359"/>
    <mergeCell ref="A335:G335"/>
    <mergeCell ref="A336:G336"/>
    <mergeCell ref="A337:A338"/>
    <mergeCell ref="B337:B338"/>
    <mergeCell ref="C337:C338"/>
    <mergeCell ref="F337:F338"/>
    <mergeCell ref="A314:G314"/>
    <mergeCell ref="A315:G315"/>
    <mergeCell ref="A316:A317"/>
    <mergeCell ref="B316:B317"/>
    <mergeCell ref="C316:C317"/>
    <mergeCell ref="F316:F317"/>
    <mergeCell ref="A293:G293"/>
    <mergeCell ref="A294:G294"/>
    <mergeCell ref="A295:A29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72E6-AE5E-452E-A1E8-BE369046D2A9}">
  <dimension ref="A1:AQ42"/>
  <sheetViews>
    <sheetView topLeftCell="C1" zoomScale="85" zoomScaleNormal="85" workbookViewId="0">
      <selection activeCell="E24" sqref="E24"/>
    </sheetView>
  </sheetViews>
  <sheetFormatPr defaultColWidth="8.89453125" defaultRowHeight="15.6"/>
  <cols>
    <col min="1" max="1" width="52.3125" style="253" customWidth="1"/>
    <col min="2" max="2" width="19.41796875" style="253" customWidth="1"/>
    <col min="3" max="3" width="10.1015625" style="253" customWidth="1"/>
    <col min="4" max="4" width="10" style="253" bestFit="1" customWidth="1"/>
    <col min="5" max="8" width="10.1015625" style="253" bestFit="1" customWidth="1"/>
    <col min="9" max="9" width="11.68359375" style="253" bestFit="1" customWidth="1"/>
    <col min="10" max="10" width="10.1015625" style="253" bestFit="1" customWidth="1"/>
    <col min="11" max="22" width="11.68359375" style="253" bestFit="1" customWidth="1"/>
    <col min="23" max="23" width="37.3125" style="253" customWidth="1"/>
    <col min="24" max="39" width="14.41796875" style="253" bestFit="1" customWidth="1"/>
    <col min="40" max="16384" width="8.89453125" style="253"/>
  </cols>
  <sheetData>
    <row r="1" spans="1:43">
      <c r="B1" s="253">
        <v>1999</v>
      </c>
      <c r="C1" s="253">
        <v>2000</v>
      </c>
      <c r="D1" s="253">
        <v>2001</v>
      </c>
      <c r="E1" s="253">
        <v>2002</v>
      </c>
      <c r="F1" s="253">
        <v>2003</v>
      </c>
      <c r="G1" s="253">
        <v>2004</v>
      </c>
      <c r="H1" s="253">
        <v>2005</v>
      </c>
      <c r="I1" s="253">
        <v>2006</v>
      </c>
      <c r="J1" s="253">
        <v>2007</v>
      </c>
      <c r="K1" s="253">
        <v>2008</v>
      </c>
      <c r="L1" s="253">
        <v>2009</v>
      </c>
      <c r="M1" s="253">
        <v>2010</v>
      </c>
      <c r="N1" s="253">
        <v>2011</v>
      </c>
      <c r="O1" s="253">
        <v>2012</v>
      </c>
      <c r="P1" s="253">
        <v>2013</v>
      </c>
      <c r="Q1" s="253">
        <v>2014</v>
      </c>
      <c r="R1" s="253">
        <v>2015</v>
      </c>
      <c r="S1" s="253">
        <v>2016</v>
      </c>
      <c r="T1" s="253">
        <v>2017</v>
      </c>
      <c r="U1" s="253">
        <v>2018</v>
      </c>
      <c r="V1" s="253">
        <v>2019</v>
      </c>
    </row>
    <row r="2" spans="1:43">
      <c r="A2" s="264" t="s">
        <v>34</v>
      </c>
      <c r="B2" s="263">
        <f t="shared" ref="B2:D2" si="0">B33</f>
        <v>747374.50609214988</v>
      </c>
      <c r="C2" s="263">
        <f t="shared" si="0"/>
        <v>680106.95957086678</v>
      </c>
      <c r="D2" s="263">
        <f t="shared" si="0"/>
        <v>742183.13782029657</v>
      </c>
      <c r="E2" s="263">
        <f t="shared" ref="E2:V2" si="1">E33</f>
        <v>775081.8598541969</v>
      </c>
      <c r="F2" s="263">
        <f t="shared" si="1"/>
        <v>682195.27577221685</v>
      </c>
      <c r="G2" s="263">
        <f t="shared" si="1"/>
        <v>894618.74174900353</v>
      </c>
      <c r="H2" s="263">
        <f t="shared" si="1"/>
        <v>738696.68222262722</v>
      </c>
      <c r="I2" s="263">
        <f t="shared" si="1"/>
        <v>1008908.1859961305</v>
      </c>
      <c r="J2" s="263">
        <f t="shared" si="1"/>
        <v>782915.17422729603</v>
      </c>
      <c r="K2" s="263">
        <f t="shared" si="1"/>
        <v>1038598.4657154257</v>
      </c>
      <c r="L2" s="263">
        <f t="shared" si="1"/>
        <v>1334697.1183169368</v>
      </c>
      <c r="M2" s="263">
        <f t="shared" si="1"/>
        <v>1353760.0753963992</v>
      </c>
      <c r="N2" s="263">
        <f t="shared" si="1"/>
        <v>1612439.199676173</v>
      </c>
      <c r="O2" s="263">
        <f t="shared" si="1"/>
        <v>1587274.2042263614</v>
      </c>
      <c r="P2" s="263">
        <f t="shared" si="1"/>
        <v>1689901.9751434878</v>
      </c>
      <c r="Q2" s="263">
        <f t="shared" si="1"/>
        <v>1962841.263511488</v>
      </c>
      <c r="R2" s="263">
        <f t="shared" si="1"/>
        <v>1950025.4061796542</v>
      </c>
      <c r="S2" s="263">
        <f t="shared" si="1"/>
        <v>2038888.1137962257</v>
      </c>
      <c r="T2" s="263">
        <f t="shared" si="1"/>
        <v>2223611.1637290097</v>
      </c>
      <c r="U2" s="263">
        <f t="shared" si="1"/>
        <v>1868860.4120835075</v>
      </c>
      <c r="V2" s="263">
        <f t="shared" si="1"/>
        <v>1439995.910680929</v>
      </c>
    </row>
    <row r="3" spans="1:43">
      <c r="A3" s="265" t="s">
        <v>36</v>
      </c>
      <c r="B3" s="263">
        <f t="shared" ref="B3:D3" si="2">B34</f>
        <v>361731.9881024934</v>
      </c>
      <c r="C3" s="263">
        <f t="shared" si="2"/>
        <v>375826.30919439095</v>
      </c>
      <c r="D3" s="263">
        <f t="shared" si="2"/>
        <v>645871.81229615514</v>
      </c>
      <c r="E3" s="263">
        <f t="shared" ref="E3:V3" si="3">E34</f>
        <v>457135.70243109489</v>
      </c>
      <c r="F3" s="263">
        <f t="shared" si="3"/>
        <v>354665.60692405509</v>
      </c>
      <c r="G3" s="263">
        <f t="shared" si="3"/>
        <v>402819.67716448399</v>
      </c>
      <c r="H3" s="263">
        <f t="shared" si="3"/>
        <v>454020.03632778488</v>
      </c>
      <c r="I3" s="263">
        <f t="shared" si="3"/>
        <v>624968.56243540847</v>
      </c>
      <c r="J3" s="263">
        <f t="shared" si="3"/>
        <v>325322.21310695028</v>
      </c>
      <c r="K3" s="263">
        <f t="shared" si="3"/>
        <v>443055.28831036697</v>
      </c>
      <c r="L3" s="263">
        <f t="shared" si="3"/>
        <v>677897.04409325775</v>
      </c>
      <c r="M3" s="263">
        <f t="shared" si="3"/>
        <v>460919.91227317188</v>
      </c>
      <c r="N3" s="263">
        <f t="shared" si="3"/>
        <v>425174.89680655353</v>
      </c>
      <c r="O3" s="263">
        <f t="shared" si="3"/>
        <v>420406.79240553651</v>
      </c>
      <c r="P3" s="263">
        <f t="shared" si="3"/>
        <v>500827.55856607488</v>
      </c>
      <c r="Q3" s="263">
        <f t="shared" si="3"/>
        <v>884237.39274890581</v>
      </c>
      <c r="R3" s="263">
        <f t="shared" si="3"/>
        <v>579103.93914943608</v>
      </c>
      <c r="S3" s="263">
        <f t="shared" si="3"/>
        <v>871550.82925334293</v>
      </c>
      <c r="T3" s="263">
        <f t="shared" si="3"/>
        <v>816244.60241138865</v>
      </c>
      <c r="U3" s="263">
        <f t="shared" si="3"/>
        <v>819555.78602320584</v>
      </c>
      <c r="V3" s="263">
        <f t="shared" si="3"/>
        <v>844238.29471815284</v>
      </c>
      <c r="Z3" s="255"/>
      <c r="AA3" s="255"/>
      <c r="AB3" s="255"/>
      <c r="AC3" s="255"/>
      <c r="AD3" s="255"/>
      <c r="AE3" s="255"/>
      <c r="AF3" s="255"/>
      <c r="AG3" s="255"/>
      <c r="AH3" s="255"/>
      <c r="AI3" s="255"/>
      <c r="AJ3" s="255"/>
      <c r="AK3" s="255"/>
      <c r="AL3" s="255"/>
      <c r="AM3" s="255"/>
      <c r="AN3" s="255"/>
      <c r="AO3" s="255"/>
      <c r="AP3" s="255"/>
      <c r="AQ3" s="255"/>
    </row>
    <row r="4" spans="1:43">
      <c r="A4" s="266" t="s">
        <v>37</v>
      </c>
      <c r="B4" s="263">
        <f t="shared" ref="B4:D4" si="4">B35</f>
        <v>37615.991882705202</v>
      </c>
      <c r="C4" s="263">
        <f t="shared" si="4"/>
        <v>22226.77725301297</v>
      </c>
      <c r="D4" s="263">
        <f t="shared" si="4"/>
        <v>75797.250110570647</v>
      </c>
      <c r="E4" s="263">
        <f t="shared" ref="E4:V4" si="5">E35</f>
        <v>110227.72568329751</v>
      </c>
      <c r="F4" s="263">
        <f t="shared" si="5"/>
        <v>56340.577532122028</v>
      </c>
      <c r="G4" s="263">
        <f t="shared" si="5"/>
        <v>119565.26346862233</v>
      </c>
      <c r="H4" s="263">
        <f t="shared" si="5"/>
        <v>72414.008836343783</v>
      </c>
      <c r="I4" s="263">
        <f t="shared" si="5"/>
        <v>88244.620009032282</v>
      </c>
      <c r="J4" s="263">
        <f t="shared" si="5"/>
        <v>152620.33643916433</v>
      </c>
      <c r="K4" s="263">
        <f t="shared" si="5"/>
        <v>158914.73880981895</v>
      </c>
      <c r="L4" s="263">
        <f t="shared" si="5"/>
        <v>227513.00272206852</v>
      </c>
      <c r="M4" s="263">
        <f t="shared" si="5"/>
        <v>331332.79973944905</v>
      </c>
      <c r="N4" s="263">
        <f t="shared" si="5"/>
        <v>149539.35892607333</v>
      </c>
      <c r="O4" s="263">
        <f t="shared" si="5"/>
        <v>166293.94800186896</v>
      </c>
      <c r="P4" s="263">
        <f t="shared" si="5"/>
        <v>158665.61166188223</v>
      </c>
      <c r="Q4" s="263">
        <f t="shared" si="5"/>
        <v>346479.09963236202</v>
      </c>
      <c r="R4" s="263">
        <f t="shared" si="5"/>
        <v>268180.64449158864</v>
      </c>
      <c r="S4" s="263">
        <f t="shared" si="5"/>
        <v>167772.94334848071</v>
      </c>
      <c r="T4" s="263">
        <f t="shared" si="5"/>
        <v>115437.32123255676</v>
      </c>
      <c r="U4" s="263">
        <f t="shared" si="5"/>
        <v>121879.93848869273</v>
      </c>
      <c r="V4" s="263">
        <f t="shared" si="5"/>
        <v>73508.276182344373</v>
      </c>
      <c r="AO4" s="255"/>
      <c r="AP4" s="255"/>
      <c r="AQ4" s="255"/>
    </row>
    <row r="5" spans="1:43">
      <c r="A5" s="267" t="s">
        <v>38</v>
      </c>
      <c r="B5" s="263">
        <f t="shared" ref="B5:D5" si="6">B27</f>
        <v>91451.737850192483</v>
      </c>
      <c r="C5" s="263">
        <f t="shared" si="6"/>
        <v>100245.17418194177</v>
      </c>
      <c r="D5" s="263">
        <f t="shared" si="6"/>
        <v>135418.91950893888</v>
      </c>
      <c r="E5" s="263">
        <f t="shared" ref="E5:V5" si="7">E27</f>
        <v>102883.20508146654</v>
      </c>
      <c r="F5" s="263">
        <f t="shared" si="7"/>
        <v>80899.61425209335</v>
      </c>
      <c r="G5" s="263">
        <f t="shared" si="7"/>
        <v>97924.728369534598</v>
      </c>
      <c r="H5" s="263">
        <f t="shared" si="7"/>
        <v>89626.022575506242</v>
      </c>
      <c r="I5" s="263">
        <f t="shared" si="7"/>
        <v>95570.605705514303</v>
      </c>
      <c r="J5" s="263">
        <f t="shared" si="7"/>
        <v>112560.93560871684</v>
      </c>
      <c r="K5" s="263">
        <f t="shared" si="7"/>
        <v>109742.08542023097</v>
      </c>
      <c r="L5" s="263">
        <f t="shared" si="7"/>
        <v>176911.81011709649</v>
      </c>
      <c r="M5" s="263">
        <f t="shared" si="7"/>
        <v>193493.03410619692</v>
      </c>
      <c r="N5" s="263">
        <f t="shared" si="7"/>
        <v>242547.60613312011</v>
      </c>
      <c r="O5" s="263">
        <f t="shared" si="7"/>
        <v>235410.35459300657</v>
      </c>
      <c r="P5" s="263">
        <f t="shared" si="7"/>
        <v>255027.88414242381</v>
      </c>
      <c r="Q5" s="263">
        <f t="shared" si="7"/>
        <v>255751.6316088234</v>
      </c>
      <c r="R5" s="263">
        <f t="shared" si="7"/>
        <v>162860.70880750546</v>
      </c>
      <c r="S5" s="263">
        <f t="shared" si="7"/>
        <v>205083.85553537728</v>
      </c>
      <c r="T5" s="263">
        <f t="shared" si="7"/>
        <v>89298.122492912938</v>
      </c>
      <c r="U5" s="263">
        <f t="shared" si="7"/>
        <v>137455.85749897087</v>
      </c>
      <c r="V5" s="263">
        <f t="shared" si="7"/>
        <v>57686.12564141662</v>
      </c>
    </row>
    <row r="6" spans="1:43">
      <c r="A6" s="265" t="s">
        <v>39</v>
      </c>
      <c r="B6" s="263">
        <f t="shared" ref="B6:D6" si="8">B28</f>
        <v>126140.32806923101</v>
      </c>
      <c r="C6" s="263">
        <f t="shared" si="8"/>
        <v>138269.20576819553</v>
      </c>
      <c r="D6" s="263">
        <f t="shared" si="8"/>
        <v>186784.71656405361</v>
      </c>
      <c r="E6" s="263">
        <f t="shared" ref="E6:V6" si="9">E28</f>
        <v>141907.86907788488</v>
      </c>
      <c r="F6" s="263">
        <f t="shared" si="9"/>
        <v>111585.6748304736</v>
      </c>
      <c r="G6" s="263">
        <f t="shared" si="9"/>
        <v>137094.61971734843</v>
      </c>
      <c r="H6" s="263">
        <f t="shared" si="9"/>
        <v>125476.43160570874</v>
      </c>
      <c r="I6" s="263">
        <f t="shared" si="9"/>
        <v>118739.23739169961</v>
      </c>
      <c r="J6" s="263">
        <f t="shared" si="9"/>
        <v>139848.43515022399</v>
      </c>
      <c r="K6" s="263">
        <f t="shared" si="9"/>
        <v>158516.34560700032</v>
      </c>
      <c r="L6" s="263">
        <f t="shared" si="9"/>
        <v>255539.28128025052</v>
      </c>
      <c r="M6" s="263">
        <f t="shared" si="9"/>
        <v>160322.79968799173</v>
      </c>
      <c r="N6" s="263">
        <f t="shared" si="9"/>
        <v>200968.01651029952</v>
      </c>
      <c r="O6" s="263">
        <f t="shared" si="9"/>
        <v>181084.88814846659</v>
      </c>
      <c r="P6" s="263">
        <f t="shared" si="9"/>
        <v>196175.29549417214</v>
      </c>
      <c r="Q6" s="263">
        <f t="shared" si="9"/>
        <v>246777.89014886471</v>
      </c>
      <c r="R6" s="263">
        <f t="shared" si="9"/>
        <v>157146.29797215443</v>
      </c>
      <c r="S6" s="263">
        <f t="shared" si="9"/>
        <v>197887.93077974999</v>
      </c>
      <c r="T6" s="263">
        <f t="shared" si="9"/>
        <v>116295.22929309591</v>
      </c>
      <c r="U6" s="263">
        <f t="shared" si="9"/>
        <v>126604.07927536788</v>
      </c>
      <c r="V6" s="263">
        <f t="shared" si="9"/>
        <v>32688.804530136083</v>
      </c>
      <c r="Z6" s="255"/>
      <c r="AA6" s="255"/>
      <c r="AB6" s="255"/>
      <c r="AC6" s="255"/>
      <c r="AD6" s="255"/>
      <c r="AE6" s="255"/>
      <c r="AF6" s="255"/>
      <c r="AG6" s="255"/>
      <c r="AH6" s="255"/>
      <c r="AI6" s="255"/>
      <c r="AJ6" s="255"/>
      <c r="AK6" s="255"/>
      <c r="AL6" s="255"/>
      <c r="AM6" s="255"/>
      <c r="AN6" s="255"/>
      <c r="AO6" s="255"/>
      <c r="AP6" s="255"/>
      <c r="AQ6" s="255"/>
    </row>
    <row r="7" spans="1:43">
      <c r="A7" s="267" t="s">
        <v>545</v>
      </c>
      <c r="B7" s="263">
        <f t="shared" ref="B7:D7" si="10">B29</f>
        <v>110372.78706057713</v>
      </c>
      <c r="C7" s="263">
        <f t="shared" si="10"/>
        <v>120985.55504717109</v>
      </c>
      <c r="D7" s="263">
        <f t="shared" si="10"/>
        <v>163436.6269935469</v>
      </c>
      <c r="E7" s="263">
        <f t="shared" ref="E7:V7" si="11">E29</f>
        <v>124169.38544314927</v>
      </c>
      <c r="F7" s="263">
        <f t="shared" si="11"/>
        <v>97637.465476664394</v>
      </c>
      <c r="G7" s="263">
        <f t="shared" si="11"/>
        <v>137094.61971734843</v>
      </c>
      <c r="H7" s="263">
        <f t="shared" si="11"/>
        <v>125476.43160570874</v>
      </c>
      <c r="I7" s="263">
        <f t="shared" si="11"/>
        <v>69505.895058555849</v>
      </c>
      <c r="J7" s="263">
        <f t="shared" si="11"/>
        <v>81862.498624521337</v>
      </c>
      <c r="K7" s="263">
        <f t="shared" si="11"/>
        <v>97548.520373538646</v>
      </c>
      <c r="L7" s="263">
        <f t="shared" si="11"/>
        <v>157254.942326308</v>
      </c>
      <c r="M7" s="263">
        <f t="shared" si="11"/>
        <v>93982.33085158137</v>
      </c>
      <c r="N7" s="263">
        <f t="shared" si="11"/>
        <v>117808.83726465833</v>
      </c>
      <c r="O7" s="263">
        <f t="shared" si="11"/>
        <v>75452.036728527746</v>
      </c>
      <c r="P7" s="263">
        <f t="shared" si="11"/>
        <v>81739.706455905063</v>
      </c>
      <c r="Q7" s="263">
        <f t="shared" si="11"/>
        <v>166014.21700923622</v>
      </c>
      <c r="R7" s="263">
        <f t="shared" si="11"/>
        <v>105716.60045399478</v>
      </c>
      <c r="S7" s="263">
        <f t="shared" si="11"/>
        <v>133124.60797910453</v>
      </c>
      <c r="T7" s="263">
        <f t="shared" si="11"/>
        <v>49840.812554183962</v>
      </c>
      <c r="U7" s="263">
        <f t="shared" si="11"/>
        <v>104900.52282816195</v>
      </c>
      <c r="V7" s="263">
        <f t="shared" si="11"/>
        <v>67300.479914986048</v>
      </c>
      <c r="AO7" s="255"/>
      <c r="AP7" s="255"/>
      <c r="AQ7" s="255"/>
    </row>
    <row r="8" spans="1:43">
      <c r="A8" s="268" t="s">
        <v>41</v>
      </c>
      <c r="B8" s="263">
        <f t="shared" ref="B8:D8" si="12">B30</f>
        <v>327964.85298000061</v>
      </c>
      <c r="C8" s="263">
        <f t="shared" si="12"/>
        <v>359499.93499730836</v>
      </c>
      <c r="D8" s="263">
        <f t="shared" si="12"/>
        <v>485640.26306653937</v>
      </c>
      <c r="E8" s="263">
        <f t="shared" ref="E8:V8" si="13">E30</f>
        <v>368960.45960250072</v>
      </c>
      <c r="F8" s="263">
        <f t="shared" si="13"/>
        <v>290122.75455923134</v>
      </c>
      <c r="G8" s="263">
        <f t="shared" si="13"/>
        <v>372113.96780423145</v>
      </c>
      <c r="H8" s="263">
        <f t="shared" si="13"/>
        <v>340578.8857869237</v>
      </c>
      <c r="I8" s="263">
        <f t="shared" si="13"/>
        <v>283815.73815576977</v>
      </c>
      <c r="J8" s="263">
        <f t="shared" si="13"/>
        <v>334271.86938346218</v>
      </c>
      <c r="K8" s="263">
        <f t="shared" si="13"/>
        <v>365806.95140076993</v>
      </c>
      <c r="L8" s="263">
        <f t="shared" si="13"/>
        <v>589706.03372365492</v>
      </c>
      <c r="M8" s="263">
        <f t="shared" si="13"/>
        <v>447798.1646457701</v>
      </c>
      <c r="N8" s="263">
        <f t="shared" si="13"/>
        <v>561324.45990807796</v>
      </c>
      <c r="O8" s="263">
        <f t="shared" si="13"/>
        <v>491947.27947000094</v>
      </c>
      <c r="P8" s="263">
        <f t="shared" si="13"/>
        <v>532942.88609250099</v>
      </c>
      <c r="Q8" s="263">
        <f t="shared" si="13"/>
        <v>668543.73876692436</v>
      </c>
      <c r="R8" s="263">
        <f t="shared" si="13"/>
        <v>425723.60723365465</v>
      </c>
      <c r="S8" s="263">
        <f t="shared" si="13"/>
        <v>536096.39429423178</v>
      </c>
      <c r="T8" s="263">
        <f t="shared" si="13"/>
        <v>255434.1643401928</v>
      </c>
      <c r="U8" s="263">
        <f t="shared" si="13"/>
        <v>368960.45960250072</v>
      </c>
      <c r="V8" s="263">
        <f t="shared" si="13"/>
        <v>157675.41008653876</v>
      </c>
    </row>
    <row r="9" spans="1:43">
      <c r="A9" s="26" t="s">
        <v>546</v>
      </c>
      <c r="B9" s="407">
        <f>(B3*'NSDUH OUD HUD estimates'!B8)</f>
        <v>158260.63865074568</v>
      </c>
      <c r="C9" s="407">
        <f>(C3*'NSDUH OUD HUD estimates'!C8)</f>
        <v>139943.39104508469</v>
      </c>
      <c r="D9" s="407">
        <f>(D3*'NSDUH OUD HUD estimates'!D8)</f>
        <v>275094.2433958645</v>
      </c>
      <c r="E9" s="407">
        <f>(E3*'NSDUH OUD HUD estimates'!E8)</f>
        <v>250426.3933158443</v>
      </c>
      <c r="F9" s="407">
        <f>(F3*'NSDUH OUD HUD estimates'!F8)</f>
        <v>132368.50676764929</v>
      </c>
      <c r="G9" s="407">
        <f>(G3*'NSDUH OUD HUD estimates'!G8)</f>
        <v>157659.64254553011</v>
      </c>
      <c r="H9" s="407">
        <f>(H3*'NSDUH OUD HUD estimates'!H8)</f>
        <v>221470.88100755232</v>
      </c>
      <c r="I9" s="407">
        <f>(I3*'NSDUH OUD HUD estimates'!I8)</f>
        <v>361256.4390656724</v>
      </c>
      <c r="J9" s="407">
        <f>(J3*'NSDUH OUD HUD estimates'!J8)</f>
        <v>234759.76456964586</v>
      </c>
      <c r="K9" s="407">
        <f>(K3*'NSDUH OUD HUD estimates'!K8)</f>
        <v>188009.00547898709</v>
      </c>
      <c r="L9" s="407">
        <f>(L3*'NSDUH OUD HUD estimates'!L8)</f>
        <v>458835.44335182774</v>
      </c>
      <c r="M9" s="407">
        <f>(M3*'NSDUH OUD HUD estimates'!M8)</f>
        <v>219134.13143006986</v>
      </c>
      <c r="N9" s="407">
        <f>(N3*'NSDUH OUD HUD estimates'!N8)</f>
        <v>200209.92871148346</v>
      </c>
      <c r="O9" s="407">
        <f>(O3*'NSDUH OUD HUD estimates'!O8)</f>
        <v>203527.41933970421</v>
      </c>
      <c r="P9" s="407">
        <f>(P3*'NSDUH OUD HUD estimates'!P8)</f>
        <v>350613.34888483112</v>
      </c>
      <c r="Q9" s="407">
        <f>(Q3*'NSDUH OUD HUD estimates'!Q8)</f>
        <v>402375.03250803996</v>
      </c>
      <c r="R9" s="407">
        <f>(R3*'NSDUH OUD HUD estimates'!R8)</f>
        <v>341922.28028086107</v>
      </c>
      <c r="S9" s="407">
        <f>(S3*'NSDUH OUD HUD estimates'!S8)</f>
        <v>306054.27799437521</v>
      </c>
      <c r="T9" s="407">
        <f>(T3*'NSDUH OUD HUD estimates'!T8)</f>
        <v>426698.04126798949</v>
      </c>
      <c r="U9" s="407">
        <f>(U3*'NSDUH OUD HUD estimates'!U8)</f>
        <v>320424.81486966228</v>
      </c>
      <c r="V9" s="407">
        <f>(V3*'NSDUH OUD HUD estimates'!V8)</f>
        <v>207491.37914927985</v>
      </c>
    </row>
    <row r="10" spans="1:43">
      <c r="A10" s="26" t="s">
        <v>547</v>
      </c>
      <c r="B10" s="407">
        <f>B3*(1-'NSDUH OUD HUD estimates'!B8)</f>
        <v>203471.34945174772</v>
      </c>
      <c r="C10" s="407">
        <f>C3*(1-'NSDUH OUD HUD estimates'!C8)</f>
        <v>235882.91814930629</v>
      </c>
      <c r="D10" s="407">
        <f>D3*(1-'NSDUH OUD HUD estimates'!D8)</f>
        <v>370777.5689002907</v>
      </c>
      <c r="E10" s="407">
        <f>E3*(1-'NSDUH OUD HUD estimates'!E8)</f>
        <v>206709.30911525059</v>
      </c>
      <c r="F10" s="407">
        <f>F3*(1-'NSDUH OUD HUD estimates'!F8)</f>
        <v>222297.1001564058</v>
      </c>
      <c r="G10" s="407">
        <f>G3*(1-'NSDUH OUD HUD estimates'!G8)</f>
        <v>245160.03461895388</v>
      </c>
      <c r="H10" s="407">
        <f>H3*(1-'NSDUH OUD HUD estimates'!H8)</f>
        <v>232549.15532023259</v>
      </c>
      <c r="I10" s="407">
        <f>I3*(1-'NSDUH OUD HUD estimates'!I8)</f>
        <v>263712.12336973607</v>
      </c>
      <c r="J10" s="407">
        <f>J3*(1-'NSDUH OUD HUD estimates'!J8)</f>
        <v>90562.448537304415</v>
      </c>
      <c r="K10" s="407">
        <f>K3*(1-'NSDUH OUD HUD estimates'!K8)</f>
        <v>255046.28283137991</v>
      </c>
      <c r="L10" s="407">
        <f>L3*(1-'NSDUH OUD HUD estimates'!L8)</f>
        <v>219061.60074142998</v>
      </c>
      <c r="M10" s="407">
        <f>M3*(1-'NSDUH OUD HUD estimates'!M8)</f>
        <v>241785.78084310205</v>
      </c>
      <c r="N10" s="407">
        <f>N3*(1-'NSDUH OUD HUD estimates'!N8)</f>
        <v>224964.96809507007</v>
      </c>
      <c r="O10" s="407">
        <f>O3*(1-'NSDUH OUD HUD estimates'!O8)</f>
        <v>216879.37306583233</v>
      </c>
      <c r="P10" s="407">
        <f>P3*(1-'NSDUH OUD HUD estimates'!P8)</f>
        <v>150214.20968124378</v>
      </c>
      <c r="Q10" s="407">
        <f>Q3*(1-'NSDUH OUD HUD estimates'!Q8)</f>
        <v>481862.36024086591</v>
      </c>
      <c r="R10" s="407">
        <f>R3*(1-'NSDUH OUD HUD estimates'!R8)</f>
        <v>237181.65886857503</v>
      </c>
      <c r="S10" s="407">
        <f>S3*(1-'NSDUH OUD HUD estimates'!S8)</f>
        <v>565496.55125896784</v>
      </c>
      <c r="T10" s="407">
        <f>T3*(1-'NSDUH OUD HUD estimates'!T8)</f>
        <v>389546.56114339916</v>
      </c>
      <c r="U10" s="407">
        <f>U3*(1-'NSDUH OUD HUD estimates'!U8)</f>
        <v>499130.97115354356</v>
      </c>
      <c r="V10" s="407">
        <f>V3*(1-'NSDUH OUD HUD estimates'!V8)</f>
        <v>636746.91556887294</v>
      </c>
    </row>
    <row r="11" spans="1:43" ht="52.35" customHeight="1">
      <c r="A11"/>
      <c r="B11" s="263"/>
      <c r="C11" s="263"/>
      <c r="D11" s="263"/>
      <c r="E11" s="263"/>
      <c r="F11" s="263"/>
      <c r="G11" s="263"/>
      <c r="H11" s="263"/>
      <c r="I11" s="263"/>
      <c r="J11" s="263"/>
      <c r="K11" s="263"/>
      <c r="L11" s="263"/>
      <c r="M11" s="263"/>
      <c r="N11" s="263"/>
      <c r="O11" s="263"/>
      <c r="P11" s="263"/>
      <c r="Q11" s="263"/>
      <c r="R11" s="263"/>
      <c r="S11" s="263"/>
    </row>
    <row r="12" spans="1:43" ht="20.399999999999999">
      <c r="A12" s="665" t="s">
        <v>548</v>
      </c>
      <c r="B12" s="665"/>
      <c r="C12" s="665"/>
      <c r="D12" s="665"/>
      <c r="E12" s="665"/>
      <c r="F12" s="665"/>
      <c r="G12" s="665"/>
      <c r="H12" s="665"/>
      <c r="I12" s="665"/>
      <c r="J12" s="665"/>
      <c r="K12" s="665"/>
      <c r="L12" s="665"/>
      <c r="M12" s="665"/>
      <c r="N12" s="665"/>
      <c r="O12" s="665"/>
      <c r="P12" s="665"/>
      <c r="Q12" s="665"/>
      <c r="R12" s="665"/>
      <c r="S12" s="665"/>
      <c r="T12" s="665"/>
      <c r="U12" s="665"/>
      <c r="V12" s="665"/>
      <c r="W12" s="256"/>
      <c r="X12" s="255"/>
      <c r="Y12" s="255"/>
      <c r="Z12" s="255"/>
      <c r="AA12" s="255"/>
      <c r="AB12" s="255"/>
      <c r="AC12" s="255"/>
      <c r="AD12" s="255"/>
      <c r="AE12" s="255"/>
      <c r="AF12" s="255"/>
      <c r="AG12" s="255"/>
      <c r="AH12" s="255"/>
      <c r="AI12" s="255"/>
      <c r="AJ12" s="255"/>
      <c r="AK12" s="255"/>
      <c r="AL12" s="255"/>
      <c r="AM12" s="255"/>
      <c r="AN12" s="255"/>
      <c r="AO12" s="255"/>
    </row>
    <row r="13" spans="1:43" ht="15.9" thickBot="1">
      <c r="B13" s="347">
        <v>1999</v>
      </c>
      <c r="C13" s="173">
        <v>2000</v>
      </c>
      <c r="D13" s="173">
        <v>2001</v>
      </c>
      <c r="E13" s="173">
        <v>2002</v>
      </c>
      <c r="F13" s="173">
        <v>2003</v>
      </c>
      <c r="G13" s="173">
        <v>2004</v>
      </c>
      <c r="H13" s="173">
        <v>2005</v>
      </c>
      <c r="I13" s="173">
        <v>2006</v>
      </c>
      <c r="J13" s="173">
        <v>2007</v>
      </c>
      <c r="K13" s="173">
        <v>2008</v>
      </c>
      <c r="L13" s="173">
        <v>2009</v>
      </c>
      <c r="M13" s="173">
        <v>2010</v>
      </c>
      <c r="N13" s="173">
        <v>2011</v>
      </c>
      <c r="O13" s="173">
        <v>2012</v>
      </c>
      <c r="P13" s="173">
        <v>2013</v>
      </c>
      <c r="Q13" s="173">
        <v>2014</v>
      </c>
      <c r="R13" s="173">
        <v>2015</v>
      </c>
      <c r="S13" s="173">
        <v>2016</v>
      </c>
      <c r="U13" s="173"/>
      <c r="V13" s="173"/>
      <c r="W13" s="256"/>
      <c r="X13" s="257"/>
      <c r="Y13" s="257"/>
      <c r="Z13" s="257"/>
      <c r="AA13" s="257"/>
      <c r="AB13" s="257"/>
      <c r="AC13" s="257"/>
      <c r="AD13" s="257"/>
      <c r="AE13" s="257"/>
      <c r="AF13" s="257"/>
      <c r="AG13" s="257"/>
      <c r="AH13" s="257"/>
      <c r="AI13" s="257"/>
      <c r="AJ13" s="257"/>
      <c r="AK13" s="257"/>
      <c r="AL13" s="257"/>
      <c r="AM13" s="257"/>
      <c r="AN13" s="257"/>
      <c r="AO13" s="257"/>
    </row>
    <row r="14" spans="1:43" ht="31.5" thickBot="1">
      <c r="A14" s="371" t="s">
        <v>549</v>
      </c>
      <c r="B14" s="353"/>
      <c r="C14" s="353">
        <v>1.5</v>
      </c>
      <c r="D14" s="353">
        <v>1.7</v>
      </c>
      <c r="E14" s="353">
        <v>1.5</v>
      </c>
      <c r="F14" s="353">
        <v>1.5</v>
      </c>
      <c r="G14" s="353">
        <v>1.6</v>
      </c>
      <c r="H14" s="353">
        <v>1.6</v>
      </c>
      <c r="I14" s="353">
        <v>1.6</v>
      </c>
      <c r="J14" s="353">
        <v>1.7</v>
      </c>
      <c r="K14" s="353">
        <v>1.9</v>
      </c>
      <c r="L14" s="353">
        <v>1.9</v>
      </c>
      <c r="M14" s="353">
        <v>1.9</v>
      </c>
      <c r="N14" s="353">
        <v>1.9</v>
      </c>
      <c r="O14" s="353">
        <v>2</v>
      </c>
      <c r="P14" s="353">
        <v>2.2000000000000002</v>
      </c>
      <c r="Q14" s="353">
        <v>2.2000000000000002</v>
      </c>
      <c r="R14" s="353">
        <v>2.2000000000000002</v>
      </c>
      <c r="S14" s="372">
        <v>2.2999999999999998</v>
      </c>
      <c r="W14" s="256"/>
      <c r="X14" s="258"/>
      <c r="Y14" s="258"/>
      <c r="Z14" s="258"/>
      <c r="AA14" s="258"/>
      <c r="AB14" s="258"/>
      <c r="AC14" s="258"/>
      <c r="AD14" s="258"/>
      <c r="AE14" s="258"/>
      <c r="AF14" s="258"/>
      <c r="AG14" s="258"/>
      <c r="AH14" s="258"/>
      <c r="AI14" s="258"/>
      <c r="AJ14" s="258"/>
      <c r="AK14" s="258"/>
      <c r="AL14" s="258"/>
      <c r="AM14" s="258"/>
      <c r="AN14" s="258"/>
    </row>
    <row r="15" spans="1:43">
      <c r="W15" s="256"/>
      <c r="X15" s="258"/>
      <c r="Y15" s="258"/>
      <c r="Z15" s="258"/>
      <c r="AA15" s="258"/>
      <c r="AB15" s="258"/>
      <c r="AC15" s="258"/>
      <c r="AD15" s="258"/>
      <c r="AE15" s="258"/>
      <c r="AF15" s="258"/>
      <c r="AG15" s="258"/>
      <c r="AH15" s="258"/>
      <c r="AI15" s="258"/>
      <c r="AJ15" s="258"/>
      <c r="AK15" s="258"/>
      <c r="AL15" s="258"/>
      <c r="AM15" s="258"/>
      <c r="AN15" s="258"/>
    </row>
    <row r="16" spans="1:43">
      <c r="W16" s="256"/>
      <c r="X16" s="258"/>
      <c r="Y16" s="258"/>
      <c r="Z16" s="258"/>
      <c r="AA16" s="258"/>
      <c r="AB16" s="258"/>
      <c r="AC16" s="258"/>
      <c r="AD16" s="258"/>
      <c r="AE16" s="258"/>
      <c r="AF16" s="258"/>
      <c r="AG16" s="258"/>
      <c r="AH16" s="258"/>
      <c r="AI16" s="258"/>
      <c r="AJ16" s="258"/>
      <c r="AK16" s="258"/>
      <c r="AL16" s="258"/>
      <c r="AM16" s="258"/>
      <c r="AN16" s="258"/>
    </row>
    <row r="17" spans="1:41" ht="15.9" thickBot="1">
      <c r="W17" s="253" t="s">
        <v>550</v>
      </c>
      <c r="X17" s="258"/>
      <c r="Y17" s="258"/>
      <c r="Z17" s="258"/>
      <c r="AA17" s="258"/>
      <c r="AB17" s="258"/>
      <c r="AC17" s="258"/>
      <c r="AD17" s="258"/>
      <c r="AE17" s="258"/>
      <c r="AF17" s="258"/>
      <c r="AG17" s="258"/>
      <c r="AH17" s="258"/>
      <c r="AI17" s="258"/>
      <c r="AJ17" s="258"/>
      <c r="AK17" s="258"/>
      <c r="AL17" s="258"/>
      <c r="AM17" s="258"/>
      <c r="AN17" s="258"/>
      <c r="AO17" s="258"/>
    </row>
    <row r="18" spans="1:41">
      <c r="A18" s="365" t="s">
        <v>551</v>
      </c>
      <c r="B18" s="373">
        <v>1999</v>
      </c>
      <c r="C18" s="374">
        <v>2000</v>
      </c>
      <c r="D18" s="374">
        <v>2001</v>
      </c>
      <c r="E18" s="374">
        <v>2002</v>
      </c>
      <c r="F18" s="374">
        <v>2003</v>
      </c>
      <c r="G18" s="374">
        <v>2004</v>
      </c>
      <c r="H18" s="374">
        <v>2005</v>
      </c>
      <c r="I18" s="374">
        <v>2006</v>
      </c>
      <c r="J18" s="374">
        <v>2007</v>
      </c>
      <c r="K18" s="374">
        <v>2008</v>
      </c>
      <c r="L18" s="374">
        <v>2009</v>
      </c>
      <c r="M18" s="374">
        <v>2010</v>
      </c>
      <c r="N18" s="374">
        <v>2011</v>
      </c>
      <c r="O18" s="374">
        <v>2012</v>
      </c>
      <c r="P18" s="374">
        <v>2013</v>
      </c>
      <c r="Q18" s="374">
        <v>2014</v>
      </c>
      <c r="R18" s="374">
        <v>2015</v>
      </c>
      <c r="S18" s="374">
        <v>2016</v>
      </c>
      <c r="T18" s="373">
        <v>2017</v>
      </c>
      <c r="U18" s="374">
        <v>2018</v>
      </c>
      <c r="V18" s="375">
        <v>2019</v>
      </c>
      <c r="W18" s="253" t="s">
        <v>552</v>
      </c>
    </row>
    <row r="19" spans="1:41">
      <c r="A19" s="366" t="s">
        <v>500</v>
      </c>
      <c r="B19" s="259">
        <f>'NSDUH OUD HUD estimates'!B4/1000000</f>
        <v>0.23699779999999998</v>
      </c>
      <c r="C19" s="259">
        <f>'NSDUH OUD HUD estimates'!C4/1000000</f>
        <v>0.21566678</v>
      </c>
      <c r="D19" s="259">
        <f>'NSDUH OUD HUD estimates'!D4/1000000</f>
        <v>0.23535157999999998</v>
      </c>
      <c r="E19" s="259">
        <f>'NSDUH OUD HUD estimates'!E4/1000000</f>
        <v>0.245784</v>
      </c>
      <c r="F19" s="259">
        <f>'NSDUH OUD HUD estimates'!F4/1000000</f>
        <v>0.21632899999999999</v>
      </c>
      <c r="G19" s="259">
        <f>'NSDUH OUD HUD estimates'!G4/1000000</f>
        <v>0.28369</v>
      </c>
      <c r="H19" s="259">
        <f>'NSDUH OUD HUD estimates'!H4/1000000</f>
        <v>0.23424600000000001</v>
      </c>
      <c r="I19" s="259">
        <f>'NSDUH OUD HUD estimates'!I4/1000000</f>
        <v>0.31993199999999999</v>
      </c>
      <c r="J19" s="259">
        <f>'NSDUH OUD HUD estimates'!J4/1000000</f>
        <v>0.24826799999999999</v>
      </c>
      <c r="K19" s="259">
        <f>'NSDUH OUD HUD estimates'!K4/1000000</f>
        <v>0.329347</v>
      </c>
      <c r="L19" s="259">
        <f>'NSDUH OUD HUD estimates'!L4/1000000</f>
        <v>0.42324200000000001</v>
      </c>
      <c r="M19" s="259">
        <f>'NSDUH OUD HUD estimates'!M4/1000000</f>
        <v>0.42928699999999997</v>
      </c>
      <c r="N19" s="259">
        <f>'NSDUH OUD HUD estimates'!N4/1000000</f>
        <v>0.51131599999999999</v>
      </c>
      <c r="O19" s="259">
        <f>'NSDUH OUD HUD estimates'!O4/1000000</f>
        <v>0.50333600000000001</v>
      </c>
      <c r="P19" s="259">
        <f>'NSDUH OUD HUD estimates'!P4/1000000</f>
        <v>0.53588000000000002</v>
      </c>
      <c r="Q19" s="259">
        <f>'NSDUH OUD HUD estimates'!Q4/1000000</f>
        <v>0.62243099999999996</v>
      </c>
      <c r="R19" s="259">
        <f>'NSDUH OUD HUD estimates'!R4/1000000</f>
        <v>0.618367</v>
      </c>
      <c r="S19" s="259">
        <f>'NSDUH OUD HUD estimates'!S4/1000000</f>
        <v>0.64654599999999995</v>
      </c>
      <c r="T19" s="259">
        <f>'NSDUH OUD HUD estimates'!T4/1000000</f>
        <v>0.70512300000000006</v>
      </c>
      <c r="U19" s="259">
        <f>'NSDUH OUD HUD estimates'!U4/1000000</f>
        <v>0.59262899999999996</v>
      </c>
      <c r="V19" s="367">
        <f>'NSDUH OUD HUD estimates'!V4/1000000</f>
        <v>0.45663300000000001</v>
      </c>
      <c r="W19" s="253" t="s">
        <v>553</v>
      </c>
    </row>
    <row r="20" spans="1:41">
      <c r="A20" s="366" t="s">
        <v>510</v>
      </c>
      <c r="B20" s="259">
        <f>'NSDUH OUD HUD estimates'!B6/1000000</f>
        <v>0.1147078</v>
      </c>
      <c r="C20" s="259">
        <f>'NSDUH OUD HUD estimates'!C6/1000000</f>
        <v>0.11917721000000001</v>
      </c>
      <c r="D20" s="259">
        <f>'NSDUH OUD HUD estimates'!D6/1000000</f>
        <v>0.20481057</v>
      </c>
      <c r="E20" s="259">
        <f>'NSDUH OUD HUD estimates'!E6/1000000</f>
        <v>0.14496100000000001</v>
      </c>
      <c r="F20" s="259">
        <f>'NSDUH OUD HUD estimates'!F6/1000000</f>
        <v>0.112467</v>
      </c>
      <c r="G20" s="259">
        <f>'NSDUH OUD HUD estimates'!G6/1000000</f>
        <v>0.12773699999999999</v>
      </c>
      <c r="H20" s="259">
        <f>'NSDUH OUD HUD estimates'!H6/1000000</f>
        <v>0.14397299999999999</v>
      </c>
      <c r="I20" s="259">
        <f>'NSDUH OUD HUD estimates'!I6/1000000</f>
        <v>0.198182</v>
      </c>
      <c r="J20" s="259">
        <f>'NSDUH OUD HUD estimates'!J6/1000000</f>
        <v>0.103162</v>
      </c>
      <c r="K20" s="259">
        <f>'NSDUH OUD HUD estimates'!K6/1000000</f>
        <v>0.14049600000000001</v>
      </c>
      <c r="L20" s="259">
        <f>'NSDUH OUD HUD estimates'!L6/1000000</f>
        <v>0.21496599999999999</v>
      </c>
      <c r="M20" s="259">
        <f>'NSDUH OUD HUD estimates'!M6/1000000</f>
        <v>0.14616100000000001</v>
      </c>
      <c r="N20" s="259">
        <f>'NSDUH OUD HUD estimates'!N6/1000000</f>
        <v>0.134826</v>
      </c>
      <c r="O20" s="259">
        <f>'NSDUH OUD HUD estimates'!O6/1000000</f>
        <v>0.13331399999999999</v>
      </c>
      <c r="P20" s="259">
        <f>'NSDUH OUD HUD estimates'!P6/1000000</f>
        <v>0.15881600000000001</v>
      </c>
      <c r="Q20" s="259">
        <f>'NSDUH OUD HUD estimates'!Q6/1000000</f>
        <v>0.28039799999999998</v>
      </c>
      <c r="R20" s="259">
        <f>'NSDUH OUD HUD estimates'!R6/1000000</f>
        <v>0.183638</v>
      </c>
      <c r="S20" s="259">
        <f>'NSDUH OUD HUD estimates'!S6/1000000</f>
        <v>0.27637499999999998</v>
      </c>
      <c r="T20" s="259">
        <f>'NSDUH OUD HUD estimates'!T6/1000000</f>
        <v>0.25883699999999998</v>
      </c>
      <c r="U20" s="259">
        <f>'NSDUH OUD HUD estimates'!U6/1000000</f>
        <v>0.25988699999999998</v>
      </c>
      <c r="V20" s="367">
        <f>'NSDUH OUD HUD estimates'!V6/1000000</f>
        <v>0.26771400000000001</v>
      </c>
    </row>
    <row r="21" spans="1:41" ht="15.9" thickBot="1">
      <c r="A21" s="366" t="s">
        <v>554</v>
      </c>
      <c r="B21" s="259">
        <f>'NSDUH OUD HUD estimates'!B3/1000000</f>
        <v>1.1928299999999999E-2</v>
      </c>
      <c r="C21" s="259">
        <f>'NSDUH OUD HUD estimates'!C3/1000000</f>
        <v>7.0482700000000006E-3</v>
      </c>
      <c r="D21" s="259">
        <f>'NSDUH OUD HUD estimates'!D3/1000000</f>
        <v>2.4035849999999997E-2</v>
      </c>
      <c r="E21" s="259">
        <f>'NSDUH OUD HUD estimates'!E3/1000000</f>
        <v>3.4953999999999999E-2</v>
      </c>
      <c r="F21" s="259">
        <f>'NSDUH OUD HUD estimates'!F3/1000000</f>
        <v>1.7866E-2</v>
      </c>
      <c r="G21" s="259">
        <f>'NSDUH OUD HUD estimates'!G3/1000000</f>
        <v>3.7914999999999997E-2</v>
      </c>
      <c r="H21" s="259">
        <f>'NSDUH OUD HUD estimates'!H3/1000000</f>
        <v>2.2963000000000001E-2</v>
      </c>
      <c r="I21" s="259">
        <f>'NSDUH OUD HUD estimates'!I3/1000000</f>
        <v>2.7983000000000001E-2</v>
      </c>
      <c r="J21" s="259">
        <f>'NSDUH OUD HUD estimates'!J3/1000000</f>
        <v>4.8397000000000003E-2</v>
      </c>
      <c r="K21" s="259">
        <f>'NSDUH OUD HUD estimates'!K3/1000000</f>
        <v>5.0393E-2</v>
      </c>
      <c r="L21" s="259">
        <f>'NSDUH OUD HUD estimates'!L3/1000000</f>
        <v>7.2146000000000002E-2</v>
      </c>
      <c r="M21" s="259">
        <f>'NSDUH OUD HUD estimates'!M3/1000000</f>
        <v>0.10506799999999999</v>
      </c>
      <c r="N21" s="259">
        <f>'NSDUH OUD HUD estimates'!N3/1000000</f>
        <v>4.7419999999999997E-2</v>
      </c>
      <c r="O21" s="259">
        <f>'NSDUH OUD HUD estimates'!O3/1000000</f>
        <v>5.2733000000000002E-2</v>
      </c>
      <c r="P21" s="259">
        <f>'NSDUH OUD HUD estimates'!P3/1000000</f>
        <v>5.0313999999999998E-2</v>
      </c>
      <c r="Q21" s="259">
        <f>'NSDUH OUD HUD estimates'!Q3/1000000</f>
        <v>0.109871</v>
      </c>
      <c r="R21" s="259">
        <f>'NSDUH OUD HUD estimates'!R3/1000000</f>
        <v>8.5042000000000006E-2</v>
      </c>
      <c r="S21" s="259">
        <f>'NSDUH OUD HUD estimates'!S3/1000000</f>
        <v>5.3201999999999999E-2</v>
      </c>
      <c r="T21" s="259">
        <f>'NSDUH OUD HUD estimates'!T3/1000000</f>
        <v>3.6606E-2</v>
      </c>
      <c r="U21" s="259">
        <f>'NSDUH OUD HUD estimates'!U3/1000000</f>
        <v>3.8649000000000003E-2</v>
      </c>
      <c r="V21" s="367">
        <f>'NSDUH OUD HUD estimates'!V3/1000000</f>
        <v>2.3310000000000001E-2</v>
      </c>
    </row>
    <row r="22" spans="1:41" ht="65.849999999999994" customHeight="1" thickBot="1">
      <c r="A22" s="368" t="s">
        <v>555</v>
      </c>
      <c r="B22" s="369">
        <f t="shared" ref="B22:D22" si="14">SUM(B20,B21)</f>
        <v>0.1266361</v>
      </c>
      <c r="C22" s="369">
        <f t="shared" si="14"/>
        <v>0.12622548</v>
      </c>
      <c r="D22" s="369">
        <f t="shared" si="14"/>
        <v>0.22884641999999999</v>
      </c>
      <c r="E22" s="369">
        <f t="shared" ref="E22:V22" si="15">SUM(E20,E21)</f>
        <v>0.17991499999999999</v>
      </c>
      <c r="F22" s="369">
        <f t="shared" si="15"/>
        <v>0.130333</v>
      </c>
      <c r="G22" s="369">
        <f t="shared" si="15"/>
        <v>0.16565199999999999</v>
      </c>
      <c r="H22" s="369">
        <f t="shared" si="15"/>
        <v>0.166936</v>
      </c>
      <c r="I22" s="369">
        <f t="shared" si="15"/>
        <v>0.226165</v>
      </c>
      <c r="J22" s="369">
        <f t="shared" si="15"/>
        <v>0.151559</v>
      </c>
      <c r="K22" s="369">
        <f t="shared" si="15"/>
        <v>0.190889</v>
      </c>
      <c r="L22" s="369">
        <f t="shared" si="15"/>
        <v>0.28711199999999998</v>
      </c>
      <c r="M22" s="369">
        <f t="shared" si="15"/>
        <v>0.25122900000000004</v>
      </c>
      <c r="N22" s="369">
        <f t="shared" si="15"/>
        <v>0.18224599999999999</v>
      </c>
      <c r="O22" s="369">
        <f t="shared" si="15"/>
        <v>0.18604699999999999</v>
      </c>
      <c r="P22" s="369">
        <f t="shared" si="15"/>
        <v>0.20913000000000001</v>
      </c>
      <c r="Q22" s="369">
        <f t="shared" si="15"/>
        <v>0.39026899999999998</v>
      </c>
      <c r="R22" s="369">
        <f t="shared" si="15"/>
        <v>0.26868000000000003</v>
      </c>
      <c r="S22" s="369">
        <f t="shared" si="15"/>
        <v>0.32957700000000001</v>
      </c>
      <c r="T22" s="369">
        <f t="shared" si="15"/>
        <v>0.29544300000000001</v>
      </c>
      <c r="U22" s="369">
        <f t="shared" si="15"/>
        <v>0.29853599999999997</v>
      </c>
      <c r="V22" s="370">
        <f t="shared" si="15"/>
        <v>0.291024</v>
      </c>
      <c r="W22" s="376" t="s">
        <v>556</v>
      </c>
      <c r="X22" s="377">
        <f>AVERAGE(F24:T24)</f>
        <v>3.1535082017307752</v>
      </c>
    </row>
    <row r="23" spans="1:41" ht="15.9" thickBot="1">
      <c r="A23" s="260"/>
      <c r="W23" s="256"/>
      <c r="X23" s="378"/>
    </row>
    <row r="24" spans="1:41" ht="32.4" thickBot="1">
      <c r="A24" s="352" t="s">
        <v>557</v>
      </c>
      <c r="B24" s="391"/>
      <c r="C24" s="392"/>
      <c r="D24" s="391"/>
      <c r="E24" s="391"/>
      <c r="F24" s="354">
        <f t="shared" ref="F24:T24" si="16">E14/SUM(E19:E21)</f>
        <v>3.5236164520001223</v>
      </c>
      <c r="G24" s="354">
        <f t="shared" si="16"/>
        <v>4.3269813247486031</v>
      </c>
      <c r="H24" s="354">
        <f t="shared" si="16"/>
        <v>3.5607621811448746</v>
      </c>
      <c r="I24" s="354">
        <f t="shared" si="16"/>
        <v>3.9882148251915592</v>
      </c>
      <c r="J24" s="354">
        <f t="shared" si="16"/>
        <v>2.9298824201561264</v>
      </c>
      <c r="K24" s="354">
        <f t="shared" si="16"/>
        <v>4.2518389203330438</v>
      </c>
      <c r="L24" s="354">
        <f t="shared" si="16"/>
        <v>3.6521886220868987</v>
      </c>
      <c r="M24" s="354">
        <f t="shared" si="16"/>
        <v>2.6747227438713654</v>
      </c>
      <c r="N24" s="354">
        <f t="shared" si="16"/>
        <v>2.7919990125140339</v>
      </c>
      <c r="O24" s="354">
        <f t="shared" si="16"/>
        <v>2.7394811134404708</v>
      </c>
      <c r="P24" s="354">
        <f t="shared" si="16"/>
        <v>2.9011449368493278</v>
      </c>
      <c r="Q24" s="354">
        <f t="shared" si="16"/>
        <v>2.9529804969060822</v>
      </c>
      <c r="R24" s="354">
        <f t="shared" si="16"/>
        <v>2.1724103880714924</v>
      </c>
      <c r="S24" s="354">
        <f t="shared" si="16"/>
        <v>2.4801391583535035</v>
      </c>
      <c r="T24" s="354">
        <f t="shared" si="16"/>
        <v>2.356260430294133</v>
      </c>
      <c r="U24" s="391"/>
      <c r="V24" s="391"/>
    </row>
    <row r="25" spans="1:41" ht="15.6" customHeight="1" thickBot="1">
      <c r="A25" s="355"/>
      <c r="C25" s="348"/>
      <c r="F25" s="356"/>
      <c r="G25" s="356"/>
      <c r="H25" s="356"/>
      <c r="I25" s="356"/>
      <c r="J25" s="356"/>
      <c r="K25" s="356"/>
      <c r="L25" s="356"/>
      <c r="M25" s="356"/>
      <c r="N25" s="356"/>
      <c r="O25" s="356"/>
      <c r="P25" s="356"/>
      <c r="Q25" s="356"/>
      <c r="R25" s="356"/>
      <c r="S25" s="356"/>
      <c r="T25" s="356"/>
    </row>
    <row r="26" spans="1:41" ht="31.2">
      <c r="A26" s="364" t="s">
        <v>558</v>
      </c>
      <c r="B26" s="383">
        <v>1999</v>
      </c>
      <c r="C26" s="374">
        <v>2000</v>
      </c>
      <c r="D26" s="383">
        <v>2001</v>
      </c>
      <c r="E26" s="374">
        <v>2002</v>
      </c>
      <c r="F26" s="383">
        <v>2003</v>
      </c>
      <c r="G26" s="383">
        <v>2004</v>
      </c>
      <c r="H26" s="383">
        <v>2005</v>
      </c>
      <c r="I26" s="383">
        <v>2006</v>
      </c>
      <c r="J26" s="383">
        <v>2007</v>
      </c>
      <c r="K26" s="383">
        <v>2008</v>
      </c>
      <c r="L26" s="383">
        <v>2009</v>
      </c>
      <c r="M26" s="383">
        <v>2010</v>
      </c>
      <c r="N26" s="383">
        <v>2011</v>
      </c>
      <c r="O26" s="383">
        <v>2012</v>
      </c>
      <c r="P26" s="383">
        <v>2013</v>
      </c>
      <c r="Q26" s="383">
        <v>2014</v>
      </c>
      <c r="R26" s="383">
        <v>2015</v>
      </c>
      <c r="S26" s="383">
        <v>2016</v>
      </c>
      <c r="T26" s="383">
        <v>2017</v>
      </c>
      <c r="U26" s="383">
        <v>2018</v>
      </c>
      <c r="V26" s="405">
        <v>2019</v>
      </c>
    </row>
    <row r="27" spans="1:41">
      <c r="A27" s="358" t="s">
        <v>38</v>
      </c>
      <c r="B27" s="357">
        <f>'Initiation Data'!B6*'RAND Adjusted Estimates'!$X$22</f>
        <v>91451.737850192483</v>
      </c>
      <c r="C27" s="357">
        <f>'Initiation Data'!C6*'RAND Adjusted Estimates'!$X$22</f>
        <v>100245.17418194177</v>
      </c>
      <c r="D27" s="357">
        <f>'Initiation Data'!D6*'RAND Adjusted Estimates'!$X$22</f>
        <v>135418.91950893888</v>
      </c>
      <c r="E27" s="357">
        <f>'Initiation Data'!E6*'RAND Adjusted Estimates'!$X$22</f>
        <v>102883.20508146654</v>
      </c>
      <c r="F27" s="357">
        <f>'Initiation Data'!F6*'RAND Adjusted Estimates'!$X$22</f>
        <v>80899.61425209335</v>
      </c>
      <c r="G27" s="357">
        <f>'Initiation Data'!G6*'RAND Adjusted Estimates'!$X$22</f>
        <v>97924.728369534598</v>
      </c>
      <c r="H27" s="357">
        <f>'Initiation Data'!H6*'RAND Adjusted Estimates'!$X$22</f>
        <v>89626.022575506242</v>
      </c>
      <c r="I27" s="357">
        <f>'Initiation Data'!I6*'RAND Adjusted Estimates'!$X$22</f>
        <v>95570.605705514303</v>
      </c>
      <c r="J27" s="357">
        <f>'Initiation Data'!J6*'RAND Adjusted Estimates'!$X$22</f>
        <v>112560.93560871684</v>
      </c>
      <c r="K27" s="357">
        <f>'Initiation Data'!K6*'RAND Adjusted Estimates'!$X$22</f>
        <v>109742.08542023097</v>
      </c>
      <c r="L27" s="357">
        <f>'Initiation Data'!L6*'RAND Adjusted Estimates'!$X$22</f>
        <v>176911.81011709649</v>
      </c>
      <c r="M27" s="357">
        <f>'Initiation Data'!M6*'RAND Adjusted Estimates'!$X$22</f>
        <v>193493.03410619692</v>
      </c>
      <c r="N27" s="357">
        <f>'Initiation Data'!N6*'RAND Adjusted Estimates'!$X$22</f>
        <v>242547.60613312011</v>
      </c>
      <c r="O27" s="357">
        <f>'Initiation Data'!O6*'RAND Adjusted Estimates'!$X$22</f>
        <v>235410.35459300657</v>
      </c>
      <c r="P27" s="357">
        <f>'Initiation Data'!P6*'RAND Adjusted Estimates'!$X$22</f>
        <v>255027.88414242381</v>
      </c>
      <c r="Q27" s="357">
        <f>'Initiation Data'!Q6*'RAND Adjusted Estimates'!$X$22</f>
        <v>255751.6316088234</v>
      </c>
      <c r="R27" s="357">
        <f>'Initiation Data'!R6*'RAND Adjusted Estimates'!$X$22</f>
        <v>162860.70880750546</v>
      </c>
      <c r="S27" s="357">
        <f>'Initiation Data'!S6*'RAND Adjusted Estimates'!$X$22</f>
        <v>205083.85553537728</v>
      </c>
      <c r="T27" s="357">
        <f>'Initiation Data'!T6*'RAND Adjusted Estimates'!$X$22</f>
        <v>89298.122492912938</v>
      </c>
      <c r="U27" s="357">
        <f>'Initiation Data'!U6*'RAND Adjusted Estimates'!$X$22</f>
        <v>137455.85749897087</v>
      </c>
      <c r="V27" s="360">
        <f>'Initiation Data'!V6*'RAND Adjusted Estimates'!$X$22</f>
        <v>57686.12564141662</v>
      </c>
    </row>
    <row r="28" spans="1:41">
      <c r="A28" s="358" t="s">
        <v>559</v>
      </c>
      <c r="B28" s="269">
        <f>'Initiation Data'!B7*$X$22</f>
        <v>126140.32806923101</v>
      </c>
      <c r="C28" s="269">
        <f>'Initiation Data'!C7*$X$22</f>
        <v>138269.20576819553</v>
      </c>
      <c r="D28" s="269">
        <f>'Initiation Data'!D7*$X$22</f>
        <v>186784.71656405361</v>
      </c>
      <c r="E28" s="269">
        <f>'Initiation Data'!E7*$X$22</f>
        <v>141907.86907788488</v>
      </c>
      <c r="F28" s="269">
        <f>'Initiation Data'!F7*$X$22</f>
        <v>111585.6748304736</v>
      </c>
      <c r="G28" s="269">
        <f>'Initiation Data'!G7*$X$22</f>
        <v>137094.61971734843</v>
      </c>
      <c r="H28" s="269">
        <f>'Initiation Data'!H7*$X$22</f>
        <v>125476.43160570874</v>
      </c>
      <c r="I28" s="269">
        <f>'Initiation Data'!I7*$X$22</f>
        <v>118739.23739169961</v>
      </c>
      <c r="J28" s="269">
        <f>'Initiation Data'!J7*$X$22</f>
        <v>139848.43515022399</v>
      </c>
      <c r="K28" s="269">
        <f>'Initiation Data'!K7*$X$22</f>
        <v>158516.34560700032</v>
      </c>
      <c r="L28" s="269">
        <f>'Initiation Data'!L7*$X$22</f>
        <v>255539.28128025052</v>
      </c>
      <c r="M28" s="269">
        <f>'Initiation Data'!M7*$X$22</f>
        <v>160322.79968799173</v>
      </c>
      <c r="N28" s="269">
        <f>'Initiation Data'!N7*$X$22</f>
        <v>200968.01651029952</v>
      </c>
      <c r="O28" s="269">
        <f>'Initiation Data'!O7*$X$22</f>
        <v>181084.88814846659</v>
      </c>
      <c r="P28" s="269">
        <f>'Initiation Data'!P7*$X$22</f>
        <v>196175.29549417214</v>
      </c>
      <c r="Q28" s="269">
        <f>'Initiation Data'!Q7*$X$22</f>
        <v>246777.89014886471</v>
      </c>
      <c r="R28" s="269">
        <f>'Initiation Data'!R7*$X$22</f>
        <v>157146.29797215443</v>
      </c>
      <c r="S28" s="269">
        <f>'Initiation Data'!S7*$X$22</f>
        <v>197887.93077974999</v>
      </c>
      <c r="T28" s="269">
        <f>'Initiation Data'!T7*$X$22</f>
        <v>116295.22929309591</v>
      </c>
      <c r="U28" s="269">
        <f>'Initiation Data'!U7*$X$22</f>
        <v>126604.07927536788</v>
      </c>
      <c r="V28" s="359">
        <f>'Initiation Data'!V7*$X$22</f>
        <v>32688.804530136083</v>
      </c>
    </row>
    <row r="29" spans="1:41">
      <c r="A29" s="358" t="s">
        <v>545</v>
      </c>
      <c r="B29" s="357">
        <f>'Initiation Data'!B8*$X$22</f>
        <v>110372.78706057713</v>
      </c>
      <c r="C29" s="357">
        <f>'Initiation Data'!C8*$X$22</f>
        <v>120985.55504717109</v>
      </c>
      <c r="D29" s="357">
        <f>'Initiation Data'!D8*$X$22</f>
        <v>163436.6269935469</v>
      </c>
      <c r="E29" s="357">
        <f>'Initiation Data'!E8*$X$22</f>
        <v>124169.38544314927</v>
      </c>
      <c r="F29" s="357">
        <f>'Initiation Data'!F8*$X$22</f>
        <v>97637.465476664394</v>
      </c>
      <c r="G29" s="357">
        <f>'Initiation Data'!G8*$X$22</f>
        <v>137094.61971734843</v>
      </c>
      <c r="H29" s="357">
        <f>'Initiation Data'!H8*$X$22</f>
        <v>125476.43160570874</v>
      </c>
      <c r="I29" s="357">
        <f>'Initiation Data'!I8*$X$22</f>
        <v>69505.895058555849</v>
      </c>
      <c r="J29" s="357">
        <f>'Initiation Data'!J8*$X$22</f>
        <v>81862.498624521337</v>
      </c>
      <c r="K29" s="357">
        <f>'Initiation Data'!K8*$X$22</f>
        <v>97548.520373538646</v>
      </c>
      <c r="L29" s="357">
        <f>'Initiation Data'!L8*$X$22</f>
        <v>157254.942326308</v>
      </c>
      <c r="M29" s="357">
        <f>'Initiation Data'!M8*$X$22</f>
        <v>93982.33085158137</v>
      </c>
      <c r="N29" s="357">
        <f>'Initiation Data'!N8*$X$22</f>
        <v>117808.83726465833</v>
      </c>
      <c r="O29" s="357">
        <f>'Initiation Data'!O8*$X$22</f>
        <v>75452.036728527746</v>
      </c>
      <c r="P29" s="357">
        <f>'Initiation Data'!P8*$X$22</f>
        <v>81739.706455905063</v>
      </c>
      <c r="Q29" s="357">
        <f>'Initiation Data'!Q8*$X$22</f>
        <v>166014.21700923622</v>
      </c>
      <c r="R29" s="357">
        <f>'Initiation Data'!R8*$X$22</f>
        <v>105716.60045399478</v>
      </c>
      <c r="S29" s="357">
        <f>'Initiation Data'!S8*$X$22</f>
        <v>133124.60797910453</v>
      </c>
      <c r="T29" s="357">
        <f>'Initiation Data'!T8*$X$22</f>
        <v>49840.812554183962</v>
      </c>
      <c r="U29" s="357">
        <f>'Initiation Data'!U8*$X$22</f>
        <v>104900.52282816195</v>
      </c>
      <c r="V29" s="360">
        <f>'Initiation Data'!V8*$X$22</f>
        <v>67300.479914986048</v>
      </c>
    </row>
    <row r="30" spans="1:41" ht="15.9" thickBot="1">
      <c r="A30" s="361" t="s">
        <v>41</v>
      </c>
      <c r="B30" s="362">
        <f>'Initiation Data'!B5*$X$22</f>
        <v>327964.85298000061</v>
      </c>
      <c r="C30" s="362">
        <f>'Initiation Data'!C5*$X$22</f>
        <v>359499.93499730836</v>
      </c>
      <c r="D30" s="362">
        <f>'Initiation Data'!D5*$X$22</f>
        <v>485640.26306653937</v>
      </c>
      <c r="E30" s="362">
        <f>'Initiation Data'!E5*$X$22</f>
        <v>368960.45960250072</v>
      </c>
      <c r="F30" s="362">
        <f>'Initiation Data'!F5*$X$22</f>
        <v>290122.75455923134</v>
      </c>
      <c r="G30" s="362">
        <f>'Initiation Data'!G5*$X$22</f>
        <v>372113.96780423145</v>
      </c>
      <c r="H30" s="362">
        <f>'Initiation Data'!H5*$X$22</f>
        <v>340578.8857869237</v>
      </c>
      <c r="I30" s="362">
        <f>'Initiation Data'!I5*$X$22</f>
        <v>283815.73815576977</v>
      </c>
      <c r="J30" s="362">
        <f>'Initiation Data'!J5*$X$22</f>
        <v>334271.86938346218</v>
      </c>
      <c r="K30" s="362">
        <f>'Initiation Data'!K5*$X$22</f>
        <v>365806.95140076993</v>
      </c>
      <c r="L30" s="362">
        <f>'Initiation Data'!L5*$X$22</f>
        <v>589706.03372365492</v>
      </c>
      <c r="M30" s="362">
        <f>'Initiation Data'!M5*$X$22</f>
        <v>447798.1646457701</v>
      </c>
      <c r="N30" s="362">
        <f>'Initiation Data'!N5*$X$22</f>
        <v>561324.45990807796</v>
      </c>
      <c r="O30" s="362">
        <f>'Initiation Data'!O5*$X$22</f>
        <v>491947.27947000094</v>
      </c>
      <c r="P30" s="362">
        <f>'Initiation Data'!P5*$X$22</f>
        <v>532942.88609250099</v>
      </c>
      <c r="Q30" s="362">
        <f>'Initiation Data'!Q5*$X$22</f>
        <v>668543.73876692436</v>
      </c>
      <c r="R30" s="362">
        <f>'Initiation Data'!R5*$X$22</f>
        <v>425723.60723365465</v>
      </c>
      <c r="S30" s="362">
        <f>'Initiation Data'!S5*$X$22</f>
        <v>536096.39429423178</v>
      </c>
      <c r="T30" s="362">
        <f>'Initiation Data'!T5*$X$22</f>
        <v>255434.1643401928</v>
      </c>
      <c r="U30" s="362">
        <f>'Initiation Data'!U5*$X$22</f>
        <v>368960.45960250072</v>
      </c>
      <c r="V30" s="363">
        <f>'Initiation Data'!V5*$X$22</f>
        <v>157675.41008653876</v>
      </c>
    </row>
    <row r="31" spans="1:41" ht="15.6" customHeight="1" thickBot="1">
      <c r="A31" s="261"/>
      <c r="C31" s="261"/>
      <c r="F31" s="254"/>
      <c r="G31" s="254"/>
      <c r="H31" s="254"/>
      <c r="I31" s="254"/>
      <c r="J31" s="254"/>
      <c r="K31" s="254"/>
      <c r="L31" s="254"/>
      <c r="M31" s="254"/>
      <c r="N31" s="254"/>
      <c r="O31" s="254"/>
      <c r="P31" s="254"/>
      <c r="Q31" s="254"/>
      <c r="R31" s="254"/>
      <c r="S31" s="254"/>
      <c r="T31" s="254"/>
      <c r="U31" s="254"/>
      <c r="V31" s="254"/>
    </row>
    <row r="32" spans="1:41" ht="31.2">
      <c r="A32" s="364" t="s">
        <v>560</v>
      </c>
      <c r="B32" s="383">
        <v>1999</v>
      </c>
      <c r="C32" s="374">
        <v>2000</v>
      </c>
      <c r="D32" s="383">
        <v>2001</v>
      </c>
      <c r="E32" s="374">
        <v>2002</v>
      </c>
      <c r="F32" s="383">
        <v>2003</v>
      </c>
      <c r="G32" s="383">
        <v>2004</v>
      </c>
      <c r="H32" s="383">
        <v>2005</v>
      </c>
      <c r="I32" s="383">
        <v>2006</v>
      </c>
      <c r="J32" s="383">
        <v>2007</v>
      </c>
      <c r="K32" s="383">
        <v>2008</v>
      </c>
      <c r="L32" s="383">
        <v>2009</v>
      </c>
      <c r="M32" s="383">
        <v>2010</v>
      </c>
      <c r="N32" s="383">
        <v>2011</v>
      </c>
      <c r="O32" s="383">
        <v>2012</v>
      </c>
      <c r="P32" s="383">
        <v>2013</v>
      </c>
      <c r="Q32" s="383">
        <v>2014</v>
      </c>
      <c r="R32" s="383">
        <v>2015</v>
      </c>
      <c r="S32" s="383">
        <v>2016</v>
      </c>
      <c r="T32" s="383">
        <v>2017</v>
      </c>
      <c r="U32" s="383">
        <v>2018</v>
      </c>
      <c r="V32" s="405">
        <v>2019</v>
      </c>
    </row>
    <row r="33" spans="1:22">
      <c r="A33" s="366" t="s">
        <v>561</v>
      </c>
      <c r="B33" s="379">
        <f t="shared" ref="B33:V33" si="17">B19*$X$22*$B$36</f>
        <v>747374.50609214988</v>
      </c>
      <c r="C33" s="379">
        <f t="shared" si="17"/>
        <v>680106.95957086678</v>
      </c>
      <c r="D33" s="379">
        <f t="shared" si="17"/>
        <v>742183.13782029657</v>
      </c>
      <c r="E33" s="379">
        <f t="shared" si="17"/>
        <v>775081.8598541969</v>
      </c>
      <c r="F33" s="379">
        <f t="shared" si="17"/>
        <v>682195.27577221685</v>
      </c>
      <c r="G33" s="379">
        <f t="shared" si="17"/>
        <v>894618.74174900353</v>
      </c>
      <c r="H33" s="379">
        <f t="shared" si="17"/>
        <v>738696.68222262722</v>
      </c>
      <c r="I33" s="379">
        <f t="shared" si="17"/>
        <v>1008908.1859961305</v>
      </c>
      <c r="J33" s="379">
        <f t="shared" si="17"/>
        <v>782915.17422729603</v>
      </c>
      <c r="K33" s="379">
        <f t="shared" si="17"/>
        <v>1038598.4657154257</v>
      </c>
      <c r="L33" s="379">
        <f t="shared" si="17"/>
        <v>1334697.1183169368</v>
      </c>
      <c r="M33" s="379">
        <f t="shared" si="17"/>
        <v>1353760.0753963992</v>
      </c>
      <c r="N33" s="379">
        <f t="shared" si="17"/>
        <v>1612439.199676173</v>
      </c>
      <c r="O33" s="379">
        <f t="shared" si="17"/>
        <v>1587274.2042263614</v>
      </c>
      <c r="P33" s="379">
        <f t="shared" si="17"/>
        <v>1689901.9751434878</v>
      </c>
      <c r="Q33" s="379">
        <f t="shared" si="17"/>
        <v>1962841.263511488</v>
      </c>
      <c r="R33" s="379">
        <f t="shared" si="17"/>
        <v>1950025.4061796542</v>
      </c>
      <c r="S33" s="379">
        <f t="shared" si="17"/>
        <v>2038888.1137962257</v>
      </c>
      <c r="T33" s="379">
        <f t="shared" si="17"/>
        <v>2223611.1637290097</v>
      </c>
      <c r="U33" s="379">
        <f t="shared" si="17"/>
        <v>1868860.4120835075</v>
      </c>
      <c r="V33" s="380">
        <f t="shared" si="17"/>
        <v>1439995.910680929</v>
      </c>
    </row>
    <row r="34" spans="1:22">
      <c r="A34" s="366" t="s">
        <v>562</v>
      </c>
      <c r="B34" s="269">
        <f t="shared" ref="B34:V34" si="18">B20*$X$22*$B$36</f>
        <v>361731.9881024934</v>
      </c>
      <c r="C34" s="269">
        <f t="shared" si="18"/>
        <v>375826.30919439095</v>
      </c>
      <c r="D34" s="269">
        <f t="shared" si="18"/>
        <v>645871.81229615514</v>
      </c>
      <c r="E34" s="269">
        <f t="shared" si="18"/>
        <v>457135.70243109489</v>
      </c>
      <c r="F34" s="269">
        <f t="shared" si="18"/>
        <v>354665.60692405509</v>
      </c>
      <c r="G34" s="269">
        <f t="shared" si="18"/>
        <v>402819.67716448399</v>
      </c>
      <c r="H34" s="269">
        <f t="shared" si="18"/>
        <v>454020.03632778488</v>
      </c>
      <c r="I34" s="269">
        <f t="shared" si="18"/>
        <v>624968.56243540847</v>
      </c>
      <c r="J34" s="269">
        <f t="shared" si="18"/>
        <v>325322.21310695028</v>
      </c>
      <c r="K34" s="269">
        <f t="shared" si="18"/>
        <v>443055.28831036697</v>
      </c>
      <c r="L34" s="269">
        <f t="shared" si="18"/>
        <v>677897.04409325775</v>
      </c>
      <c r="M34" s="269">
        <f t="shared" si="18"/>
        <v>460919.91227317188</v>
      </c>
      <c r="N34" s="269">
        <f t="shared" si="18"/>
        <v>425174.89680655353</v>
      </c>
      <c r="O34" s="269">
        <f t="shared" si="18"/>
        <v>420406.79240553651</v>
      </c>
      <c r="P34" s="269">
        <f t="shared" si="18"/>
        <v>500827.55856607488</v>
      </c>
      <c r="Q34" s="269">
        <f t="shared" si="18"/>
        <v>884237.39274890581</v>
      </c>
      <c r="R34" s="269">
        <f t="shared" si="18"/>
        <v>579103.93914943608</v>
      </c>
      <c r="S34" s="269">
        <f t="shared" si="18"/>
        <v>871550.82925334293</v>
      </c>
      <c r="T34" s="269">
        <f t="shared" si="18"/>
        <v>816244.60241138865</v>
      </c>
      <c r="U34" s="269">
        <f t="shared" si="18"/>
        <v>819555.78602320584</v>
      </c>
      <c r="V34" s="359">
        <f t="shared" si="18"/>
        <v>844238.29471815284</v>
      </c>
    </row>
    <row r="35" spans="1:22" ht="15.9" thickBot="1">
      <c r="A35" s="368" t="s">
        <v>563</v>
      </c>
      <c r="B35" s="381">
        <f t="shared" ref="B35:V35" si="19">B21*$X$22*$B$36</f>
        <v>37615.991882705202</v>
      </c>
      <c r="C35" s="381">
        <f t="shared" si="19"/>
        <v>22226.77725301297</v>
      </c>
      <c r="D35" s="381">
        <f t="shared" si="19"/>
        <v>75797.250110570647</v>
      </c>
      <c r="E35" s="381">
        <f t="shared" si="19"/>
        <v>110227.72568329751</v>
      </c>
      <c r="F35" s="381">
        <f t="shared" si="19"/>
        <v>56340.577532122028</v>
      </c>
      <c r="G35" s="381">
        <f t="shared" si="19"/>
        <v>119565.26346862233</v>
      </c>
      <c r="H35" s="381">
        <f t="shared" si="19"/>
        <v>72414.008836343783</v>
      </c>
      <c r="I35" s="381">
        <f t="shared" si="19"/>
        <v>88244.620009032282</v>
      </c>
      <c r="J35" s="381">
        <f t="shared" si="19"/>
        <v>152620.33643916433</v>
      </c>
      <c r="K35" s="381">
        <f t="shared" si="19"/>
        <v>158914.73880981895</v>
      </c>
      <c r="L35" s="381">
        <f t="shared" si="19"/>
        <v>227513.00272206852</v>
      </c>
      <c r="M35" s="381">
        <f t="shared" si="19"/>
        <v>331332.79973944905</v>
      </c>
      <c r="N35" s="381">
        <f t="shared" si="19"/>
        <v>149539.35892607333</v>
      </c>
      <c r="O35" s="381">
        <f t="shared" si="19"/>
        <v>166293.94800186896</v>
      </c>
      <c r="P35" s="381">
        <f t="shared" si="19"/>
        <v>158665.61166188223</v>
      </c>
      <c r="Q35" s="381">
        <f t="shared" si="19"/>
        <v>346479.09963236202</v>
      </c>
      <c r="R35" s="381">
        <f t="shared" si="19"/>
        <v>268180.64449158864</v>
      </c>
      <c r="S35" s="381">
        <f t="shared" si="19"/>
        <v>167772.94334848071</v>
      </c>
      <c r="T35" s="381">
        <f t="shared" si="19"/>
        <v>115437.32123255676</v>
      </c>
      <c r="U35" s="381">
        <f t="shared" si="19"/>
        <v>121879.93848869273</v>
      </c>
      <c r="V35" s="382">
        <f t="shared" si="19"/>
        <v>73508.276182344373</v>
      </c>
    </row>
    <row r="36" spans="1:22">
      <c r="B36" s="351">
        <v>1000000</v>
      </c>
    </row>
    <row r="37" spans="1:22" ht="15.6" customHeight="1" thickBot="1"/>
    <row r="38" spans="1:22" ht="31.2">
      <c r="A38" s="364" t="s">
        <v>564</v>
      </c>
      <c r="B38" s="387"/>
      <c r="C38" s="387"/>
      <c r="D38" s="387"/>
      <c r="E38" s="387"/>
      <c r="F38" s="387"/>
      <c r="G38" s="387"/>
      <c r="H38" s="387"/>
      <c r="I38" s="374">
        <v>2006</v>
      </c>
      <c r="J38" s="374">
        <v>2007</v>
      </c>
      <c r="K38" s="374">
        <v>2008</v>
      </c>
      <c r="L38" s="374">
        <v>2009</v>
      </c>
      <c r="M38" s="374">
        <v>2010</v>
      </c>
      <c r="N38" s="374">
        <v>2011</v>
      </c>
      <c r="O38" s="374">
        <v>2012</v>
      </c>
      <c r="P38" s="374">
        <v>2013</v>
      </c>
      <c r="Q38" s="374">
        <v>2014</v>
      </c>
      <c r="R38" s="374">
        <v>2015</v>
      </c>
      <c r="S38" s="375">
        <v>2016</v>
      </c>
      <c r="U38" s="173"/>
      <c r="V38" s="173"/>
    </row>
    <row r="39" spans="1:22">
      <c r="A39" s="366" t="s">
        <v>565</v>
      </c>
      <c r="B39" s="262"/>
      <c r="C39" s="262"/>
      <c r="D39" s="388"/>
      <c r="E39" s="388"/>
      <c r="F39" s="388"/>
      <c r="G39" s="388"/>
      <c r="H39" s="388"/>
      <c r="I39" s="253">
        <v>1.1000000000000001</v>
      </c>
      <c r="J39" s="253">
        <v>1</v>
      </c>
      <c r="K39" s="253">
        <v>1.1000000000000001</v>
      </c>
      <c r="L39" s="253">
        <v>1.2</v>
      </c>
      <c r="M39" s="253">
        <v>1.2</v>
      </c>
      <c r="N39" s="253">
        <v>1.2</v>
      </c>
      <c r="O39" s="253">
        <v>1.3</v>
      </c>
      <c r="P39" s="253">
        <v>1.4</v>
      </c>
      <c r="Q39" s="253">
        <v>1.5</v>
      </c>
      <c r="R39" s="253">
        <v>1.4</v>
      </c>
      <c r="S39" s="384">
        <v>1.5</v>
      </c>
      <c r="U39" s="261"/>
    </row>
    <row r="40" spans="1:22">
      <c r="A40" s="366" t="s">
        <v>566</v>
      </c>
      <c r="B40" s="262"/>
      <c r="C40" s="262"/>
      <c r="D40" s="262"/>
      <c r="E40" s="262"/>
      <c r="F40" s="388"/>
      <c r="G40" s="388"/>
      <c r="H40" s="388"/>
      <c r="I40" s="253">
        <v>0.3</v>
      </c>
      <c r="J40" s="253">
        <v>0.2</v>
      </c>
      <c r="K40" s="253">
        <v>0.3</v>
      </c>
      <c r="L40" s="253">
        <v>0.3</v>
      </c>
      <c r="M40" s="253">
        <v>0.3</v>
      </c>
      <c r="N40" s="253">
        <v>0.3</v>
      </c>
      <c r="O40" s="253">
        <v>0.3</v>
      </c>
      <c r="P40" s="253">
        <v>0.3</v>
      </c>
      <c r="Q40" s="253">
        <v>0.3</v>
      </c>
      <c r="R40" s="253">
        <v>0.3</v>
      </c>
      <c r="S40" s="384">
        <v>0.4</v>
      </c>
    </row>
    <row r="41" spans="1:22" ht="15.9" thickBot="1">
      <c r="A41" s="368" t="s">
        <v>567</v>
      </c>
      <c r="B41" s="389"/>
      <c r="C41" s="389"/>
      <c r="D41" s="389"/>
      <c r="E41" s="389"/>
      <c r="F41" s="390"/>
      <c r="G41" s="390"/>
      <c r="H41" s="390"/>
      <c r="I41" s="385">
        <v>0.3</v>
      </c>
      <c r="J41" s="385">
        <v>0.3</v>
      </c>
      <c r="K41" s="385">
        <v>0.3</v>
      </c>
      <c r="L41" s="385">
        <v>0.4</v>
      </c>
      <c r="M41" s="385">
        <v>0.4</v>
      </c>
      <c r="N41" s="385">
        <v>0.4</v>
      </c>
      <c r="O41" s="385">
        <v>0.4</v>
      </c>
      <c r="P41" s="385">
        <v>0.4</v>
      </c>
      <c r="Q41" s="385">
        <v>0.4</v>
      </c>
      <c r="R41" s="385">
        <v>0.4</v>
      </c>
      <c r="S41" s="386">
        <v>0.4</v>
      </c>
    </row>
    <row r="42" spans="1:22">
      <c r="A42" s="393" t="s">
        <v>568</v>
      </c>
    </row>
  </sheetData>
  <mergeCells count="1">
    <mergeCell ref="A12:V12"/>
  </mergeCells>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5FE4-5FD3-48CA-ADE1-1173DB9A839C}">
  <dimension ref="A1:AN80"/>
  <sheetViews>
    <sheetView zoomScale="85" zoomScaleNormal="85" workbookViewId="0">
      <pane xSplit="1" ySplit="1" topLeftCell="S2" activePane="bottomRight" state="frozen"/>
      <selection pane="topRight" activeCell="B1" sqref="B1"/>
      <selection pane="bottomLeft" activeCell="A2" sqref="A2"/>
      <selection pane="bottomRight" activeCell="AK3" sqref="AK3"/>
    </sheetView>
  </sheetViews>
  <sheetFormatPr defaultColWidth="8.89453125" defaultRowHeight="14.4"/>
  <cols>
    <col min="1" max="1" width="14.3125" style="49" customWidth="1"/>
    <col min="2" max="4" width="16.41796875" style="49" customWidth="1"/>
    <col min="5" max="21" width="16.41796875" customWidth="1"/>
    <col min="22" max="22" width="17.89453125" customWidth="1"/>
    <col min="23" max="23" width="19.3125" customWidth="1"/>
    <col min="24" max="24" width="16.3125" bestFit="1" customWidth="1"/>
    <col min="25" max="29" width="13.1015625" bestFit="1" customWidth="1"/>
    <col min="30" max="30" width="13.20703125" customWidth="1"/>
    <col min="31" max="33" width="13.1015625" bestFit="1" customWidth="1"/>
    <col min="34" max="34" width="14.5234375" bestFit="1" customWidth="1"/>
    <col min="35" max="35" width="12.89453125" customWidth="1"/>
    <col min="36" max="36" width="31.1015625" customWidth="1"/>
    <col min="37" max="37" width="21.3125" customWidth="1"/>
    <col min="38" max="38" width="22" customWidth="1"/>
    <col min="39" max="39" width="12.68359375" customWidth="1"/>
  </cols>
  <sheetData>
    <row r="1" spans="1:40" ht="50.1" customHeight="1">
      <c r="A1" s="651" t="s">
        <v>598</v>
      </c>
      <c r="B1" s="651"/>
      <c r="C1" s="651"/>
      <c r="D1" s="651"/>
      <c r="E1" s="651"/>
      <c r="F1" s="651"/>
      <c r="G1" s="651"/>
      <c r="H1" s="651"/>
      <c r="I1" s="651"/>
      <c r="J1" s="651"/>
      <c r="K1" s="651"/>
      <c r="L1" s="651"/>
      <c r="M1" s="651"/>
      <c r="N1" s="651"/>
      <c r="O1" s="651"/>
      <c r="P1" s="651"/>
      <c r="Q1" s="651"/>
      <c r="R1" s="651"/>
      <c r="S1" s="651"/>
      <c r="T1" s="651"/>
      <c r="U1" s="651"/>
      <c r="V1" s="651"/>
      <c r="W1" s="651"/>
      <c r="X1" s="651"/>
      <c r="Y1" s="651"/>
      <c r="Z1" s="651"/>
      <c r="AA1" s="651"/>
      <c r="AB1" s="651"/>
      <c r="AC1" s="651"/>
      <c r="AD1" s="651"/>
      <c r="AE1" s="651"/>
      <c r="AF1" s="651"/>
      <c r="AG1" s="651"/>
      <c r="AH1" s="651"/>
    </row>
    <row r="2" spans="1:40" ht="25.95" customHeight="1">
      <c r="AI2" s="39"/>
    </row>
    <row r="3" spans="1:40" ht="54" customHeight="1">
      <c r="AI3" s="39"/>
    </row>
    <row r="4" spans="1:40" ht="14.7" thickBot="1"/>
    <row r="5" spans="1:40">
      <c r="A5" s="295"/>
      <c r="B5" s="422">
        <v>1999</v>
      </c>
      <c r="C5" s="422">
        <v>2000</v>
      </c>
      <c r="D5" s="422">
        <v>2001</v>
      </c>
      <c r="E5" s="422">
        <v>2002</v>
      </c>
      <c r="F5" s="422">
        <v>2003</v>
      </c>
      <c r="G5" s="422">
        <v>2004</v>
      </c>
      <c r="H5" s="422">
        <v>2005</v>
      </c>
      <c r="I5" s="422">
        <v>2006</v>
      </c>
      <c r="J5" s="422">
        <v>2007</v>
      </c>
      <c r="K5" s="422">
        <v>2008</v>
      </c>
      <c r="L5" s="422">
        <v>2009</v>
      </c>
      <c r="M5" s="422">
        <v>2010</v>
      </c>
      <c r="N5" s="422">
        <v>2011</v>
      </c>
      <c r="O5" s="422">
        <v>2012</v>
      </c>
      <c r="P5" s="422">
        <v>2013</v>
      </c>
      <c r="Q5" s="422">
        <v>2014</v>
      </c>
      <c r="R5" s="422">
        <v>2015</v>
      </c>
      <c r="S5" s="422">
        <v>2016</v>
      </c>
      <c r="T5" s="422">
        <v>2017</v>
      </c>
      <c r="U5" s="422">
        <v>2018</v>
      </c>
      <c r="V5" s="422">
        <v>2019</v>
      </c>
      <c r="W5" s="422">
        <v>2020</v>
      </c>
      <c r="X5" s="423">
        <v>2021</v>
      </c>
      <c r="Y5" s="423">
        <v>2022</v>
      </c>
      <c r="Z5" s="423">
        <v>2023</v>
      </c>
      <c r="AA5" s="423">
        <v>2024</v>
      </c>
      <c r="AB5" s="423">
        <v>2025</v>
      </c>
      <c r="AC5" s="423">
        <v>2026</v>
      </c>
      <c r="AD5" s="423">
        <v>2027</v>
      </c>
      <c r="AE5" s="423">
        <v>2028</v>
      </c>
      <c r="AF5" s="423">
        <v>2029</v>
      </c>
      <c r="AG5" s="423">
        <v>2030</v>
      </c>
      <c r="AH5" s="424">
        <v>2031</v>
      </c>
    </row>
    <row r="6" spans="1:40" ht="29.7">
      <c r="A6" s="296" t="str">
        <f>'Buprenorphine Capacity'!A73</f>
        <v>Total waivered providers</v>
      </c>
      <c r="B6" s="49">
        <f>'Buprenorphine Capacity'!B5</f>
        <v>0</v>
      </c>
      <c r="C6" s="49">
        <f>'Buprenorphine Capacity'!C5</f>
        <v>0</v>
      </c>
      <c r="D6" s="49">
        <f>'Buprenorphine Capacity'!D5</f>
        <v>0</v>
      </c>
      <c r="E6" s="21">
        <f>'Buprenorphine Capacity'!E5</f>
        <v>0</v>
      </c>
      <c r="F6" s="21">
        <f>'Buprenorphine Capacity'!F5</f>
        <v>1893</v>
      </c>
      <c r="G6" s="21">
        <f>'Buprenorphine Capacity'!G5</f>
        <v>3256</v>
      </c>
      <c r="H6" s="21">
        <f>'Buprenorphine Capacity'!H5</f>
        <v>5484</v>
      </c>
      <c r="I6" s="21">
        <f>'Buprenorphine Capacity'!I5</f>
        <v>8555.5</v>
      </c>
      <c r="J6" s="21">
        <f>'Buprenorphine Capacity'!J5</f>
        <v>10637</v>
      </c>
      <c r="K6" s="21">
        <f>'Buprenorphine Capacity'!K5</f>
        <v>14365.333333333332</v>
      </c>
      <c r="L6" s="21">
        <f>'Buprenorphine Capacity'!L5</f>
        <v>15817.5</v>
      </c>
      <c r="M6" s="21">
        <f>'Buprenorphine Capacity'!M5</f>
        <v>18023.5</v>
      </c>
      <c r="N6" s="21">
        <f>'Buprenorphine Capacity'!N5</f>
        <v>20148</v>
      </c>
      <c r="O6" s="21">
        <f>'Buprenorphine Capacity'!O5</f>
        <v>22198</v>
      </c>
      <c r="P6" s="21">
        <f>'Buprenorphine Capacity'!P5</f>
        <v>23629</v>
      </c>
      <c r="Q6" s="21">
        <f>'Buprenorphine Capacity'!Q5</f>
        <v>25738</v>
      </c>
      <c r="R6" s="21">
        <f>'Buprenorphine Capacity'!R5</f>
        <v>28930.5</v>
      </c>
      <c r="S6" s="21">
        <f>'Buprenorphine Capacity'!S5</f>
        <v>32122.999999999996</v>
      </c>
      <c r="T6" s="21">
        <f>'Buprenorphine Capacity'!T5</f>
        <v>42037</v>
      </c>
      <c r="U6" s="21">
        <f>'Buprenorphine Capacity'!U5</f>
        <v>57426.5</v>
      </c>
      <c r="V6" s="21">
        <f>'Buprenorphine Capacity'!V5</f>
        <v>66800</v>
      </c>
      <c r="W6" s="21">
        <f>'Buprenorphine Capacity'!W5</f>
        <v>94223</v>
      </c>
      <c r="X6" s="307">
        <f t="shared" ref="X6:AH6" si="0">$X$7*LN(X9)+$X$8</f>
        <v>110264.39797657644</v>
      </c>
      <c r="Y6" s="307">
        <f t="shared" si="0"/>
        <v>121645.96380898623</v>
      </c>
      <c r="Z6" s="307">
        <f t="shared" si="0"/>
        <v>130474.1921296303</v>
      </c>
      <c r="AA6" s="307">
        <f t="shared" si="0"/>
        <v>137687.37988106953</v>
      </c>
      <c r="AB6" s="307">
        <f t="shared" si="0"/>
        <v>143786.04322707537</v>
      </c>
      <c r="AC6" s="307">
        <f t="shared" si="0"/>
        <v>149068.94571347936</v>
      </c>
      <c r="AD6" s="307">
        <f t="shared" si="0"/>
        <v>153728.79595315288</v>
      </c>
      <c r="AE6" s="307">
        <f t="shared" si="0"/>
        <v>157897.17403412343</v>
      </c>
      <c r="AF6" s="307">
        <f t="shared" si="0"/>
        <v>161667.93067772192</v>
      </c>
      <c r="AG6" s="307">
        <f t="shared" si="0"/>
        <v>165110.36178556265</v>
      </c>
      <c r="AH6" s="291">
        <f t="shared" si="0"/>
        <v>168277.09142925078</v>
      </c>
      <c r="AN6" s="270"/>
    </row>
    <row r="7" spans="1:40">
      <c r="A7" s="296"/>
      <c r="W7" s="314" t="s">
        <v>569</v>
      </c>
      <c r="X7" s="306">
        <v>39563</v>
      </c>
      <c r="Y7" s="304"/>
      <c r="Z7" s="304"/>
      <c r="AA7" s="304"/>
      <c r="AB7" s="304"/>
      <c r="AC7" s="304"/>
      <c r="AD7" s="304"/>
      <c r="AE7" s="304"/>
      <c r="AF7" s="304"/>
      <c r="AG7" s="304"/>
      <c r="AH7" s="305"/>
    </row>
    <row r="8" spans="1:40">
      <c r="A8" s="296"/>
      <c r="W8" s="306" t="s">
        <v>570</v>
      </c>
      <c r="X8" s="306">
        <v>66800</v>
      </c>
      <c r="Y8" s="304"/>
      <c r="Z8" s="304"/>
      <c r="AA8" s="304"/>
      <c r="AB8" s="304"/>
      <c r="AC8" s="304"/>
      <c r="AD8" s="304"/>
      <c r="AE8" s="304"/>
      <c r="AF8" s="304"/>
      <c r="AG8" s="304"/>
      <c r="AH8" s="305"/>
    </row>
    <row r="9" spans="1:40" ht="43.35" customHeight="1">
      <c r="A9" s="296"/>
      <c r="W9" s="314" t="s">
        <v>571</v>
      </c>
      <c r="X9" s="304">
        <f>COUNT(V5:X5)</f>
        <v>3</v>
      </c>
      <c r="Y9" s="304">
        <v>4</v>
      </c>
      <c r="Z9" s="304">
        <v>5</v>
      </c>
      <c r="AA9" s="304">
        <v>6</v>
      </c>
      <c r="AB9" s="304">
        <v>7</v>
      </c>
      <c r="AC9" s="304">
        <v>8</v>
      </c>
      <c r="AD9" s="304">
        <v>9</v>
      </c>
      <c r="AE9" s="304">
        <v>10</v>
      </c>
      <c r="AF9" s="304">
        <v>11</v>
      </c>
      <c r="AG9" s="304">
        <v>12</v>
      </c>
      <c r="AH9" s="305">
        <v>13</v>
      </c>
    </row>
    <row r="10" spans="1:40" ht="14.7" thickBot="1"/>
    <row r="11" spans="1:40">
      <c r="A11" s="503" t="s">
        <v>572</v>
      </c>
      <c r="B11" s="422">
        <v>1999</v>
      </c>
      <c r="C11" s="422">
        <v>2000</v>
      </c>
      <c r="D11" s="422">
        <v>2001</v>
      </c>
      <c r="E11" s="422">
        <v>2002</v>
      </c>
      <c r="F11" s="422">
        <v>2003</v>
      </c>
      <c r="G11" s="422">
        <v>2004</v>
      </c>
      <c r="H11" s="422">
        <v>2005</v>
      </c>
      <c r="I11" s="422">
        <v>2006</v>
      </c>
      <c r="J11" s="422">
        <v>2007</v>
      </c>
      <c r="K11" s="422">
        <v>2008</v>
      </c>
      <c r="L11" s="422">
        <v>2009</v>
      </c>
      <c r="M11" s="422">
        <v>2010</v>
      </c>
      <c r="N11" s="422">
        <v>2011</v>
      </c>
      <c r="O11" s="422">
        <v>2012</v>
      </c>
      <c r="P11" s="422">
        <v>2013</v>
      </c>
      <c r="Q11" s="422">
        <v>2014</v>
      </c>
      <c r="R11" s="422">
        <v>2015</v>
      </c>
      <c r="S11" s="422">
        <v>2016</v>
      </c>
      <c r="T11" s="422">
        <v>2017</v>
      </c>
      <c r="U11" s="422">
        <v>2018</v>
      </c>
      <c r="V11" s="422">
        <v>2019</v>
      </c>
      <c r="W11" s="422">
        <v>2020</v>
      </c>
      <c r="X11" s="302">
        <v>2021</v>
      </c>
      <c r="Y11" s="302">
        <v>2022</v>
      </c>
      <c r="Z11" s="302">
        <v>2023</v>
      </c>
      <c r="AA11" s="302">
        <v>2024</v>
      </c>
      <c r="AB11" s="302">
        <v>2025</v>
      </c>
      <c r="AC11" s="302">
        <v>2026</v>
      </c>
      <c r="AD11" s="302">
        <v>2027</v>
      </c>
      <c r="AE11" s="302">
        <v>2028</v>
      </c>
      <c r="AF11" s="302">
        <v>2029</v>
      </c>
      <c r="AG11" s="302">
        <v>2030</v>
      </c>
      <c r="AH11" s="303">
        <v>2031</v>
      </c>
    </row>
    <row r="12" spans="1:40" ht="43.2">
      <c r="A12" s="296" t="str">
        <f>'Methadone NSSATS'!A3</f>
        <v>Tx point patients OTP MMT NSSATS</v>
      </c>
      <c r="B12" s="506">
        <f>'Methadone NSSATS'!B3</f>
        <v>159053.5</v>
      </c>
      <c r="C12" s="506">
        <f>'Methadone NSSATS'!C3</f>
        <v>172497</v>
      </c>
      <c r="D12" s="506">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306640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7">
        <f>$W$13*LN(W15)+$W$14</f>
        <v>419851.13076559408</v>
      </c>
      <c r="X12" s="307">
        <f t="shared" ref="X12:AH12" si="1">$W$13*LN(X15)+$W$14</f>
        <v>428063.80529137771</v>
      </c>
      <c r="Y12" s="307">
        <f t="shared" si="1"/>
        <v>435007.52266419656</v>
      </c>
      <c r="Z12" s="307">
        <f t="shared" si="1"/>
        <v>441022.44424496818</v>
      </c>
      <c r="AA12" s="307">
        <f t="shared" si="1"/>
        <v>446327.98108611</v>
      </c>
      <c r="AB12" s="307">
        <f t="shared" si="1"/>
        <v>451073.94551391678</v>
      </c>
      <c r="AC12" s="307">
        <f t="shared" si="1"/>
        <v>455367.19256320258</v>
      </c>
      <c r="AD12" s="307">
        <f t="shared" si="1"/>
        <v>459286.62003970047</v>
      </c>
      <c r="AE12" s="307">
        <f t="shared" si="1"/>
        <v>462892.1438068549</v>
      </c>
      <c r="AF12" s="307">
        <f t="shared" si="1"/>
        <v>466230.33741251932</v>
      </c>
      <c r="AG12" s="307">
        <f t="shared" si="1"/>
        <v>469338.12130864908</v>
      </c>
      <c r="AH12" s="408">
        <f t="shared" si="1"/>
        <v>472245.25899329095</v>
      </c>
    </row>
    <row r="13" spans="1:40">
      <c r="A13" s="296"/>
      <c r="V13" s="314" t="s">
        <v>569</v>
      </c>
      <c r="W13" s="306">
        <v>45045</v>
      </c>
      <c r="X13" s="304"/>
      <c r="Y13" s="304"/>
      <c r="Z13" s="304"/>
      <c r="AA13" s="304"/>
      <c r="AB13" s="304"/>
      <c r="AC13" s="304"/>
      <c r="AD13" s="304"/>
      <c r="AE13" s="304"/>
      <c r="AF13" s="304"/>
      <c r="AG13" s="304"/>
      <c r="AH13" s="305"/>
    </row>
    <row r="14" spans="1:40">
      <c r="A14" s="296"/>
      <c r="V14" s="306" t="s">
        <v>570</v>
      </c>
      <c r="W14" s="306">
        <v>347354</v>
      </c>
      <c r="X14" s="304"/>
      <c r="Y14" s="304"/>
      <c r="Z14" s="304"/>
      <c r="AA14" s="304"/>
      <c r="AB14" s="304"/>
      <c r="AC14" s="304"/>
      <c r="AD14" s="304"/>
      <c r="AE14" s="304"/>
      <c r="AF14" s="304"/>
      <c r="AG14" s="304"/>
      <c r="AH14" s="305"/>
    </row>
    <row r="15" spans="1:40" ht="43.2">
      <c r="A15" s="296"/>
      <c r="V15" s="314" t="s">
        <v>573</v>
      </c>
      <c r="W15" s="304">
        <f>COUNT(S11:W11)</f>
        <v>5</v>
      </c>
      <c r="X15" s="304">
        <v>6</v>
      </c>
      <c r="Y15" s="304">
        <v>7</v>
      </c>
      <c r="Z15" s="304">
        <v>8</v>
      </c>
      <c r="AA15" s="304">
        <v>9</v>
      </c>
      <c r="AB15" s="304">
        <v>10</v>
      </c>
      <c r="AC15" s="304">
        <v>11</v>
      </c>
      <c r="AD15" s="304">
        <v>12</v>
      </c>
      <c r="AE15" s="304">
        <v>13</v>
      </c>
      <c r="AF15" s="304">
        <v>14</v>
      </c>
      <c r="AG15" s="304">
        <v>15</v>
      </c>
      <c r="AH15" s="305">
        <v>16</v>
      </c>
    </row>
    <row r="16" spans="1:40" ht="18.600000000000001" thickBot="1">
      <c r="A16" s="297"/>
      <c r="B16" s="505"/>
      <c r="C16" s="505"/>
      <c r="D16" s="505"/>
      <c r="E16" s="292"/>
      <c r="F16" s="292"/>
      <c r="G16" s="292"/>
      <c r="H16" s="292"/>
      <c r="I16" s="292"/>
      <c r="J16" s="292"/>
      <c r="K16" s="292"/>
      <c r="L16" s="292"/>
      <c r="M16" s="292"/>
      <c r="N16" s="292"/>
      <c r="O16" s="292"/>
      <c r="P16" s="292"/>
      <c r="Q16" s="292"/>
      <c r="R16" s="292"/>
      <c r="S16" s="292"/>
      <c r="T16" s="292"/>
      <c r="U16" s="292"/>
      <c r="V16" s="311" t="s">
        <v>574</v>
      </c>
      <c r="W16" s="311"/>
      <c r="X16" s="311"/>
      <c r="Y16" s="311">
        <v>0.86599999999999999</v>
      </c>
      <c r="Z16" s="293">
        <f>AH12/Y16</f>
        <v>545317.85103151377</v>
      </c>
      <c r="AA16" s="311"/>
      <c r="AB16" s="311"/>
      <c r="AC16" s="311"/>
      <c r="AD16" s="311"/>
      <c r="AE16" s="311"/>
      <c r="AF16" s="311"/>
      <c r="AG16" s="311"/>
      <c r="AH16" s="312"/>
    </row>
    <row r="17" spans="1:34" ht="14.7" thickBot="1"/>
    <row r="18" spans="1:34">
      <c r="A18" s="503" t="s">
        <v>575</v>
      </c>
      <c r="B18" s="422">
        <v>1999</v>
      </c>
      <c r="C18" s="422">
        <v>2000</v>
      </c>
      <c r="D18" s="422">
        <v>2001</v>
      </c>
      <c r="E18" s="290">
        <v>2002</v>
      </c>
      <c r="F18" s="290">
        <v>2003</v>
      </c>
      <c r="G18" s="290">
        <v>2004</v>
      </c>
      <c r="H18" s="290">
        <v>2005</v>
      </c>
      <c r="I18" s="290">
        <v>2006</v>
      </c>
      <c r="J18" s="290">
        <v>2007</v>
      </c>
      <c r="K18" s="290">
        <v>2008</v>
      </c>
      <c r="L18" s="290">
        <v>2009</v>
      </c>
      <c r="M18" s="290">
        <v>2010</v>
      </c>
      <c r="N18" s="290">
        <v>2011</v>
      </c>
      <c r="O18" s="290">
        <v>2012</v>
      </c>
      <c r="P18" s="290">
        <v>2013</v>
      </c>
      <c r="Q18" s="290">
        <v>2014</v>
      </c>
      <c r="R18" s="290">
        <v>2015</v>
      </c>
      <c r="S18" s="290">
        <v>2016</v>
      </c>
      <c r="T18" s="290">
        <v>2017</v>
      </c>
      <c r="U18" s="290">
        <v>2018</v>
      </c>
      <c r="V18" s="290">
        <v>2019</v>
      </c>
      <c r="W18" s="302">
        <v>2020</v>
      </c>
      <c r="X18" s="302">
        <v>2021</v>
      </c>
      <c r="Y18" s="302">
        <v>2022</v>
      </c>
      <c r="Z18" s="302">
        <v>2023</v>
      </c>
      <c r="AA18" s="302">
        <v>2024</v>
      </c>
      <c r="AB18" s="302">
        <v>2025</v>
      </c>
      <c r="AC18" s="302">
        <v>2026</v>
      </c>
      <c r="AD18" s="302">
        <v>2027</v>
      </c>
      <c r="AE18" s="302">
        <v>2028</v>
      </c>
      <c r="AF18" s="302">
        <v>2029</v>
      </c>
      <c r="AG18" s="302">
        <v>2030</v>
      </c>
      <c r="AH18" s="303">
        <v>2031</v>
      </c>
    </row>
    <row r="19" spans="1:34" ht="43.2">
      <c r="A19" s="296" t="s">
        <v>20</v>
      </c>
      <c r="B19" s="506">
        <f>'Methadone NSSATS'!B3</f>
        <v>159053.5</v>
      </c>
      <c r="C19" s="506">
        <f>'Methadone NSSATS'!C3</f>
        <v>172497</v>
      </c>
      <c r="D19" s="506">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306640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4">
        <f>($W$20*W22)+$W$21</f>
        <v>421394</v>
      </c>
      <c r="X19" s="304">
        <f t="shared" ref="X19:AH19" si="2">($W$20*X22)+$W$21</f>
        <v>434236</v>
      </c>
      <c r="Y19" s="304">
        <f t="shared" si="2"/>
        <v>447078</v>
      </c>
      <c r="Z19" s="304">
        <f t="shared" si="2"/>
        <v>459920</v>
      </c>
      <c r="AA19" s="304">
        <f t="shared" si="2"/>
        <v>472762</v>
      </c>
      <c r="AB19" s="304">
        <f t="shared" si="2"/>
        <v>485604</v>
      </c>
      <c r="AC19" s="304">
        <f t="shared" si="2"/>
        <v>498446</v>
      </c>
      <c r="AD19" s="304">
        <f t="shared" si="2"/>
        <v>511288</v>
      </c>
      <c r="AE19" s="304">
        <f t="shared" si="2"/>
        <v>524130</v>
      </c>
      <c r="AF19" s="304">
        <f t="shared" si="2"/>
        <v>536972</v>
      </c>
      <c r="AG19" s="304">
        <f t="shared" si="2"/>
        <v>549814</v>
      </c>
      <c r="AH19" s="305">
        <f t="shared" si="2"/>
        <v>562656</v>
      </c>
    </row>
    <row r="20" spans="1:34">
      <c r="A20" s="296"/>
      <c r="V20" s="314" t="s">
        <v>569</v>
      </c>
      <c r="W20" s="306">
        <v>12842</v>
      </c>
      <c r="X20" s="304"/>
      <c r="Y20" s="304"/>
      <c r="Z20" s="304"/>
      <c r="AA20" s="304"/>
      <c r="AB20" s="304"/>
      <c r="AC20" s="304"/>
      <c r="AD20" s="304"/>
      <c r="AE20" s="304"/>
      <c r="AF20" s="304"/>
      <c r="AG20" s="304"/>
      <c r="AH20" s="305"/>
    </row>
    <row r="21" spans="1:34">
      <c r="A21" s="296"/>
      <c r="V21" s="306" t="s">
        <v>570</v>
      </c>
      <c r="W21" s="306">
        <v>370026</v>
      </c>
      <c r="X21" s="304"/>
      <c r="Y21" s="304"/>
      <c r="Z21" s="304"/>
      <c r="AA21" s="304"/>
      <c r="AB21" s="304"/>
      <c r="AC21" s="304"/>
      <c r="AD21" s="304"/>
      <c r="AE21" s="304"/>
      <c r="AF21" s="304"/>
      <c r="AG21" s="304"/>
      <c r="AH21" s="305"/>
    </row>
    <row r="22" spans="1:34" ht="43.2">
      <c r="A22" s="296"/>
      <c r="V22" s="314" t="s">
        <v>577</v>
      </c>
      <c r="W22" s="304">
        <f>COUNT(T18:W18)</f>
        <v>4</v>
      </c>
      <c r="X22" s="304">
        <v>5</v>
      </c>
      <c r="Y22" s="304">
        <v>6</v>
      </c>
      <c r="Z22" s="304">
        <v>7</v>
      </c>
      <c r="AA22" s="304">
        <v>8</v>
      </c>
      <c r="AB22" s="304">
        <v>9</v>
      </c>
      <c r="AC22" s="304">
        <v>10</v>
      </c>
      <c r="AD22" s="304">
        <v>11</v>
      </c>
      <c r="AE22" s="304">
        <v>12</v>
      </c>
      <c r="AF22" s="304">
        <v>13</v>
      </c>
      <c r="AG22" s="304">
        <v>14</v>
      </c>
      <c r="AH22" s="305">
        <v>15</v>
      </c>
    </row>
    <row r="23" spans="1:34" ht="18.600000000000001" thickBot="1">
      <c r="A23" s="297"/>
      <c r="B23" s="505"/>
      <c r="C23" s="505"/>
      <c r="D23" s="505"/>
      <c r="E23" s="292"/>
      <c r="F23" s="292"/>
      <c r="G23" s="292"/>
      <c r="H23" s="292"/>
      <c r="I23" s="292"/>
      <c r="J23" s="292"/>
      <c r="K23" s="292"/>
      <c r="L23" s="292"/>
      <c r="M23" s="292"/>
      <c r="N23" s="292"/>
      <c r="O23" s="292"/>
      <c r="P23" s="292"/>
      <c r="Q23" s="292"/>
      <c r="R23" s="292"/>
      <c r="S23" s="292"/>
      <c r="T23" s="292"/>
      <c r="U23" s="292"/>
      <c r="V23" s="311" t="s">
        <v>574</v>
      </c>
      <c r="W23" s="311"/>
      <c r="X23" s="311"/>
      <c r="Y23" s="311">
        <v>0.86599999999999999</v>
      </c>
      <c r="Z23" s="293">
        <f>AH19/Y23</f>
        <v>649718.24480369512</v>
      </c>
      <c r="AA23" s="311"/>
      <c r="AB23" s="311"/>
      <c r="AC23" s="311"/>
      <c r="AD23" s="311"/>
      <c r="AE23" s="311"/>
      <c r="AF23" s="311"/>
      <c r="AG23" s="311"/>
      <c r="AH23" s="312"/>
    </row>
    <row r="25" spans="1:34" ht="14.7" thickBot="1"/>
    <row r="26" spans="1:34">
      <c r="A26" s="295"/>
      <c r="B26" s="422">
        <v>1999</v>
      </c>
      <c r="C26" s="422">
        <v>2000</v>
      </c>
      <c r="D26" s="422">
        <v>2001</v>
      </c>
      <c r="E26" s="290">
        <v>2002</v>
      </c>
      <c r="F26" s="290">
        <v>2003</v>
      </c>
      <c r="G26" s="290">
        <v>2004</v>
      </c>
      <c r="H26" s="290">
        <v>2005</v>
      </c>
      <c r="I26" s="290">
        <v>2006</v>
      </c>
      <c r="J26" s="290">
        <v>2007</v>
      </c>
      <c r="K26" s="290">
        <v>2008</v>
      </c>
      <c r="L26" s="290">
        <v>2009</v>
      </c>
      <c r="M26" s="290">
        <v>2010</v>
      </c>
      <c r="N26" s="290">
        <v>2011</v>
      </c>
      <c r="O26" s="290">
        <v>2012</v>
      </c>
      <c r="P26" s="290">
        <v>2013</v>
      </c>
      <c r="Q26" s="290">
        <v>2014</v>
      </c>
      <c r="R26" s="290">
        <v>2015</v>
      </c>
      <c r="S26" s="290">
        <v>2016</v>
      </c>
      <c r="T26" s="290">
        <v>2017</v>
      </c>
      <c r="U26" s="290">
        <v>2018</v>
      </c>
      <c r="V26" s="290">
        <v>2019</v>
      </c>
      <c r="W26" s="302">
        <v>2020</v>
      </c>
      <c r="X26" s="302">
        <v>2021</v>
      </c>
      <c r="Y26" s="302">
        <v>2022</v>
      </c>
      <c r="Z26" s="302">
        <v>2023</v>
      </c>
      <c r="AA26" s="302">
        <v>2024</v>
      </c>
      <c r="AB26" s="302">
        <v>2025</v>
      </c>
      <c r="AC26" s="302">
        <v>2026</v>
      </c>
      <c r="AD26" s="302">
        <v>2027</v>
      </c>
      <c r="AE26" s="302">
        <v>2028</v>
      </c>
      <c r="AF26" s="302">
        <v>2029</v>
      </c>
      <c r="AG26" s="302">
        <v>2030</v>
      </c>
      <c r="AH26" s="303">
        <v>2031</v>
      </c>
    </row>
    <row r="27" spans="1:34" ht="28.8">
      <c r="A27" s="296" t="str">
        <f>'Vivitrol IQVIA'!A2</f>
        <v>Tx point patients Viv IQVIA</v>
      </c>
      <c r="B27" s="271">
        <f>'Vivitrol IQVIA'!B2</f>
        <v>0</v>
      </c>
      <c r="C27" s="271">
        <f>'Vivitrol IQVIA'!C2</f>
        <v>0</v>
      </c>
      <c r="D27" s="271">
        <f>'Vivitrol IQVIA'!D2</f>
        <v>0</v>
      </c>
      <c r="E27" s="270">
        <f>'Vivitrol IQVIA'!E2</f>
        <v>0</v>
      </c>
      <c r="F27" s="270">
        <f>'Vivitrol IQVIA'!F2</f>
        <v>0</v>
      </c>
      <c r="G27" s="270">
        <f>'Vivitrol IQVIA'!G2</f>
        <v>0</v>
      </c>
      <c r="H27" s="270">
        <f>'Vivitrol IQVIA'!H2</f>
        <v>0</v>
      </c>
      <c r="I27" s="270">
        <f>'Vivitrol IQVIA'!I2</f>
        <v>0</v>
      </c>
      <c r="J27" s="270">
        <f>'Vivitrol IQVIA'!J2</f>
        <v>0</v>
      </c>
      <c r="K27" s="270">
        <f>'Vivitrol IQVIA'!K2</f>
        <v>0</v>
      </c>
      <c r="L27" s="270">
        <f>'Vivitrol IQVIA'!L2</f>
        <v>0</v>
      </c>
      <c r="M27" s="270">
        <f>'Vivitrol IQVIA'!M2</f>
        <v>434.77083333333331</v>
      </c>
      <c r="N27" s="270">
        <f>'Vivitrol IQVIA'!N2</f>
        <v>1543.5208333333333</v>
      </c>
      <c r="O27" s="270">
        <f>'Vivitrol IQVIA'!O2</f>
        <v>2990.2708333333335</v>
      </c>
      <c r="P27" s="270">
        <f>'Vivitrol IQVIA'!P2</f>
        <v>4705.6875</v>
      </c>
      <c r="Q27" s="270">
        <f>'Vivitrol IQVIA'!Q2</f>
        <v>6685.270833333333</v>
      </c>
      <c r="R27" s="270">
        <f>'Vivitrol IQVIA'!R2</f>
        <v>10849.4375</v>
      </c>
      <c r="S27" s="270">
        <f>'Vivitrol IQVIA'!S2</f>
        <v>19529.104166666668</v>
      </c>
      <c r="T27" s="270">
        <f>'Vivitrol IQVIA'!T2</f>
        <v>26956.604166666668</v>
      </c>
      <c r="U27" s="270">
        <f>'Vivitrol IQVIA'!U2</f>
        <v>30646.604166666668</v>
      </c>
      <c r="V27" s="21">
        <f>'Vivitrol IQVIA'!V2</f>
        <v>32227.1875</v>
      </c>
      <c r="W27" s="307">
        <f t="shared" ref="W27:AH27" si="3">$W$28*LN(W30)+$W$29</f>
        <v>33773.072828875949</v>
      </c>
      <c r="X27" s="307">
        <f t="shared" si="3"/>
        <v>34856.211626955119</v>
      </c>
      <c r="Y27" s="307">
        <f t="shared" si="3"/>
        <v>35741.20046363298</v>
      </c>
      <c r="Z27" s="307">
        <f t="shared" si="3"/>
        <v>36489.447863514491</v>
      </c>
      <c r="AA27" s="307">
        <f t="shared" si="3"/>
        <v>37137.60924331392</v>
      </c>
      <c r="AB27" s="307">
        <f t="shared" si="3"/>
        <v>37709.328098390011</v>
      </c>
      <c r="AC27" s="307">
        <f t="shared" si="3"/>
        <v>38220.748041393097</v>
      </c>
      <c r="AD27" s="307">
        <f t="shared" si="3"/>
        <v>38683.383654163292</v>
      </c>
      <c r="AE27" s="307">
        <f t="shared" si="3"/>
        <v>39105.736878070951</v>
      </c>
      <c r="AF27" s="307">
        <f t="shared" si="3"/>
        <v>39494.264181118298</v>
      </c>
      <c r="AG27" s="307">
        <f t="shared" si="3"/>
        <v>39853.984277952462</v>
      </c>
      <c r="AH27" s="313">
        <f t="shared" si="3"/>
        <v>40188.875676150128</v>
      </c>
    </row>
    <row r="28" spans="1:34">
      <c r="A28" s="296"/>
      <c r="V28" s="314" t="s">
        <v>569</v>
      </c>
      <c r="W28" s="306">
        <v>4854</v>
      </c>
      <c r="X28" s="306"/>
      <c r="Y28" s="306"/>
      <c r="Z28" s="306"/>
      <c r="AA28" s="306"/>
      <c r="AB28" s="306"/>
      <c r="AC28" s="306"/>
      <c r="AD28" s="306"/>
      <c r="AE28" s="306"/>
      <c r="AF28" s="306"/>
      <c r="AG28" s="306"/>
      <c r="AH28" s="310"/>
    </row>
    <row r="29" spans="1:34" ht="35.85" customHeight="1">
      <c r="A29" s="296"/>
      <c r="V29" s="306" t="s">
        <v>570</v>
      </c>
      <c r="W29" s="306">
        <v>27044</v>
      </c>
      <c r="X29" s="306"/>
      <c r="Y29" s="306"/>
      <c r="Z29" s="306"/>
      <c r="AA29" s="306"/>
      <c r="AB29" s="306"/>
      <c r="AC29" s="306"/>
      <c r="AD29" s="306"/>
      <c r="AE29" s="306"/>
      <c r="AF29" s="306"/>
      <c r="AG29" s="306"/>
      <c r="AH29" s="310"/>
    </row>
    <row r="30" spans="1:34" ht="43.2">
      <c r="A30" s="296"/>
      <c r="V30" s="314" t="s">
        <v>577</v>
      </c>
      <c r="W30" s="304">
        <f>COUNT(T26:W26)</f>
        <v>4</v>
      </c>
      <c r="X30" s="304">
        <v>5</v>
      </c>
      <c r="Y30" s="304">
        <v>6</v>
      </c>
      <c r="Z30" s="304">
        <v>7</v>
      </c>
      <c r="AA30" s="304">
        <v>8</v>
      </c>
      <c r="AB30" s="304">
        <v>9</v>
      </c>
      <c r="AC30" s="304">
        <v>10</v>
      </c>
      <c r="AD30" s="304">
        <v>11</v>
      </c>
      <c r="AE30" s="304">
        <v>12</v>
      </c>
      <c r="AF30" s="304">
        <v>13</v>
      </c>
      <c r="AG30" s="304">
        <v>14</v>
      </c>
      <c r="AH30" s="305">
        <v>15</v>
      </c>
    </row>
    <row r="31" spans="1:34" ht="18.600000000000001" thickBot="1">
      <c r="A31" s="297"/>
      <c r="B31" s="505"/>
      <c r="C31" s="505"/>
      <c r="D31" s="505"/>
      <c r="E31" s="292"/>
      <c r="F31" s="292"/>
      <c r="G31" s="292"/>
      <c r="H31" s="292"/>
      <c r="I31" s="292"/>
      <c r="J31" s="292"/>
      <c r="K31" s="292"/>
      <c r="L31" s="292"/>
      <c r="M31" s="292"/>
      <c r="N31" s="292"/>
      <c r="O31" s="292"/>
      <c r="P31" s="292"/>
      <c r="Q31" s="292"/>
      <c r="R31" s="292"/>
      <c r="S31" s="292"/>
      <c r="T31" s="292"/>
      <c r="U31" s="292"/>
      <c r="V31" s="311" t="s">
        <v>578</v>
      </c>
      <c r="W31" s="311"/>
      <c r="X31" s="311"/>
      <c r="Y31" s="311">
        <v>0.88</v>
      </c>
      <c r="Z31" s="293">
        <f>AH27/Y31</f>
        <v>45669.176904716056</v>
      </c>
      <c r="AA31" s="311"/>
      <c r="AB31" s="311"/>
      <c r="AC31" s="311"/>
      <c r="AD31" s="311"/>
      <c r="AE31" s="311"/>
      <c r="AF31" s="311"/>
      <c r="AG31" s="311"/>
      <c r="AH31" s="312"/>
    </row>
    <row r="32" spans="1:34">
      <c r="W32" s="283" t="s">
        <v>576</v>
      </c>
    </row>
    <row r="33" spans="1:34" ht="14.7" thickBot="1"/>
    <row r="34" spans="1:34">
      <c r="A34" s="295"/>
      <c r="B34" s="422">
        <v>1999</v>
      </c>
      <c r="C34" s="422">
        <v>2000</v>
      </c>
      <c r="D34" s="422">
        <v>2001</v>
      </c>
      <c r="E34" s="290">
        <v>2002</v>
      </c>
      <c r="F34" s="290">
        <v>2003</v>
      </c>
      <c r="G34" s="290">
        <v>2004</v>
      </c>
      <c r="H34" s="290">
        <v>2005</v>
      </c>
      <c r="I34" s="290">
        <v>2006</v>
      </c>
      <c r="J34" s="290">
        <v>2007</v>
      </c>
      <c r="K34" s="290">
        <v>2008</v>
      </c>
      <c r="L34" s="290">
        <v>2009</v>
      </c>
      <c r="M34" s="290">
        <v>2010</v>
      </c>
      <c r="N34" s="290">
        <v>2011</v>
      </c>
      <c r="O34" s="290">
        <v>2012</v>
      </c>
      <c r="P34" s="290">
        <v>2013</v>
      </c>
      <c r="Q34" s="290">
        <v>2014</v>
      </c>
      <c r="R34" s="290">
        <v>2015</v>
      </c>
      <c r="S34" s="290">
        <v>2016</v>
      </c>
      <c r="T34" s="290">
        <v>2017</v>
      </c>
      <c r="U34" s="290">
        <v>2018</v>
      </c>
      <c r="V34" s="290">
        <v>2019</v>
      </c>
      <c r="W34" s="585">
        <v>2020</v>
      </c>
      <c r="X34" s="302">
        <v>2021</v>
      </c>
      <c r="Y34" s="302">
        <v>2022</v>
      </c>
      <c r="Z34" s="302">
        <v>2023</v>
      </c>
      <c r="AA34" s="302">
        <v>2024</v>
      </c>
      <c r="AB34" s="302">
        <v>2025</v>
      </c>
      <c r="AC34" s="302">
        <v>2026</v>
      </c>
      <c r="AD34" s="302">
        <v>2027</v>
      </c>
      <c r="AE34" s="302">
        <v>2028</v>
      </c>
      <c r="AF34" s="302">
        <v>2029</v>
      </c>
      <c r="AG34" s="302">
        <v>2030</v>
      </c>
      <c r="AH34" s="303">
        <v>2031</v>
      </c>
    </row>
    <row r="35" spans="1:34" ht="44.1">
      <c r="A35" s="296" t="str">
        <f>'Nx kits HR + IQVIA'!T2</f>
        <v>Nx kits distributed HR IQVIA</v>
      </c>
      <c r="B35" s="587">
        <f>'Nx kits HR + IQVIA'!U2</f>
        <v>1103.5</v>
      </c>
      <c r="C35" s="587">
        <f>'Nx kits HR + IQVIA'!V2</f>
        <v>3310.4999999999995</v>
      </c>
      <c r="D35" s="587">
        <f>'Nx kits HR + IQVIA'!W2</f>
        <v>4414</v>
      </c>
      <c r="E35" s="588">
        <f>'Nx kits HR + IQVIA'!X2</f>
        <v>5517.5</v>
      </c>
      <c r="F35" s="588">
        <f>'Nx kits HR + IQVIA'!Y2</f>
        <v>9350.5</v>
      </c>
      <c r="G35" s="588">
        <f>'Nx kits HR + IQVIA'!Z2</f>
        <v>13113.5</v>
      </c>
      <c r="H35" s="588">
        <f>'Nx kits HR + IQVIA'!AA2</f>
        <v>14940.499999999998</v>
      </c>
      <c r="I35" s="588">
        <f>'Nx kits HR + IQVIA'!AB2</f>
        <v>24726.499999999996</v>
      </c>
      <c r="J35" s="588">
        <f>'Nx kits HR + IQVIA'!AC2</f>
        <v>26676.499999999996</v>
      </c>
      <c r="K35" s="588">
        <f>'Nx kits HR + IQVIA'!AD2</f>
        <v>35490.999999999993</v>
      </c>
      <c r="L35" s="588">
        <f>'Nx kits HR + IQVIA'!AE2</f>
        <v>39442</v>
      </c>
      <c r="M35" s="588">
        <f>'Nx kits HR + IQVIA'!AF2</f>
        <v>47435</v>
      </c>
      <c r="N35" s="588">
        <f>'Nx kits HR + IQVIA'!AG2</f>
        <v>49586</v>
      </c>
      <c r="O35" s="588">
        <f>'Nx kits HR + IQVIA'!AH2</f>
        <v>69053</v>
      </c>
      <c r="P35" s="588">
        <f>'Nx kits HR + IQVIA'!AI2</f>
        <v>141502</v>
      </c>
      <c r="Q35" s="588">
        <f>'Nx kits HR + IQVIA'!AJ2</f>
        <v>211278.68817204301</v>
      </c>
      <c r="R35" s="588">
        <f>'Nx kits HR + IQVIA'!AK2</f>
        <v>325817.17840212741</v>
      </c>
      <c r="S35" s="588">
        <f>'Nx kits HR + IQVIA'!AL2</f>
        <v>573797.06734074547</v>
      </c>
      <c r="T35" s="588">
        <f>'Nx kits HR + IQVIA'!AM2</f>
        <v>916335.75439076754</v>
      </c>
      <c r="U35" s="588">
        <f>'Nx kits HR + IQVIA'!AN2</f>
        <v>1500485.9526574665</v>
      </c>
      <c r="V35" s="588">
        <f>'Nx kits HR + IQVIA'!AO2</f>
        <v>1931149</v>
      </c>
      <c r="W35" s="588">
        <f>'Nx kits HR + IQVIA'!AP2</f>
        <v>2303624</v>
      </c>
      <c r="X35" s="589">
        <f>$X$36*LN(X38)+$X$37</f>
        <v>2479257.265936981</v>
      </c>
      <c r="Y35" s="589">
        <f t="shared" ref="Y35:AH35" si="4">$X$36*LN(Y38)+$X$37</f>
        <v>2639749.2486358029</v>
      </c>
      <c r="Z35" s="589">
        <f t="shared" si="4"/>
        <v>2770880.7465718323</v>
      </c>
      <c r="AA35" s="589">
        <f t="shared" si="4"/>
        <v>2881750.8483253513</v>
      </c>
      <c r="AB35" s="589">
        <f t="shared" si="4"/>
        <v>2977790.8989054719</v>
      </c>
      <c r="AC35" s="589">
        <f t="shared" si="4"/>
        <v>3062504.2272066837</v>
      </c>
      <c r="AD35" s="589">
        <f t="shared" si="4"/>
        <v>3138282.8816042934</v>
      </c>
      <c r="AE35" s="589">
        <f t="shared" si="4"/>
        <v>3206833.0128453178</v>
      </c>
      <c r="AF35" s="589">
        <f t="shared" si="4"/>
        <v>3269414.3795403233</v>
      </c>
      <c r="AG35" s="589">
        <f t="shared" si="4"/>
        <v>3326983.6562657757</v>
      </c>
      <c r="AH35" s="291">
        <f t="shared" si="4"/>
        <v>3380284.4812938413</v>
      </c>
    </row>
    <row r="36" spans="1:34">
      <c r="A36" s="296"/>
      <c r="B36" s="590"/>
      <c r="C36" s="590"/>
      <c r="D36" s="590"/>
      <c r="E36" s="591"/>
      <c r="F36" s="591"/>
      <c r="G36" s="591"/>
      <c r="H36" s="591"/>
      <c r="I36" s="591"/>
      <c r="J36" s="591"/>
      <c r="K36" s="591"/>
      <c r="L36" s="591"/>
      <c r="M36" s="591"/>
      <c r="N36" s="591"/>
      <c r="O36" s="591"/>
      <c r="P36" s="591"/>
      <c r="Q36" s="591"/>
      <c r="R36" s="591"/>
      <c r="S36" s="591"/>
      <c r="T36" s="591"/>
      <c r="U36" s="591"/>
      <c r="V36" s="592"/>
      <c r="W36" s="593" t="s">
        <v>569</v>
      </c>
      <c r="X36" s="594">
        <v>719232</v>
      </c>
      <c r="Y36" s="594"/>
      <c r="Z36" s="594"/>
      <c r="AA36" s="594"/>
      <c r="AB36" s="594"/>
      <c r="AC36" s="594"/>
      <c r="AD36" s="594"/>
      <c r="AE36" s="594"/>
      <c r="AF36" s="594"/>
      <c r="AG36" s="594"/>
      <c r="AH36" s="316"/>
    </row>
    <row r="37" spans="1:34">
      <c r="A37" s="296"/>
      <c r="B37" s="590"/>
      <c r="C37" s="590"/>
      <c r="D37" s="590"/>
      <c r="E37" s="591"/>
      <c r="F37" s="591"/>
      <c r="G37" s="591"/>
      <c r="H37" s="591"/>
      <c r="I37" s="591"/>
      <c r="J37" s="591"/>
      <c r="K37" s="591"/>
      <c r="L37" s="591"/>
      <c r="M37" s="591"/>
      <c r="N37" s="591"/>
      <c r="O37" s="591"/>
      <c r="P37" s="591"/>
      <c r="Q37" s="591"/>
      <c r="R37" s="591"/>
      <c r="S37" s="591"/>
      <c r="T37" s="591"/>
      <c r="U37" s="591"/>
      <c r="V37" s="595"/>
      <c r="W37" s="596" t="s">
        <v>570</v>
      </c>
      <c r="X37" s="594">
        <v>1482190</v>
      </c>
      <c r="Y37" s="594"/>
      <c r="Z37" s="594"/>
      <c r="AA37" s="594"/>
      <c r="AB37" s="594"/>
      <c r="AC37" s="594"/>
      <c r="AD37" s="594"/>
      <c r="AE37" s="594"/>
      <c r="AF37" s="594"/>
      <c r="AG37" s="594"/>
      <c r="AH37" s="316"/>
    </row>
    <row r="38" spans="1:34" ht="29.1" thickBot="1">
      <c r="A38" s="297"/>
      <c r="B38" s="505"/>
      <c r="C38" s="505"/>
      <c r="D38" s="505"/>
      <c r="E38" s="292"/>
      <c r="F38" s="292"/>
      <c r="G38" s="292"/>
      <c r="H38" s="292"/>
      <c r="I38" s="292"/>
      <c r="J38" s="292"/>
      <c r="K38" s="292"/>
      <c r="L38" s="292"/>
      <c r="M38" s="292"/>
      <c r="N38" s="292"/>
      <c r="O38" s="292"/>
      <c r="P38" s="292"/>
      <c r="Q38" s="292"/>
      <c r="R38" s="292"/>
      <c r="S38" s="292"/>
      <c r="T38" s="292"/>
      <c r="U38" s="292"/>
      <c r="V38" s="586"/>
      <c r="W38" s="315" t="s">
        <v>589</v>
      </c>
      <c r="X38" s="317">
        <f>COUNT(U34:X34)</f>
        <v>4</v>
      </c>
      <c r="Y38" s="317">
        <v>5</v>
      </c>
      <c r="Z38" s="317">
        <v>6</v>
      </c>
      <c r="AA38" s="317">
        <v>7</v>
      </c>
      <c r="AB38" s="317">
        <v>8</v>
      </c>
      <c r="AC38" s="317">
        <v>9</v>
      </c>
      <c r="AD38" s="317">
        <v>10</v>
      </c>
      <c r="AE38" s="317">
        <v>11</v>
      </c>
      <c r="AF38" s="317">
        <v>12</v>
      </c>
      <c r="AG38" s="317">
        <v>13</v>
      </c>
      <c r="AH38" s="318">
        <v>14</v>
      </c>
    </row>
    <row r="39" spans="1:34">
      <c r="W39" s="283" t="s">
        <v>593</v>
      </c>
    </row>
    <row r="40" spans="1:34" ht="14.7" thickBot="1"/>
    <row r="41" spans="1:34">
      <c r="A41" s="295"/>
      <c r="B41" s="422">
        <v>1999</v>
      </c>
      <c r="C41" s="422">
        <v>2000</v>
      </c>
      <c r="D41" s="422">
        <v>2001</v>
      </c>
      <c r="E41" s="290">
        <v>2002</v>
      </c>
      <c r="F41" s="290">
        <v>2003</v>
      </c>
      <c r="G41" s="290">
        <v>2004</v>
      </c>
      <c r="H41" s="290">
        <v>2005</v>
      </c>
      <c r="I41" s="290">
        <v>2006</v>
      </c>
      <c r="J41" s="290">
        <v>2007</v>
      </c>
      <c r="K41" s="290">
        <v>2008</v>
      </c>
      <c r="L41" s="290">
        <v>2009</v>
      </c>
      <c r="M41" s="290">
        <v>2010</v>
      </c>
      <c r="N41" s="290">
        <v>2011</v>
      </c>
      <c r="O41" s="290">
        <v>2012</v>
      </c>
      <c r="P41" s="290">
        <v>2013</v>
      </c>
      <c r="Q41" s="290">
        <v>2014</v>
      </c>
      <c r="R41" s="290">
        <v>2015</v>
      </c>
      <c r="S41" s="290">
        <v>2016</v>
      </c>
      <c r="T41" s="290">
        <v>2017</v>
      </c>
      <c r="U41" s="290">
        <v>2018</v>
      </c>
      <c r="V41" s="290">
        <v>2019</v>
      </c>
      <c r="W41" s="290">
        <v>2020</v>
      </c>
      <c r="X41" s="302">
        <v>2021</v>
      </c>
      <c r="Y41" s="302">
        <v>2022</v>
      </c>
      <c r="Z41" s="302">
        <v>2023</v>
      </c>
      <c r="AA41" s="302">
        <v>2024</v>
      </c>
      <c r="AB41" s="302">
        <v>2025</v>
      </c>
      <c r="AC41" s="302">
        <v>2026</v>
      </c>
      <c r="AD41" s="302">
        <v>2027</v>
      </c>
      <c r="AE41" s="302">
        <v>2028</v>
      </c>
      <c r="AF41" s="302">
        <v>2029</v>
      </c>
      <c r="AG41" s="302">
        <v>2030</v>
      </c>
      <c r="AH41" s="303">
        <v>2031</v>
      </c>
    </row>
    <row r="42" spans="1:34" ht="44.1">
      <c r="A42" s="296" t="str">
        <f>'Opioid Rx Data IQVIA SH'!A51</f>
        <v xml:space="preserve">Patients receiving opioid prescription </v>
      </c>
      <c r="B42" s="587">
        <f>'Opioid Rx Data IQVIA SH'!B2</f>
        <v>50615800.308805212</v>
      </c>
      <c r="C42" s="587">
        <f>'Opioid Rx Data IQVIA SH'!C2</f>
        <v>55268292.708259083</v>
      </c>
      <c r="D42" s="587">
        <f>'Opioid Rx Data IQVIA SH'!D2</f>
        <v>61600655.974125087</v>
      </c>
      <c r="E42" s="588">
        <f>'Opioid Rx Data IQVIA SH'!E2</f>
        <v>64144383.982784502</v>
      </c>
      <c r="F42" s="588">
        <f>'Opioid Rx Data IQVIA SH'!F2</f>
        <v>67962522.71045579</v>
      </c>
      <c r="G42" s="588">
        <f>'Opioid Rx Data IQVIA SH'!G2</f>
        <v>72565755.505764052</v>
      </c>
      <c r="H42" s="588">
        <f>'Opioid Rx Data IQVIA SH'!H2</f>
        <v>76938987.677525371</v>
      </c>
      <c r="I42" s="588">
        <f>'Opioid Rx Data IQVIA SH'!I2</f>
        <v>83200866.264006272</v>
      </c>
      <c r="J42" s="588">
        <f>'Opioid Rx Data IQVIA SH'!J2</f>
        <v>89963829.540194139</v>
      </c>
      <c r="K42" s="588">
        <f>'Opioid Rx Data IQVIA SH'!K2</f>
        <v>95576169.900532424</v>
      </c>
      <c r="L42" s="588">
        <f>'Opioid Rx Data IQVIA SH'!L2</f>
        <v>100503576.55517608</v>
      </c>
      <c r="M42" s="588">
        <f>'Opioid Rx Data IQVIA SH'!M2</f>
        <v>109073194.77822027</v>
      </c>
      <c r="N42" s="588">
        <f>'Opioid Rx Data IQVIA SH'!N2</f>
        <v>109066341.52647889</v>
      </c>
      <c r="O42" s="588">
        <f>'Opioid Rx Data IQVIA SH'!O2</f>
        <v>114059108.02698019</v>
      </c>
      <c r="P42" s="588">
        <f>'Opioid Rx Data IQVIA SH'!P2</f>
        <v>109256435.34644848</v>
      </c>
      <c r="Q42" s="588">
        <f>'Opioid Rx Data IQVIA SH'!Q2</f>
        <v>112819821.18383473</v>
      </c>
      <c r="R42" s="588">
        <f>'Opioid Rx Data IQVIA SH'!R2</f>
        <v>108159505.44816807</v>
      </c>
      <c r="S42" s="588">
        <f>'Opioid Rx Data IQVIA SH'!S2</f>
        <v>105696730.38438496</v>
      </c>
      <c r="T42" s="588">
        <f>'Opioid Rx Data IQVIA SH'!T2</f>
        <v>99733895.461657792</v>
      </c>
      <c r="U42" s="588">
        <f>'Opioid Rx Data IQVIA SH'!U2</f>
        <v>88986086.68498829</v>
      </c>
      <c r="V42" s="588">
        <f>'Opioid Rx Data IQVIA SH'!V2</f>
        <v>78456550.964611903</v>
      </c>
      <c r="W42" s="600">
        <f t="shared" ref="W42:AH42" si="5">$W$43*LN(W45)+$W$44</f>
        <v>72297167.696561009</v>
      </c>
      <c r="X42" s="600">
        <f t="shared" si="5"/>
        <v>67927015.5130146</v>
      </c>
      <c r="Y42" s="600">
        <f t="shared" si="5"/>
        <v>64537262.13106361</v>
      </c>
      <c r="Z42" s="600">
        <f t="shared" si="5"/>
        <v>61767631.953068316</v>
      </c>
      <c r="AA42" s="600">
        <f t="shared" si="5"/>
        <v>59425943.003524303</v>
      </c>
      <c r="AB42" s="600">
        <f t="shared" si="5"/>
        <v>57397479.769521907</v>
      </c>
      <c r="AC42" s="600">
        <f t="shared" si="5"/>
        <v>55608248.393122025</v>
      </c>
      <c r="AD42" s="600">
        <f t="shared" si="5"/>
        <v>54007726.38757091</v>
      </c>
      <c r="AE42" s="600">
        <f t="shared" si="5"/>
        <v>52559878.119389772</v>
      </c>
      <c r="AF42" s="600">
        <f t="shared" si="5"/>
        <v>51238096.209575616</v>
      </c>
      <c r="AG42" s="600">
        <f t="shared" si="5"/>
        <v>50022174.721193321</v>
      </c>
      <c r="AH42" s="291">
        <f t="shared" si="5"/>
        <v>48896407.260031603</v>
      </c>
    </row>
    <row r="43" spans="1:34">
      <c r="A43" s="296"/>
      <c r="B43" s="590"/>
      <c r="C43" s="590"/>
      <c r="D43" s="590"/>
      <c r="E43" s="591"/>
      <c r="F43" s="591"/>
      <c r="G43" s="591"/>
      <c r="H43" s="591"/>
      <c r="I43" s="591"/>
      <c r="J43" s="591"/>
      <c r="K43" s="591"/>
      <c r="L43" s="591"/>
      <c r="M43" s="591"/>
      <c r="N43" s="591"/>
      <c r="O43" s="591"/>
      <c r="P43" s="591"/>
      <c r="Q43" s="591"/>
      <c r="R43" s="591"/>
      <c r="S43" s="591"/>
      <c r="T43" s="591"/>
      <c r="U43" s="591"/>
      <c r="V43" s="593" t="s">
        <v>569</v>
      </c>
      <c r="W43" s="597">
        <v>-15190909</v>
      </c>
      <c r="X43" s="306"/>
      <c r="Y43" s="597"/>
      <c r="Z43" s="597"/>
      <c r="AA43" s="597"/>
      <c r="AB43" s="597"/>
      <c r="AC43" s="597"/>
      <c r="AD43" s="597"/>
      <c r="AE43" s="597"/>
      <c r="AF43" s="597"/>
      <c r="AG43" s="597"/>
      <c r="AH43" s="305"/>
    </row>
    <row r="44" spans="1:34">
      <c r="A44" s="296"/>
      <c r="B44" s="590"/>
      <c r="C44" s="590"/>
      <c r="D44" s="590"/>
      <c r="E44" s="591"/>
      <c r="F44" s="591"/>
      <c r="G44" s="591"/>
      <c r="H44" s="591"/>
      <c r="I44" s="591"/>
      <c r="J44" s="591"/>
      <c r="K44" s="591"/>
      <c r="L44" s="591"/>
      <c r="M44" s="591"/>
      <c r="N44" s="591"/>
      <c r="O44" s="591"/>
      <c r="P44" s="591"/>
      <c r="Q44" s="591"/>
      <c r="R44" s="591"/>
      <c r="S44" s="591"/>
      <c r="T44" s="591"/>
      <c r="U44" s="591"/>
      <c r="V44" s="596" t="s">
        <v>570</v>
      </c>
      <c r="W44" s="597">
        <v>88986087</v>
      </c>
      <c r="X44" s="306"/>
      <c r="Y44" s="597"/>
      <c r="Z44" s="597"/>
      <c r="AA44" s="597"/>
      <c r="AB44" s="597"/>
      <c r="AC44" s="597"/>
      <c r="AD44" s="597"/>
      <c r="AE44" s="597"/>
      <c r="AF44" s="597"/>
      <c r="AG44" s="597"/>
      <c r="AH44" s="305"/>
    </row>
    <row r="45" spans="1:34" ht="29.1" thickBot="1">
      <c r="A45" s="297"/>
      <c r="B45" s="505"/>
      <c r="C45" s="505"/>
      <c r="D45" s="505"/>
      <c r="E45" s="292"/>
      <c r="F45" s="292"/>
      <c r="G45" s="292"/>
      <c r="H45" s="292"/>
      <c r="I45" s="292"/>
      <c r="J45" s="292"/>
      <c r="K45" s="292"/>
      <c r="L45" s="292"/>
      <c r="M45" s="292"/>
      <c r="N45" s="292"/>
      <c r="O45" s="292"/>
      <c r="P45" s="292"/>
      <c r="Q45" s="292"/>
      <c r="R45" s="292"/>
      <c r="S45" s="292"/>
      <c r="T45" s="292"/>
      <c r="U45" s="292"/>
      <c r="V45" s="315" t="s">
        <v>586</v>
      </c>
      <c r="W45" s="311">
        <f>COUNT(U41:W41)</f>
        <v>3</v>
      </c>
      <c r="X45" s="317">
        <v>4</v>
      </c>
      <c r="Y45" s="317">
        <v>5</v>
      </c>
      <c r="Z45" s="317">
        <v>6</v>
      </c>
      <c r="AA45" s="317">
        <v>7</v>
      </c>
      <c r="AB45" s="317">
        <v>8</v>
      </c>
      <c r="AC45" s="317">
        <v>9</v>
      </c>
      <c r="AD45" s="317">
        <v>10</v>
      </c>
      <c r="AE45" s="317">
        <v>11</v>
      </c>
      <c r="AF45" s="317">
        <v>12</v>
      </c>
      <c r="AG45" s="317">
        <v>13</v>
      </c>
      <c r="AH45" s="318">
        <v>14</v>
      </c>
    </row>
    <row r="47" spans="1:34" ht="14.7" thickBot="1"/>
    <row r="48" spans="1:34">
      <c r="A48" s="295"/>
      <c r="B48" s="422">
        <v>1999</v>
      </c>
      <c r="C48" s="422">
        <v>2000</v>
      </c>
      <c r="D48" s="422">
        <v>2001</v>
      </c>
      <c r="E48" s="290">
        <v>2002</v>
      </c>
      <c r="F48" s="290">
        <v>2003</v>
      </c>
      <c r="G48" s="290">
        <v>2004</v>
      </c>
      <c r="H48" s="290">
        <v>2005</v>
      </c>
      <c r="I48" s="290">
        <v>2006</v>
      </c>
      <c r="J48" s="290">
        <v>2007</v>
      </c>
      <c r="K48" s="290">
        <v>2008</v>
      </c>
      <c r="L48" s="290">
        <v>2009</v>
      </c>
      <c r="M48" s="290">
        <v>2010</v>
      </c>
      <c r="N48" s="290">
        <v>2011</v>
      </c>
      <c r="O48" s="290">
        <v>2012</v>
      </c>
      <c r="P48" s="290">
        <v>2013</v>
      </c>
      <c r="Q48" s="290">
        <v>2014</v>
      </c>
      <c r="R48" s="290">
        <v>2015</v>
      </c>
      <c r="S48" s="290">
        <v>2016</v>
      </c>
      <c r="T48" s="290">
        <v>2017</v>
      </c>
      <c r="U48" s="290">
        <v>2018</v>
      </c>
      <c r="V48" s="290">
        <v>2019</v>
      </c>
      <c r="W48" s="290">
        <v>2020</v>
      </c>
      <c r="X48" s="302">
        <v>2021</v>
      </c>
      <c r="Y48" s="302">
        <v>2022</v>
      </c>
      <c r="Z48" s="302">
        <v>2023</v>
      </c>
      <c r="AA48" s="302">
        <v>2024</v>
      </c>
      <c r="AB48" s="302">
        <v>2025</v>
      </c>
      <c r="AC48" s="302">
        <v>2026</v>
      </c>
      <c r="AD48" s="302">
        <v>2027</v>
      </c>
      <c r="AE48" s="302">
        <v>2028</v>
      </c>
      <c r="AF48" s="302">
        <v>2029</v>
      </c>
      <c r="AG48" s="302">
        <v>2030</v>
      </c>
      <c r="AH48" s="303">
        <v>2031</v>
      </c>
    </row>
    <row r="49" spans="1:34" ht="28.8">
      <c r="A49" s="296" t="s">
        <v>579</v>
      </c>
      <c r="B49" s="598">
        <f>'Opioid Rx Data IQVIA SH'!B3</f>
        <v>156716600</v>
      </c>
      <c r="C49" s="598">
        <f>'Opioid Rx Data IQVIA SH'!C3</f>
        <v>167976040</v>
      </c>
      <c r="D49" s="598">
        <f>'Opioid Rx Data IQVIA SH'!D3</f>
        <v>183715880</v>
      </c>
      <c r="E49" s="599">
        <f>'Opioid Rx Data IQVIA SH'!E3</f>
        <v>187651428</v>
      </c>
      <c r="F49" s="599">
        <f>'Opioid Rx Data IQVIA SH'!F3</f>
        <v>194953119</v>
      </c>
      <c r="G49" s="599">
        <f>'Opioid Rx Data IQVIA SH'!G3</f>
        <v>204027579</v>
      </c>
      <c r="H49" s="599">
        <f>'Opioid Rx Data IQVIA SH'!H3</f>
        <v>211944467</v>
      </c>
      <c r="I49" s="599">
        <f>'Opioid Rx Data IQVIA SH'!I3</f>
        <v>224458726</v>
      </c>
      <c r="J49" s="599">
        <f>'Opioid Rx Data IQVIA SH'!J3</f>
        <v>237583497</v>
      </c>
      <c r="K49" s="599">
        <f>'Opioid Rx Data IQVIA SH'!K3</f>
        <v>246965271</v>
      </c>
      <c r="L49" s="599">
        <f>'Opioid Rx Data IQVIA SH'!L3</f>
        <v>253048448</v>
      </c>
      <c r="M49" s="599">
        <f>'Opioid Rx Data IQVIA SH'!M3</f>
        <v>259934115</v>
      </c>
      <c r="N49" s="599">
        <f>'Opioid Rx Data IQVIA SH'!N3</f>
        <v>260625937</v>
      </c>
      <c r="O49" s="599">
        <f>'Opioid Rx Data IQVIA SH'!O3</f>
        <v>263067911</v>
      </c>
      <c r="P49" s="599">
        <f>'Opioid Rx Data IQVIA SH'!P3</f>
        <v>253919348</v>
      </c>
      <c r="Q49" s="599">
        <f>'Opioid Rx Data IQVIA SH'!Q3</f>
        <v>246326325</v>
      </c>
      <c r="R49" s="599">
        <f>'Opioid Rx Data IQVIA SH'!R3</f>
        <v>229140550</v>
      </c>
      <c r="S49" s="599">
        <f>'Opioid Rx Data IQVIA SH'!S3</f>
        <v>217313967</v>
      </c>
      <c r="T49" s="599">
        <f>'Opioid Rx Data IQVIA SH'!T3</f>
        <v>193782638</v>
      </c>
      <c r="U49" s="599">
        <f>'Opioid Rx Data IQVIA SH'!U3</f>
        <v>169863949</v>
      </c>
      <c r="V49" s="588">
        <f>'Opioid Rx Data IQVIA SH'!V3</f>
        <v>154658303</v>
      </c>
      <c r="W49" s="588">
        <f>'Opioid Rx Data IQVIA SH'!W3</f>
        <v>144174733</v>
      </c>
      <c r="X49" s="600">
        <f t="shared" ref="X49:AH49" si="6">$X$50*LN(X52)+$X$51</f>
        <v>136433960.81990096</v>
      </c>
      <c r="Y49" s="600">
        <f t="shared" si="6"/>
        <v>129904242.80002302</v>
      </c>
      <c r="Z49" s="600">
        <f t="shared" si="6"/>
        <v>124383444.87823904</v>
      </c>
      <c r="AA49" s="600">
        <f t="shared" si="6"/>
        <v>119601112.19102357</v>
      </c>
      <c r="AB49" s="600">
        <f t="shared" si="6"/>
        <v>115382795.80603032</v>
      </c>
      <c r="AC49" s="600">
        <f t="shared" si="6"/>
        <v>111609383.21690881</v>
      </c>
      <c r="AD49" s="600">
        <f t="shared" si="6"/>
        <v>108195916.32089368</v>
      </c>
      <c r="AE49" s="600">
        <f t="shared" si="6"/>
        <v>105079665.19703087</v>
      </c>
      <c r="AF49" s="600">
        <f t="shared" si="6"/>
        <v>102212992.05181207</v>
      </c>
      <c r="AG49" s="600">
        <f t="shared" si="6"/>
        <v>99558867.275246903</v>
      </c>
      <c r="AH49" s="313">
        <f t="shared" si="6"/>
        <v>97087936.222916126</v>
      </c>
    </row>
    <row r="50" spans="1:34">
      <c r="A50" s="296"/>
      <c r="B50" s="590"/>
      <c r="C50" s="590"/>
      <c r="D50" s="590"/>
      <c r="E50" s="591"/>
      <c r="F50" s="591"/>
      <c r="G50" s="591"/>
      <c r="H50" s="591"/>
      <c r="I50" s="591"/>
      <c r="J50" s="591"/>
      <c r="K50" s="591"/>
      <c r="L50" s="591"/>
      <c r="M50" s="591"/>
      <c r="N50" s="591"/>
      <c r="O50" s="591"/>
      <c r="P50" s="591"/>
      <c r="Q50" s="591"/>
      <c r="R50" s="591"/>
      <c r="S50" s="591"/>
      <c r="T50" s="591"/>
      <c r="U50" s="591"/>
      <c r="V50" s="591"/>
      <c r="W50" s="593" t="s">
        <v>569</v>
      </c>
      <c r="X50" s="601">
        <v>-35814295</v>
      </c>
      <c r="Y50" s="597"/>
      <c r="Z50" s="597"/>
      <c r="AA50" s="597"/>
      <c r="AB50" s="597"/>
      <c r="AC50" s="597"/>
      <c r="AD50" s="597"/>
      <c r="AE50" s="597"/>
      <c r="AF50" s="597"/>
      <c r="AG50" s="597"/>
      <c r="AH50" s="305"/>
    </row>
    <row r="51" spans="1:34">
      <c r="A51" s="296"/>
      <c r="B51" s="590"/>
      <c r="C51" s="590"/>
      <c r="D51" s="590"/>
      <c r="E51" s="591"/>
      <c r="F51" s="591"/>
      <c r="G51" s="591"/>
      <c r="H51" s="591"/>
      <c r="I51" s="591"/>
      <c r="J51" s="591"/>
      <c r="K51" s="591"/>
      <c r="L51" s="591"/>
      <c r="M51" s="591"/>
      <c r="N51" s="591"/>
      <c r="O51" s="591"/>
      <c r="P51" s="591"/>
      <c r="Q51" s="591"/>
      <c r="R51" s="591"/>
      <c r="S51" s="591"/>
      <c r="T51" s="591"/>
      <c r="U51" s="591"/>
      <c r="V51" s="591"/>
      <c r="W51" s="596" t="s">
        <v>570</v>
      </c>
      <c r="X51" s="601">
        <v>194074845</v>
      </c>
      <c r="Y51" s="597"/>
      <c r="Z51" s="597"/>
      <c r="AA51" s="597"/>
      <c r="AB51" s="597"/>
      <c r="AC51" s="597"/>
      <c r="AD51" s="597"/>
      <c r="AE51" s="597"/>
      <c r="AF51" s="597"/>
      <c r="AG51" s="597"/>
      <c r="AH51" s="305"/>
    </row>
    <row r="52" spans="1:34" ht="29.1" thickBot="1">
      <c r="A52" s="297"/>
      <c r="B52" s="505"/>
      <c r="C52" s="505"/>
      <c r="D52" s="505"/>
      <c r="E52" s="292"/>
      <c r="F52" s="292"/>
      <c r="G52" s="292"/>
      <c r="H52" s="292"/>
      <c r="I52" s="292"/>
      <c r="J52" s="292"/>
      <c r="K52" s="292"/>
      <c r="L52" s="292"/>
      <c r="M52" s="292"/>
      <c r="N52" s="292"/>
      <c r="O52" s="292"/>
      <c r="P52" s="292"/>
      <c r="Q52" s="292"/>
      <c r="R52" s="292"/>
      <c r="S52" s="292"/>
      <c r="T52" s="292"/>
      <c r="U52" s="292"/>
      <c r="V52" s="292"/>
      <c r="W52" s="315" t="s">
        <v>577</v>
      </c>
      <c r="X52" s="317">
        <f>COUNT(T48:X48)</f>
        <v>5</v>
      </c>
      <c r="Y52" s="317">
        <v>6</v>
      </c>
      <c r="Z52" s="317">
        <v>7</v>
      </c>
      <c r="AA52" s="317">
        <v>8</v>
      </c>
      <c r="AB52" s="317">
        <v>9</v>
      </c>
      <c r="AC52" s="317">
        <v>10</v>
      </c>
      <c r="AD52" s="317">
        <v>11</v>
      </c>
      <c r="AE52" s="317">
        <v>12</v>
      </c>
      <c r="AF52" s="317">
        <v>13</v>
      </c>
      <c r="AG52" s="317">
        <v>14</v>
      </c>
      <c r="AH52" s="318">
        <v>15</v>
      </c>
    </row>
    <row r="53" spans="1:34" ht="30" customHeight="1">
      <c r="V53" s="49"/>
      <c r="W53" s="284"/>
      <c r="X53" s="284"/>
      <c r="Y53" s="284"/>
      <c r="Z53" s="284"/>
      <c r="AA53" s="284"/>
      <c r="AB53" s="284"/>
      <c r="AC53" s="284"/>
      <c r="AD53" s="414" t="s">
        <v>580</v>
      </c>
      <c r="AF53" s="415"/>
      <c r="AG53" s="300"/>
      <c r="AH53" s="284"/>
    </row>
    <row r="54" spans="1:34" ht="21">
      <c r="V54" s="49"/>
      <c r="W54" s="284"/>
      <c r="X54" s="284"/>
      <c r="Y54" s="284"/>
      <c r="Z54" s="284"/>
      <c r="AA54" s="284"/>
      <c r="AB54" s="284"/>
      <c r="AC54" s="284"/>
      <c r="AD54" s="298" t="s">
        <v>581</v>
      </c>
      <c r="AF54" s="416">
        <f>AH49/AH42</f>
        <v>1.9855842517549698</v>
      </c>
      <c r="AG54" s="300"/>
      <c r="AH54" s="284"/>
    </row>
    <row r="55" spans="1:34" ht="18.600000000000001" thickBot="1">
      <c r="W55" s="284"/>
      <c r="X55" s="284"/>
      <c r="Y55" s="284"/>
      <c r="Z55" s="284"/>
      <c r="AA55" s="284"/>
      <c r="AB55" s="284"/>
      <c r="AC55" s="284"/>
      <c r="AD55" s="299" t="s">
        <v>582</v>
      </c>
      <c r="AE55" s="292"/>
      <c r="AF55" s="293">
        <f>AH63/AH49</f>
        <v>528.8213338103418</v>
      </c>
      <c r="AG55" s="301"/>
      <c r="AH55" s="284"/>
    </row>
    <row r="56" spans="1:34">
      <c r="A56" s="295"/>
      <c r="B56" s="422">
        <v>1999</v>
      </c>
      <c r="C56" s="422">
        <v>2000</v>
      </c>
      <c r="D56" s="422">
        <v>2001</v>
      </c>
      <c r="E56" s="290">
        <v>2002</v>
      </c>
      <c r="F56" s="290">
        <v>2003</v>
      </c>
      <c r="G56" s="290">
        <v>2004</v>
      </c>
      <c r="H56" s="290">
        <v>2005</v>
      </c>
      <c r="I56" s="290">
        <v>2006</v>
      </c>
      <c r="J56" s="290">
        <v>2007</v>
      </c>
      <c r="K56" s="290">
        <v>2008</v>
      </c>
      <c r="L56" s="290">
        <v>2009</v>
      </c>
      <c r="M56" s="290">
        <v>2010</v>
      </c>
      <c r="N56" s="290">
        <v>2011</v>
      </c>
      <c r="O56" s="290">
        <v>2012</v>
      </c>
      <c r="P56" s="290">
        <v>2013</v>
      </c>
      <c r="Q56" s="290">
        <v>2014</v>
      </c>
      <c r="R56" s="290">
        <v>2015</v>
      </c>
      <c r="S56" s="290">
        <v>2016</v>
      </c>
      <c r="T56" s="290">
        <v>2017</v>
      </c>
      <c r="U56" s="290">
        <v>2018</v>
      </c>
      <c r="V56" s="290">
        <v>2019</v>
      </c>
      <c r="W56" s="290">
        <v>2020</v>
      </c>
      <c r="X56" s="302">
        <v>2021</v>
      </c>
      <c r="Y56" s="302">
        <v>2022</v>
      </c>
      <c r="Z56" s="302">
        <v>2023</v>
      </c>
      <c r="AA56" s="302">
        <v>2024</v>
      </c>
      <c r="AB56" s="302">
        <v>2025</v>
      </c>
      <c r="AC56" s="302">
        <v>2026</v>
      </c>
      <c r="AD56" s="302">
        <v>2027</v>
      </c>
      <c r="AE56" s="302">
        <v>2028</v>
      </c>
      <c r="AF56" s="302">
        <v>2029</v>
      </c>
      <c r="AG56" s="302">
        <v>2030</v>
      </c>
      <c r="AH56" s="303">
        <v>2031</v>
      </c>
    </row>
    <row r="57" spans="1:34">
      <c r="A57" s="49" t="s">
        <v>600</v>
      </c>
      <c r="B57" s="49">
        <f>B63/B49</f>
        <v>535.10818475035262</v>
      </c>
      <c r="C57" s="49">
        <f t="shared" ref="C57:AH57" si="7">C63/C49</f>
        <v>525.33109868178406</v>
      </c>
      <c r="D57" s="49">
        <f t="shared" si="7"/>
        <v>568.44519918474123</v>
      </c>
      <c r="E57" s="49">
        <f t="shared" si="7"/>
        <v>607.05318838820665</v>
      </c>
      <c r="F57" s="49">
        <f t="shared" si="7"/>
        <v>657.50361351233369</v>
      </c>
      <c r="G57" s="49">
        <f t="shared" si="7"/>
        <v>692.38971653435146</v>
      </c>
      <c r="H57" s="49">
        <f t="shared" si="7"/>
        <v>720.66574048852146</v>
      </c>
      <c r="I57" s="49">
        <f t="shared" si="7"/>
        <v>767.96962856770381</v>
      </c>
      <c r="J57" s="49">
        <f t="shared" si="7"/>
        <v>819.99354482521153</v>
      </c>
      <c r="K57" s="49">
        <f t="shared" si="7"/>
        <v>869.7723112979719</v>
      </c>
      <c r="L57" s="49">
        <f t="shared" si="7"/>
        <v>900.05558456932329</v>
      </c>
      <c r="M57" s="49">
        <f t="shared" si="7"/>
        <v>944.10447279688549</v>
      </c>
      <c r="N57" s="49">
        <f t="shared" si="7"/>
        <v>945.65871392147744</v>
      </c>
      <c r="O57" s="49">
        <f t="shared" si="7"/>
        <v>911.80872584265899</v>
      </c>
      <c r="P57" s="49">
        <f t="shared" si="7"/>
        <v>901.72665687137794</v>
      </c>
      <c r="Q57" s="49">
        <f t="shared" si="7"/>
        <v>898.28614574183246</v>
      </c>
      <c r="R57" s="49">
        <f t="shared" si="7"/>
        <v>913.89194168382676</v>
      </c>
      <c r="S57" s="49">
        <f t="shared" si="7"/>
        <v>907.09460803777972</v>
      </c>
      <c r="T57" s="49">
        <f t="shared" si="7"/>
        <v>878.74545162296738</v>
      </c>
      <c r="U57" s="49">
        <f t="shared" si="7"/>
        <v>830.66893802168704</v>
      </c>
      <c r="V57" s="49">
        <f t="shared" si="7"/>
        <v>778.54138951725076</v>
      </c>
      <c r="W57" s="49">
        <f t="shared" si="7"/>
        <v>765.14478582734739</v>
      </c>
      <c r="X57" s="49">
        <f t="shared" si="7"/>
        <v>730.57342975272877</v>
      </c>
      <c r="Y57" s="49">
        <f t="shared" si="7"/>
        <v>705.5496126704968</v>
      </c>
      <c r="Z57" s="49">
        <f t="shared" si="7"/>
        <v>682.3425119408538</v>
      </c>
      <c r="AA57" s="49">
        <f t="shared" si="7"/>
        <v>660.50782654265231</v>
      </c>
      <c r="AB57" s="49">
        <f t="shared" si="7"/>
        <v>639.74589156943455</v>
      </c>
      <c r="AC57" s="49">
        <f t="shared" si="7"/>
        <v>619.84385679252273</v>
      </c>
      <c r="AD57" s="49">
        <f t="shared" si="7"/>
        <v>600.64439428056983</v>
      </c>
      <c r="AE57" s="49">
        <f t="shared" si="7"/>
        <v>582.02747347540537</v>
      </c>
      <c r="AF57" s="49">
        <f t="shared" si="7"/>
        <v>563.89912048522228</v>
      </c>
      <c r="AG57" s="49">
        <f t="shared" si="7"/>
        <v>546.18415784299577</v>
      </c>
      <c r="AH57" s="49">
        <f t="shared" si="7"/>
        <v>528.8213338103418</v>
      </c>
    </row>
    <row r="58" spans="1:34">
      <c r="W58" s="284"/>
      <c r="X58" s="284"/>
      <c r="Y58" s="284"/>
      <c r="Z58" s="284"/>
      <c r="AA58" s="284"/>
      <c r="AB58" s="284"/>
      <c r="AC58" s="284"/>
      <c r="AD58" s="284"/>
      <c r="AE58" s="284"/>
      <c r="AF58" s="284"/>
      <c r="AG58" s="284"/>
      <c r="AH58" s="284"/>
    </row>
    <row r="59" spans="1:34">
      <c r="W59" s="284"/>
      <c r="X59" s="284"/>
      <c r="Y59" s="284"/>
      <c r="Z59" s="284"/>
      <c r="AA59" s="284"/>
      <c r="AB59" s="284"/>
      <c r="AC59" s="284"/>
      <c r="AD59" s="284"/>
      <c r="AE59" s="284"/>
      <c r="AF59" s="284"/>
      <c r="AG59" s="284"/>
      <c r="AH59" s="284"/>
    </row>
    <row r="60" spans="1:34">
      <c r="W60" s="284"/>
      <c r="X60" s="284"/>
      <c r="Y60" s="284"/>
      <c r="Z60" s="284"/>
      <c r="AA60" s="284"/>
      <c r="AB60" s="284"/>
      <c r="AC60" s="284"/>
      <c r="AD60" s="284"/>
      <c r="AE60" s="284"/>
      <c r="AF60" s="284"/>
      <c r="AG60" s="284"/>
      <c r="AH60" s="284"/>
    </row>
    <row r="61" spans="1:34" ht="14.7" thickBot="1">
      <c r="W61" s="284"/>
      <c r="X61" s="284"/>
      <c r="Y61" s="284"/>
      <c r="Z61" s="284"/>
      <c r="AA61" s="284"/>
      <c r="AB61" s="284"/>
      <c r="AC61" s="284"/>
      <c r="AD61" s="284"/>
      <c r="AE61" s="284"/>
      <c r="AF61" s="284"/>
      <c r="AG61" s="284"/>
      <c r="AH61" s="284"/>
    </row>
    <row r="62" spans="1:34">
      <c r="A62" s="295"/>
      <c r="B62" s="422">
        <v>1999</v>
      </c>
      <c r="C62" s="422">
        <v>2000</v>
      </c>
      <c r="D62" s="422">
        <v>2001</v>
      </c>
      <c r="E62" s="290">
        <v>2002</v>
      </c>
      <c r="F62" s="290">
        <v>2003</v>
      </c>
      <c r="G62" s="290">
        <v>2004</v>
      </c>
      <c r="H62" s="290">
        <v>2005</v>
      </c>
      <c r="I62" s="290">
        <v>2006</v>
      </c>
      <c r="J62" s="290">
        <v>2007</v>
      </c>
      <c r="K62" s="290">
        <v>2008</v>
      </c>
      <c r="L62" s="290">
        <v>2009</v>
      </c>
      <c r="M62" s="290">
        <v>2010</v>
      </c>
      <c r="N62" s="290">
        <v>2011</v>
      </c>
      <c r="O62" s="290">
        <v>2012</v>
      </c>
      <c r="P62" s="290">
        <v>2013</v>
      </c>
      <c r="Q62" s="290">
        <v>2014</v>
      </c>
      <c r="R62" s="290">
        <v>2015</v>
      </c>
      <c r="S62" s="290">
        <v>2016</v>
      </c>
      <c r="T62" s="290">
        <v>2017</v>
      </c>
      <c r="U62" s="290">
        <v>2018</v>
      </c>
      <c r="V62" s="290">
        <v>2019</v>
      </c>
      <c r="W62" s="327">
        <v>2020</v>
      </c>
      <c r="X62" s="302">
        <v>2021</v>
      </c>
      <c r="Y62" s="302">
        <v>2022</v>
      </c>
      <c r="Z62" s="302">
        <v>2023</v>
      </c>
      <c r="AA62" s="302">
        <v>2024</v>
      </c>
      <c r="AB62" s="302">
        <v>2025</v>
      </c>
      <c r="AC62" s="302">
        <v>2026</v>
      </c>
      <c r="AD62" s="302">
        <v>2027</v>
      </c>
      <c r="AE62" s="302">
        <v>2028</v>
      </c>
      <c r="AF62" s="302">
        <v>2029</v>
      </c>
      <c r="AG62" s="302">
        <v>2030</v>
      </c>
      <c r="AH62" s="303">
        <v>2031</v>
      </c>
    </row>
    <row r="63" spans="1:34" ht="75.599999999999994" customHeight="1">
      <c r="A63" s="296" t="s">
        <v>583</v>
      </c>
      <c r="B63" s="598">
        <f>'Opioid Rx Data IQVIA SH'!B4</f>
        <v>83860335346.247116</v>
      </c>
      <c r="C63" s="598">
        <f>'Opioid Rx Data IQVIA SH'!C4</f>
        <v>88243037645.415298</v>
      </c>
      <c r="D63" s="598">
        <f>'Opioid Rx Data IQVIA SH'!D4</f>
        <v>104432410000.00002</v>
      </c>
      <c r="E63" s="599">
        <f>'Opioid Rx Data IQVIA SH'!E4</f>
        <v>113914397673</v>
      </c>
      <c r="F63" s="599">
        <f>'Opioid Rx Data IQVIA SH'!F4</f>
        <v>128182380208</v>
      </c>
      <c r="G63" s="599">
        <f>'Opioid Rx Data IQVIA SH'!G4</f>
        <v>141266597589</v>
      </c>
      <c r="H63" s="599">
        <f>'Opioid Rx Data IQVIA SH'!H4</f>
        <v>152741116253</v>
      </c>
      <c r="I63" s="599">
        <f>'Opioid Rx Data IQVIA SH'!I4</f>
        <v>172377484435</v>
      </c>
      <c r="J63" s="599">
        <f>'Opioid Rx Data IQVIA SH'!J4</f>
        <v>194816933897</v>
      </c>
      <c r="K63" s="599">
        <f>'Opioid Rx Data IQVIA SH'!K4</f>
        <v>214803554568</v>
      </c>
      <c r="L63" s="599">
        <f>'Opioid Rx Data IQVIA SH'!L4</f>
        <v>227757668789</v>
      </c>
      <c r="M63" s="599">
        <f>'Opioid Rx Data IQVIA SH'!M4</f>
        <v>245404960604</v>
      </c>
      <c r="N63" s="599">
        <f>'Opioid Rx Data IQVIA SH'!N4</f>
        <v>246463188398</v>
      </c>
      <c r="O63" s="599">
        <f>'Opioid Rx Data IQVIA SH'!O4</f>
        <v>239867616739</v>
      </c>
      <c r="P63" s="599">
        <f>'Opioid Rx Data IQVIA SH'!P4</f>
        <v>228965844787</v>
      </c>
      <c r="Q63" s="599">
        <f>'Opioid Rx Data IQVIA SH'!Q4</f>
        <v>221271525079</v>
      </c>
      <c r="R63" s="599">
        <f>'Opioid Rx Data IQVIA SH'!R4</f>
        <v>209409702158</v>
      </c>
      <c r="S63" s="599">
        <f>'Opioid Rx Data IQVIA SH'!S4</f>
        <v>197124327717</v>
      </c>
      <c r="T63" s="599">
        <f>'Opioid Rx Data IQVIA SH'!T4</f>
        <v>170285611746</v>
      </c>
      <c r="U63" s="599">
        <f>'Opioid Rx Data IQVIA SH'!U4</f>
        <v>141100706124</v>
      </c>
      <c r="V63" s="599">
        <f>'Opioid Rx Data IQVIA SH'!V4</f>
        <v>120407890118</v>
      </c>
      <c r="W63" s="599">
        <f>'Opioid Rx Data IQVIA SH'!W4</f>
        <v>110314545203</v>
      </c>
      <c r="X63" s="597">
        <f t="shared" ref="X63:AG63" si="8">$X$64*LN(X66)+$X$65</f>
        <v>99675026690.944458</v>
      </c>
      <c r="Y63" s="597">
        <f t="shared" si="8"/>
        <v>91653888191.81041</v>
      </c>
      <c r="Z63" s="597">
        <f t="shared" si="8"/>
        <v>84872112222.074356</v>
      </c>
      <c r="AA63" s="597">
        <f t="shared" si="8"/>
        <v>78997470665.376892</v>
      </c>
      <c r="AB63" s="597">
        <f t="shared" si="8"/>
        <v>73815669574.702881</v>
      </c>
      <c r="AC63" s="597">
        <f t="shared" si="8"/>
        <v>69180390547.403412</v>
      </c>
      <c r="AD63" s="597">
        <f t="shared" si="8"/>
        <v>64987270622.194397</v>
      </c>
      <c r="AE63" s="597">
        <f t="shared" si="8"/>
        <v>61159252048.269363</v>
      </c>
      <c r="AF63" s="597">
        <f t="shared" si="8"/>
        <v>57637816320.17984</v>
      </c>
      <c r="AG63" s="597">
        <f t="shared" si="8"/>
        <v>54377476078.533325</v>
      </c>
      <c r="AH63" s="602">
        <f>$X$64*LN(AH66)+$X$65</f>
        <v>51342171930.295898</v>
      </c>
    </row>
    <row r="64" spans="1:34">
      <c r="A64" s="296"/>
      <c r="B64" s="590"/>
      <c r="C64" s="590"/>
      <c r="D64" s="590"/>
      <c r="E64" s="591"/>
      <c r="F64" s="591"/>
      <c r="G64" s="591"/>
      <c r="H64" s="591"/>
      <c r="I64" s="591"/>
      <c r="J64" s="591"/>
      <c r="K64" s="591"/>
      <c r="L64" s="591"/>
      <c r="M64" s="591"/>
      <c r="N64" s="591"/>
      <c r="O64" s="591"/>
      <c r="P64" s="591"/>
      <c r="Q64" s="591"/>
      <c r="R64" s="591"/>
      <c r="S64" s="591"/>
      <c r="T64" s="591"/>
      <c r="U64" s="591"/>
      <c r="V64" s="591"/>
      <c r="W64" s="601" t="s">
        <v>569</v>
      </c>
      <c r="X64" s="625">
        <v>-43994460338</v>
      </c>
      <c r="Y64" s="601"/>
      <c r="Z64" s="601"/>
      <c r="AA64" s="601"/>
      <c r="AB64" s="601"/>
      <c r="AC64" s="601"/>
      <c r="AD64" s="601"/>
      <c r="AE64" s="601"/>
      <c r="AF64" s="601"/>
      <c r="AG64" s="601"/>
      <c r="AH64" s="310"/>
    </row>
    <row r="65" spans="1:34">
      <c r="A65" s="296"/>
      <c r="B65" s="590"/>
      <c r="C65" s="590"/>
      <c r="D65" s="590"/>
      <c r="E65" s="591"/>
      <c r="F65" s="591"/>
      <c r="G65" s="591"/>
      <c r="H65" s="591"/>
      <c r="I65" s="591"/>
      <c r="J65" s="591"/>
      <c r="K65" s="591"/>
      <c r="L65" s="591"/>
      <c r="M65" s="591"/>
      <c r="N65" s="591"/>
      <c r="O65" s="591"/>
      <c r="P65" s="591"/>
      <c r="Q65" s="591"/>
      <c r="R65" s="591"/>
      <c r="S65" s="591"/>
      <c r="T65" s="591"/>
      <c r="U65" s="591"/>
      <c r="V65" s="591"/>
      <c r="W65" s="601" t="s">
        <v>570</v>
      </c>
      <c r="X65" s="626">
        <v>170481379096</v>
      </c>
      <c r="Y65" s="601"/>
      <c r="Z65" s="601"/>
      <c r="AA65" s="601"/>
      <c r="AB65" s="601"/>
      <c r="AC65" s="601"/>
      <c r="AD65" s="601"/>
      <c r="AE65" s="601"/>
      <c r="AF65" s="601"/>
      <c r="AG65" s="601"/>
      <c r="AH65" s="310"/>
    </row>
    <row r="66" spans="1:34" ht="29.1" thickBot="1">
      <c r="A66" s="297"/>
      <c r="B66" s="505"/>
      <c r="C66" s="505"/>
      <c r="D66" s="505"/>
      <c r="E66" s="292"/>
      <c r="F66" s="292"/>
      <c r="G66" s="292"/>
      <c r="H66" s="292"/>
      <c r="I66" s="292"/>
      <c r="J66" s="292"/>
      <c r="K66" s="292"/>
      <c r="L66" s="292"/>
      <c r="M66" s="292"/>
      <c r="N66" s="292"/>
      <c r="O66" s="292"/>
      <c r="P66" s="292"/>
      <c r="Q66" s="292"/>
      <c r="R66" s="292"/>
      <c r="S66" s="292"/>
      <c r="T66" s="292"/>
      <c r="U66" s="292"/>
      <c r="V66" s="292"/>
      <c r="W66" s="315" t="s">
        <v>577</v>
      </c>
      <c r="X66" s="317">
        <f>COUNT(T62:X62)</f>
        <v>5</v>
      </c>
      <c r="Y66" s="317">
        <v>6</v>
      </c>
      <c r="Z66" s="317">
        <v>7</v>
      </c>
      <c r="AA66" s="317">
        <v>8</v>
      </c>
      <c r="AB66" s="317">
        <v>9</v>
      </c>
      <c r="AC66" s="317">
        <v>10</v>
      </c>
      <c r="AD66" s="317">
        <v>11</v>
      </c>
      <c r="AE66" s="317">
        <v>12</v>
      </c>
      <c r="AF66" s="317">
        <v>13</v>
      </c>
      <c r="AG66" s="317">
        <v>14</v>
      </c>
      <c r="AH66" s="318">
        <v>15</v>
      </c>
    </row>
    <row r="68" spans="1:34" ht="14.7" thickBot="1"/>
    <row r="69" spans="1:34">
      <c r="A69" s="295"/>
      <c r="B69" s="422">
        <v>1999</v>
      </c>
      <c r="C69" s="422">
        <v>2000</v>
      </c>
      <c r="D69" s="422">
        <v>2001</v>
      </c>
      <c r="E69" s="290">
        <v>2002</v>
      </c>
      <c r="F69" s="290">
        <v>2003</v>
      </c>
      <c r="G69" s="290">
        <v>2004</v>
      </c>
      <c r="H69" s="290">
        <v>2005</v>
      </c>
      <c r="I69" s="290">
        <v>2006</v>
      </c>
      <c r="J69" s="290">
        <v>2007</v>
      </c>
      <c r="K69" s="290">
        <v>2008</v>
      </c>
      <c r="L69" s="290">
        <v>2009</v>
      </c>
      <c r="M69" s="290">
        <v>2010</v>
      </c>
      <c r="N69" s="290">
        <v>2011</v>
      </c>
      <c r="O69" s="290">
        <v>2012</v>
      </c>
      <c r="P69" s="290">
        <v>2013</v>
      </c>
      <c r="Q69" s="290">
        <v>2014</v>
      </c>
      <c r="R69" s="290">
        <v>2015</v>
      </c>
      <c r="S69" s="290">
        <v>2016</v>
      </c>
      <c r="T69" s="290">
        <v>2017</v>
      </c>
      <c r="U69" s="290">
        <v>2018</v>
      </c>
      <c r="V69" s="290">
        <v>2019</v>
      </c>
      <c r="W69" s="290">
        <v>2020</v>
      </c>
      <c r="X69" s="302">
        <v>2021</v>
      </c>
      <c r="Y69" s="302">
        <v>2022</v>
      </c>
      <c r="Z69" s="302">
        <v>2023</v>
      </c>
      <c r="AA69" s="302">
        <v>2024</v>
      </c>
      <c r="AB69" s="302">
        <v>2025</v>
      </c>
      <c r="AC69" s="302">
        <v>2026</v>
      </c>
      <c r="AD69" s="302">
        <v>2027</v>
      </c>
      <c r="AE69" s="302">
        <v>2028</v>
      </c>
      <c r="AF69" s="302">
        <v>2029</v>
      </c>
      <c r="AG69" s="302">
        <v>2030</v>
      </c>
      <c r="AH69" s="303">
        <v>2031</v>
      </c>
    </row>
    <row r="70" spans="1:34" ht="44.1">
      <c r="A70" s="296" t="s">
        <v>588</v>
      </c>
      <c r="B70" s="590">
        <f>'Opioid Rx Data IQVIA SH'!B68</f>
        <v>0</v>
      </c>
      <c r="C70" s="590">
        <f>'Opioid Rx Data IQVIA SH'!C68</f>
        <v>0</v>
      </c>
      <c r="D70" s="590">
        <f>'Opioid Rx Data IQVIA SH'!D68</f>
        <v>0</v>
      </c>
      <c r="E70" s="628">
        <f>'Opioid Rx Data IQVIA SH'!E68</f>
        <v>0</v>
      </c>
      <c r="F70" s="628">
        <f>'Opioid Rx Data IQVIA SH'!F68</f>
        <v>0</v>
      </c>
      <c r="G70" s="628">
        <f>'Opioid Rx Data IQVIA SH'!G68</f>
        <v>0</v>
      </c>
      <c r="H70" s="628">
        <f>'Opioid Rx Data IQVIA SH'!H68</f>
        <v>0</v>
      </c>
      <c r="I70" s="628">
        <f>'Opioid Rx Data IQVIA SH'!I68</f>
        <v>0</v>
      </c>
      <c r="J70" s="628">
        <f>'Opioid Rx Data IQVIA SH'!J68</f>
        <v>0</v>
      </c>
      <c r="K70" s="628">
        <f>'Opioid Rx Data IQVIA SH'!K68</f>
        <v>0</v>
      </c>
      <c r="L70" s="628">
        <f>'Opioid Rx Data IQVIA SH'!L68</f>
        <v>1.2868150677794213E-4</v>
      </c>
      <c r="M70" s="628">
        <f>'Opioid Rx Data IQVIA SH'!M68</f>
        <v>3.0440046129983321E-2</v>
      </c>
      <c r="N70" s="628">
        <f>'Opioid Rx Data IQVIA SH'!N68</f>
        <v>0.10357235362782942</v>
      </c>
      <c r="O70" s="628">
        <f>'Opioid Rx Data IQVIA SH'!O68</f>
        <v>9.0387600251146713E-2</v>
      </c>
      <c r="P70" s="628">
        <f>'Opioid Rx Data IQVIA SH'!P68</f>
        <v>8.5121503878147764E-2</v>
      </c>
      <c r="Q70" s="628">
        <f>'Opioid Rx Data IQVIA SH'!Q68</f>
        <v>7.9822156563950336E-2</v>
      </c>
      <c r="R70" s="628">
        <f>'Opioid Rx Data IQVIA SH'!R68</f>
        <v>7.5699132306866743E-2</v>
      </c>
      <c r="S70" s="628">
        <f>'Opioid Rx Data IQVIA SH'!S68</f>
        <v>7.0648063363307451E-2</v>
      </c>
      <c r="T70" s="628">
        <f>'Opioid Rx Data IQVIA SH'!T68</f>
        <v>6.5304469508482815E-2</v>
      </c>
      <c r="U70" s="628">
        <f>'Opioid Rx Data IQVIA SH'!U68</f>
        <v>6.2178924571006849E-2</v>
      </c>
      <c r="V70" s="628">
        <f>'Opioid Rx Data IQVIA SH'!V68</f>
        <v>5.5745186078936089E-2</v>
      </c>
      <c r="W70" s="628">
        <f>'Opioid Rx Data IQVIA SH'!W68</f>
        <v>4.9272336100354815E-2</v>
      </c>
      <c r="X70" s="629">
        <f t="shared" ref="X70:AH70" si="9">$X$71*LN(X73)+$X$72</f>
        <v>4.5488961223839858E-2</v>
      </c>
      <c r="Y70" s="629">
        <f t="shared" si="9"/>
        <v>4.2802010667140226E-2</v>
      </c>
      <c r="Z70" s="629">
        <f t="shared" si="9"/>
        <v>4.0717849897865505E-2</v>
      </c>
      <c r="AA70" s="629">
        <f t="shared" si="9"/>
        <v>3.901496655740997E-2</v>
      </c>
      <c r="AB70" s="629">
        <f t="shared" si="9"/>
        <v>3.7575199207823373E-2</v>
      </c>
      <c r="AC70" s="629">
        <f t="shared" si="9"/>
        <v>3.6328016000710339E-2</v>
      </c>
      <c r="AD70" s="629">
        <f t="shared" si="9"/>
        <v>3.5227922447679708E-2</v>
      </c>
      <c r="AE70" s="629">
        <f t="shared" si="9"/>
        <v>3.424385523143561E-2</v>
      </c>
      <c r="AF70" s="629">
        <f t="shared" si="9"/>
        <v>3.3353658152063217E-2</v>
      </c>
      <c r="AG70" s="629">
        <f t="shared" si="9"/>
        <v>3.2540971890980083E-2</v>
      </c>
      <c r="AH70" s="294">
        <f t="shared" si="9"/>
        <v>3.1793373001309251E-2</v>
      </c>
    </row>
    <row r="71" spans="1:34">
      <c r="A71" s="296"/>
      <c r="B71" s="590"/>
      <c r="C71" s="590"/>
      <c r="D71" s="590"/>
      <c r="E71" s="591"/>
      <c r="F71" s="591"/>
      <c r="G71" s="591"/>
      <c r="H71" s="591"/>
      <c r="I71" s="591"/>
      <c r="J71" s="591"/>
      <c r="K71" s="591"/>
      <c r="L71" s="591"/>
      <c r="M71" s="591"/>
      <c r="N71" s="591"/>
      <c r="O71" s="591"/>
      <c r="P71" s="591"/>
      <c r="Q71" s="591"/>
      <c r="R71" s="591"/>
      <c r="S71" s="591"/>
      <c r="T71" s="591"/>
      <c r="U71" s="591"/>
      <c r="V71" s="591"/>
      <c r="W71" s="593" t="s">
        <v>569</v>
      </c>
      <c r="X71" s="601">
        <v>-9.3399999999999993E-3</v>
      </c>
      <c r="Y71" s="601"/>
      <c r="Z71" s="601"/>
      <c r="AA71" s="601"/>
      <c r="AB71" s="601"/>
      <c r="AC71" s="601"/>
      <c r="AD71" s="601"/>
      <c r="AE71" s="601"/>
      <c r="AF71" s="601"/>
      <c r="AG71" s="601"/>
      <c r="AH71" s="310"/>
    </row>
    <row r="72" spans="1:34">
      <c r="A72" s="296"/>
      <c r="B72" s="590"/>
      <c r="C72" s="590"/>
      <c r="D72" s="590"/>
      <c r="E72" s="591"/>
      <c r="F72" s="591"/>
      <c r="G72" s="591"/>
      <c r="H72" s="591"/>
      <c r="I72" s="591"/>
      <c r="J72" s="591"/>
      <c r="K72" s="591"/>
      <c r="L72" s="591"/>
      <c r="M72" s="591"/>
      <c r="N72" s="591"/>
      <c r="O72" s="591"/>
      <c r="P72" s="591"/>
      <c r="Q72" s="591"/>
      <c r="R72" s="591"/>
      <c r="S72" s="591"/>
      <c r="T72" s="591"/>
      <c r="U72" s="591"/>
      <c r="V72" s="591"/>
      <c r="W72" s="596" t="s">
        <v>570</v>
      </c>
      <c r="X72" s="601">
        <v>5.5750000000000001E-2</v>
      </c>
      <c r="Y72" s="601"/>
      <c r="Z72" s="601"/>
      <c r="AA72" s="601"/>
      <c r="AB72" s="601"/>
      <c r="AC72" s="601"/>
      <c r="AD72" s="601"/>
      <c r="AE72" s="601"/>
      <c r="AF72" s="601"/>
      <c r="AG72" s="601"/>
      <c r="AH72" s="310"/>
    </row>
    <row r="73" spans="1:34" ht="29.1" thickBot="1">
      <c r="A73" s="297"/>
      <c r="B73" s="505"/>
      <c r="C73" s="505"/>
      <c r="D73" s="505"/>
      <c r="E73" s="292"/>
      <c r="F73" s="292"/>
      <c r="G73" s="292"/>
      <c r="H73" s="292"/>
      <c r="I73" s="292"/>
      <c r="J73" s="292"/>
      <c r="K73" s="292"/>
      <c r="L73" s="292"/>
      <c r="M73" s="292"/>
      <c r="N73" s="292"/>
      <c r="O73" s="292"/>
      <c r="P73" s="292"/>
      <c r="Q73" s="292"/>
      <c r="R73" s="292"/>
      <c r="S73" s="292"/>
      <c r="T73" s="292"/>
      <c r="U73" s="292"/>
      <c r="V73" s="292"/>
      <c r="W73" s="315" t="s">
        <v>586</v>
      </c>
      <c r="X73" s="317">
        <f>COUNT(V69:X69)</f>
        <v>3</v>
      </c>
      <c r="Y73" s="317">
        <v>4</v>
      </c>
      <c r="Z73" s="317">
        <v>5</v>
      </c>
      <c r="AA73" s="317">
        <v>6</v>
      </c>
      <c r="AB73" s="317">
        <v>7</v>
      </c>
      <c r="AC73" s="317">
        <v>8</v>
      </c>
      <c r="AD73" s="317">
        <v>9</v>
      </c>
      <c r="AE73" s="317">
        <v>10</v>
      </c>
      <c r="AF73" s="317">
        <v>11</v>
      </c>
      <c r="AG73" s="317">
        <v>12</v>
      </c>
      <c r="AH73" s="318">
        <v>13</v>
      </c>
    </row>
    <row r="75" spans="1:34" ht="14.7" thickBot="1"/>
    <row r="76" spans="1:34">
      <c r="A76" s="295"/>
      <c r="B76" s="422">
        <v>1999</v>
      </c>
      <c r="C76" s="422">
        <v>2000</v>
      </c>
      <c r="D76" s="422">
        <v>2001</v>
      </c>
      <c r="E76" s="290">
        <v>2002</v>
      </c>
      <c r="F76" s="290">
        <v>2003</v>
      </c>
      <c r="G76" s="290">
        <v>2004</v>
      </c>
      <c r="H76" s="290">
        <v>2005</v>
      </c>
      <c r="I76" s="290">
        <v>2006</v>
      </c>
      <c r="J76" s="290">
        <v>2007</v>
      </c>
      <c r="K76" s="290">
        <v>2008</v>
      </c>
      <c r="L76" s="290">
        <v>2009</v>
      </c>
      <c r="M76" s="290">
        <v>2010</v>
      </c>
      <c r="N76" s="290">
        <v>2011</v>
      </c>
      <c r="O76" s="290">
        <v>2012</v>
      </c>
      <c r="P76" s="290">
        <v>2013</v>
      </c>
      <c r="Q76" s="290">
        <v>2014</v>
      </c>
      <c r="R76" s="290">
        <v>2015</v>
      </c>
      <c r="S76" s="290">
        <v>2016</v>
      </c>
      <c r="T76" s="290">
        <v>2017</v>
      </c>
      <c r="U76" s="290">
        <v>2018</v>
      </c>
      <c r="V76" s="290">
        <v>2019</v>
      </c>
      <c r="W76" s="522">
        <v>2020</v>
      </c>
      <c r="X76" s="308">
        <v>2021</v>
      </c>
      <c r="Y76" s="308">
        <v>2022</v>
      </c>
      <c r="Z76" s="308">
        <v>2023</v>
      </c>
      <c r="AA76" s="308">
        <v>2024</v>
      </c>
      <c r="AB76" s="308">
        <v>2025</v>
      </c>
      <c r="AC76" s="308">
        <v>2026</v>
      </c>
      <c r="AD76" s="308">
        <v>2027</v>
      </c>
      <c r="AE76" s="308">
        <v>2028</v>
      </c>
      <c r="AF76" s="308">
        <v>2029</v>
      </c>
      <c r="AG76" s="308">
        <v>2030</v>
      </c>
      <c r="AH76" s="309">
        <v>2031</v>
      </c>
    </row>
    <row r="77" spans="1:34" ht="44.1">
      <c r="A77" s="296" t="s">
        <v>12</v>
      </c>
      <c r="B77" s="590">
        <f>'Fentanyl NFLIS'!B41</f>
        <v>0</v>
      </c>
      <c r="C77" s="590">
        <f>'Fentanyl NFLIS'!C41</f>
        <v>0</v>
      </c>
      <c r="D77" s="590">
        <f>'Fentanyl NFLIS'!D41</f>
        <v>0</v>
      </c>
      <c r="E77" s="591">
        <f>'Fentanyl NFLIS'!E41</f>
        <v>0</v>
      </c>
      <c r="F77" s="591">
        <f>'Fentanyl NFLIS'!F41</f>
        <v>0</v>
      </c>
      <c r="G77" s="591">
        <f>'Fentanyl NFLIS'!G41</f>
        <v>0</v>
      </c>
      <c r="H77" s="591">
        <f>'Fentanyl NFLIS'!H41</f>
        <v>0</v>
      </c>
      <c r="I77" s="591">
        <f>'Fentanyl NFLIS'!I41</f>
        <v>0</v>
      </c>
      <c r="J77" s="630">
        <f>'Fentanyl NFLIS'!J41</f>
        <v>1.0755202244563947E-2</v>
      </c>
      <c r="K77" s="630">
        <f>'Fentanyl NFLIS'!K41</f>
        <v>5.6314948870589696E-3</v>
      </c>
      <c r="L77" s="630">
        <f>'Fentanyl NFLIS'!L41</f>
        <v>5.7798856433668722E-3</v>
      </c>
      <c r="M77" s="630">
        <f>'Fentanyl NFLIS'!M41</f>
        <v>6.1042036175059195E-3</v>
      </c>
      <c r="N77" s="630">
        <f>'Fentanyl NFLIS'!N41</f>
        <v>5.3814787439894363E-3</v>
      </c>
      <c r="O77" s="630">
        <f>'Fentanyl NFLIS'!O41</f>
        <v>0</v>
      </c>
      <c r="P77" s="630">
        <f>'Fentanyl NFLIS'!P41</f>
        <v>6.4060575890166902E-3</v>
      </c>
      <c r="Q77" s="630">
        <f>'Fentanyl NFLIS'!Q41</f>
        <v>2.7908994218554105E-2</v>
      </c>
      <c r="R77" s="630">
        <f>'Fentanyl NFLIS'!R41</f>
        <v>8.2317311449785074E-2</v>
      </c>
      <c r="S77" s="630">
        <f>'Fentanyl NFLIS'!S41</f>
        <v>0.18473601770824541</v>
      </c>
      <c r="T77" s="630">
        <f>'Fentanyl NFLIS'!T41</f>
        <v>0.32210083779712445</v>
      </c>
      <c r="U77" s="630">
        <f>'Fentanyl NFLIS'!U41</f>
        <v>0.40610436550278561</v>
      </c>
      <c r="V77" s="630">
        <f>'Fentanyl NFLIS'!V41</f>
        <v>0.47271690770965785</v>
      </c>
      <c r="W77" s="630">
        <f>'Fentanyl NFLIS'!W41</f>
        <v>0.53636894162713789</v>
      </c>
      <c r="X77" s="631">
        <f>$X$78*LN(X80)+$X$79</f>
        <v>0.57355260809973252</v>
      </c>
      <c r="Y77" s="631">
        <f t="shared" ref="Y77:AH77" si="10">$X$78*LN(Y80)+$X$79</f>
        <v>0.59996182235080597</v>
      </c>
      <c r="Z77" s="631">
        <f t="shared" si="10"/>
        <v>0.62044640036145049</v>
      </c>
      <c r="AA77" s="631">
        <f t="shared" si="10"/>
        <v>0.6371835192751355</v>
      </c>
      <c r="AB77" s="631">
        <f t="shared" si="10"/>
        <v>0.65133455168327781</v>
      </c>
      <c r="AC77" s="631">
        <f t="shared" si="10"/>
        <v>0.66359273352620896</v>
      </c>
      <c r="AD77" s="631">
        <f t="shared" si="10"/>
        <v>0.67440521619946492</v>
      </c>
      <c r="AE77" s="631">
        <f t="shared" si="10"/>
        <v>0.68407731153685347</v>
      </c>
      <c r="AF77" s="631">
        <f t="shared" si="10"/>
        <v>0.6928267860428905</v>
      </c>
      <c r="AG77" s="631">
        <f t="shared" si="10"/>
        <v>0.70081443045053848</v>
      </c>
      <c r="AH77" s="294">
        <f t="shared" si="10"/>
        <v>0.70816235101496905</v>
      </c>
    </row>
    <row r="78" spans="1:34">
      <c r="A78" s="296"/>
      <c r="B78" s="590"/>
      <c r="C78" s="590"/>
      <c r="D78" s="590"/>
      <c r="E78" s="591"/>
      <c r="F78" s="591"/>
      <c r="G78" s="591"/>
      <c r="H78" s="591"/>
      <c r="I78" s="591"/>
      <c r="J78" s="591"/>
      <c r="K78" s="591"/>
      <c r="L78" s="591"/>
      <c r="M78" s="591"/>
      <c r="N78" s="591"/>
      <c r="O78" s="591"/>
      <c r="P78" s="591"/>
      <c r="Q78" s="591"/>
      <c r="R78" s="591"/>
      <c r="S78" s="591"/>
      <c r="T78" s="591"/>
      <c r="U78" s="591"/>
      <c r="V78" s="591"/>
      <c r="W78" s="593" t="s">
        <v>569</v>
      </c>
      <c r="X78" s="597">
        <v>9.1800000000000007E-2</v>
      </c>
      <c r="Y78" s="597"/>
      <c r="Z78" s="597"/>
      <c r="AA78" s="597"/>
      <c r="AB78" s="597"/>
      <c r="AC78" s="597"/>
      <c r="AD78" s="597"/>
      <c r="AE78" s="597"/>
      <c r="AF78" s="597"/>
      <c r="AG78" s="597"/>
      <c r="AH78" s="305"/>
    </row>
    <row r="79" spans="1:34">
      <c r="A79" s="296"/>
      <c r="B79" s="590"/>
      <c r="C79" s="590"/>
      <c r="D79" s="590"/>
      <c r="E79" s="591"/>
      <c r="F79" s="591"/>
      <c r="G79" s="591"/>
      <c r="H79" s="591"/>
      <c r="I79" s="591"/>
      <c r="J79" s="591"/>
      <c r="K79" s="591"/>
      <c r="L79" s="591"/>
      <c r="M79" s="591"/>
      <c r="N79" s="591"/>
      <c r="O79" s="591"/>
      <c r="P79" s="591"/>
      <c r="Q79" s="591"/>
      <c r="R79" s="591"/>
      <c r="S79" s="591"/>
      <c r="T79" s="591"/>
      <c r="U79" s="591"/>
      <c r="V79" s="591"/>
      <c r="W79" s="596" t="s">
        <v>570</v>
      </c>
      <c r="X79" s="597">
        <v>0.47270000000000001</v>
      </c>
      <c r="Y79" s="597"/>
      <c r="Z79" s="597"/>
      <c r="AA79" s="597"/>
      <c r="AB79" s="597"/>
      <c r="AC79" s="597"/>
      <c r="AD79" s="597"/>
      <c r="AE79" s="597"/>
      <c r="AF79" s="597"/>
      <c r="AG79" s="597"/>
      <c r="AH79" s="305"/>
    </row>
    <row r="80" spans="1:34" ht="29.1" thickBot="1">
      <c r="A80" s="297"/>
      <c r="B80" s="505"/>
      <c r="C80" s="505"/>
      <c r="D80" s="505"/>
      <c r="E80" s="292"/>
      <c r="F80" s="292"/>
      <c r="G80" s="292"/>
      <c r="H80" s="292"/>
      <c r="I80" s="292"/>
      <c r="J80" s="292"/>
      <c r="K80" s="292"/>
      <c r="L80" s="292"/>
      <c r="M80" s="292"/>
      <c r="N80" s="292"/>
      <c r="O80" s="292"/>
      <c r="P80" s="292"/>
      <c r="Q80" s="292"/>
      <c r="R80" s="292"/>
      <c r="S80" s="292"/>
      <c r="T80" s="292"/>
      <c r="U80" s="292"/>
      <c r="V80" s="292"/>
      <c r="W80" s="315" t="s">
        <v>587</v>
      </c>
      <c r="X80" s="317">
        <f>COUNT(V76:X76)</f>
        <v>3</v>
      </c>
      <c r="Y80" s="317">
        <v>4</v>
      </c>
      <c r="Z80" s="317">
        <v>5</v>
      </c>
      <c r="AA80" s="317">
        <v>6</v>
      </c>
      <c r="AB80" s="317">
        <v>7</v>
      </c>
      <c r="AC80" s="317">
        <v>8</v>
      </c>
      <c r="AD80" s="317">
        <v>9</v>
      </c>
      <c r="AE80" s="317">
        <v>10</v>
      </c>
      <c r="AF80" s="317">
        <v>11</v>
      </c>
      <c r="AG80" s="317">
        <v>12</v>
      </c>
      <c r="AH80" s="318">
        <v>13</v>
      </c>
    </row>
  </sheetData>
  <mergeCells count="1">
    <mergeCell ref="A1:AH1"/>
  </mergeCells>
  <pageMargins left="0.7" right="0.7" top="0.75" bottom="0.75" header="0.3" footer="0.3"/>
  <pageSetup orientation="portrait" r:id="rId1"/>
  <ignoredErrors>
    <ignoredError sqref="X52 X80 X73 X66 X9 W22 W15 W30 X38 W45" formulaRange="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49CDD-5862-4573-8435-FDF563524743}">
  <dimension ref="A1:AN75"/>
  <sheetViews>
    <sheetView zoomScaleNormal="100" workbookViewId="0">
      <pane xSplit="1" ySplit="1" topLeftCell="Y37" activePane="bottomRight" state="frozen"/>
      <selection pane="topRight" activeCell="B1" sqref="B1"/>
      <selection pane="bottomLeft" activeCell="A2" sqref="A2"/>
      <selection pane="bottomRight" activeCell="T14" sqref="T14"/>
    </sheetView>
  </sheetViews>
  <sheetFormatPr defaultColWidth="8.89453125" defaultRowHeight="14.4"/>
  <cols>
    <col min="1" max="1" width="14.3125" style="49" customWidth="1"/>
    <col min="2" max="4" width="16.41796875" style="49" customWidth="1"/>
    <col min="5" max="21" width="16.41796875" customWidth="1"/>
    <col min="22" max="22" width="17.89453125" customWidth="1"/>
    <col min="23" max="23" width="19.3125" customWidth="1"/>
    <col min="24" max="29" width="17.1015625" bestFit="1" customWidth="1"/>
    <col min="30" max="30" width="15.20703125" customWidth="1"/>
    <col min="31" max="32" width="17.1015625" bestFit="1" customWidth="1"/>
    <col min="33" max="33" width="16.1015625" customWidth="1"/>
    <col min="34" max="34" width="21.1015625" customWidth="1"/>
    <col min="35" max="35" width="12.89453125" customWidth="1"/>
    <col min="36" max="36" width="31.1015625" customWidth="1"/>
    <col min="37" max="37" width="21.3125" customWidth="1"/>
    <col min="38" max="38" width="22" customWidth="1"/>
    <col min="39" max="39" width="12.68359375" customWidth="1"/>
  </cols>
  <sheetData>
    <row r="1" spans="1:40" ht="50.1" customHeight="1">
      <c r="A1" s="651" t="s">
        <v>599</v>
      </c>
      <c r="B1" s="651"/>
      <c r="C1" s="651"/>
      <c r="D1" s="651"/>
      <c r="E1" s="651"/>
      <c r="F1" s="651"/>
      <c r="G1" s="651"/>
      <c r="H1" s="651"/>
      <c r="I1" s="651"/>
      <c r="J1" s="651"/>
      <c r="K1" s="651"/>
      <c r="L1" s="651"/>
      <c r="M1" s="651"/>
      <c r="N1" s="651"/>
      <c r="O1" s="651"/>
      <c r="P1" s="651"/>
      <c r="Q1" s="651"/>
      <c r="R1" s="651"/>
      <c r="S1" s="651"/>
      <c r="T1" s="651"/>
      <c r="U1" s="651"/>
      <c r="V1" s="651"/>
      <c r="W1" s="651"/>
      <c r="X1" s="651"/>
      <c r="Y1" s="651"/>
      <c r="Z1" s="651"/>
      <c r="AA1" s="651"/>
      <c r="AB1" s="651"/>
      <c r="AC1" s="651"/>
      <c r="AD1" s="651"/>
      <c r="AE1" s="651"/>
      <c r="AF1" s="651"/>
      <c r="AG1" s="651"/>
      <c r="AH1" s="651"/>
    </row>
    <row r="2" spans="1:40" ht="25.95" customHeight="1">
      <c r="AI2" s="39"/>
    </row>
    <row r="3" spans="1:40" ht="54" customHeight="1">
      <c r="AI3" s="39"/>
    </row>
    <row r="4" spans="1:40" ht="14.7" thickBot="1"/>
    <row r="5" spans="1:40">
      <c r="A5" s="295"/>
      <c r="B5" s="422">
        <v>1999</v>
      </c>
      <c r="C5" s="422">
        <v>2000</v>
      </c>
      <c r="D5" s="422">
        <v>2001</v>
      </c>
      <c r="E5" s="422">
        <v>2002</v>
      </c>
      <c r="F5" s="422">
        <v>2003</v>
      </c>
      <c r="G5" s="422">
        <v>2004</v>
      </c>
      <c r="H5" s="422">
        <v>2005</v>
      </c>
      <c r="I5" s="422">
        <v>2006</v>
      </c>
      <c r="J5" s="422">
        <v>2007</v>
      </c>
      <c r="K5" s="422">
        <v>2008</v>
      </c>
      <c r="L5" s="422">
        <v>2009</v>
      </c>
      <c r="M5" s="422">
        <v>2010</v>
      </c>
      <c r="N5" s="422">
        <v>2011</v>
      </c>
      <c r="O5" s="422">
        <v>2012</v>
      </c>
      <c r="P5" s="422">
        <v>2013</v>
      </c>
      <c r="Q5" s="422">
        <v>2014</v>
      </c>
      <c r="R5" s="422">
        <v>2015</v>
      </c>
      <c r="S5" s="422">
        <v>2016</v>
      </c>
      <c r="T5" s="422">
        <v>2017</v>
      </c>
      <c r="U5" s="422">
        <v>2018</v>
      </c>
      <c r="V5" s="422">
        <v>2019</v>
      </c>
      <c r="W5" s="422">
        <v>2020</v>
      </c>
      <c r="X5" s="423">
        <v>2021</v>
      </c>
      <c r="Y5" s="423">
        <v>2022</v>
      </c>
      <c r="Z5" s="423">
        <v>2023</v>
      </c>
      <c r="AA5" s="423">
        <v>2024</v>
      </c>
      <c r="AB5" s="423">
        <v>2025</v>
      </c>
      <c r="AC5" s="423">
        <v>2026</v>
      </c>
      <c r="AD5" s="423">
        <v>2027</v>
      </c>
      <c r="AE5" s="423">
        <v>2028</v>
      </c>
      <c r="AF5" s="423">
        <v>2029</v>
      </c>
      <c r="AG5" s="423">
        <v>2030</v>
      </c>
      <c r="AH5" s="424">
        <v>2031</v>
      </c>
    </row>
    <row r="6" spans="1:40" ht="29.7">
      <c r="A6" s="296" t="str">
        <f>'Buprenorphine Capacity'!A73</f>
        <v>Total waivered providers</v>
      </c>
      <c r="B6" s="590">
        <f>'Buprenorphine Capacity'!B5</f>
        <v>0</v>
      </c>
      <c r="C6" s="590">
        <f>'Buprenorphine Capacity'!C5</f>
        <v>0</v>
      </c>
      <c r="D6" s="590">
        <f>'Buprenorphine Capacity'!D5</f>
        <v>0</v>
      </c>
      <c r="E6" s="588">
        <f>'Buprenorphine Capacity'!E5</f>
        <v>0</v>
      </c>
      <c r="F6" s="588">
        <f>'Buprenorphine Capacity'!F5</f>
        <v>1893</v>
      </c>
      <c r="G6" s="588">
        <f>'Buprenorphine Capacity'!G5</f>
        <v>3256</v>
      </c>
      <c r="H6" s="588">
        <f>'Buprenorphine Capacity'!H5</f>
        <v>5484</v>
      </c>
      <c r="I6" s="588">
        <f>'Buprenorphine Capacity'!I5</f>
        <v>8555.5</v>
      </c>
      <c r="J6" s="588">
        <f>'Buprenorphine Capacity'!J5</f>
        <v>10637</v>
      </c>
      <c r="K6" s="588">
        <f>'Buprenorphine Capacity'!K5</f>
        <v>14365.333333333332</v>
      </c>
      <c r="L6" s="588">
        <f>'Buprenorphine Capacity'!L5</f>
        <v>15817.5</v>
      </c>
      <c r="M6" s="588">
        <f>'Buprenorphine Capacity'!M5</f>
        <v>18023.5</v>
      </c>
      <c r="N6" s="588">
        <f>'Buprenorphine Capacity'!N5</f>
        <v>20148</v>
      </c>
      <c r="O6" s="588">
        <f>'Buprenorphine Capacity'!O5</f>
        <v>22198</v>
      </c>
      <c r="P6" s="588">
        <f>'Buprenorphine Capacity'!P5</f>
        <v>23629</v>
      </c>
      <c r="Q6" s="588">
        <f>'Buprenorphine Capacity'!Q5</f>
        <v>25738</v>
      </c>
      <c r="R6" s="588">
        <f>'Buprenorphine Capacity'!R5</f>
        <v>28930.5</v>
      </c>
      <c r="S6" s="588">
        <f>'Buprenorphine Capacity'!S5</f>
        <v>32122.999999999996</v>
      </c>
      <c r="T6" s="588">
        <f>'Buprenorphine Capacity'!T5</f>
        <v>42037</v>
      </c>
      <c r="U6" s="588">
        <f>'Buprenorphine Capacity'!U5</f>
        <v>57426.5</v>
      </c>
      <c r="V6" s="588">
        <f>'Buprenorphine Capacity'!V5</f>
        <v>66800</v>
      </c>
      <c r="W6" s="600">
        <f t="shared" ref="W6:AH6" si="0">$W$7*LN(W9)+$W$8</f>
        <v>73178.168302642021</v>
      </c>
      <c r="X6" s="600">
        <f t="shared" si="0"/>
        <v>78199.790781416988</v>
      </c>
      <c r="Y6" s="600">
        <f t="shared" si="0"/>
        <v>82302.755095508153</v>
      </c>
      <c r="Z6" s="600">
        <f t="shared" si="0"/>
        <v>85771.761994340777</v>
      </c>
      <c r="AA6" s="600">
        <f t="shared" si="0"/>
        <v>88776.752453963025</v>
      </c>
      <c r="AB6" s="600">
        <f t="shared" si="0"/>
        <v>91427.341888374285</v>
      </c>
      <c r="AC6" s="600">
        <f t="shared" si="0"/>
        <v>93798.374932738006</v>
      </c>
      <c r="AD6" s="600">
        <f t="shared" si="0"/>
        <v>95943.235219054535</v>
      </c>
      <c r="AE6" s="600">
        <f t="shared" si="0"/>
        <v>97901.339246829157</v>
      </c>
      <c r="AF6" s="600">
        <f t="shared" si="0"/>
        <v>99702.620340314432</v>
      </c>
      <c r="AG6" s="600">
        <f t="shared" si="0"/>
        <v>101370.34614566178</v>
      </c>
      <c r="AH6" s="291">
        <f t="shared" si="0"/>
        <v>102922.96172560414</v>
      </c>
      <c r="AN6" s="270"/>
    </row>
    <row r="7" spans="1:40">
      <c r="A7" s="296"/>
      <c r="B7" s="590"/>
      <c r="C7" s="590"/>
      <c r="D7" s="590"/>
      <c r="E7" s="591"/>
      <c r="F7" s="591"/>
      <c r="G7" s="591"/>
      <c r="H7" s="591"/>
      <c r="I7" s="591"/>
      <c r="J7" s="591"/>
      <c r="K7" s="591"/>
      <c r="L7" s="591"/>
      <c r="M7" s="591"/>
      <c r="N7" s="591"/>
      <c r="O7" s="591"/>
      <c r="P7" s="591"/>
      <c r="Q7" s="591"/>
      <c r="R7" s="591"/>
      <c r="S7" s="591"/>
      <c r="T7" s="591"/>
      <c r="U7" s="591"/>
      <c r="V7" s="627" t="s">
        <v>569</v>
      </c>
      <c r="W7" s="601">
        <v>22504</v>
      </c>
      <c r="X7" s="306"/>
      <c r="Y7" s="597"/>
      <c r="Z7" s="597"/>
      <c r="AA7" s="597"/>
      <c r="AB7" s="597"/>
      <c r="AC7" s="597"/>
      <c r="AD7" s="597"/>
      <c r="AE7" s="597"/>
      <c r="AF7" s="597"/>
      <c r="AG7" s="597"/>
      <c r="AH7" s="305"/>
    </row>
    <row r="8" spans="1:40">
      <c r="A8" s="296"/>
      <c r="B8" s="590"/>
      <c r="C8" s="590"/>
      <c r="D8" s="590"/>
      <c r="E8" s="591"/>
      <c r="F8" s="591"/>
      <c r="G8" s="591"/>
      <c r="H8" s="591"/>
      <c r="I8" s="591"/>
      <c r="J8" s="591"/>
      <c r="K8" s="591"/>
      <c r="L8" s="591"/>
      <c r="M8" s="591"/>
      <c r="N8" s="591"/>
      <c r="O8" s="591"/>
      <c r="P8" s="591"/>
      <c r="Q8" s="591"/>
      <c r="R8" s="591"/>
      <c r="S8" s="591"/>
      <c r="T8" s="591"/>
      <c r="U8" s="591"/>
      <c r="V8" s="601" t="s">
        <v>570</v>
      </c>
      <c r="W8" s="601">
        <v>41981</v>
      </c>
      <c r="X8" s="306"/>
      <c r="Y8" s="597"/>
      <c r="Z8" s="597"/>
      <c r="AA8" s="597"/>
      <c r="AB8" s="597"/>
      <c r="AC8" s="597"/>
      <c r="AD8" s="597"/>
      <c r="AE8" s="597"/>
      <c r="AF8" s="597"/>
      <c r="AG8" s="597"/>
      <c r="AH8" s="305"/>
    </row>
    <row r="9" spans="1:40" ht="43.35" customHeight="1" thickBot="1">
      <c r="A9" s="297"/>
      <c r="B9" s="505"/>
      <c r="C9" s="505"/>
      <c r="D9" s="505"/>
      <c r="E9" s="292"/>
      <c r="F9" s="292"/>
      <c r="G9" s="292"/>
      <c r="H9" s="292"/>
      <c r="I9" s="292"/>
      <c r="J9" s="292"/>
      <c r="K9" s="292"/>
      <c r="L9" s="292"/>
      <c r="M9" s="292"/>
      <c r="N9" s="292"/>
      <c r="O9" s="292"/>
      <c r="P9" s="292"/>
      <c r="Q9" s="292"/>
      <c r="R9" s="292"/>
      <c r="S9" s="292"/>
      <c r="T9" s="292"/>
      <c r="U9" s="292"/>
      <c r="V9" s="315" t="s">
        <v>597</v>
      </c>
      <c r="W9" s="311">
        <f>COUNT(T5:W5)</f>
        <v>4</v>
      </c>
      <c r="X9" s="317">
        <v>5</v>
      </c>
      <c r="Y9" s="317">
        <v>6</v>
      </c>
      <c r="Z9" s="317">
        <v>7</v>
      </c>
      <c r="AA9" s="317">
        <v>8</v>
      </c>
      <c r="AB9" s="317">
        <v>9</v>
      </c>
      <c r="AC9" s="317">
        <v>10</v>
      </c>
      <c r="AD9" s="317">
        <v>11</v>
      </c>
      <c r="AE9" s="317">
        <v>12</v>
      </c>
      <c r="AF9" s="317">
        <v>13</v>
      </c>
      <c r="AG9" s="317">
        <v>14</v>
      </c>
      <c r="AH9" s="318">
        <v>15</v>
      </c>
    </row>
    <row r="10" spans="1:40" ht="14.7" thickBot="1"/>
    <row r="11" spans="1:40">
      <c r="A11" s="503" t="s">
        <v>572</v>
      </c>
      <c r="B11" s="422">
        <v>1999</v>
      </c>
      <c r="C11" s="422">
        <v>2000</v>
      </c>
      <c r="D11" s="422">
        <v>2001</v>
      </c>
      <c r="E11" s="422">
        <v>2002</v>
      </c>
      <c r="F11" s="422">
        <v>2003</v>
      </c>
      <c r="G11" s="422">
        <v>2004</v>
      </c>
      <c r="H11" s="422">
        <v>2005</v>
      </c>
      <c r="I11" s="422">
        <v>2006</v>
      </c>
      <c r="J11" s="422">
        <v>2007</v>
      </c>
      <c r="K11" s="422">
        <v>2008</v>
      </c>
      <c r="L11" s="422">
        <v>2009</v>
      </c>
      <c r="M11" s="422">
        <v>2010</v>
      </c>
      <c r="N11" s="422">
        <v>2011</v>
      </c>
      <c r="O11" s="422">
        <v>2012</v>
      </c>
      <c r="P11" s="422">
        <v>2013</v>
      </c>
      <c r="Q11" s="422">
        <v>2014</v>
      </c>
      <c r="R11" s="422">
        <v>2015</v>
      </c>
      <c r="S11" s="422">
        <v>2016</v>
      </c>
      <c r="T11" s="422">
        <v>2017</v>
      </c>
      <c r="U11" s="422">
        <v>2018</v>
      </c>
      <c r="V11" s="422">
        <v>2019</v>
      </c>
      <c r="W11" s="422">
        <v>2020</v>
      </c>
      <c r="X11" s="302">
        <v>2021</v>
      </c>
      <c r="Y11" s="302">
        <v>2022</v>
      </c>
      <c r="Z11" s="302">
        <v>2023</v>
      </c>
      <c r="AA11" s="302">
        <v>2024</v>
      </c>
      <c r="AB11" s="302">
        <v>2025</v>
      </c>
      <c r="AC11" s="302">
        <v>2026</v>
      </c>
      <c r="AD11" s="302">
        <v>2027</v>
      </c>
      <c r="AE11" s="302">
        <v>2028</v>
      </c>
      <c r="AF11" s="302">
        <v>2029</v>
      </c>
      <c r="AG11" s="302">
        <v>2030</v>
      </c>
      <c r="AH11" s="303">
        <v>2031</v>
      </c>
    </row>
    <row r="12" spans="1:40" ht="43.2">
      <c r="A12" s="296" t="str">
        <f>'Methadone NSSATS'!A3</f>
        <v>Tx point patients OTP MMT NSSATS</v>
      </c>
      <c r="B12" s="506">
        <f>'Methadone NSSATS'!B3</f>
        <v>159053.5</v>
      </c>
      <c r="C12" s="506">
        <f>'Methadone NSSATS'!C3</f>
        <v>172497</v>
      </c>
      <c r="D12" s="506">
        <f>'Methadone NSSATS'!D3</f>
        <v>198998.5</v>
      </c>
      <c r="E12" s="21">
        <f>'Methadone NSSATS'!E3</f>
        <v>225500</v>
      </c>
      <c r="F12" s="21">
        <f>'Methadone NSSATS'!F3</f>
        <v>227003</v>
      </c>
      <c r="G12" s="21">
        <f>'Methadone NSSATS'!G3</f>
        <v>240961</v>
      </c>
      <c r="H12" s="21">
        <f>'Methadone NSSATS'!H3</f>
        <v>235836</v>
      </c>
      <c r="I12" s="21">
        <f>'Methadone NSSATS'!I3</f>
        <v>258752</v>
      </c>
      <c r="J12" s="21">
        <f>'Methadone NSSATS'!J3</f>
        <v>262684</v>
      </c>
      <c r="K12" s="21">
        <f>'Methadone NSSATS'!K3</f>
        <v>268071</v>
      </c>
      <c r="L12" s="21">
        <f>'Methadone NSSATS'!L3</f>
        <v>283177</v>
      </c>
      <c r="M12" s="21">
        <f>'Methadone NSSATS'!M3</f>
        <v>299643</v>
      </c>
      <c r="N12" s="21">
        <f>'Methadone NSSATS'!N3</f>
        <v>306640</v>
      </c>
      <c r="O12" s="21">
        <f>'Methadone NSSATS'!O3</f>
        <v>311718</v>
      </c>
      <c r="P12" s="21">
        <f>'Methadone NSSATS'!P3</f>
        <v>330308</v>
      </c>
      <c r="Q12" s="21">
        <f>'Methadone NSSATS'!Q3</f>
        <v>343576</v>
      </c>
      <c r="R12" s="21">
        <f>'Methadone NSSATS'!R3</f>
        <v>356843</v>
      </c>
      <c r="S12" s="21">
        <f>'Methadone NSSATS'!S3</f>
        <v>345443</v>
      </c>
      <c r="T12" s="21">
        <f>'Methadone NSSATS'!T3</f>
        <v>382867</v>
      </c>
      <c r="U12" s="21">
        <f>'Methadone NSSATS'!U3</f>
        <v>395708.5</v>
      </c>
      <c r="V12" s="21">
        <f>'Methadone NSSATS'!V3</f>
        <v>408550</v>
      </c>
      <c r="W12" s="307">
        <f>$W$13*LN(W15)+$W$14</f>
        <v>419851.13076559408</v>
      </c>
      <c r="X12" s="307">
        <f t="shared" ref="X12:AH12" si="1">$W$13*LN(X15)+$W$14</f>
        <v>428063.80529137771</v>
      </c>
      <c r="Y12" s="307">
        <f t="shared" si="1"/>
        <v>435007.52266419656</v>
      </c>
      <c r="Z12" s="307">
        <f t="shared" si="1"/>
        <v>441022.44424496818</v>
      </c>
      <c r="AA12" s="307">
        <f t="shared" si="1"/>
        <v>446327.98108611</v>
      </c>
      <c r="AB12" s="307">
        <f t="shared" si="1"/>
        <v>451073.94551391678</v>
      </c>
      <c r="AC12" s="307">
        <f t="shared" si="1"/>
        <v>455367.19256320258</v>
      </c>
      <c r="AD12" s="307">
        <f t="shared" si="1"/>
        <v>459286.62003970047</v>
      </c>
      <c r="AE12" s="307">
        <f t="shared" si="1"/>
        <v>462892.1438068549</v>
      </c>
      <c r="AF12" s="307">
        <f t="shared" si="1"/>
        <v>466230.33741251932</v>
      </c>
      <c r="AG12" s="307">
        <f t="shared" si="1"/>
        <v>469338.12130864908</v>
      </c>
      <c r="AH12" s="408">
        <f t="shared" si="1"/>
        <v>472245.25899329095</v>
      </c>
    </row>
    <row r="13" spans="1:40">
      <c r="A13" s="296"/>
      <c r="V13" s="314" t="s">
        <v>569</v>
      </c>
      <c r="W13" s="306">
        <v>45045</v>
      </c>
      <c r="X13" s="304"/>
      <c r="Y13" s="304"/>
      <c r="Z13" s="304"/>
      <c r="AA13" s="304"/>
      <c r="AB13" s="304"/>
      <c r="AC13" s="304"/>
      <c r="AD13" s="304"/>
      <c r="AE13" s="304"/>
      <c r="AF13" s="304"/>
      <c r="AG13" s="304"/>
      <c r="AH13" s="305"/>
    </row>
    <row r="14" spans="1:40">
      <c r="A14" s="296"/>
      <c r="V14" s="306" t="s">
        <v>570</v>
      </c>
      <c r="W14" s="306">
        <v>347354</v>
      </c>
      <c r="X14" s="304"/>
      <c r="Y14" s="304"/>
      <c r="Z14" s="304"/>
      <c r="AA14" s="304"/>
      <c r="AB14" s="304"/>
      <c r="AC14" s="304"/>
      <c r="AD14" s="304"/>
      <c r="AE14" s="304"/>
      <c r="AF14" s="304"/>
      <c r="AG14" s="304"/>
      <c r="AH14" s="305"/>
    </row>
    <row r="15" spans="1:40" ht="43.2">
      <c r="A15" s="296"/>
      <c r="V15" s="314" t="s">
        <v>573</v>
      </c>
      <c r="W15" s="304">
        <f>COUNT(S11:W11)</f>
        <v>5</v>
      </c>
      <c r="X15" s="304">
        <v>6</v>
      </c>
      <c r="Y15" s="304">
        <v>7</v>
      </c>
      <c r="Z15" s="304">
        <v>8</v>
      </c>
      <c r="AA15" s="304">
        <v>9</v>
      </c>
      <c r="AB15" s="304">
        <v>10</v>
      </c>
      <c r="AC15" s="304">
        <v>11</v>
      </c>
      <c r="AD15" s="304">
        <v>12</v>
      </c>
      <c r="AE15" s="304">
        <v>13</v>
      </c>
      <c r="AF15" s="304">
        <v>14</v>
      </c>
      <c r="AG15" s="304">
        <v>15</v>
      </c>
      <c r="AH15" s="305">
        <v>16</v>
      </c>
    </row>
    <row r="16" spans="1:40" ht="18.600000000000001" thickBot="1">
      <c r="A16" s="297"/>
      <c r="B16" s="505"/>
      <c r="C16" s="505"/>
      <c r="D16" s="505"/>
      <c r="E16" s="292"/>
      <c r="F16" s="292"/>
      <c r="G16" s="292"/>
      <c r="H16" s="292"/>
      <c r="I16" s="292"/>
      <c r="J16" s="292"/>
      <c r="K16" s="292"/>
      <c r="L16" s="292"/>
      <c r="M16" s="292"/>
      <c r="N16" s="292"/>
      <c r="O16" s="292"/>
      <c r="P16" s="292"/>
      <c r="Q16" s="292"/>
      <c r="R16" s="292"/>
      <c r="S16" s="292"/>
      <c r="T16" s="292"/>
      <c r="U16" s="292"/>
      <c r="V16" s="311" t="s">
        <v>574</v>
      </c>
      <c r="W16" s="311"/>
      <c r="X16" s="311"/>
      <c r="Y16" s="311">
        <v>0.86599999999999999</v>
      </c>
      <c r="Z16" s="293">
        <f>AH12/Y16</f>
        <v>545317.85103151377</v>
      </c>
      <c r="AA16" s="311"/>
      <c r="AB16" s="311"/>
      <c r="AC16" s="311"/>
      <c r="AD16" s="311"/>
      <c r="AE16" s="311"/>
      <c r="AF16" s="311"/>
      <c r="AG16" s="311"/>
      <c r="AH16" s="312"/>
    </row>
    <row r="17" spans="1:34" ht="14.7" thickBot="1"/>
    <row r="18" spans="1:34">
      <c r="A18" s="503" t="s">
        <v>575</v>
      </c>
      <c r="B18" s="422">
        <v>1999</v>
      </c>
      <c r="C18" s="422">
        <v>2000</v>
      </c>
      <c r="D18" s="422">
        <v>2001</v>
      </c>
      <c r="E18" s="290">
        <v>2002</v>
      </c>
      <c r="F18" s="290">
        <v>2003</v>
      </c>
      <c r="G18" s="290">
        <v>2004</v>
      </c>
      <c r="H18" s="290">
        <v>2005</v>
      </c>
      <c r="I18" s="290">
        <v>2006</v>
      </c>
      <c r="J18" s="290">
        <v>2007</v>
      </c>
      <c r="K18" s="290">
        <v>2008</v>
      </c>
      <c r="L18" s="290">
        <v>2009</v>
      </c>
      <c r="M18" s="290">
        <v>2010</v>
      </c>
      <c r="N18" s="290">
        <v>2011</v>
      </c>
      <c r="O18" s="290">
        <v>2012</v>
      </c>
      <c r="P18" s="290">
        <v>2013</v>
      </c>
      <c r="Q18" s="290">
        <v>2014</v>
      </c>
      <c r="R18" s="290">
        <v>2015</v>
      </c>
      <c r="S18" s="290">
        <v>2016</v>
      </c>
      <c r="T18" s="290">
        <v>2017</v>
      </c>
      <c r="U18" s="290">
        <v>2018</v>
      </c>
      <c r="V18" s="290">
        <v>2019</v>
      </c>
      <c r="W18" s="302">
        <v>2020</v>
      </c>
      <c r="X18" s="302">
        <v>2021</v>
      </c>
      <c r="Y18" s="302">
        <v>2022</v>
      </c>
      <c r="Z18" s="302">
        <v>2023</v>
      </c>
      <c r="AA18" s="302">
        <v>2024</v>
      </c>
      <c r="AB18" s="302">
        <v>2025</v>
      </c>
      <c r="AC18" s="302">
        <v>2026</v>
      </c>
      <c r="AD18" s="302">
        <v>2027</v>
      </c>
      <c r="AE18" s="302">
        <v>2028</v>
      </c>
      <c r="AF18" s="302">
        <v>2029</v>
      </c>
      <c r="AG18" s="302">
        <v>2030</v>
      </c>
      <c r="AH18" s="303">
        <v>2031</v>
      </c>
    </row>
    <row r="19" spans="1:34" ht="43.2">
      <c r="A19" s="296" t="s">
        <v>20</v>
      </c>
      <c r="B19" s="506">
        <f>'Methadone NSSATS'!B3</f>
        <v>159053.5</v>
      </c>
      <c r="C19" s="506">
        <f>'Methadone NSSATS'!C3</f>
        <v>172497</v>
      </c>
      <c r="D19" s="506">
        <f>'Methadone NSSATS'!D3</f>
        <v>198998.5</v>
      </c>
      <c r="E19" s="21">
        <f>'Methadone NSSATS'!E3</f>
        <v>225500</v>
      </c>
      <c r="F19" s="21">
        <f>'Methadone NSSATS'!F3</f>
        <v>227003</v>
      </c>
      <c r="G19" s="21">
        <f>'Methadone NSSATS'!G3</f>
        <v>240961</v>
      </c>
      <c r="H19" s="21">
        <f>'Methadone NSSATS'!H3</f>
        <v>235836</v>
      </c>
      <c r="I19" s="21">
        <f>'Methadone NSSATS'!I3</f>
        <v>258752</v>
      </c>
      <c r="J19" s="21">
        <f>'Methadone NSSATS'!J3</f>
        <v>262684</v>
      </c>
      <c r="K19" s="21">
        <f>'Methadone NSSATS'!K3</f>
        <v>268071</v>
      </c>
      <c r="L19" s="21">
        <f>'Methadone NSSATS'!L3</f>
        <v>283177</v>
      </c>
      <c r="M19" s="21">
        <f>'Methadone NSSATS'!M3</f>
        <v>299643</v>
      </c>
      <c r="N19" s="21">
        <f>'Methadone NSSATS'!N3</f>
        <v>306640</v>
      </c>
      <c r="O19" s="21">
        <f>'Methadone NSSATS'!O3</f>
        <v>311718</v>
      </c>
      <c r="P19" s="21">
        <f>'Methadone NSSATS'!P3</f>
        <v>330308</v>
      </c>
      <c r="Q19" s="21">
        <f>'Methadone NSSATS'!Q3</f>
        <v>343576</v>
      </c>
      <c r="R19" s="21">
        <f>'Methadone NSSATS'!R3</f>
        <v>356843</v>
      </c>
      <c r="S19" s="21">
        <f>'Methadone NSSATS'!S3</f>
        <v>345443</v>
      </c>
      <c r="T19" s="21">
        <f>'Methadone NSSATS'!T3</f>
        <v>382867</v>
      </c>
      <c r="U19" s="21">
        <f>'Methadone NSSATS'!U3</f>
        <v>395708.5</v>
      </c>
      <c r="V19" s="21">
        <f>'Methadone NSSATS'!V3</f>
        <v>408550</v>
      </c>
      <c r="W19" s="304">
        <f>($W$20*W22)+$W$21</f>
        <v>421394</v>
      </c>
      <c r="X19" s="304">
        <f t="shared" ref="X19:AH19" si="2">($W$20*X22)+$W$21</f>
        <v>434236</v>
      </c>
      <c r="Y19" s="304">
        <f t="shared" si="2"/>
        <v>447078</v>
      </c>
      <c r="Z19" s="304">
        <f t="shared" si="2"/>
        <v>459920</v>
      </c>
      <c r="AA19" s="304">
        <f t="shared" si="2"/>
        <v>472762</v>
      </c>
      <c r="AB19" s="304">
        <f t="shared" si="2"/>
        <v>485604</v>
      </c>
      <c r="AC19" s="304">
        <f t="shared" si="2"/>
        <v>498446</v>
      </c>
      <c r="AD19" s="304">
        <f t="shared" si="2"/>
        <v>511288</v>
      </c>
      <c r="AE19" s="304">
        <f t="shared" si="2"/>
        <v>524130</v>
      </c>
      <c r="AF19" s="304">
        <f t="shared" si="2"/>
        <v>536972</v>
      </c>
      <c r="AG19" s="304">
        <f t="shared" si="2"/>
        <v>549814</v>
      </c>
      <c r="AH19" s="305">
        <f t="shared" si="2"/>
        <v>562656</v>
      </c>
    </row>
    <row r="20" spans="1:34">
      <c r="A20" s="296"/>
      <c r="V20" s="314" t="s">
        <v>569</v>
      </c>
      <c r="W20" s="306">
        <v>12842</v>
      </c>
      <c r="X20" s="304"/>
      <c r="Y20" s="304"/>
      <c r="Z20" s="304"/>
      <c r="AA20" s="304"/>
      <c r="AB20" s="304"/>
      <c r="AC20" s="304"/>
      <c r="AD20" s="304"/>
      <c r="AE20" s="304"/>
      <c r="AF20" s="304"/>
      <c r="AG20" s="304"/>
      <c r="AH20" s="305"/>
    </row>
    <row r="21" spans="1:34">
      <c r="A21" s="296"/>
      <c r="V21" s="306" t="s">
        <v>570</v>
      </c>
      <c r="W21" s="306">
        <v>370026</v>
      </c>
      <c r="X21" s="304"/>
      <c r="Y21" s="304"/>
      <c r="Z21" s="304"/>
      <c r="AA21" s="304"/>
      <c r="AB21" s="304"/>
      <c r="AC21" s="304"/>
      <c r="AD21" s="304"/>
      <c r="AE21" s="304"/>
      <c r="AF21" s="304"/>
      <c r="AG21" s="304"/>
      <c r="AH21" s="305"/>
    </row>
    <row r="22" spans="1:34" ht="43.2">
      <c r="A22" s="296"/>
      <c r="V22" s="314" t="s">
        <v>577</v>
      </c>
      <c r="W22" s="304">
        <f>COUNT(T18:W18)</f>
        <v>4</v>
      </c>
      <c r="X22" s="304">
        <v>5</v>
      </c>
      <c r="Y22" s="304">
        <v>6</v>
      </c>
      <c r="Z22" s="304">
        <v>7</v>
      </c>
      <c r="AA22" s="304">
        <v>8</v>
      </c>
      <c r="AB22" s="304">
        <v>9</v>
      </c>
      <c r="AC22" s="304">
        <v>10</v>
      </c>
      <c r="AD22" s="304">
        <v>11</v>
      </c>
      <c r="AE22" s="304">
        <v>12</v>
      </c>
      <c r="AF22" s="304">
        <v>13</v>
      </c>
      <c r="AG22" s="304">
        <v>14</v>
      </c>
      <c r="AH22" s="305">
        <v>15</v>
      </c>
    </row>
    <row r="23" spans="1:34" ht="18.600000000000001" thickBot="1">
      <c r="A23" s="297"/>
      <c r="B23" s="505"/>
      <c r="C23" s="505"/>
      <c r="D23" s="505"/>
      <c r="E23" s="292"/>
      <c r="F23" s="292"/>
      <c r="G23" s="292"/>
      <c r="H23" s="292"/>
      <c r="I23" s="292"/>
      <c r="J23" s="292"/>
      <c r="K23" s="292"/>
      <c r="L23" s="292"/>
      <c r="M23" s="292"/>
      <c r="N23" s="292"/>
      <c r="O23" s="292"/>
      <c r="P23" s="292"/>
      <c r="Q23" s="292"/>
      <c r="R23" s="292"/>
      <c r="S23" s="292"/>
      <c r="T23" s="292"/>
      <c r="U23" s="292"/>
      <c r="V23" s="311" t="s">
        <v>574</v>
      </c>
      <c r="W23" s="311"/>
      <c r="X23" s="311"/>
      <c r="Y23" s="311">
        <v>0.86599999999999999</v>
      </c>
      <c r="Z23" s="293">
        <f>AH19/Y23</f>
        <v>649718.24480369512</v>
      </c>
      <c r="AA23" s="311"/>
      <c r="AB23" s="311"/>
      <c r="AC23" s="311"/>
      <c r="AD23" s="311"/>
      <c r="AE23" s="311"/>
      <c r="AF23" s="311"/>
      <c r="AG23" s="311"/>
      <c r="AH23" s="312"/>
    </row>
    <row r="25" spans="1:34" ht="14.7" thickBot="1"/>
    <row r="26" spans="1:34">
      <c r="A26" s="295"/>
      <c r="B26" s="422">
        <v>1999</v>
      </c>
      <c r="C26" s="422">
        <v>2000</v>
      </c>
      <c r="D26" s="422">
        <v>2001</v>
      </c>
      <c r="E26" s="290">
        <v>2002</v>
      </c>
      <c r="F26" s="290">
        <v>2003</v>
      </c>
      <c r="G26" s="290">
        <v>2004</v>
      </c>
      <c r="H26" s="290">
        <v>2005</v>
      </c>
      <c r="I26" s="290">
        <v>2006</v>
      </c>
      <c r="J26" s="290">
        <v>2007</v>
      </c>
      <c r="K26" s="290">
        <v>2008</v>
      </c>
      <c r="L26" s="290">
        <v>2009</v>
      </c>
      <c r="M26" s="290">
        <v>2010</v>
      </c>
      <c r="N26" s="290">
        <v>2011</v>
      </c>
      <c r="O26" s="290">
        <v>2012</v>
      </c>
      <c r="P26" s="290">
        <v>2013</v>
      </c>
      <c r="Q26" s="290">
        <v>2014</v>
      </c>
      <c r="R26" s="290">
        <v>2015</v>
      </c>
      <c r="S26" s="290">
        <v>2016</v>
      </c>
      <c r="T26" s="290">
        <v>2017</v>
      </c>
      <c r="U26" s="290">
        <v>2018</v>
      </c>
      <c r="V26" s="290">
        <v>2019</v>
      </c>
      <c r="W26" s="302">
        <v>2020</v>
      </c>
      <c r="X26" s="302">
        <v>2021</v>
      </c>
      <c r="Y26" s="302">
        <v>2022</v>
      </c>
      <c r="Z26" s="302">
        <v>2023</v>
      </c>
      <c r="AA26" s="302">
        <v>2024</v>
      </c>
      <c r="AB26" s="302">
        <v>2025</v>
      </c>
      <c r="AC26" s="302">
        <v>2026</v>
      </c>
      <c r="AD26" s="302">
        <v>2027</v>
      </c>
      <c r="AE26" s="302">
        <v>2028</v>
      </c>
      <c r="AF26" s="302">
        <v>2029</v>
      </c>
      <c r="AG26" s="302">
        <v>2030</v>
      </c>
      <c r="AH26" s="303">
        <v>2031</v>
      </c>
    </row>
    <row r="27" spans="1:34" ht="28.8">
      <c r="A27" s="296" t="str">
        <f>'Vivitrol IQVIA'!A2</f>
        <v>Tx point patients Viv IQVIA</v>
      </c>
      <c r="B27" s="271">
        <f>'Vivitrol IQVIA'!B2</f>
        <v>0</v>
      </c>
      <c r="C27" s="271">
        <f>'Vivitrol IQVIA'!C2</f>
        <v>0</v>
      </c>
      <c r="D27" s="271">
        <f>'Vivitrol IQVIA'!D2</f>
        <v>0</v>
      </c>
      <c r="E27" s="270">
        <f>'Vivitrol IQVIA'!E2</f>
        <v>0</v>
      </c>
      <c r="F27" s="270">
        <f>'Vivitrol IQVIA'!F2</f>
        <v>0</v>
      </c>
      <c r="G27" s="270">
        <f>'Vivitrol IQVIA'!G2</f>
        <v>0</v>
      </c>
      <c r="H27" s="270">
        <f>'Vivitrol IQVIA'!H2</f>
        <v>0</v>
      </c>
      <c r="I27" s="270">
        <f>'Vivitrol IQVIA'!I2</f>
        <v>0</v>
      </c>
      <c r="J27" s="270">
        <f>'Vivitrol IQVIA'!J2</f>
        <v>0</v>
      </c>
      <c r="K27" s="270">
        <f>'Vivitrol IQVIA'!K2</f>
        <v>0</v>
      </c>
      <c r="L27" s="270">
        <f>'Vivitrol IQVIA'!L2</f>
        <v>0</v>
      </c>
      <c r="M27" s="270">
        <f>'Vivitrol IQVIA'!M2</f>
        <v>434.77083333333331</v>
      </c>
      <c r="N27" s="270">
        <f>'Vivitrol IQVIA'!N2</f>
        <v>1543.5208333333333</v>
      </c>
      <c r="O27" s="270">
        <f>'Vivitrol IQVIA'!O2</f>
        <v>2990.2708333333335</v>
      </c>
      <c r="P27" s="270">
        <f>'Vivitrol IQVIA'!P2</f>
        <v>4705.6875</v>
      </c>
      <c r="Q27" s="270">
        <f>'Vivitrol IQVIA'!Q2</f>
        <v>6685.270833333333</v>
      </c>
      <c r="R27" s="270">
        <f>'Vivitrol IQVIA'!R2</f>
        <v>10849.4375</v>
      </c>
      <c r="S27" s="270">
        <f>'Vivitrol IQVIA'!S2</f>
        <v>19529.104166666668</v>
      </c>
      <c r="T27" s="270">
        <f>'Vivitrol IQVIA'!T2</f>
        <v>26956.604166666668</v>
      </c>
      <c r="U27" s="270">
        <f>'Vivitrol IQVIA'!U2</f>
        <v>30646.604166666668</v>
      </c>
      <c r="V27" s="21">
        <f>'Vivitrol IQVIA'!V2</f>
        <v>32227.1875</v>
      </c>
      <c r="W27" s="307">
        <f t="shared" ref="W27:AH27" si="3">$W$28*LN(W30)+$W$29</f>
        <v>33773.072828875949</v>
      </c>
      <c r="X27" s="307">
        <f t="shared" si="3"/>
        <v>34856.211626955119</v>
      </c>
      <c r="Y27" s="307">
        <f t="shared" si="3"/>
        <v>35741.20046363298</v>
      </c>
      <c r="Z27" s="307">
        <f t="shared" si="3"/>
        <v>36489.447863514491</v>
      </c>
      <c r="AA27" s="307">
        <f t="shared" si="3"/>
        <v>37137.60924331392</v>
      </c>
      <c r="AB27" s="307">
        <f t="shared" si="3"/>
        <v>37709.328098390011</v>
      </c>
      <c r="AC27" s="307">
        <f t="shared" si="3"/>
        <v>38220.748041393097</v>
      </c>
      <c r="AD27" s="307">
        <f t="shared" si="3"/>
        <v>38683.383654163292</v>
      </c>
      <c r="AE27" s="307">
        <f t="shared" si="3"/>
        <v>39105.736878070951</v>
      </c>
      <c r="AF27" s="307">
        <f t="shared" si="3"/>
        <v>39494.264181118298</v>
      </c>
      <c r="AG27" s="307">
        <f t="shared" si="3"/>
        <v>39853.984277952462</v>
      </c>
      <c r="AH27" s="313">
        <f t="shared" si="3"/>
        <v>40188.875676150128</v>
      </c>
    </row>
    <row r="28" spans="1:34">
      <c r="A28" s="296"/>
      <c r="V28" s="314" t="s">
        <v>569</v>
      </c>
      <c r="W28" s="306">
        <v>4854</v>
      </c>
      <c r="X28" s="306"/>
      <c r="Y28" s="306"/>
      <c r="Z28" s="306"/>
      <c r="AA28" s="306"/>
      <c r="AB28" s="306"/>
      <c r="AC28" s="306"/>
      <c r="AD28" s="306"/>
      <c r="AE28" s="306"/>
      <c r="AF28" s="306"/>
      <c r="AG28" s="306"/>
      <c r="AH28" s="310"/>
    </row>
    <row r="29" spans="1:34" ht="35.85" customHeight="1">
      <c r="A29" s="296"/>
      <c r="V29" s="306" t="s">
        <v>570</v>
      </c>
      <c r="W29" s="306">
        <v>27044</v>
      </c>
      <c r="X29" s="306"/>
      <c r="Y29" s="306"/>
      <c r="Z29" s="306"/>
      <c r="AA29" s="306"/>
      <c r="AB29" s="306"/>
      <c r="AC29" s="306"/>
      <c r="AD29" s="306"/>
      <c r="AE29" s="306"/>
      <c r="AF29" s="306"/>
      <c r="AG29" s="306"/>
      <c r="AH29" s="310"/>
    </row>
    <row r="30" spans="1:34" ht="43.2">
      <c r="A30" s="296"/>
      <c r="V30" s="314" t="s">
        <v>577</v>
      </c>
      <c r="W30" s="304">
        <f>COUNT(T26:W26)</f>
        <v>4</v>
      </c>
      <c r="X30" s="304">
        <v>5</v>
      </c>
      <c r="Y30" s="304">
        <v>6</v>
      </c>
      <c r="Z30" s="304">
        <v>7</v>
      </c>
      <c r="AA30" s="304">
        <v>8</v>
      </c>
      <c r="AB30" s="304">
        <v>9</v>
      </c>
      <c r="AC30" s="304">
        <v>10</v>
      </c>
      <c r="AD30" s="304">
        <v>11</v>
      </c>
      <c r="AE30" s="304">
        <v>12</v>
      </c>
      <c r="AF30" s="304">
        <v>13</v>
      </c>
      <c r="AG30" s="304">
        <v>14</v>
      </c>
      <c r="AH30" s="305">
        <v>15</v>
      </c>
    </row>
    <row r="31" spans="1:34" ht="18.600000000000001" thickBot="1">
      <c r="A31" s="297"/>
      <c r="B31" s="505"/>
      <c r="C31" s="505"/>
      <c r="D31" s="505"/>
      <c r="E31" s="292"/>
      <c r="F31" s="292"/>
      <c r="G31" s="292"/>
      <c r="H31" s="292"/>
      <c r="I31" s="292"/>
      <c r="J31" s="292"/>
      <c r="K31" s="292"/>
      <c r="L31" s="292"/>
      <c r="M31" s="292"/>
      <c r="N31" s="292"/>
      <c r="O31" s="292"/>
      <c r="P31" s="292"/>
      <c r="Q31" s="292"/>
      <c r="R31" s="292"/>
      <c r="S31" s="292"/>
      <c r="T31" s="292"/>
      <c r="U31" s="292"/>
      <c r="V31" s="311" t="s">
        <v>578</v>
      </c>
      <c r="W31" s="311"/>
      <c r="X31" s="311"/>
      <c r="Y31" s="311">
        <v>0.88</v>
      </c>
      <c r="Z31" s="293">
        <f>AH27/Y31</f>
        <v>45669.176904716056</v>
      </c>
      <c r="AA31" s="311"/>
      <c r="AB31" s="311"/>
      <c r="AC31" s="311"/>
      <c r="AD31" s="311"/>
      <c r="AE31" s="311"/>
      <c r="AF31" s="311"/>
      <c r="AG31" s="311"/>
      <c r="AH31" s="312"/>
    </row>
    <row r="32" spans="1:34">
      <c r="W32" s="283"/>
    </row>
    <row r="33" spans="1:34" ht="14.7" thickBot="1"/>
    <row r="34" spans="1:34">
      <c r="A34" s="295"/>
      <c r="B34" s="422">
        <v>1999</v>
      </c>
      <c r="C34" s="422">
        <v>2000</v>
      </c>
      <c r="D34" s="422">
        <v>2001</v>
      </c>
      <c r="E34" s="290">
        <v>2002</v>
      </c>
      <c r="F34" s="290">
        <v>2003</v>
      </c>
      <c r="G34" s="290">
        <v>2004</v>
      </c>
      <c r="H34" s="290">
        <v>2005</v>
      </c>
      <c r="I34" s="290">
        <v>2006</v>
      </c>
      <c r="J34" s="290">
        <v>2007</v>
      </c>
      <c r="K34" s="290">
        <v>2008</v>
      </c>
      <c r="L34" s="290">
        <v>2009</v>
      </c>
      <c r="M34" s="290">
        <v>2010</v>
      </c>
      <c r="N34" s="290">
        <v>2011</v>
      </c>
      <c r="O34" s="290">
        <v>2012</v>
      </c>
      <c r="P34" s="290">
        <v>2013</v>
      </c>
      <c r="Q34" s="290">
        <v>2014</v>
      </c>
      <c r="R34" s="290">
        <v>2015</v>
      </c>
      <c r="S34" s="290">
        <v>2016</v>
      </c>
      <c r="T34" s="290">
        <v>2017</v>
      </c>
      <c r="U34" s="290">
        <v>2018</v>
      </c>
      <c r="V34" s="290">
        <v>2019</v>
      </c>
      <c r="W34" s="585">
        <v>2020</v>
      </c>
      <c r="X34" s="302">
        <v>2021</v>
      </c>
      <c r="Y34" s="302">
        <v>2022</v>
      </c>
      <c r="Z34" s="302">
        <v>2023</v>
      </c>
      <c r="AA34" s="302">
        <v>2024</v>
      </c>
      <c r="AB34" s="302">
        <v>2025</v>
      </c>
      <c r="AC34" s="302">
        <v>2026</v>
      </c>
      <c r="AD34" s="302">
        <v>2027</v>
      </c>
      <c r="AE34" s="302">
        <v>2028</v>
      </c>
      <c r="AF34" s="302">
        <v>2029</v>
      </c>
      <c r="AG34" s="302">
        <v>2030</v>
      </c>
      <c r="AH34" s="303">
        <v>2031</v>
      </c>
    </row>
    <row r="35" spans="1:34" ht="44.1">
      <c r="A35" s="296" t="str">
        <f>'Nx kits HR + IQVIA'!T2</f>
        <v>Nx kits distributed HR IQVIA</v>
      </c>
      <c r="B35" s="587">
        <f>'Nx kits HR + IQVIA'!U2</f>
        <v>1103.5</v>
      </c>
      <c r="C35" s="587">
        <f>'Nx kits HR + IQVIA'!V2</f>
        <v>3310.4999999999995</v>
      </c>
      <c r="D35" s="587">
        <f>'Nx kits HR + IQVIA'!W2</f>
        <v>4414</v>
      </c>
      <c r="E35" s="588">
        <f>'Nx kits HR + IQVIA'!X2</f>
        <v>5517.5</v>
      </c>
      <c r="F35" s="588">
        <f>'Nx kits HR + IQVIA'!Y2</f>
        <v>9350.5</v>
      </c>
      <c r="G35" s="588">
        <f>'Nx kits HR + IQVIA'!Z2</f>
        <v>13113.5</v>
      </c>
      <c r="H35" s="588">
        <f>'Nx kits HR + IQVIA'!AA2</f>
        <v>14940.499999999998</v>
      </c>
      <c r="I35" s="588">
        <f>'Nx kits HR + IQVIA'!AB2</f>
        <v>24726.499999999996</v>
      </c>
      <c r="J35" s="588">
        <f>'Nx kits HR + IQVIA'!AC2</f>
        <v>26676.499999999996</v>
      </c>
      <c r="K35" s="588">
        <f>'Nx kits HR + IQVIA'!AD2</f>
        <v>35490.999999999993</v>
      </c>
      <c r="L35" s="588">
        <f>'Nx kits HR + IQVIA'!AE2</f>
        <v>39442</v>
      </c>
      <c r="M35" s="588">
        <f>'Nx kits HR + IQVIA'!AF2</f>
        <v>47435</v>
      </c>
      <c r="N35" s="588">
        <f>'Nx kits HR + IQVIA'!AG2</f>
        <v>49586</v>
      </c>
      <c r="O35" s="588">
        <f>'Nx kits HR + IQVIA'!AH2</f>
        <v>69053</v>
      </c>
      <c r="P35" s="588">
        <f>'Nx kits HR + IQVIA'!AI2</f>
        <v>141502</v>
      </c>
      <c r="Q35" s="588">
        <f>'Nx kits HR + IQVIA'!AJ2</f>
        <v>211278.68817204301</v>
      </c>
      <c r="R35" s="588">
        <f>'Nx kits HR + IQVIA'!AK2</f>
        <v>325817.17840212741</v>
      </c>
      <c r="S35" s="588">
        <f>'Nx kits HR + IQVIA'!AL2</f>
        <v>573797.06734074547</v>
      </c>
      <c r="T35" s="588">
        <f>'Nx kits HR + IQVIA'!AM2</f>
        <v>916335.75439076754</v>
      </c>
      <c r="U35" s="588">
        <f>'Nx kits HR + IQVIA'!AN2</f>
        <v>1500485.9526574665</v>
      </c>
      <c r="V35" s="588">
        <f>'Nx kits HR + IQVIA'!AO2</f>
        <v>1931149</v>
      </c>
      <c r="W35" s="589">
        <f t="shared" ref="W35:AH35" si="4">$W$36*LN(W38)+$W$37</f>
        <v>2171299.8856021445</v>
      </c>
      <c r="X35" s="589">
        <f t="shared" si="4"/>
        <v>2375477.1276288517</v>
      </c>
      <c r="Y35" s="589">
        <f t="shared" si="4"/>
        <v>2542302.0813815473</v>
      </c>
      <c r="Z35" s="589">
        <f t="shared" si="4"/>
        <v>2683350.5700262077</v>
      </c>
      <c r="AA35" s="589">
        <f t="shared" si="4"/>
        <v>2805532.3284032163</v>
      </c>
      <c r="AB35" s="589">
        <f t="shared" si="4"/>
        <v>2913304.27716095</v>
      </c>
      <c r="AC35" s="589">
        <f t="shared" si="4"/>
        <v>3009709.5704299239</v>
      </c>
      <c r="AD35" s="589">
        <f t="shared" si="4"/>
        <v>3096918.7661916004</v>
      </c>
      <c r="AE35" s="589">
        <f t="shared" si="4"/>
        <v>3176534.5241826195</v>
      </c>
      <c r="AF35" s="589">
        <f t="shared" si="4"/>
        <v>3249773.921874736</v>
      </c>
      <c r="AG35" s="589">
        <f t="shared" si="4"/>
        <v>3317583.01282728</v>
      </c>
      <c r="AH35" s="291">
        <f t="shared" si="4"/>
        <v>3380711.7662093267</v>
      </c>
    </row>
    <row r="36" spans="1:34">
      <c r="A36" s="296"/>
      <c r="B36" s="590"/>
      <c r="C36" s="590"/>
      <c r="D36" s="590"/>
      <c r="E36" s="591"/>
      <c r="F36" s="591"/>
      <c r="G36" s="591"/>
      <c r="H36" s="591"/>
      <c r="I36" s="591"/>
      <c r="J36" s="591"/>
      <c r="K36" s="591"/>
      <c r="L36" s="591"/>
      <c r="M36" s="591"/>
      <c r="N36" s="591"/>
      <c r="O36" s="591"/>
      <c r="P36" s="591"/>
      <c r="Q36" s="591"/>
      <c r="R36" s="591"/>
      <c r="S36" s="591"/>
      <c r="T36" s="591"/>
      <c r="U36" s="591"/>
      <c r="V36" s="593" t="s">
        <v>569</v>
      </c>
      <c r="W36" s="594">
        <v>915004</v>
      </c>
      <c r="X36" s="601"/>
      <c r="Y36" s="594"/>
      <c r="Z36" s="594"/>
      <c r="AA36" s="594"/>
      <c r="AB36" s="594"/>
      <c r="AC36" s="594"/>
      <c r="AD36" s="594"/>
      <c r="AE36" s="594"/>
      <c r="AF36" s="594"/>
      <c r="AG36" s="594"/>
      <c r="AH36" s="316"/>
    </row>
    <row r="37" spans="1:34">
      <c r="A37" s="296"/>
      <c r="B37" s="590"/>
      <c r="C37" s="590"/>
      <c r="D37" s="590"/>
      <c r="E37" s="591"/>
      <c r="F37" s="591"/>
      <c r="G37" s="591"/>
      <c r="H37" s="591"/>
      <c r="I37" s="591"/>
      <c r="J37" s="591"/>
      <c r="K37" s="591"/>
      <c r="L37" s="591"/>
      <c r="M37" s="591"/>
      <c r="N37" s="591"/>
      <c r="O37" s="591"/>
      <c r="P37" s="591"/>
      <c r="Q37" s="591"/>
      <c r="R37" s="591"/>
      <c r="S37" s="591"/>
      <c r="T37" s="591"/>
      <c r="U37" s="591"/>
      <c r="V37" s="596" t="s">
        <v>570</v>
      </c>
      <c r="W37" s="594">
        <v>902835</v>
      </c>
      <c r="X37" s="601"/>
      <c r="Y37" s="594"/>
      <c r="Z37" s="594"/>
      <c r="AA37" s="594"/>
      <c r="AB37" s="594"/>
      <c r="AC37" s="594"/>
      <c r="AD37" s="594"/>
      <c r="AE37" s="594"/>
      <c r="AF37" s="594"/>
      <c r="AG37" s="594"/>
      <c r="AH37" s="316"/>
    </row>
    <row r="38" spans="1:34" ht="43.5" thickBot="1">
      <c r="A38" s="297"/>
      <c r="B38" s="505"/>
      <c r="C38" s="505"/>
      <c r="D38" s="505"/>
      <c r="E38" s="292"/>
      <c r="F38" s="292"/>
      <c r="G38" s="292"/>
      <c r="H38" s="292"/>
      <c r="I38" s="292"/>
      <c r="J38" s="292"/>
      <c r="K38" s="292"/>
      <c r="L38" s="292"/>
      <c r="M38" s="292"/>
      <c r="N38" s="292"/>
      <c r="O38" s="292"/>
      <c r="P38" s="292"/>
      <c r="Q38" s="292"/>
      <c r="R38" s="292"/>
      <c r="S38" s="292"/>
      <c r="T38" s="292"/>
      <c r="U38" s="292"/>
      <c r="V38" s="315" t="s">
        <v>577</v>
      </c>
      <c r="W38" s="311">
        <f>COUNT(T34:W34)</f>
        <v>4</v>
      </c>
      <c r="X38" s="317">
        <v>5</v>
      </c>
      <c r="Y38" s="317">
        <v>6</v>
      </c>
      <c r="Z38" s="317">
        <v>7</v>
      </c>
      <c r="AA38" s="317">
        <v>8</v>
      </c>
      <c r="AB38" s="317">
        <v>9</v>
      </c>
      <c r="AC38" s="317">
        <v>10</v>
      </c>
      <c r="AD38" s="317">
        <v>11</v>
      </c>
      <c r="AE38" s="317">
        <v>12</v>
      </c>
      <c r="AF38" s="317">
        <v>13</v>
      </c>
      <c r="AG38" s="317">
        <v>14</v>
      </c>
      <c r="AH38" s="318">
        <v>15</v>
      </c>
    </row>
    <row r="39" spans="1:34">
      <c r="W39" s="283"/>
    </row>
    <row r="40" spans="1:34" ht="14.7" thickBot="1"/>
    <row r="41" spans="1:34">
      <c r="A41" s="295"/>
      <c r="B41" s="422">
        <v>1999</v>
      </c>
      <c r="C41" s="422">
        <v>2000</v>
      </c>
      <c r="D41" s="422">
        <v>2001</v>
      </c>
      <c r="E41" s="290">
        <v>2002</v>
      </c>
      <c r="F41" s="290">
        <v>2003</v>
      </c>
      <c r="G41" s="290">
        <v>2004</v>
      </c>
      <c r="H41" s="290">
        <v>2005</v>
      </c>
      <c r="I41" s="290">
        <v>2006</v>
      </c>
      <c r="J41" s="290">
        <v>2007</v>
      </c>
      <c r="K41" s="290">
        <v>2008</v>
      </c>
      <c r="L41" s="290">
        <v>2009</v>
      </c>
      <c r="M41" s="290">
        <v>2010</v>
      </c>
      <c r="N41" s="290">
        <v>2011</v>
      </c>
      <c r="O41" s="290">
        <v>2012</v>
      </c>
      <c r="P41" s="290">
        <v>2013</v>
      </c>
      <c r="Q41" s="290">
        <v>2014</v>
      </c>
      <c r="R41" s="290">
        <v>2015</v>
      </c>
      <c r="S41" s="290">
        <v>2016</v>
      </c>
      <c r="T41" s="290">
        <v>2017</v>
      </c>
      <c r="U41" s="290">
        <v>2018</v>
      </c>
      <c r="V41" s="290">
        <v>2019</v>
      </c>
      <c r="W41" s="290">
        <v>2020</v>
      </c>
      <c r="X41" s="302">
        <v>2021</v>
      </c>
      <c r="Y41" s="302">
        <v>2022</v>
      </c>
      <c r="Z41" s="302">
        <v>2023</v>
      </c>
      <c r="AA41" s="302">
        <v>2024</v>
      </c>
      <c r="AB41" s="302">
        <v>2025</v>
      </c>
      <c r="AC41" s="302">
        <v>2026</v>
      </c>
      <c r="AD41" s="302">
        <v>2027</v>
      </c>
      <c r="AE41" s="302">
        <v>2028</v>
      </c>
      <c r="AF41" s="302">
        <v>2029</v>
      </c>
      <c r="AG41" s="302">
        <v>2030</v>
      </c>
      <c r="AH41" s="303">
        <v>2031</v>
      </c>
    </row>
    <row r="42" spans="1:34" ht="44.1">
      <c r="A42" s="296" t="str">
        <f>'Opioid Rx Data IQVIA SH'!A51</f>
        <v xml:space="preserve">Patients receiving opioid prescription </v>
      </c>
      <c r="B42" s="587">
        <f>'Opioid Rx Data IQVIA SH'!B2</f>
        <v>50615800.308805212</v>
      </c>
      <c r="C42" s="587">
        <f>'Opioid Rx Data IQVIA SH'!C2</f>
        <v>55268292.708259083</v>
      </c>
      <c r="D42" s="587">
        <f>'Opioid Rx Data IQVIA SH'!D2</f>
        <v>61600655.974125087</v>
      </c>
      <c r="E42" s="588">
        <f>'Opioid Rx Data IQVIA SH'!E2</f>
        <v>64144383.982784502</v>
      </c>
      <c r="F42" s="588">
        <f>'Opioid Rx Data IQVIA SH'!F2</f>
        <v>67962522.71045579</v>
      </c>
      <c r="G42" s="588">
        <f>'Opioid Rx Data IQVIA SH'!G2</f>
        <v>72565755.505764052</v>
      </c>
      <c r="H42" s="588">
        <f>'Opioid Rx Data IQVIA SH'!H2</f>
        <v>76938987.677525371</v>
      </c>
      <c r="I42" s="588">
        <f>'Opioid Rx Data IQVIA SH'!I2</f>
        <v>83200866.264006272</v>
      </c>
      <c r="J42" s="588">
        <f>'Opioid Rx Data IQVIA SH'!J2</f>
        <v>89963829.540194139</v>
      </c>
      <c r="K42" s="588">
        <f>'Opioid Rx Data IQVIA SH'!K2</f>
        <v>95576169.900532424</v>
      </c>
      <c r="L42" s="588">
        <f>'Opioid Rx Data IQVIA SH'!L2</f>
        <v>100503576.55517608</v>
      </c>
      <c r="M42" s="588">
        <f>'Opioid Rx Data IQVIA SH'!M2</f>
        <v>109073194.77822027</v>
      </c>
      <c r="N42" s="588">
        <f>'Opioid Rx Data IQVIA SH'!N2</f>
        <v>109066341.52647889</v>
      </c>
      <c r="O42" s="588">
        <f>'Opioid Rx Data IQVIA SH'!O2</f>
        <v>114059108.02698019</v>
      </c>
      <c r="P42" s="588">
        <f>'Opioid Rx Data IQVIA SH'!P2</f>
        <v>109256435.34644848</v>
      </c>
      <c r="Q42" s="588">
        <f>'Opioid Rx Data IQVIA SH'!Q2</f>
        <v>112819821.18383473</v>
      </c>
      <c r="R42" s="588">
        <f>'Opioid Rx Data IQVIA SH'!R2</f>
        <v>108159505.44816807</v>
      </c>
      <c r="S42" s="588">
        <f>'Opioid Rx Data IQVIA SH'!S2</f>
        <v>105696730.38438496</v>
      </c>
      <c r="T42" s="588">
        <f>'Opioid Rx Data IQVIA SH'!T2</f>
        <v>99733895.461657792</v>
      </c>
      <c r="U42" s="588">
        <f>'Opioid Rx Data IQVIA SH'!U2</f>
        <v>88986086.68498829</v>
      </c>
      <c r="V42" s="588">
        <f>'Opioid Rx Data IQVIA SH'!V2</f>
        <v>78456550.964611903</v>
      </c>
      <c r="W42" s="600">
        <f t="shared" ref="W42:AH42" si="5">$W$43*LN(W45)+$W$44</f>
        <v>72297167.696561009</v>
      </c>
      <c r="X42" s="600">
        <f t="shared" si="5"/>
        <v>67927015.5130146</v>
      </c>
      <c r="Y42" s="600">
        <f t="shared" si="5"/>
        <v>64537262.13106361</v>
      </c>
      <c r="Z42" s="600">
        <f t="shared" si="5"/>
        <v>61767631.953068316</v>
      </c>
      <c r="AA42" s="600">
        <f t="shared" si="5"/>
        <v>59425943.003524303</v>
      </c>
      <c r="AB42" s="600">
        <f t="shared" si="5"/>
        <v>57397479.769521907</v>
      </c>
      <c r="AC42" s="600">
        <f t="shared" si="5"/>
        <v>55608248.393122025</v>
      </c>
      <c r="AD42" s="600">
        <f t="shared" si="5"/>
        <v>54007726.38757091</v>
      </c>
      <c r="AE42" s="600">
        <f t="shared" si="5"/>
        <v>52559878.119389772</v>
      </c>
      <c r="AF42" s="600">
        <f t="shared" si="5"/>
        <v>51238096.209575616</v>
      </c>
      <c r="AG42" s="600">
        <f t="shared" si="5"/>
        <v>50022174.721193321</v>
      </c>
      <c r="AH42" s="291">
        <f t="shared" si="5"/>
        <v>48896407.260031603</v>
      </c>
    </row>
    <row r="43" spans="1:34">
      <c r="A43" s="296"/>
      <c r="B43" s="590"/>
      <c r="C43" s="590"/>
      <c r="D43" s="590"/>
      <c r="E43" s="591"/>
      <c r="F43" s="591"/>
      <c r="G43" s="591"/>
      <c r="H43" s="591"/>
      <c r="I43" s="591"/>
      <c r="J43" s="591"/>
      <c r="K43" s="591"/>
      <c r="L43" s="591"/>
      <c r="M43" s="591"/>
      <c r="N43" s="591"/>
      <c r="O43" s="591"/>
      <c r="P43" s="591"/>
      <c r="Q43" s="591"/>
      <c r="R43" s="591"/>
      <c r="S43" s="591"/>
      <c r="T43" s="591"/>
      <c r="U43" s="591"/>
      <c r="V43" s="593" t="s">
        <v>569</v>
      </c>
      <c r="W43" s="597">
        <v>-15190909</v>
      </c>
      <c r="X43" s="306"/>
      <c r="Y43" s="597"/>
      <c r="Z43" s="597"/>
      <c r="AA43" s="597"/>
      <c r="AB43" s="597"/>
      <c r="AC43" s="597"/>
      <c r="AD43" s="597"/>
      <c r="AE43" s="597"/>
      <c r="AF43" s="597"/>
      <c r="AG43" s="597"/>
      <c r="AH43" s="305"/>
    </row>
    <row r="44" spans="1:34">
      <c r="A44" s="296"/>
      <c r="B44" s="590"/>
      <c r="C44" s="590"/>
      <c r="D44" s="590"/>
      <c r="E44" s="591"/>
      <c r="F44" s="591"/>
      <c r="G44" s="591"/>
      <c r="H44" s="591"/>
      <c r="I44" s="591"/>
      <c r="J44" s="591"/>
      <c r="K44" s="591"/>
      <c r="L44" s="591"/>
      <c r="M44" s="591"/>
      <c r="N44" s="591"/>
      <c r="O44" s="591"/>
      <c r="P44" s="591"/>
      <c r="Q44" s="591"/>
      <c r="R44" s="591"/>
      <c r="S44" s="591"/>
      <c r="T44" s="591"/>
      <c r="U44" s="591"/>
      <c r="V44" s="596" t="s">
        <v>570</v>
      </c>
      <c r="W44" s="597">
        <v>88986087</v>
      </c>
      <c r="X44" s="306"/>
      <c r="Y44" s="597"/>
      <c r="Z44" s="597"/>
      <c r="AA44" s="597"/>
      <c r="AB44" s="597"/>
      <c r="AC44" s="597"/>
      <c r="AD44" s="597"/>
      <c r="AE44" s="597"/>
      <c r="AF44" s="597"/>
      <c r="AG44" s="597"/>
      <c r="AH44" s="305"/>
    </row>
    <row r="45" spans="1:34" ht="29.1" thickBot="1">
      <c r="A45" s="297"/>
      <c r="B45" s="505"/>
      <c r="C45" s="505"/>
      <c r="D45" s="505"/>
      <c r="E45" s="292"/>
      <c r="F45" s="292"/>
      <c r="G45" s="292"/>
      <c r="H45" s="292"/>
      <c r="I45" s="292"/>
      <c r="J45" s="292"/>
      <c r="K45" s="292"/>
      <c r="L45" s="292"/>
      <c r="M45" s="292"/>
      <c r="N45" s="292"/>
      <c r="O45" s="292"/>
      <c r="P45" s="292"/>
      <c r="Q45" s="292"/>
      <c r="R45" s="292"/>
      <c r="S45" s="292"/>
      <c r="T45" s="292"/>
      <c r="U45" s="292"/>
      <c r="V45" s="315" t="s">
        <v>586</v>
      </c>
      <c r="W45" s="311">
        <f>COUNT(U41:W41)</f>
        <v>3</v>
      </c>
      <c r="X45" s="317">
        <v>4</v>
      </c>
      <c r="Y45" s="317">
        <v>5</v>
      </c>
      <c r="Z45" s="317">
        <v>6</v>
      </c>
      <c r="AA45" s="317">
        <v>7</v>
      </c>
      <c r="AB45" s="317">
        <v>8</v>
      </c>
      <c r="AC45" s="317">
        <v>9</v>
      </c>
      <c r="AD45" s="317">
        <v>10</v>
      </c>
      <c r="AE45" s="317">
        <v>11</v>
      </c>
      <c r="AF45" s="317">
        <v>12</v>
      </c>
      <c r="AG45" s="317">
        <v>13</v>
      </c>
      <c r="AH45" s="318">
        <v>14</v>
      </c>
    </row>
    <row r="47" spans="1:34" ht="14.7" thickBot="1"/>
    <row r="48" spans="1:34">
      <c r="A48" s="295"/>
      <c r="B48" s="422">
        <v>1999</v>
      </c>
      <c r="C48" s="422">
        <v>2000</v>
      </c>
      <c r="D48" s="422">
        <v>2001</v>
      </c>
      <c r="E48" s="290">
        <v>2002</v>
      </c>
      <c r="F48" s="290">
        <v>2003</v>
      </c>
      <c r="G48" s="290">
        <v>2004</v>
      </c>
      <c r="H48" s="290">
        <v>2005</v>
      </c>
      <c r="I48" s="290">
        <v>2006</v>
      </c>
      <c r="J48" s="290">
        <v>2007</v>
      </c>
      <c r="K48" s="290">
        <v>2008</v>
      </c>
      <c r="L48" s="290">
        <v>2009</v>
      </c>
      <c r="M48" s="290">
        <v>2010</v>
      </c>
      <c r="N48" s="290">
        <v>2011</v>
      </c>
      <c r="O48" s="290">
        <v>2012</v>
      </c>
      <c r="P48" s="290">
        <v>2013</v>
      </c>
      <c r="Q48" s="290">
        <v>2014</v>
      </c>
      <c r="R48" s="290">
        <v>2015</v>
      </c>
      <c r="S48" s="290">
        <v>2016</v>
      </c>
      <c r="T48" s="290">
        <v>2017</v>
      </c>
      <c r="U48" s="290">
        <v>2018</v>
      </c>
      <c r="V48" s="290">
        <v>2019</v>
      </c>
      <c r="W48" s="290">
        <v>2020</v>
      </c>
      <c r="X48" s="302">
        <v>2021</v>
      </c>
      <c r="Y48" s="302">
        <v>2022</v>
      </c>
      <c r="Z48" s="302">
        <v>2023</v>
      </c>
      <c r="AA48" s="302">
        <v>2024</v>
      </c>
      <c r="AB48" s="302">
        <v>2025</v>
      </c>
      <c r="AC48" s="302">
        <v>2026</v>
      </c>
      <c r="AD48" s="302">
        <v>2027</v>
      </c>
      <c r="AE48" s="302">
        <v>2028</v>
      </c>
      <c r="AF48" s="302">
        <v>2029</v>
      </c>
      <c r="AG48" s="302">
        <v>2030</v>
      </c>
      <c r="AH48" s="303">
        <v>2031</v>
      </c>
    </row>
    <row r="49" spans="1:34" ht="28.8">
      <c r="A49" s="296" t="s">
        <v>579</v>
      </c>
      <c r="B49" s="598">
        <f>'Opioid Rx Data IQVIA SH'!B3</f>
        <v>156716600</v>
      </c>
      <c r="C49" s="598">
        <f>'Opioid Rx Data IQVIA SH'!C3</f>
        <v>167976040</v>
      </c>
      <c r="D49" s="598">
        <f>'Opioid Rx Data IQVIA SH'!D3</f>
        <v>183715880</v>
      </c>
      <c r="E49" s="599">
        <f>'Opioid Rx Data IQVIA SH'!E3</f>
        <v>187651428</v>
      </c>
      <c r="F49" s="599">
        <f>'Opioid Rx Data IQVIA SH'!F3</f>
        <v>194953119</v>
      </c>
      <c r="G49" s="599">
        <f>'Opioid Rx Data IQVIA SH'!G3</f>
        <v>204027579</v>
      </c>
      <c r="H49" s="599">
        <f>'Opioid Rx Data IQVIA SH'!H3</f>
        <v>211944467</v>
      </c>
      <c r="I49" s="599">
        <f>'Opioid Rx Data IQVIA SH'!I3</f>
        <v>224458726</v>
      </c>
      <c r="J49" s="599">
        <f>'Opioid Rx Data IQVIA SH'!J3</f>
        <v>237583497</v>
      </c>
      <c r="K49" s="599">
        <f>'Opioid Rx Data IQVIA SH'!K3</f>
        <v>246965271</v>
      </c>
      <c r="L49" s="599">
        <f>'Opioid Rx Data IQVIA SH'!L3</f>
        <v>253048448</v>
      </c>
      <c r="M49" s="599">
        <f>'Opioid Rx Data IQVIA SH'!M3</f>
        <v>259934115</v>
      </c>
      <c r="N49" s="599">
        <f>'Opioid Rx Data IQVIA SH'!N3</f>
        <v>260625937</v>
      </c>
      <c r="O49" s="599">
        <f>'Opioid Rx Data IQVIA SH'!O3</f>
        <v>263067911</v>
      </c>
      <c r="P49" s="599">
        <f>'Opioid Rx Data IQVIA SH'!P3</f>
        <v>253919348</v>
      </c>
      <c r="Q49" s="599">
        <f>'Opioid Rx Data IQVIA SH'!Q3</f>
        <v>246326325</v>
      </c>
      <c r="R49" s="599">
        <f>'Opioid Rx Data IQVIA SH'!R3</f>
        <v>229140550</v>
      </c>
      <c r="S49" s="599">
        <f>'Opioid Rx Data IQVIA SH'!S3</f>
        <v>217313967</v>
      </c>
      <c r="T49" s="599">
        <f>'Opioid Rx Data IQVIA SH'!T3</f>
        <v>193782638</v>
      </c>
      <c r="U49" s="599">
        <f>'Opioid Rx Data IQVIA SH'!U3</f>
        <v>169863949</v>
      </c>
      <c r="V49" s="588">
        <f>'Opioid Rx Data IQVIA SH'!V3</f>
        <v>154658303</v>
      </c>
      <c r="W49" s="600">
        <f>$W$50*LN(W52)+$W$51</f>
        <v>144762461.32100242</v>
      </c>
      <c r="X49" s="600">
        <f t="shared" ref="X49:AH49" si="6">$W$50*LN(X52)+$W$51</f>
        <v>136842315.23614442</v>
      </c>
      <c r="Y49" s="600">
        <f t="shared" si="6"/>
        <v>130371084.69543509</v>
      </c>
      <c r="Z49" s="600">
        <f t="shared" si="6"/>
        <v>124899737.23268494</v>
      </c>
      <c r="AA49" s="600">
        <f t="shared" si="6"/>
        <v>120160240.48150367</v>
      </c>
      <c r="AB49" s="600">
        <f t="shared" si="6"/>
        <v>115979708.06986773</v>
      </c>
      <c r="AC49" s="600">
        <f t="shared" si="6"/>
        <v>112240094.39664565</v>
      </c>
      <c r="AD49" s="600">
        <f t="shared" si="6"/>
        <v>108857202.33914049</v>
      </c>
      <c r="AE49" s="600">
        <f t="shared" si="6"/>
        <v>105768863.8559363</v>
      </c>
      <c r="AF49" s="600">
        <f t="shared" si="6"/>
        <v>102927867.85104023</v>
      </c>
      <c r="AG49" s="600">
        <f t="shared" si="6"/>
        <v>100297516.39318617</v>
      </c>
      <c r="AH49" s="643">
        <f t="shared" si="6"/>
        <v>97848717.771078303</v>
      </c>
    </row>
    <row r="50" spans="1:34">
      <c r="A50" s="296"/>
      <c r="B50" s="590"/>
      <c r="C50" s="590"/>
      <c r="D50" s="590"/>
      <c r="E50" s="591"/>
      <c r="F50" s="591"/>
      <c r="G50" s="591"/>
      <c r="H50" s="591"/>
      <c r="I50" s="591"/>
      <c r="J50" s="591"/>
      <c r="K50" s="591"/>
      <c r="L50" s="591"/>
      <c r="M50" s="591"/>
      <c r="N50" s="591"/>
      <c r="O50" s="591"/>
      <c r="P50" s="591"/>
      <c r="Q50" s="591"/>
      <c r="R50" s="591"/>
      <c r="S50" s="591"/>
      <c r="T50" s="591"/>
      <c r="U50" s="591"/>
      <c r="V50" s="593" t="s">
        <v>569</v>
      </c>
      <c r="W50" s="601">
        <v>-35493502</v>
      </c>
      <c r="X50" s="601"/>
      <c r="Y50" s="597"/>
      <c r="Z50" s="597"/>
      <c r="AA50" s="597"/>
      <c r="AB50" s="597"/>
      <c r="AC50" s="597"/>
      <c r="AD50" s="597"/>
      <c r="AE50" s="597"/>
      <c r="AF50" s="597"/>
      <c r="AG50" s="597"/>
      <c r="AH50" s="305"/>
    </row>
    <row r="51" spans="1:34">
      <c r="A51" s="296"/>
      <c r="B51" s="590"/>
      <c r="C51" s="590"/>
      <c r="D51" s="590"/>
      <c r="E51" s="591"/>
      <c r="F51" s="591"/>
      <c r="G51" s="591"/>
      <c r="H51" s="591"/>
      <c r="I51" s="591"/>
      <c r="J51" s="591"/>
      <c r="K51" s="591"/>
      <c r="L51" s="591"/>
      <c r="M51" s="591"/>
      <c r="N51" s="591"/>
      <c r="O51" s="591"/>
      <c r="P51" s="591"/>
      <c r="Q51" s="591"/>
      <c r="R51" s="591"/>
      <c r="S51" s="591"/>
      <c r="T51" s="591"/>
      <c r="U51" s="591"/>
      <c r="V51" s="596" t="s">
        <v>570</v>
      </c>
      <c r="W51" s="601">
        <v>193966903</v>
      </c>
      <c r="X51" s="601"/>
      <c r="Y51" s="597"/>
      <c r="Z51" s="597"/>
      <c r="AA51" s="597"/>
      <c r="AB51" s="597"/>
      <c r="AC51" s="597"/>
      <c r="AD51" s="597"/>
      <c r="AE51" s="597"/>
      <c r="AF51" s="597"/>
      <c r="AG51" s="597"/>
      <c r="AH51" s="305"/>
    </row>
    <row r="52" spans="1:34" ht="43.5" thickBot="1">
      <c r="A52" s="297"/>
      <c r="B52" s="505"/>
      <c r="C52" s="505"/>
      <c r="D52" s="505"/>
      <c r="E52" s="292"/>
      <c r="F52" s="292"/>
      <c r="G52" s="292"/>
      <c r="H52" s="292"/>
      <c r="I52" s="292"/>
      <c r="J52" s="292"/>
      <c r="K52" s="292"/>
      <c r="L52" s="292"/>
      <c r="M52" s="292"/>
      <c r="N52" s="292"/>
      <c r="O52" s="292"/>
      <c r="P52" s="292"/>
      <c r="Q52" s="292"/>
      <c r="R52" s="292"/>
      <c r="S52" s="292"/>
      <c r="T52" s="292"/>
      <c r="U52" s="292"/>
      <c r="V52" s="315" t="s">
        <v>577</v>
      </c>
      <c r="W52" s="317">
        <f>COUNT(T48:W48)</f>
        <v>4</v>
      </c>
      <c r="X52" s="311">
        <v>5</v>
      </c>
      <c r="Y52" s="317">
        <v>6</v>
      </c>
      <c r="Z52" s="317">
        <v>7</v>
      </c>
      <c r="AA52" s="317">
        <v>8</v>
      </c>
      <c r="AB52" s="317">
        <v>9</v>
      </c>
      <c r="AC52" s="317">
        <v>10</v>
      </c>
      <c r="AD52" s="317">
        <v>11</v>
      </c>
      <c r="AE52" s="317">
        <v>12</v>
      </c>
      <c r="AF52" s="317">
        <v>13</v>
      </c>
      <c r="AG52" s="317">
        <v>14</v>
      </c>
      <c r="AH52" s="318">
        <v>15</v>
      </c>
    </row>
    <row r="53" spans="1:34" ht="30" customHeight="1">
      <c r="V53" s="49"/>
      <c r="W53" s="284"/>
      <c r="X53" s="284"/>
      <c r="Y53" s="284"/>
      <c r="Z53" s="284"/>
      <c r="AA53" s="284"/>
      <c r="AB53" s="284"/>
      <c r="AC53" s="284"/>
      <c r="AD53" s="414" t="s">
        <v>580</v>
      </c>
      <c r="AF53" s="415"/>
      <c r="AG53" s="300"/>
      <c r="AH53" s="284"/>
    </row>
    <row r="54" spans="1:34" ht="21">
      <c r="V54" s="49"/>
      <c r="W54" s="284"/>
      <c r="X54" s="284"/>
      <c r="Y54" s="284"/>
      <c r="Z54" s="284"/>
      <c r="AA54" s="284"/>
      <c r="AB54" s="284"/>
      <c r="AC54" s="284"/>
      <c r="AD54" s="298" t="s">
        <v>581</v>
      </c>
      <c r="AF54" s="416">
        <f>AH49/AH42</f>
        <v>2.0011432997667455</v>
      </c>
      <c r="AG54" s="300"/>
      <c r="AH54" s="284"/>
    </row>
    <row r="55" spans="1:34" ht="18.600000000000001" thickBot="1">
      <c r="W55" s="284"/>
      <c r="X55" s="284"/>
      <c r="Y55" s="284"/>
      <c r="Z55" s="284"/>
      <c r="AA55" s="284"/>
      <c r="AB55" s="284"/>
      <c r="AC55" s="284"/>
      <c r="AD55" s="299" t="s">
        <v>582</v>
      </c>
      <c r="AE55" s="292"/>
      <c r="AF55" s="293">
        <f>AH58/AH49</f>
        <v>499.22914107505812</v>
      </c>
      <c r="AG55" s="301"/>
      <c r="AH55" s="284"/>
    </row>
    <row r="56" spans="1:34" ht="14.7" thickBot="1">
      <c r="W56" s="284"/>
      <c r="X56" s="284"/>
      <c r="Y56" s="284"/>
      <c r="Z56" s="284"/>
      <c r="AA56" s="284"/>
      <c r="AB56" s="284"/>
      <c r="AC56" s="284"/>
      <c r="AD56" s="284"/>
      <c r="AE56" s="284"/>
      <c r="AF56" s="284"/>
      <c r="AG56" s="284"/>
      <c r="AH56" s="284"/>
    </row>
    <row r="57" spans="1:34">
      <c r="A57" s="295"/>
      <c r="B57" s="422">
        <v>1999</v>
      </c>
      <c r="C57" s="422">
        <v>2000</v>
      </c>
      <c r="D57" s="422">
        <v>2001</v>
      </c>
      <c r="E57" s="290">
        <v>2002</v>
      </c>
      <c r="F57" s="290">
        <v>2003</v>
      </c>
      <c r="G57" s="290">
        <v>2004</v>
      </c>
      <c r="H57" s="290">
        <v>2005</v>
      </c>
      <c r="I57" s="290">
        <v>2006</v>
      </c>
      <c r="J57" s="290">
        <v>2007</v>
      </c>
      <c r="K57" s="290">
        <v>2008</v>
      </c>
      <c r="L57" s="290">
        <v>2009</v>
      </c>
      <c r="M57" s="290">
        <v>2010</v>
      </c>
      <c r="N57" s="290">
        <v>2011</v>
      </c>
      <c r="O57" s="290">
        <v>2012</v>
      </c>
      <c r="P57" s="290">
        <v>2013</v>
      </c>
      <c r="Q57" s="290">
        <v>2014</v>
      </c>
      <c r="R57" s="290">
        <v>2015</v>
      </c>
      <c r="S57" s="290">
        <v>2016</v>
      </c>
      <c r="T57" s="290">
        <v>2017</v>
      </c>
      <c r="U57" s="290">
        <v>2018</v>
      </c>
      <c r="V57" s="290">
        <v>2019</v>
      </c>
      <c r="W57" s="327">
        <v>2020</v>
      </c>
      <c r="X57" s="302">
        <v>2021</v>
      </c>
      <c r="Y57" s="302">
        <v>2022</v>
      </c>
      <c r="Z57" s="302">
        <v>2023</v>
      </c>
      <c r="AA57" s="302">
        <v>2024</v>
      </c>
      <c r="AB57" s="302">
        <v>2025</v>
      </c>
      <c r="AC57" s="302">
        <v>2026</v>
      </c>
      <c r="AD57" s="302">
        <v>2027</v>
      </c>
      <c r="AE57" s="302">
        <v>2028</v>
      </c>
      <c r="AF57" s="302">
        <v>2029</v>
      </c>
      <c r="AG57" s="302">
        <v>2030</v>
      </c>
      <c r="AH57" s="303">
        <v>2031</v>
      </c>
    </row>
    <row r="58" spans="1:34" ht="75.599999999999994" customHeight="1">
      <c r="A58" s="296" t="s">
        <v>583</v>
      </c>
      <c r="B58" s="598">
        <f>'Opioid Rx Data IQVIA SH'!B4</f>
        <v>83860335346.247116</v>
      </c>
      <c r="C58" s="598">
        <f>'Opioid Rx Data IQVIA SH'!C4</f>
        <v>88243037645.415298</v>
      </c>
      <c r="D58" s="598">
        <f>'Opioid Rx Data IQVIA SH'!D4</f>
        <v>104432410000.00002</v>
      </c>
      <c r="E58" s="599">
        <f>'Opioid Rx Data IQVIA SH'!E4</f>
        <v>113914397673</v>
      </c>
      <c r="F58" s="599">
        <f>'Opioid Rx Data IQVIA SH'!F4</f>
        <v>128182380208</v>
      </c>
      <c r="G58" s="599">
        <f>'Opioid Rx Data IQVIA SH'!G4</f>
        <v>141266597589</v>
      </c>
      <c r="H58" s="599">
        <f>'Opioid Rx Data IQVIA SH'!H4</f>
        <v>152741116253</v>
      </c>
      <c r="I58" s="599">
        <f>'Opioid Rx Data IQVIA SH'!I4</f>
        <v>172377484435</v>
      </c>
      <c r="J58" s="599">
        <f>'Opioid Rx Data IQVIA SH'!J4</f>
        <v>194816933897</v>
      </c>
      <c r="K58" s="599">
        <f>'Opioid Rx Data IQVIA SH'!K4</f>
        <v>214803554568</v>
      </c>
      <c r="L58" s="599">
        <f>'Opioid Rx Data IQVIA SH'!L4</f>
        <v>227757668789</v>
      </c>
      <c r="M58" s="599">
        <f>'Opioid Rx Data IQVIA SH'!M4</f>
        <v>245404960604</v>
      </c>
      <c r="N58" s="599">
        <f>'Opioid Rx Data IQVIA SH'!N4</f>
        <v>246463188398</v>
      </c>
      <c r="O58" s="599">
        <f>'Opioid Rx Data IQVIA SH'!O4</f>
        <v>239867616739</v>
      </c>
      <c r="P58" s="599">
        <f>'Opioid Rx Data IQVIA SH'!P4</f>
        <v>228965844787</v>
      </c>
      <c r="Q58" s="599">
        <f>'Opioid Rx Data IQVIA SH'!Q4</f>
        <v>221271525079</v>
      </c>
      <c r="R58" s="599">
        <f>'Opioid Rx Data IQVIA SH'!R4</f>
        <v>209409702158</v>
      </c>
      <c r="S58" s="599">
        <f>'Opioid Rx Data IQVIA SH'!S4</f>
        <v>197124327717</v>
      </c>
      <c r="T58" s="599">
        <f>'Opioid Rx Data IQVIA SH'!T4</f>
        <v>170285611746</v>
      </c>
      <c r="U58" s="599">
        <f>'Opioid Rx Data IQVIA SH'!U4</f>
        <v>141100706124</v>
      </c>
      <c r="V58" s="599">
        <f>'Opioid Rx Data IQVIA SH'!V4</f>
        <v>120407890118</v>
      </c>
      <c r="W58" s="644">
        <f>$W$59*LN(W61)+$W$60</f>
        <v>108388436597.76685</v>
      </c>
      <c r="X58" s="644">
        <f t="shared" ref="X58:AG58" si="7">$W$59*LN(X61)+$W$60</f>
        <v>98336764233.277161</v>
      </c>
      <c r="Y58" s="644">
        <f t="shared" si="7"/>
        <v>90123949912.257477</v>
      </c>
      <c r="Z58" s="644">
        <f t="shared" si="7"/>
        <v>83180114344.250717</v>
      </c>
      <c r="AA58" s="644">
        <f t="shared" si="7"/>
        <v>77165090378.150269</v>
      </c>
      <c r="AB58" s="644">
        <f t="shared" si="7"/>
        <v>71859463226.748093</v>
      </c>
      <c r="AC58" s="644">
        <f t="shared" si="7"/>
        <v>67113418013.660568</v>
      </c>
      <c r="AD58" s="644">
        <f t="shared" si="7"/>
        <v>62820097885.199081</v>
      </c>
      <c r="AE58" s="644">
        <f t="shared" si="7"/>
        <v>58900603692.6409</v>
      </c>
      <c r="AF58" s="644">
        <f t="shared" si="7"/>
        <v>55295018552.660294</v>
      </c>
      <c r="AG58" s="644">
        <f t="shared" si="7"/>
        <v>51956768124.63414</v>
      </c>
      <c r="AH58" s="645">
        <f>$W$59*LN(AH61)+$W$60</f>
        <v>48848931328.151199</v>
      </c>
    </row>
    <row r="59" spans="1:34">
      <c r="A59" s="296"/>
      <c r="B59" s="590"/>
      <c r="C59" s="590"/>
      <c r="D59" s="590"/>
      <c r="E59" s="591"/>
      <c r="F59" s="591"/>
      <c r="G59" s="591"/>
      <c r="H59" s="591"/>
      <c r="I59" s="591"/>
      <c r="J59" s="591"/>
      <c r="K59" s="591"/>
      <c r="L59" s="591"/>
      <c r="M59" s="591"/>
      <c r="N59" s="591"/>
      <c r="O59" s="591"/>
      <c r="P59" s="591"/>
      <c r="Q59" s="591"/>
      <c r="R59" s="591"/>
      <c r="S59" s="591"/>
      <c r="T59" s="591"/>
      <c r="U59" s="591"/>
      <c r="V59" s="601" t="s">
        <v>569</v>
      </c>
      <c r="W59" s="625">
        <v>-45045766751</v>
      </c>
      <c r="X59" s="306"/>
      <c r="Y59" s="601"/>
      <c r="Z59" s="601"/>
      <c r="AA59" s="601"/>
      <c r="AB59" s="601"/>
      <c r="AC59" s="601"/>
      <c r="AD59" s="601"/>
      <c r="AE59" s="601"/>
      <c r="AF59" s="601"/>
      <c r="AG59" s="601"/>
      <c r="AH59" s="310"/>
    </row>
    <row r="60" spans="1:34">
      <c r="A60" s="296"/>
      <c r="B60" s="590"/>
      <c r="C60" s="590"/>
      <c r="D60" s="590"/>
      <c r="E60" s="591"/>
      <c r="F60" s="591"/>
      <c r="G60" s="591"/>
      <c r="H60" s="591"/>
      <c r="I60" s="591"/>
      <c r="J60" s="591"/>
      <c r="K60" s="591"/>
      <c r="L60" s="591"/>
      <c r="M60" s="591"/>
      <c r="N60" s="591"/>
      <c r="O60" s="591"/>
      <c r="P60" s="591"/>
      <c r="Q60" s="591"/>
      <c r="R60" s="591"/>
      <c r="S60" s="591"/>
      <c r="T60" s="591"/>
      <c r="U60" s="591"/>
      <c r="V60" s="601" t="s">
        <v>570</v>
      </c>
      <c r="W60" s="626">
        <v>170835129037</v>
      </c>
      <c r="X60" s="306"/>
      <c r="Y60" s="601"/>
      <c r="Z60" s="601"/>
      <c r="AA60" s="601"/>
      <c r="AB60" s="601"/>
      <c r="AC60" s="601"/>
      <c r="AD60" s="601"/>
      <c r="AE60" s="601"/>
      <c r="AF60" s="601"/>
      <c r="AG60" s="601"/>
      <c r="AH60" s="310"/>
    </row>
    <row r="61" spans="1:34" ht="43.5" thickBot="1">
      <c r="A61" s="297"/>
      <c r="B61" s="505"/>
      <c r="C61" s="505"/>
      <c r="D61" s="505"/>
      <c r="E61" s="292"/>
      <c r="F61" s="292"/>
      <c r="G61" s="292"/>
      <c r="H61" s="292"/>
      <c r="I61" s="292"/>
      <c r="J61" s="292"/>
      <c r="K61" s="292"/>
      <c r="L61" s="292"/>
      <c r="M61" s="292"/>
      <c r="N61" s="292"/>
      <c r="O61" s="292"/>
      <c r="P61" s="292"/>
      <c r="Q61" s="292"/>
      <c r="R61" s="292"/>
      <c r="S61" s="292"/>
      <c r="T61" s="292"/>
      <c r="U61" s="292"/>
      <c r="V61" s="315" t="s">
        <v>577</v>
      </c>
      <c r="W61" s="317">
        <f>COUNT(T57:W57)</f>
        <v>4</v>
      </c>
      <c r="X61" s="311">
        <v>5</v>
      </c>
      <c r="Y61" s="317">
        <v>6</v>
      </c>
      <c r="Z61" s="317">
        <v>7</v>
      </c>
      <c r="AA61" s="317">
        <v>8</v>
      </c>
      <c r="AB61" s="317">
        <v>9</v>
      </c>
      <c r="AC61" s="317">
        <v>10</v>
      </c>
      <c r="AD61" s="317">
        <v>11</v>
      </c>
      <c r="AE61" s="317">
        <v>12</v>
      </c>
      <c r="AF61" s="317">
        <v>13</v>
      </c>
      <c r="AG61" s="317">
        <v>14</v>
      </c>
      <c r="AH61" s="318">
        <v>15</v>
      </c>
    </row>
    <row r="63" spans="1:34" ht="14.7" thickBot="1"/>
    <row r="64" spans="1:34">
      <c r="A64" s="295"/>
      <c r="B64" s="422">
        <v>1999</v>
      </c>
      <c r="C64" s="422">
        <v>2000</v>
      </c>
      <c r="D64" s="422">
        <v>2001</v>
      </c>
      <c r="E64" s="290">
        <v>2002</v>
      </c>
      <c r="F64" s="290">
        <v>2003</v>
      </c>
      <c r="G64" s="290">
        <v>2004</v>
      </c>
      <c r="H64" s="290">
        <v>2005</v>
      </c>
      <c r="I64" s="290">
        <v>2006</v>
      </c>
      <c r="J64" s="290">
        <v>2007</v>
      </c>
      <c r="K64" s="290">
        <v>2008</v>
      </c>
      <c r="L64" s="290">
        <v>2009</v>
      </c>
      <c r="M64" s="290">
        <v>2010</v>
      </c>
      <c r="N64" s="290">
        <v>2011</v>
      </c>
      <c r="O64" s="290">
        <v>2012</v>
      </c>
      <c r="P64" s="290">
        <v>2013</v>
      </c>
      <c r="Q64" s="290">
        <v>2014</v>
      </c>
      <c r="R64" s="290">
        <v>2015</v>
      </c>
      <c r="S64" s="290">
        <v>2016</v>
      </c>
      <c r="T64" s="290">
        <v>2017</v>
      </c>
      <c r="U64" s="290">
        <v>2018</v>
      </c>
      <c r="V64" s="290">
        <v>2019</v>
      </c>
      <c r="W64" s="290">
        <v>2020</v>
      </c>
      <c r="X64" s="302">
        <v>2021</v>
      </c>
      <c r="Y64" s="302">
        <v>2022</v>
      </c>
      <c r="Z64" s="302">
        <v>2023</v>
      </c>
      <c r="AA64" s="302">
        <v>2024</v>
      </c>
      <c r="AB64" s="302">
        <v>2025</v>
      </c>
      <c r="AC64" s="302">
        <v>2026</v>
      </c>
      <c r="AD64" s="302">
        <v>2027</v>
      </c>
      <c r="AE64" s="302">
        <v>2028</v>
      </c>
      <c r="AF64" s="302">
        <v>2029</v>
      </c>
      <c r="AG64" s="302">
        <v>2030</v>
      </c>
      <c r="AH64" s="303">
        <v>2031</v>
      </c>
    </row>
    <row r="65" spans="1:34" ht="44.1">
      <c r="A65" s="296" t="s">
        <v>588</v>
      </c>
      <c r="B65" s="590">
        <f>'Opioid Rx Data IQVIA SH'!B68</f>
        <v>0</v>
      </c>
      <c r="C65" s="590">
        <f>'Opioid Rx Data IQVIA SH'!C68</f>
        <v>0</v>
      </c>
      <c r="D65" s="590">
        <f>'Opioid Rx Data IQVIA SH'!D68</f>
        <v>0</v>
      </c>
      <c r="E65" s="628">
        <f>'Opioid Rx Data IQVIA SH'!E68</f>
        <v>0</v>
      </c>
      <c r="F65" s="628">
        <f>'Opioid Rx Data IQVIA SH'!F68</f>
        <v>0</v>
      </c>
      <c r="G65" s="628">
        <f>'Opioid Rx Data IQVIA SH'!G68</f>
        <v>0</v>
      </c>
      <c r="H65" s="628">
        <f>'Opioid Rx Data IQVIA SH'!H68</f>
        <v>0</v>
      </c>
      <c r="I65" s="628">
        <f>'Opioid Rx Data IQVIA SH'!I68</f>
        <v>0</v>
      </c>
      <c r="J65" s="628">
        <f>'Opioid Rx Data IQVIA SH'!J68</f>
        <v>0</v>
      </c>
      <c r="K65" s="628">
        <f>'Opioid Rx Data IQVIA SH'!K68</f>
        <v>0</v>
      </c>
      <c r="L65" s="628">
        <f>'Opioid Rx Data IQVIA SH'!L68</f>
        <v>1.2868150677794213E-4</v>
      </c>
      <c r="M65" s="628">
        <f>'Opioid Rx Data IQVIA SH'!M68</f>
        <v>3.0440046129983321E-2</v>
      </c>
      <c r="N65" s="628">
        <f>'Opioid Rx Data IQVIA SH'!N68</f>
        <v>0.10357235362782942</v>
      </c>
      <c r="O65" s="628">
        <f>'Opioid Rx Data IQVIA SH'!O68</f>
        <v>9.0387600251146713E-2</v>
      </c>
      <c r="P65" s="628">
        <f>'Opioid Rx Data IQVIA SH'!P68</f>
        <v>8.5121503878147764E-2</v>
      </c>
      <c r="Q65" s="628">
        <f>'Opioid Rx Data IQVIA SH'!Q68</f>
        <v>7.9822156563950336E-2</v>
      </c>
      <c r="R65" s="628">
        <f>'Opioid Rx Data IQVIA SH'!R68</f>
        <v>7.5699132306866743E-2</v>
      </c>
      <c r="S65" s="628">
        <f>'Opioid Rx Data IQVIA SH'!S68</f>
        <v>7.0648063363307451E-2</v>
      </c>
      <c r="T65" s="628">
        <f>'Opioid Rx Data IQVIA SH'!T68</f>
        <v>6.5304469508482815E-2</v>
      </c>
      <c r="U65" s="628">
        <f>'Opioid Rx Data IQVIA SH'!U68</f>
        <v>6.2178924571006849E-2</v>
      </c>
      <c r="V65" s="628">
        <f>'Opioid Rx Data IQVIA SH'!V68</f>
        <v>5.5745186078936089E-2</v>
      </c>
      <c r="W65" s="629">
        <f>$W$66*LN(W68)+$W$67</f>
        <v>5.1984877961159942E-2</v>
      </c>
      <c r="X65" s="629">
        <f>$W$66*LN(W68)+$W$67</f>
        <v>5.1984877961159942E-2</v>
      </c>
      <c r="Y65" s="629">
        <f t="shared" ref="Y65:AH65" si="8">$W$66*LN(Y68)+$W$67</f>
        <v>4.7244416172611547E-2</v>
      </c>
      <c r="Z65" s="629">
        <f t="shared" si="8"/>
        <v>4.5552472125563653E-2</v>
      </c>
      <c r="AA65" s="629">
        <f t="shared" si="8"/>
        <v>4.4121953816766687E-2</v>
      </c>
      <c r="AB65" s="629">
        <f t="shared" si="8"/>
        <v>4.2882782493211119E-2</v>
      </c>
      <c r="AC65" s="629">
        <f t="shared" si="8"/>
        <v>4.1789755922319885E-2</v>
      </c>
      <c r="AD65" s="629">
        <f t="shared" si="8"/>
        <v>4.0812010337015252E-2</v>
      </c>
      <c r="AE65" s="629">
        <f t="shared" si="8"/>
        <v>3.9927531868431121E-2</v>
      </c>
      <c r="AF65" s="629">
        <f t="shared" si="8"/>
        <v>3.9120066289967351E-2</v>
      </c>
      <c r="AG65" s="629">
        <f t="shared" si="8"/>
        <v>3.8377269962756935E-2</v>
      </c>
      <c r="AH65" s="294">
        <f t="shared" si="8"/>
        <v>3.7689547981170399E-2</v>
      </c>
    </row>
    <row r="66" spans="1:34">
      <c r="A66" s="296"/>
      <c r="B66" s="590"/>
      <c r="C66" s="590"/>
      <c r="D66" s="590"/>
      <c r="E66" s="591"/>
      <c r="F66" s="591"/>
      <c r="G66" s="591"/>
      <c r="H66" s="591"/>
      <c r="I66" s="591"/>
      <c r="J66" s="591"/>
      <c r="K66" s="591"/>
      <c r="L66" s="591"/>
      <c r="M66" s="591"/>
      <c r="N66" s="591"/>
      <c r="O66" s="591"/>
      <c r="P66" s="591"/>
      <c r="Q66" s="591"/>
      <c r="R66" s="591"/>
      <c r="S66" s="591"/>
      <c r="T66" s="591"/>
      <c r="U66" s="591"/>
      <c r="V66" s="593" t="s">
        <v>569</v>
      </c>
      <c r="W66" s="601">
        <v>-9.2800000000000001E-3</v>
      </c>
      <c r="X66" s="601"/>
      <c r="Y66" s="601"/>
      <c r="Z66" s="601"/>
      <c r="AA66" s="601"/>
      <c r="AB66" s="601"/>
      <c r="AC66" s="601"/>
      <c r="AD66" s="601"/>
      <c r="AE66" s="601"/>
      <c r="AF66" s="601"/>
      <c r="AG66" s="601"/>
      <c r="AH66" s="310"/>
    </row>
    <row r="67" spans="1:34">
      <c r="A67" s="296"/>
      <c r="B67" s="590"/>
      <c r="C67" s="590"/>
      <c r="D67" s="590"/>
      <c r="E67" s="591"/>
      <c r="F67" s="591"/>
      <c r="G67" s="591"/>
      <c r="H67" s="591"/>
      <c r="I67" s="591"/>
      <c r="J67" s="591"/>
      <c r="K67" s="591"/>
      <c r="L67" s="591"/>
      <c r="M67" s="591"/>
      <c r="N67" s="591"/>
      <c r="O67" s="591"/>
      <c r="P67" s="591"/>
      <c r="Q67" s="591"/>
      <c r="R67" s="591"/>
      <c r="S67" s="591"/>
      <c r="T67" s="591"/>
      <c r="U67" s="591"/>
      <c r="V67" s="596" t="s">
        <v>570</v>
      </c>
      <c r="W67" s="601">
        <v>6.2179999999999999E-2</v>
      </c>
      <c r="X67" s="601"/>
      <c r="Y67" s="601"/>
      <c r="Z67" s="601"/>
      <c r="AA67" s="601"/>
      <c r="AB67" s="601"/>
      <c r="AC67" s="601"/>
      <c r="AD67" s="601"/>
      <c r="AE67" s="601"/>
      <c r="AF67" s="601"/>
      <c r="AG67" s="601"/>
      <c r="AH67" s="310"/>
    </row>
    <row r="68" spans="1:34" ht="29.1" thickBot="1">
      <c r="A68" s="297"/>
      <c r="B68" s="505"/>
      <c r="C68" s="505"/>
      <c r="D68" s="505"/>
      <c r="E68" s="292"/>
      <c r="F68" s="292"/>
      <c r="G68" s="292"/>
      <c r="H68" s="292"/>
      <c r="I68" s="292"/>
      <c r="J68" s="292"/>
      <c r="K68" s="292"/>
      <c r="L68" s="292"/>
      <c r="M68" s="292"/>
      <c r="N68" s="292"/>
      <c r="O68" s="292"/>
      <c r="P68" s="292"/>
      <c r="Q68" s="292"/>
      <c r="R68" s="292"/>
      <c r="S68" s="292"/>
      <c r="T68" s="292"/>
      <c r="U68" s="292"/>
      <c r="V68" s="315" t="s">
        <v>584</v>
      </c>
      <c r="W68" s="317">
        <f>COUNT(U64:W64)</f>
        <v>3</v>
      </c>
      <c r="X68" s="311">
        <v>4</v>
      </c>
      <c r="Y68" s="311">
        <v>5</v>
      </c>
      <c r="Z68" s="311">
        <v>6</v>
      </c>
      <c r="AA68" s="311">
        <v>7</v>
      </c>
      <c r="AB68" s="311">
        <v>8</v>
      </c>
      <c r="AC68" s="311">
        <v>9</v>
      </c>
      <c r="AD68" s="311">
        <v>10</v>
      </c>
      <c r="AE68" s="311">
        <v>11</v>
      </c>
      <c r="AF68" s="311">
        <v>12</v>
      </c>
      <c r="AG68" s="311">
        <v>13</v>
      </c>
      <c r="AH68" s="318">
        <v>14</v>
      </c>
    </row>
    <row r="70" spans="1:34" ht="14.7" thickBot="1"/>
    <row r="71" spans="1:34">
      <c r="A71" s="295"/>
      <c r="B71" s="422">
        <v>1999</v>
      </c>
      <c r="C71" s="422">
        <v>2000</v>
      </c>
      <c r="D71" s="422">
        <v>2001</v>
      </c>
      <c r="E71" s="290">
        <v>2002</v>
      </c>
      <c r="F71" s="290">
        <v>2003</v>
      </c>
      <c r="G71" s="290">
        <v>2004</v>
      </c>
      <c r="H71" s="290">
        <v>2005</v>
      </c>
      <c r="I71" s="290">
        <v>2006</v>
      </c>
      <c r="J71" s="290">
        <v>2007</v>
      </c>
      <c r="K71" s="290">
        <v>2008</v>
      </c>
      <c r="L71" s="290">
        <v>2009</v>
      </c>
      <c r="M71" s="290">
        <v>2010</v>
      </c>
      <c r="N71" s="290">
        <v>2011</v>
      </c>
      <c r="O71" s="290">
        <v>2012</v>
      </c>
      <c r="P71" s="290">
        <v>2013</v>
      </c>
      <c r="Q71" s="290">
        <v>2014</v>
      </c>
      <c r="R71" s="290">
        <v>2015</v>
      </c>
      <c r="S71" s="290">
        <v>2016</v>
      </c>
      <c r="T71" s="290">
        <v>2017</v>
      </c>
      <c r="U71" s="290">
        <v>2018</v>
      </c>
      <c r="V71" s="290">
        <v>2019</v>
      </c>
      <c r="W71" s="522">
        <v>2020</v>
      </c>
      <c r="X71" s="308">
        <v>2021</v>
      </c>
      <c r="Y71" s="308">
        <v>2022</v>
      </c>
      <c r="Z71" s="308">
        <v>2023</v>
      </c>
      <c r="AA71" s="308">
        <v>2024</v>
      </c>
      <c r="AB71" s="308">
        <v>2025</v>
      </c>
      <c r="AC71" s="308">
        <v>2026</v>
      </c>
      <c r="AD71" s="308">
        <v>2027</v>
      </c>
      <c r="AE71" s="308">
        <v>2028</v>
      </c>
      <c r="AF71" s="308">
        <v>2029</v>
      </c>
      <c r="AG71" s="308">
        <v>2030</v>
      </c>
      <c r="AH71" s="309">
        <v>2031</v>
      </c>
    </row>
    <row r="72" spans="1:34" ht="44.1">
      <c r="A72" s="296" t="s">
        <v>12</v>
      </c>
      <c r="B72" s="590">
        <f>'Fentanyl NFLIS'!B41</f>
        <v>0</v>
      </c>
      <c r="C72" s="590">
        <f>'Fentanyl NFLIS'!C41</f>
        <v>0</v>
      </c>
      <c r="D72" s="590">
        <f>'Fentanyl NFLIS'!D41</f>
        <v>0</v>
      </c>
      <c r="E72" s="591">
        <f>'Fentanyl NFLIS'!E41</f>
        <v>0</v>
      </c>
      <c r="F72" s="591">
        <f>'Fentanyl NFLIS'!F41</f>
        <v>0</v>
      </c>
      <c r="G72" s="591">
        <f>'Fentanyl NFLIS'!G41</f>
        <v>0</v>
      </c>
      <c r="H72" s="591">
        <f>'Fentanyl NFLIS'!H41</f>
        <v>0</v>
      </c>
      <c r="I72" s="591">
        <f>'Fentanyl NFLIS'!I41</f>
        <v>0</v>
      </c>
      <c r="J72" s="630">
        <f>'Fentanyl NFLIS'!J41</f>
        <v>1.0755202244563947E-2</v>
      </c>
      <c r="K72" s="630">
        <f>'Fentanyl NFLIS'!K41</f>
        <v>5.6314948870589696E-3</v>
      </c>
      <c r="L72" s="630">
        <f>'Fentanyl NFLIS'!L41</f>
        <v>5.7798856433668722E-3</v>
      </c>
      <c r="M72" s="630">
        <f>'Fentanyl NFLIS'!M41</f>
        <v>6.1042036175059195E-3</v>
      </c>
      <c r="N72" s="630">
        <f>'Fentanyl NFLIS'!N41</f>
        <v>5.3814787439894363E-3</v>
      </c>
      <c r="O72" s="630">
        <f>'Fentanyl NFLIS'!O41</f>
        <v>0</v>
      </c>
      <c r="P72" s="630">
        <f>'Fentanyl NFLIS'!P41</f>
        <v>6.4060575890166902E-3</v>
      </c>
      <c r="Q72" s="630">
        <f>'Fentanyl NFLIS'!Q41</f>
        <v>2.7908994218554105E-2</v>
      </c>
      <c r="R72" s="630">
        <f>'Fentanyl NFLIS'!R41</f>
        <v>8.2317311449785074E-2</v>
      </c>
      <c r="S72" s="630">
        <f>'Fentanyl NFLIS'!S41</f>
        <v>0.18473601770824541</v>
      </c>
      <c r="T72" s="630">
        <f>'Fentanyl NFLIS'!T41</f>
        <v>0.32210083779712445</v>
      </c>
      <c r="U72" s="630">
        <f>'Fentanyl NFLIS'!U41</f>
        <v>0.40610436550278561</v>
      </c>
      <c r="V72" s="630">
        <f>'Fentanyl NFLIS'!V41</f>
        <v>0.47271690770965785</v>
      </c>
      <c r="W72" s="631">
        <f t="shared" ref="W72:AH72" si="9">$W$73*LN(W75)+$W$74</f>
        <v>0.51458798512639836</v>
      </c>
      <c r="X72" s="631">
        <f t="shared" si="9"/>
        <v>0.55221915444867054</v>
      </c>
      <c r="Y72" s="631">
        <f t="shared" si="9"/>
        <v>0.58403585476501663</v>
      </c>
      <c r="Z72" s="631">
        <f t="shared" si="9"/>
        <v>0.6115967342027181</v>
      </c>
      <c r="AA72" s="631">
        <f t="shared" si="9"/>
        <v>0.63590715276219578</v>
      </c>
      <c r="AB72" s="631">
        <f t="shared" si="9"/>
        <v>0.65765356319397106</v>
      </c>
      <c r="AC72" s="631">
        <f t="shared" si="9"/>
        <v>0.67732558430558365</v>
      </c>
      <c r="AD72" s="631">
        <f t="shared" si="9"/>
        <v>0.69528473251624323</v>
      </c>
      <c r="AE72" s="631">
        <f t="shared" si="9"/>
        <v>0.71180554738006119</v>
      </c>
      <c r="AF72" s="631">
        <f t="shared" si="9"/>
        <v>0.72710143283258932</v>
      </c>
      <c r="AG72" s="631">
        <f t="shared" si="9"/>
        <v>0.74134156150749619</v>
      </c>
      <c r="AH72" s="294">
        <f t="shared" si="9"/>
        <v>0.75466231227029079</v>
      </c>
    </row>
    <row r="73" spans="1:34">
      <c r="A73" s="296"/>
      <c r="B73" s="590"/>
      <c r="C73" s="590"/>
      <c r="D73" s="590"/>
      <c r="E73" s="591"/>
      <c r="F73" s="591"/>
      <c r="G73" s="591"/>
      <c r="H73" s="591"/>
      <c r="I73" s="591"/>
      <c r="J73" s="591"/>
      <c r="K73" s="591"/>
      <c r="L73" s="591"/>
      <c r="M73" s="591"/>
      <c r="N73" s="591"/>
      <c r="O73" s="591"/>
      <c r="P73" s="591"/>
      <c r="Q73" s="591"/>
      <c r="R73" s="591"/>
      <c r="S73" s="591"/>
      <c r="T73" s="591"/>
      <c r="U73" s="591"/>
      <c r="V73" s="593" t="s">
        <v>569</v>
      </c>
      <c r="W73" s="597">
        <v>0.2064</v>
      </c>
      <c r="X73" s="306"/>
      <c r="Y73" s="597"/>
      <c r="Z73" s="597"/>
      <c r="AA73" s="597"/>
      <c r="AB73" s="597"/>
      <c r="AC73" s="597"/>
      <c r="AD73" s="597"/>
      <c r="AE73" s="597"/>
      <c r="AF73" s="597"/>
      <c r="AG73" s="597"/>
      <c r="AH73" s="305"/>
    </row>
    <row r="74" spans="1:34">
      <c r="A74" s="296"/>
      <c r="B74" s="590"/>
      <c r="C74" s="590"/>
      <c r="D74" s="590"/>
      <c r="E74" s="591"/>
      <c r="F74" s="591"/>
      <c r="G74" s="591"/>
      <c r="H74" s="591"/>
      <c r="I74" s="591"/>
      <c r="J74" s="591"/>
      <c r="K74" s="591"/>
      <c r="L74" s="591"/>
      <c r="M74" s="591"/>
      <c r="N74" s="591"/>
      <c r="O74" s="591"/>
      <c r="P74" s="591"/>
      <c r="Q74" s="591"/>
      <c r="R74" s="591"/>
      <c r="S74" s="591"/>
      <c r="T74" s="591"/>
      <c r="U74" s="591"/>
      <c r="V74" s="596" t="s">
        <v>570</v>
      </c>
      <c r="W74" s="597">
        <v>0.18240000000000001</v>
      </c>
      <c r="X74" s="306"/>
      <c r="Y74" s="597"/>
      <c r="Z74" s="597"/>
      <c r="AA74" s="597"/>
      <c r="AB74" s="597"/>
      <c r="AC74" s="597"/>
      <c r="AD74" s="597"/>
      <c r="AE74" s="597"/>
      <c r="AF74" s="597"/>
      <c r="AG74" s="597"/>
      <c r="AH74" s="305"/>
    </row>
    <row r="75" spans="1:34" ht="29.1" thickBot="1">
      <c r="A75" s="297"/>
      <c r="B75" s="505"/>
      <c r="C75" s="505"/>
      <c r="D75" s="505"/>
      <c r="E75" s="292"/>
      <c r="F75" s="292"/>
      <c r="G75" s="292"/>
      <c r="H75" s="292"/>
      <c r="I75" s="292"/>
      <c r="J75" s="292"/>
      <c r="K75" s="292"/>
      <c r="L75" s="292"/>
      <c r="M75" s="292"/>
      <c r="N75" s="292"/>
      <c r="O75" s="292"/>
      <c r="P75" s="292"/>
      <c r="Q75" s="292"/>
      <c r="R75" s="292"/>
      <c r="S75" s="292"/>
      <c r="T75" s="292"/>
      <c r="U75" s="292"/>
      <c r="V75" s="315" t="s">
        <v>585</v>
      </c>
      <c r="W75" s="311">
        <f>COUNT(S71:W71)</f>
        <v>5</v>
      </c>
      <c r="X75" s="317">
        <v>6</v>
      </c>
      <c r="Y75" s="317">
        <v>7</v>
      </c>
      <c r="Z75" s="317">
        <v>8</v>
      </c>
      <c r="AA75" s="317">
        <v>9</v>
      </c>
      <c r="AB75" s="317">
        <v>10</v>
      </c>
      <c r="AC75" s="317">
        <v>11</v>
      </c>
      <c r="AD75" s="317">
        <v>12</v>
      </c>
      <c r="AE75" s="317">
        <v>13</v>
      </c>
      <c r="AF75" s="317">
        <v>14</v>
      </c>
      <c r="AG75" s="317">
        <v>15</v>
      </c>
      <c r="AH75" s="318">
        <v>16</v>
      </c>
    </row>
  </sheetData>
  <mergeCells count="1">
    <mergeCell ref="A1:AH1"/>
  </mergeCells>
  <pageMargins left="0.7" right="0.7" top="0.75" bottom="0.75" header="0.3" footer="0.3"/>
  <pageSetup orientation="portrait" r:id="rId1"/>
  <ignoredErrors>
    <ignoredError sqref="W9 W38 W30 W22 W45 W52 W68 W7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FA35-6551-4A9A-A902-FC73E8F6F0E0}">
  <dimension ref="A1:AG12"/>
  <sheetViews>
    <sheetView topLeftCell="Q1" zoomScaleNormal="100" workbookViewId="0">
      <selection activeCell="U35" sqref="U35"/>
    </sheetView>
  </sheetViews>
  <sheetFormatPr defaultColWidth="8.89453125" defaultRowHeight="14.4"/>
  <cols>
    <col min="1" max="1" width="33.1015625" customWidth="1"/>
    <col min="2" max="2" width="14.3125" bestFit="1" customWidth="1"/>
    <col min="3" max="3" width="14" customWidth="1"/>
    <col min="4" max="4" width="11.41796875" customWidth="1"/>
    <col min="5" max="5" width="13.41796875" customWidth="1"/>
    <col min="6" max="6" width="13.89453125" style="49" bestFit="1" customWidth="1"/>
    <col min="7" max="7" width="12.89453125" bestFit="1" customWidth="1"/>
    <col min="8" max="9" width="13.1015625" bestFit="1" customWidth="1"/>
    <col min="10" max="21" width="14.1015625" bestFit="1" customWidth="1"/>
    <col min="22" max="22" width="11.41796875" customWidth="1"/>
    <col min="23" max="23" width="22.3125" customWidth="1"/>
  </cols>
  <sheetData>
    <row r="1" spans="1:33" ht="15.6" customHeight="1">
      <c r="B1" s="162">
        <v>1999</v>
      </c>
      <c r="C1" s="162">
        <v>2000</v>
      </c>
      <c r="D1" s="162">
        <v>2001</v>
      </c>
      <c r="E1" s="162">
        <v>2002</v>
      </c>
      <c r="F1" s="162">
        <v>2003</v>
      </c>
      <c r="G1" s="162">
        <v>2004</v>
      </c>
      <c r="H1" s="162">
        <v>2005</v>
      </c>
      <c r="I1" s="162">
        <v>2006</v>
      </c>
      <c r="J1" s="162">
        <v>2007</v>
      </c>
      <c r="K1" s="162">
        <v>2008</v>
      </c>
      <c r="L1" s="162">
        <v>2009</v>
      </c>
      <c r="M1" s="162">
        <v>2010</v>
      </c>
      <c r="N1" s="162">
        <v>2011</v>
      </c>
      <c r="O1" s="162">
        <v>2012</v>
      </c>
      <c r="P1" s="162">
        <v>2013</v>
      </c>
      <c r="Q1" s="162">
        <v>2014</v>
      </c>
      <c r="R1" s="162">
        <v>2015</v>
      </c>
      <c r="S1" s="162">
        <v>2016</v>
      </c>
      <c r="T1" s="162">
        <v>2017</v>
      </c>
      <c r="U1" s="162">
        <v>2018</v>
      </c>
      <c r="V1" s="162">
        <v>2019</v>
      </c>
      <c r="W1" s="656" t="s">
        <v>68</v>
      </c>
      <c r="X1" s="647" t="s">
        <v>69</v>
      </c>
      <c r="Y1" s="648"/>
      <c r="Z1" s="648"/>
      <c r="AA1" s="648"/>
      <c r="AB1" s="648"/>
      <c r="AC1" s="648"/>
      <c r="AD1" s="648"/>
      <c r="AE1" s="648"/>
      <c r="AF1" s="648"/>
      <c r="AG1" s="649"/>
    </row>
    <row r="2" spans="1:33" ht="15" customHeight="1">
      <c r="A2" s="26" t="s">
        <v>53</v>
      </c>
      <c r="B2" s="270">
        <f>B12</f>
        <v>1.1166666666666667</v>
      </c>
      <c r="C2" s="270">
        <f t="shared" ref="C2:U2" si="0">C12</f>
        <v>1.1378691983122362</v>
      </c>
      <c r="D2" s="270">
        <f t="shared" si="0"/>
        <v>1.130801687763713</v>
      </c>
      <c r="E2" s="270">
        <f t="shared" si="0"/>
        <v>0.94704641350210972</v>
      </c>
      <c r="F2" s="270">
        <f t="shared" si="0"/>
        <v>1.0177215189873416</v>
      </c>
      <c r="G2" s="270">
        <f t="shared" si="0"/>
        <v>0.9753164556962024</v>
      </c>
      <c r="H2" s="270">
        <f t="shared" si="0"/>
        <v>0.81983122362869199</v>
      </c>
      <c r="I2" s="270">
        <f t="shared" si="0"/>
        <v>0.89050632911392402</v>
      </c>
      <c r="J2" s="270">
        <f t="shared" si="0"/>
        <v>0.84810126582278478</v>
      </c>
      <c r="K2" s="270">
        <f t="shared" si="0"/>
        <v>0.75384316237189009</v>
      </c>
      <c r="L2" s="270">
        <f t="shared" si="0"/>
        <v>0.71368850500333314</v>
      </c>
      <c r="M2" s="270">
        <f t="shared" si="0"/>
        <v>0.76106533480047445</v>
      </c>
      <c r="N2" s="270">
        <f t="shared" si="0"/>
        <v>0.62318032241313726</v>
      </c>
      <c r="O2" s="270">
        <f>O12</f>
        <v>0.65617947485189854</v>
      </c>
      <c r="P2" s="270">
        <f t="shared" si="0"/>
        <v>0.6908647104684591</v>
      </c>
      <c r="Q2" s="270">
        <f t="shared" si="0"/>
        <v>0.71288547231011723</v>
      </c>
      <c r="R2" s="270">
        <f t="shared" si="0"/>
        <v>0.59976676400988693</v>
      </c>
      <c r="S2" s="270">
        <f t="shared" si="0"/>
        <v>0.54882297113524636</v>
      </c>
      <c r="T2" s="270">
        <f t="shared" si="0"/>
        <v>0.53736690874896442</v>
      </c>
      <c r="U2" s="270">
        <f t="shared" si="0"/>
        <v>0.54408739565454922</v>
      </c>
      <c r="V2" s="272">
        <f>U12</f>
        <v>0.54408739565454922</v>
      </c>
      <c r="W2" s="656"/>
      <c r="X2" s="650"/>
      <c r="Y2" s="651"/>
      <c r="Z2" s="651"/>
      <c r="AA2" s="651"/>
      <c r="AB2" s="651"/>
      <c r="AC2" s="651"/>
      <c r="AD2" s="651"/>
      <c r="AE2" s="651"/>
      <c r="AF2" s="651"/>
      <c r="AG2" s="652"/>
    </row>
    <row r="3" spans="1:33" ht="14.85" customHeight="1">
      <c r="A3" s="168" t="s">
        <v>70</v>
      </c>
      <c r="B3" s="30"/>
      <c r="C3" s="30"/>
      <c r="D3" s="30"/>
      <c r="E3" s="270"/>
      <c r="F3" s="270"/>
      <c r="G3" s="270"/>
      <c r="H3" s="270"/>
      <c r="I3" s="270"/>
      <c r="J3" s="270"/>
      <c r="K3" s="270"/>
      <c r="L3" s="270"/>
      <c r="M3" s="270">
        <v>0.74272494700000002</v>
      </c>
      <c r="N3" s="270">
        <v>0.73415333699999996</v>
      </c>
      <c r="O3" s="270">
        <v>0.830865674</v>
      </c>
      <c r="P3" s="271">
        <v>0.82803807399999996</v>
      </c>
      <c r="Q3" s="270">
        <v>0.77878078799999995</v>
      </c>
      <c r="R3" s="270">
        <v>0.77209737700000003</v>
      </c>
      <c r="S3" s="270">
        <v>0.76544734000000003</v>
      </c>
      <c r="T3" s="270">
        <v>0.74997359900000005</v>
      </c>
      <c r="U3" s="270">
        <v>0.76687717099999997</v>
      </c>
      <c r="V3" s="278">
        <v>0.76687717099999997</v>
      </c>
      <c r="W3" s="656"/>
      <c r="X3" s="650"/>
      <c r="Y3" s="651"/>
      <c r="Z3" s="651"/>
      <c r="AA3" s="651"/>
      <c r="AB3" s="651"/>
      <c r="AC3" s="651"/>
      <c r="AD3" s="651"/>
      <c r="AE3" s="651"/>
      <c r="AF3" s="651"/>
      <c r="AG3" s="652"/>
    </row>
    <row r="4" spans="1:33">
      <c r="A4" s="30"/>
      <c r="B4" s="30"/>
      <c r="C4" s="30"/>
      <c r="D4" s="30"/>
      <c r="F4"/>
      <c r="V4" s="49"/>
      <c r="W4" s="656"/>
      <c r="X4" s="653"/>
      <c r="Y4" s="654"/>
      <c r="Z4" s="654"/>
      <c r="AA4" s="654"/>
      <c r="AB4" s="654"/>
      <c r="AC4" s="654"/>
      <c r="AD4" s="654"/>
      <c r="AE4" s="654"/>
      <c r="AF4" s="654"/>
      <c r="AG4" s="655"/>
    </row>
    <row r="5" spans="1:33" s="49" customFormat="1" ht="60.3">
      <c r="A5" s="162" t="s">
        <v>71</v>
      </c>
      <c r="B5" s="162">
        <v>1999</v>
      </c>
      <c r="C5" s="162">
        <v>2000</v>
      </c>
      <c r="D5" s="162">
        <v>2001</v>
      </c>
      <c r="E5" s="162">
        <v>2002</v>
      </c>
      <c r="F5" s="162">
        <v>2003</v>
      </c>
      <c r="G5" s="162">
        <v>2004</v>
      </c>
      <c r="H5" s="162">
        <v>2005</v>
      </c>
      <c r="I5" s="162">
        <v>2006</v>
      </c>
      <c r="J5" s="162">
        <v>2007</v>
      </c>
      <c r="K5" s="162">
        <v>2008</v>
      </c>
      <c r="L5" s="162">
        <v>2009</v>
      </c>
      <c r="M5" s="162">
        <v>2010</v>
      </c>
      <c r="N5" s="162">
        <v>2011</v>
      </c>
      <c r="O5" s="162">
        <v>2012</v>
      </c>
      <c r="P5" s="162">
        <v>2013</v>
      </c>
      <c r="Q5" s="162">
        <v>2014</v>
      </c>
      <c r="R5" s="162">
        <v>2015</v>
      </c>
      <c r="S5" s="162">
        <v>2016</v>
      </c>
      <c r="T5" s="162">
        <v>2017</v>
      </c>
      <c r="U5" s="162">
        <v>2018</v>
      </c>
      <c r="V5" s="162"/>
      <c r="W5" s="162"/>
      <c r="X5" s="162" t="s">
        <v>72</v>
      </c>
      <c r="Y5" s="200" t="s">
        <v>73</v>
      </c>
    </row>
    <row r="6" spans="1:33" ht="42">
      <c r="A6" s="401" t="s">
        <v>74</v>
      </c>
      <c r="B6" s="397">
        <v>0.79</v>
      </c>
      <c r="C6" s="397">
        <v>0.80500000000000005</v>
      </c>
      <c r="D6" s="397">
        <v>0.8</v>
      </c>
      <c r="E6" s="164">
        <v>0.67</v>
      </c>
      <c r="F6" s="164">
        <v>0.72</v>
      </c>
      <c r="G6" s="164">
        <v>0.69</v>
      </c>
      <c r="H6" s="164">
        <v>0.57999999999999996</v>
      </c>
      <c r="I6" s="164">
        <v>0.63</v>
      </c>
      <c r="J6" s="275">
        <v>0.6</v>
      </c>
      <c r="K6" s="275">
        <v>0.6</v>
      </c>
      <c r="L6" s="164">
        <v>0.48</v>
      </c>
      <c r="M6" s="164">
        <v>0.55000000000000004</v>
      </c>
      <c r="N6" s="164">
        <v>0.45</v>
      </c>
      <c r="O6" s="164"/>
      <c r="P6" s="164">
        <v>0.52</v>
      </c>
      <c r="Q6" s="164"/>
      <c r="R6" s="164">
        <v>0.41</v>
      </c>
      <c r="S6" s="165"/>
      <c r="T6" s="165"/>
      <c r="U6" s="226"/>
      <c r="X6" s="227" t="s">
        <v>75</v>
      </c>
      <c r="Y6" s="228" t="s">
        <v>76</v>
      </c>
    </row>
    <row r="7" spans="1:33">
      <c r="A7" s="402" t="s">
        <v>77</v>
      </c>
      <c r="B7" s="398">
        <f>B6/$J$6</f>
        <v>1.3166666666666669</v>
      </c>
      <c r="C7" s="398">
        <f t="shared" ref="C7:F7" si="1">C6/$J$6</f>
        <v>1.3416666666666668</v>
      </c>
      <c r="D7" s="398">
        <f t="shared" si="1"/>
        <v>1.3333333333333335</v>
      </c>
      <c r="E7" s="398">
        <f t="shared" si="1"/>
        <v>1.1166666666666667</v>
      </c>
      <c r="F7" s="398">
        <f t="shared" si="1"/>
        <v>1.2</v>
      </c>
      <c r="G7" s="398">
        <f t="shared" ref="G7" si="2">G6/$J$6</f>
        <v>1.1499999999999999</v>
      </c>
      <c r="H7" s="398">
        <f t="shared" ref="H7" si="3">H6/$J$6</f>
        <v>0.96666666666666667</v>
      </c>
      <c r="I7" s="398">
        <f t="shared" ref="I7:J7" si="4">I6/$J$6</f>
        <v>1.05</v>
      </c>
      <c r="J7" s="398">
        <f t="shared" si="4"/>
        <v>1</v>
      </c>
      <c r="K7" s="398">
        <f>K6/$J$6</f>
        <v>1</v>
      </c>
      <c r="L7" s="398">
        <f t="shared" ref="L7" si="5">L6/$J$6</f>
        <v>0.8</v>
      </c>
      <c r="M7" s="398">
        <f t="shared" ref="M7" si="6">M6/$J$6</f>
        <v>0.91666666666666674</v>
      </c>
      <c r="N7" s="398">
        <f t="shared" ref="N7" si="7">N6/$J$6</f>
        <v>0.75</v>
      </c>
      <c r="O7" s="398"/>
      <c r="P7" s="398">
        <f t="shared" ref="P7" si="8">P6/$J$6</f>
        <v>0.8666666666666667</v>
      </c>
      <c r="Q7" s="398"/>
      <c r="R7" s="398">
        <f t="shared" ref="R7" si="9">R6/$J$6</f>
        <v>0.68333333333333335</v>
      </c>
      <c r="S7" s="274"/>
      <c r="T7" s="274"/>
      <c r="U7" s="270"/>
      <c r="X7" s="227"/>
      <c r="Y7" s="228" t="s">
        <v>78</v>
      </c>
    </row>
    <row r="8" spans="1:33" ht="39" customHeight="1">
      <c r="A8" s="401" t="s">
        <v>79</v>
      </c>
      <c r="B8" s="163"/>
      <c r="C8" s="163"/>
      <c r="D8" s="163"/>
      <c r="E8" s="275"/>
      <c r="F8" s="275"/>
      <c r="G8" s="275"/>
      <c r="H8" s="275"/>
      <c r="I8" s="275"/>
      <c r="J8" s="277">
        <v>84173</v>
      </c>
      <c r="K8" s="277">
        <v>65463</v>
      </c>
      <c r="L8" s="277">
        <v>74327</v>
      </c>
      <c r="M8" s="277">
        <v>73911</v>
      </c>
      <c r="N8" s="277">
        <v>60570</v>
      </c>
      <c r="O8" s="277">
        <v>65125</v>
      </c>
      <c r="P8" s="277">
        <v>64185</v>
      </c>
      <c r="Q8" s="277">
        <v>70753</v>
      </c>
      <c r="R8" s="277">
        <v>61534</v>
      </c>
      <c r="S8" s="277">
        <v>54470</v>
      </c>
      <c r="T8" s="277">
        <v>53333</v>
      </c>
      <c r="U8" s="277">
        <v>54000</v>
      </c>
      <c r="V8" s="227"/>
      <c r="W8" s="227"/>
      <c r="X8" s="403" t="s">
        <v>80</v>
      </c>
      <c r="Y8" s="228" t="s">
        <v>81</v>
      </c>
    </row>
    <row r="9" spans="1:33" ht="28.2">
      <c r="A9" s="402" t="s">
        <v>82</v>
      </c>
      <c r="B9" s="166"/>
      <c r="C9" s="166"/>
      <c r="D9" s="166"/>
      <c r="E9" s="276"/>
      <c r="F9" s="276"/>
      <c r="G9" s="276"/>
      <c r="H9" s="276"/>
      <c r="I9" s="276"/>
      <c r="J9" s="276">
        <f>J8/$J$8</f>
        <v>1</v>
      </c>
      <c r="K9" s="276">
        <f>K8/$J$8</f>
        <v>0.77771969633968141</v>
      </c>
      <c r="L9" s="276">
        <f>L8/$J$8</f>
        <v>0.88302662373920382</v>
      </c>
      <c r="M9" s="276">
        <f t="shared" ref="M9:U9" si="10">M8/$J$8</f>
        <v>0.87808442137027309</v>
      </c>
      <c r="N9" s="276">
        <f t="shared" si="10"/>
        <v>0.71958941703396573</v>
      </c>
      <c r="O9" s="276">
        <f t="shared" si="10"/>
        <v>0.77370415691492522</v>
      </c>
      <c r="P9" s="276">
        <f t="shared" si="10"/>
        <v>0.76253668040820688</v>
      </c>
      <c r="Q9" s="276">
        <f t="shared" si="10"/>
        <v>0.8405664524253621</v>
      </c>
      <c r="R9" s="276">
        <f t="shared" si="10"/>
        <v>0.73104202060043011</v>
      </c>
      <c r="S9" s="276">
        <f t="shared" si="10"/>
        <v>0.64711962268185763</v>
      </c>
      <c r="T9" s="276">
        <f t="shared" si="10"/>
        <v>0.63361172822639089</v>
      </c>
      <c r="U9" s="276">
        <f t="shared" si="10"/>
        <v>0.6415358844284984</v>
      </c>
      <c r="V9" s="228"/>
      <c r="W9" s="228"/>
      <c r="X9" s="227"/>
      <c r="Y9" s="228" t="s">
        <v>83</v>
      </c>
    </row>
    <row r="10" spans="1:33" ht="28.2">
      <c r="A10" s="401" t="s">
        <v>84</v>
      </c>
      <c r="B10" s="400">
        <f>AVERAGE(B7,B9)</f>
        <v>1.3166666666666669</v>
      </c>
      <c r="C10" s="400">
        <f t="shared" ref="C10:F10" si="11">AVERAGE(C7,C9)</f>
        <v>1.3416666666666668</v>
      </c>
      <c r="D10" s="400">
        <f t="shared" si="11"/>
        <v>1.3333333333333335</v>
      </c>
      <c r="E10" s="400">
        <f t="shared" si="11"/>
        <v>1.1166666666666667</v>
      </c>
      <c r="F10" s="400">
        <f t="shared" si="11"/>
        <v>1.2</v>
      </c>
      <c r="G10" s="400">
        <f>AVERAGE(G7,G9)</f>
        <v>1.1499999999999999</v>
      </c>
      <c r="H10" s="400">
        <f>AVERAGE(H7,H9)</f>
        <v>0.96666666666666667</v>
      </c>
      <c r="I10" s="400">
        <f t="shared" ref="I10:J10" si="12">AVERAGE(I7,I9)</f>
        <v>1.05</v>
      </c>
      <c r="J10" s="400">
        <f t="shared" si="12"/>
        <v>1</v>
      </c>
      <c r="K10" s="400">
        <f t="shared" ref="K10" si="13">AVERAGE(K7,K9)</f>
        <v>0.88885984816984065</v>
      </c>
      <c r="L10" s="400">
        <f t="shared" ref="L10" si="14">AVERAGE(L7,L9)</f>
        <v>0.84151331186960188</v>
      </c>
      <c r="M10" s="400">
        <f t="shared" ref="M10" si="15">AVERAGE(M7,M9)</f>
        <v>0.89737554401846986</v>
      </c>
      <c r="N10" s="400">
        <f t="shared" ref="N10:P10" si="16">AVERAGE(N7,N9)</f>
        <v>0.73479470851698281</v>
      </c>
      <c r="O10" s="400">
        <f t="shared" si="16"/>
        <v>0.77370415691492522</v>
      </c>
      <c r="P10" s="400">
        <f t="shared" si="16"/>
        <v>0.81460167353743684</v>
      </c>
      <c r="Q10" s="400">
        <f t="shared" ref="Q10:R10" si="17">AVERAGE(Q7,Q9)</f>
        <v>0.8405664524253621</v>
      </c>
      <c r="R10" s="400">
        <f t="shared" si="17"/>
        <v>0.70718767696688167</v>
      </c>
      <c r="S10" s="400">
        <f t="shared" ref="S10" si="18">AVERAGE(S7,S9)</f>
        <v>0.64711962268185763</v>
      </c>
      <c r="T10" s="400">
        <f t="shared" ref="T10" si="19">AVERAGE(T7,T9)</f>
        <v>0.63361172822639089</v>
      </c>
      <c r="U10" s="400">
        <f t="shared" ref="U10" si="20">AVERAGE(U7,U9)</f>
        <v>0.6415358844284984</v>
      </c>
      <c r="X10" s="227"/>
      <c r="Y10" s="228" t="s">
        <v>85</v>
      </c>
    </row>
    <row r="11" spans="1:33" ht="28.2">
      <c r="A11" s="402" t="s">
        <v>86</v>
      </c>
      <c r="B11" s="274">
        <f>B10/$E$10</f>
        <v>1.1791044776119404</v>
      </c>
      <c r="C11" s="274">
        <f t="shared" ref="C11:D11" si="21">C10/$E$10</f>
        <v>1.2014925373134329</v>
      </c>
      <c r="D11" s="274">
        <f t="shared" si="21"/>
        <v>1.1940298507462688</v>
      </c>
      <c r="E11" s="274">
        <f>E10/$E$10</f>
        <v>1</v>
      </c>
      <c r="F11" s="274">
        <f>F10/$E$10</f>
        <v>1.0746268656716418</v>
      </c>
      <c r="G11" s="274">
        <f t="shared" ref="G11:I11" si="22">G10/$E$10</f>
        <v>1.0298507462686566</v>
      </c>
      <c r="H11" s="274">
        <f t="shared" si="22"/>
        <v>0.86567164179104472</v>
      </c>
      <c r="I11" s="274">
        <f t="shared" si="22"/>
        <v>0.94029850746268662</v>
      </c>
      <c r="J11" s="274">
        <f>J10/$E$10</f>
        <v>0.89552238805970152</v>
      </c>
      <c r="K11" s="274">
        <f>K10/$E$10</f>
        <v>0.79599389388343933</v>
      </c>
      <c r="L11" s="274">
        <f>L10/$E$10</f>
        <v>0.75359401062949416</v>
      </c>
      <c r="M11" s="274">
        <f>M10/$E$10</f>
        <v>0.80361989016579394</v>
      </c>
      <c r="N11" s="274">
        <f t="shared" ref="N11" si="23">N10/$E$10</f>
        <v>0.65802511210476067</v>
      </c>
      <c r="O11" s="274">
        <f>O10/$E$10</f>
        <v>0.69286939425217187</v>
      </c>
      <c r="P11" s="274">
        <f>P10/$E$10</f>
        <v>0.7294940360036748</v>
      </c>
      <c r="Q11" s="274">
        <f t="shared" ref="Q11" si="24">Q10/$E$10</f>
        <v>0.75274607679883176</v>
      </c>
      <c r="R11" s="274">
        <f t="shared" ref="R11" si="25">R10/$E$10</f>
        <v>0.63330239728377458</v>
      </c>
      <c r="S11" s="274">
        <f t="shared" ref="S11" si="26">S10/$E$10</f>
        <v>0.57951010986435014</v>
      </c>
      <c r="T11" s="274">
        <f>T10/$E$10</f>
        <v>0.56741348796393209</v>
      </c>
      <c r="U11" s="274">
        <f>U10/$E$10</f>
        <v>0.57450974724940151</v>
      </c>
      <c r="V11" s="227"/>
      <c r="W11" s="227"/>
      <c r="X11" s="227"/>
      <c r="Y11" s="228" t="s">
        <v>87</v>
      </c>
    </row>
    <row r="12" spans="1:33" ht="28.2">
      <c r="A12" s="402" t="s">
        <v>88</v>
      </c>
      <c r="B12">
        <f>B10/$B$11</f>
        <v>1.1166666666666667</v>
      </c>
      <c r="C12">
        <f t="shared" ref="C12:U12" si="27">C10/$B$11</f>
        <v>1.1378691983122362</v>
      </c>
      <c r="D12">
        <f t="shared" si="27"/>
        <v>1.130801687763713</v>
      </c>
      <c r="E12">
        <f t="shared" si="27"/>
        <v>0.94704641350210972</v>
      </c>
      <c r="F12">
        <f t="shared" si="27"/>
        <v>1.0177215189873416</v>
      </c>
      <c r="G12">
        <f t="shared" si="27"/>
        <v>0.9753164556962024</v>
      </c>
      <c r="H12">
        <f t="shared" si="27"/>
        <v>0.81983122362869199</v>
      </c>
      <c r="I12">
        <f t="shared" si="27"/>
        <v>0.89050632911392402</v>
      </c>
      <c r="J12">
        <f t="shared" si="27"/>
        <v>0.84810126582278478</v>
      </c>
      <c r="K12">
        <f t="shared" si="27"/>
        <v>0.75384316237189009</v>
      </c>
      <c r="L12">
        <f t="shared" si="27"/>
        <v>0.71368850500333314</v>
      </c>
      <c r="M12">
        <f t="shared" si="27"/>
        <v>0.76106533480047445</v>
      </c>
      <c r="N12">
        <f t="shared" si="27"/>
        <v>0.62318032241313726</v>
      </c>
      <c r="O12">
        <f>O10/$B$11</f>
        <v>0.65617947485189854</v>
      </c>
      <c r="P12">
        <f t="shared" si="27"/>
        <v>0.6908647104684591</v>
      </c>
      <c r="Q12">
        <f t="shared" si="27"/>
        <v>0.71288547231011723</v>
      </c>
      <c r="R12">
        <f t="shared" si="27"/>
        <v>0.59976676400988693</v>
      </c>
      <c r="S12">
        <f t="shared" si="27"/>
        <v>0.54882297113524636</v>
      </c>
      <c r="T12">
        <f t="shared" si="27"/>
        <v>0.53736690874896442</v>
      </c>
      <c r="U12">
        <f t="shared" si="27"/>
        <v>0.54408739565454922</v>
      </c>
    </row>
  </sheetData>
  <mergeCells count="2">
    <mergeCell ref="X1:AG4"/>
    <mergeCell ref="W1:W4"/>
  </mergeCells>
  <hyperlinks>
    <hyperlink ref="X8" r:id="rId1" display="https://dataunodc.un.org/drugs/heroin_and_cocaine_prices_in_eu_and_usa-2017" xr:uid="{CD6F0143-7100-4147-94BF-D3E850D98CB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82B7-8325-4F78-AB69-E28897CAA503}">
  <dimension ref="A1:AP39"/>
  <sheetViews>
    <sheetView zoomScale="85" zoomScaleNormal="85" workbookViewId="0">
      <selection activeCell="A7" sqref="A7:O7"/>
    </sheetView>
  </sheetViews>
  <sheetFormatPr defaultColWidth="8.89453125" defaultRowHeight="14.4"/>
  <cols>
    <col min="1" max="1" width="50.1015625" customWidth="1"/>
    <col min="2" max="2" width="10.41796875" customWidth="1"/>
    <col min="3" max="3" width="8" bestFit="1" customWidth="1"/>
    <col min="4" max="4" width="10.41796875" customWidth="1"/>
    <col min="5" max="6" width="11.89453125" customWidth="1"/>
    <col min="7" max="7" width="9.41796875" bestFit="1" customWidth="1"/>
    <col min="8" max="15" width="9" bestFit="1" customWidth="1"/>
    <col min="16" max="16" width="11.68359375" customWidth="1"/>
    <col min="17" max="23" width="13.1015625" customWidth="1"/>
  </cols>
  <sheetData>
    <row r="1" spans="1:23" ht="73.349999999999994" customHeight="1">
      <c r="A1" s="60" t="s">
        <v>89</v>
      </c>
      <c r="B1" s="47"/>
      <c r="C1" s="47"/>
      <c r="D1" s="47"/>
      <c r="E1" s="47"/>
      <c r="F1" s="47"/>
      <c r="G1" s="47"/>
      <c r="H1" s="47"/>
      <c r="I1" s="47"/>
      <c r="J1" s="47"/>
      <c r="K1" s="47"/>
      <c r="L1" s="47"/>
      <c r="M1" s="47"/>
      <c r="N1" s="47"/>
      <c r="O1" s="47"/>
      <c r="P1" s="47"/>
      <c r="Q1" s="47"/>
      <c r="R1" s="47"/>
      <c r="S1" s="47"/>
    </row>
    <row r="2" spans="1:23" ht="27" customHeight="1">
      <c r="A2" s="250" t="s">
        <v>90</v>
      </c>
      <c r="B2" s="40">
        <v>1999</v>
      </c>
      <c r="C2" s="40">
        <v>2000</v>
      </c>
      <c r="D2" s="40">
        <v>2001</v>
      </c>
      <c r="E2" s="40">
        <v>2002</v>
      </c>
      <c r="F2" s="40">
        <v>2003</v>
      </c>
      <c r="G2" s="40">
        <v>2004</v>
      </c>
      <c r="H2" s="41">
        <v>2005</v>
      </c>
      <c r="I2" s="42">
        <v>2006</v>
      </c>
      <c r="J2" s="41">
        <v>2007</v>
      </c>
      <c r="K2" s="42">
        <v>2008</v>
      </c>
      <c r="L2" s="41">
        <v>2009</v>
      </c>
      <c r="M2" s="42">
        <v>2010</v>
      </c>
      <c r="N2" s="41">
        <v>2011</v>
      </c>
      <c r="O2" s="42">
        <v>2012</v>
      </c>
      <c r="P2" s="41">
        <v>2013</v>
      </c>
      <c r="Q2" s="42">
        <v>2014</v>
      </c>
      <c r="R2" s="41">
        <v>2015</v>
      </c>
      <c r="S2" s="42">
        <v>2016</v>
      </c>
      <c r="T2" s="43">
        <v>2017</v>
      </c>
      <c r="U2" s="44">
        <v>2018</v>
      </c>
      <c r="V2" s="43">
        <v>2019</v>
      </c>
      <c r="W2" s="43">
        <v>2020</v>
      </c>
    </row>
    <row r="3" spans="1:23" s="92" customFormat="1">
      <c r="A3" s="85" t="s">
        <v>25</v>
      </c>
      <c r="B3" s="93">
        <v>0</v>
      </c>
      <c r="C3" s="93">
        <v>0</v>
      </c>
      <c r="D3" s="93">
        <v>0</v>
      </c>
      <c r="E3" s="93">
        <v>0</v>
      </c>
      <c r="F3" s="86">
        <v>19026</v>
      </c>
      <c r="G3" s="86">
        <v>63174</v>
      </c>
      <c r="H3" s="87">
        <v>108325</v>
      </c>
      <c r="I3" s="88">
        <v>170005</v>
      </c>
      <c r="J3" s="89">
        <v>288677</v>
      </c>
      <c r="K3" s="88">
        <v>436904</v>
      </c>
      <c r="L3" s="87">
        <v>517292</v>
      </c>
      <c r="M3" s="88">
        <v>603494</v>
      </c>
      <c r="N3" s="87">
        <v>710244</v>
      </c>
      <c r="O3" s="88">
        <v>730890</v>
      </c>
      <c r="P3" s="87">
        <v>774276</v>
      </c>
      <c r="Q3" s="88">
        <v>861312</v>
      </c>
      <c r="R3" s="87">
        <v>914792</v>
      </c>
      <c r="S3" s="88">
        <v>1003521</v>
      </c>
      <c r="T3" s="90">
        <v>1113512</v>
      </c>
      <c r="U3" s="91">
        <v>1186830</v>
      </c>
      <c r="V3" s="90">
        <v>1295524</v>
      </c>
      <c r="W3" s="90">
        <v>1361265</v>
      </c>
    </row>
    <row r="4" spans="1:23" s="92" customFormat="1">
      <c r="A4" s="208"/>
      <c r="B4" s="207"/>
      <c r="C4" s="209" t="s">
        <v>91</v>
      </c>
      <c r="D4" s="206"/>
      <c r="E4" s="206"/>
      <c r="F4" s="206"/>
      <c r="G4" s="206"/>
      <c r="H4" s="206"/>
      <c r="I4" s="206"/>
      <c r="J4" s="206"/>
      <c r="K4" s="206"/>
      <c r="L4" s="206"/>
      <c r="M4" s="206"/>
      <c r="N4" s="206"/>
      <c r="O4" s="206"/>
      <c r="P4" s="206"/>
      <c r="Q4" s="206"/>
      <c r="R4" s="206"/>
      <c r="S4" s="206"/>
    </row>
    <row r="5" spans="1:23">
      <c r="A5" s="143" t="s">
        <v>92</v>
      </c>
      <c r="B5" s="94"/>
      <c r="C5" s="45"/>
      <c r="D5" s="45"/>
      <c r="E5" s="45"/>
      <c r="F5" s="45"/>
      <c r="G5" s="45"/>
      <c r="H5" s="45"/>
      <c r="I5" s="45"/>
      <c r="J5" s="45"/>
      <c r="K5" s="45"/>
      <c r="L5" s="45"/>
      <c r="M5" s="45"/>
      <c r="N5" s="45"/>
      <c r="O5" s="45"/>
      <c r="P5" s="45"/>
      <c r="Q5" s="46"/>
      <c r="R5" s="46"/>
      <c r="S5" s="46"/>
    </row>
    <row r="6" spans="1:23">
      <c r="A6" s="52" t="s">
        <v>93</v>
      </c>
      <c r="B6" s="47"/>
      <c r="C6" s="47"/>
      <c r="D6" s="47"/>
      <c r="E6" s="47"/>
      <c r="F6" s="47"/>
      <c r="G6" s="47"/>
      <c r="H6" s="47"/>
      <c r="I6" s="47"/>
      <c r="J6" s="47"/>
      <c r="K6" s="47"/>
      <c r="L6" s="47"/>
      <c r="M6" s="47"/>
      <c r="N6" s="47"/>
      <c r="O6" s="47"/>
      <c r="V6" s="32"/>
    </row>
    <row r="7" spans="1:23" ht="56.85" customHeight="1">
      <c r="A7" s="658" t="s">
        <v>94</v>
      </c>
      <c r="B7" s="658"/>
      <c r="C7" s="658"/>
      <c r="D7" s="658"/>
      <c r="E7" s="658"/>
      <c r="F7" s="658"/>
      <c r="G7" s="658"/>
      <c r="H7" s="658"/>
      <c r="I7" s="658"/>
      <c r="J7" s="658"/>
      <c r="K7" s="658"/>
      <c r="L7" s="658"/>
      <c r="M7" s="658"/>
      <c r="N7" s="658"/>
      <c r="O7" s="658"/>
      <c r="V7" s="31"/>
    </row>
    <row r="8" spans="1:23" ht="14.85" customHeight="1">
      <c r="W8" s="657"/>
    </row>
    <row r="9" spans="1:23">
      <c r="W9" s="657"/>
    </row>
    <row r="10" spans="1:23">
      <c r="W10" s="657"/>
    </row>
    <row r="14" spans="1:23">
      <c r="F14" s="21"/>
      <c r="G14" s="21"/>
      <c r="H14" s="21"/>
      <c r="I14" s="21"/>
      <c r="J14" s="21"/>
      <c r="K14" s="21"/>
      <c r="L14" s="21"/>
      <c r="P14" s="21"/>
      <c r="Q14" s="21"/>
      <c r="R14" s="21"/>
      <c r="S14" s="21"/>
    </row>
    <row r="15" spans="1:23">
      <c r="H15" s="21"/>
      <c r="I15" s="21"/>
      <c r="J15" s="21"/>
      <c r="K15" s="21"/>
      <c r="L15" s="21"/>
      <c r="M15" s="21"/>
      <c r="P15" s="21"/>
      <c r="Q15" s="21"/>
      <c r="R15" s="21"/>
      <c r="S15" s="21"/>
    </row>
    <row r="16" spans="1:23">
      <c r="P16" s="21"/>
      <c r="Q16" s="21"/>
      <c r="R16" s="21"/>
      <c r="S16" s="21"/>
    </row>
    <row r="18" spans="1:42">
      <c r="Q18" s="21"/>
      <c r="R18" s="21"/>
    </row>
    <row r="20" spans="1:42" ht="54.75" customHeight="1">
      <c r="A20" s="37"/>
    </row>
    <row r="21" spans="1:42" ht="50.25" customHeight="1">
      <c r="A21" s="37"/>
    </row>
    <row r="22" spans="1:42" ht="45.75" customHeight="1">
      <c r="A22" s="37"/>
    </row>
    <row r="23" spans="1:42" ht="25.5" customHeight="1">
      <c r="A23" s="37"/>
    </row>
    <row r="24" spans="1:42">
      <c r="A24" s="37"/>
    </row>
    <row r="25" spans="1:42" ht="67.5" customHeight="1">
      <c r="A25" s="38"/>
    </row>
    <row r="30" spans="1:42">
      <c r="B30" s="201"/>
      <c r="C30" s="201"/>
      <c r="D30" s="201"/>
    </row>
    <row r="31" spans="1:42">
      <c r="A31" s="39"/>
      <c r="B31" s="201"/>
      <c r="C31" s="201"/>
      <c r="D31" s="201"/>
      <c r="AP31" s="47"/>
    </row>
    <row r="32" spans="1:42">
      <c r="AP32" s="47"/>
    </row>
    <row r="33" spans="42:42">
      <c r="AP33" s="47"/>
    </row>
    <row r="34" spans="42:42">
      <c r="AP34" s="47"/>
    </row>
    <row r="35" spans="42:42">
      <c r="AP35" s="47"/>
    </row>
    <row r="36" spans="42:42">
      <c r="AP36" s="47"/>
    </row>
    <row r="37" spans="42:42">
      <c r="AP37" s="47"/>
    </row>
    <row r="39" spans="42:42" ht="61.5" customHeight="1"/>
  </sheetData>
  <mergeCells count="2">
    <mergeCell ref="W8:W10"/>
    <mergeCell ref="A7:O7"/>
  </mergeCells>
  <hyperlinks>
    <hyperlink ref="C4" r:id="rId1" xr:uid="{F76F9A57-446B-4165-9925-B4011AE22475}"/>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D2357-041B-4BE8-8BE5-30014300C44E}">
  <dimension ref="A1:AF82"/>
  <sheetViews>
    <sheetView zoomScale="85" zoomScaleNormal="85" workbookViewId="0">
      <selection activeCell="AG4" sqref="AG4"/>
    </sheetView>
  </sheetViews>
  <sheetFormatPr defaultColWidth="8.89453125" defaultRowHeight="14.4"/>
  <cols>
    <col min="1" max="1" width="80" customWidth="1"/>
    <col min="2" max="2" width="14" customWidth="1"/>
    <col min="3" max="3" width="9" bestFit="1" customWidth="1"/>
    <col min="4" max="17" width="11.41796875" bestFit="1" customWidth="1"/>
    <col min="18" max="18" width="15.41796875" customWidth="1"/>
    <col min="19" max="19" width="13.41796875" customWidth="1"/>
    <col min="20" max="20" width="11.41796875" bestFit="1" customWidth="1"/>
    <col min="21" max="21" width="12.41796875" bestFit="1" customWidth="1"/>
    <col min="22" max="22" width="16" customWidth="1"/>
    <col min="23" max="23" width="12.41796875" bestFit="1" customWidth="1"/>
    <col min="24" max="24" width="16.41796875" customWidth="1"/>
    <col min="25" max="31" width="13.89453125" bestFit="1" customWidth="1"/>
  </cols>
  <sheetData>
    <row r="1" spans="1:24" ht="24.6" customHeight="1">
      <c r="A1" s="38"/>
      <c r="B1" s="332">
        <v>1999</v>
      </c>
      <c r="C1" s="331">
        <v>2000</v>
      </c>
      <c r="D1" s="331">
        <v>2001</v>
      </c>
      <c r="E1" s="54">
        <v>2002</v>
      </c>
      <c r="F1" s="54">
        <v>2003</v>
      </c>
      <c r="G1" s="54">
        <v>2004</v>
      </c>
      <c r="H1" s="54">
        <v>2005</v>
      </c>
      <c r="I1" s="54">
        <v>2006</v>
      </c>
      <c r="J1" s="54">
        <v>2007</v>
      </c>
      <c r="K1" s="54">
        <v>2008</v>
      </c>
      <c r="L1" s="54">
        <v>2009</v>
      </c>
      <c r="M1" s="54">
        <v>2010</v>
      </c>
      <c r="N1" s="54">
        <v>2011</v>
      </c>
      <c r="O1" s="54">
        <v>2012</v>
      </c>
      <c r="P1" s="54">
        <v>2013</v>
      </c>
      <c r="Q1" s="54">
        <v>2014</v>
      </c>
      <c r="R1" s="54">
        <v>2015</v>
      </c>
      <c r="S1" s="54">
        <v>2016</v>
      </c>
      <c r="T1" s="54">
        <v>2017</v>
      </c>
      <c r="U1" s="54">
        <v>2018</v>
      </c>
      <c r="V1" s="54">
        <v>2019</v>
      </c>
      <c r="W1" s="54">
        <v>2020</v>
      </c>
      <c r="X1" s="54">
        <v>2021</v>
      </c>
    </row>
    <row r="2" spans="1:24">
      <c r="A2" s="73" t="s">
        <v>95</v>
      </c>
      <c r="B2">
        <v>0</v>
      </c>
      <c r="C2">
        <v>0</v>
      </c>
      <c r="D2">
        <v>0</v>
      </c>
      <c r="E2">
        <f t="shared" ref="E2:W2" si="0">C70</f>
        <v>0</v>
      </c>
      <c r="F2">
        <f t="shared" si="0"/>
        <v>1893</v>
      </c>
      <c r="G2">
        <f t="shared" si="0"/>
        <v>3256</v>
      </c>
      <c r="H2">
        <f t="shared" si="0"/>
        <v>5484</v>
      </c>
      <c r="I2" s="21">
        <f t="shared" si="0"/>
        <v>8555.5</v>
      </c>
      <c r="J2" s="21">
        <f t="shared" si="0"/>
        <v>8602.5</v>
      </c>
      <c r="K2" s="21">
        <f t="shared" si="0"/>
        <v>11754.666666666666</v>
      </c>
      <c r="L2" s="21">
        <f t="shared" si="0"/>
        <v>12288.5</v>
      </c>
      <c r="M2" s="21">
        <f t="shared" si="0"/>
        <v>13504.5</v>
      </c>
      <c r="N2" s="21">
        <f t="shared" si="0"/>
        <v>14831.5</v>
      </c>
      <c r="O2">
        <f t="shared" si="0"/>
        <v>16095</v>
      </c>
      <c r="P2">
        <f t="shared" si="0"/>
        <v>16777</v>
      </c>
      <c r="Q2">
        <f t="shared" si="0"/>
        <v>17759</v>
      </c>
      <c r="R2" s="21">
        <f t="shared" si="0"/>
        <v>19961.7977115549</v>
      </c>
      <c r="S2" s="21">
        <f t="shared" si="0"/>
        <v>23096.436999999998</v>
      </c>
      <c r="T2" s="21">
        <f t="shared" si="0"/>
        <v>29811</v>
      </c>
      <c r="U2">
        <f t="shared" si="0"/>
        <v>41905</v>
      </c>
      <c r="V2">
        <f t="shared" si="0"/>
        <v>50000</v>
      </c>
      <c r="W2">
        <f t="shared" si="0"/>
        <v>67558</v>
      </c>
    </row>
    <row r="3" spans="1:24" ht="30" customHeight="1">
      <c r="A3" s="73" t="s">
        <v>96</v>
      </c>
      <c r="B3">
        <v>0</v>
      </c>
      <c r="C3">
        <v>0</v>
      </c>
      <c r="D3">
        <v>0</v>
      </c>
      <c r="E3">
        <f t="shared" ref="E3:W3" si="1">C71</f>
        <v>0</v>
      </c>
      <c r="F3">
        <f t="shared" si="1"/>
        <v>0</v>
      </c>
      <c r="G3">
        <f t="shared" si="1"/>
        <v>0</v>
      </c>
      <c r="H3" s="21">
        <f t="shared" si="1"/>
        <v>0</v>
      </c>
      <c r="I3" s="21">
        <f t="shared" si="1"/>
        <v>0</v>
      </c>
      <c r="J3" s="21">
        <f t="shared" si="1"/>
        <v>2034.5</v>
      </c>
      <c r="K3" s="21">
        <f t="shared" si="1"/>
        <v>2610.6666666666665</v>
      </c>
      <c r="L3" s="21">
        <f t="shared" si="1"/>
        <v>3529</v>
      </c>
      <c r="M3" s="21">
        <f t="shared" si="1"/>
        <v>4519</v>
      </c>
      <c r="N3" s="21">
        <f t="shared" si="1"/>
        <v>5316.5</v>
      </c>
      <c r="O3" s="21">
        <f t="shared" si="1"/>
        <v>6103</v>
      </c>
      <c r="P3" s="21">
        <f t="shared" si="1"/>
        <v>6852</v>
      </c>
      <c r="Q3" s="21">
        <f t="shared" si="1"/>
        <v>7979</v>
      </c>
      <c r="R3" s="21">
        <f t="shared" si="1"/>
        <v>8968.7022884451017</v>
      </c>
      <c r="S3" s="21">
        <f t="shared" si="1"/>
        <v>7034.9369999999999</v>
      </c>
      <c r="T3" s="21">
        <f t="shared" si="1"/>
        <v>8528</v>
      </c>
      <c r="U3" s="21">
        <f t="shared" si="1"/>
        <v>10994</v>
      </c>
      <c r="V3" s="21">
        <f t="shared" si="1"/>
        <v>12000</v>
      </c>
      <c r="W3" s="21">
        <f t="shared" si="1"/>
        <v>20069</v>
      </c>
    </row>
    <row r="4" spans="1:24" ht="30.75" customHeight="1">
      <c r="A4" s="73" t="s">
        <v>97</v>
      </c>
      <c r="B4">
        <v>0</v>
      </c>
      <c r="C4">
        <v>0</v>
      </c>
      <c r="D4">
        <v>0</v>
      </c>
      <c r="E4">
        <f t="shared" ref="E4:W4" si="2">C72</f>
        <v>0</v>
      </c>
      <c r="F4">
        <f t="shared" si="2"/>
        <v>0</v>
      </c>
      <c r="G4">
        <f t="shared" si="2"/>
        <v>0</v>
      </c>
      <c r="H4" s="21">
        <f t="shared" si="2"/>
        <v>0</v>
      </c>
      <c r="I4" s="21">
        <f t="shared" si="2"/>
        <v>0</v>
      </c>
      <c r="J4" s="21">
        <f t="shared" si="2"/>
        <v>0</v>
      </c>
      <c r="K4" s="21">
        <f t="shared" si="2"/>
        <v>0</v>
      </c>
      <c r="L4" s="21">
        <f t="shared" si="2"/>
        <v>0</v>
      </c>
      <c r="M4" s="21">
        <f t="shared" si="2"/>
        <v>0</v>
      </c>
      <c r="N4" s="21">
        <f t="shared" si="2"/>
        <v>0</v>
      </c>
      <c r="O4" s="21">
        <f t="shared" si="2"/>
        <v>0</v>
      </c>
      <c r="P4" s="21">
        <f t="shared" si="2"/>
        <v>0</v>
      </c>
      <c r="Q4" s="21">
        <f t="shared" si="2"/>
        <v>0</v>
      </c>
      <c r="R4" s="21">
        <f t="shared" si="2"/>
        <v>0</v>
      </c>
      <c r="S4" s="21">
        <f t="shared" si="2"/>
        <v>1991.626</v>
      </c>
      <c r="T4" s="21">
        <f t="shared" si="2"/>
        <v>3698</v>
      </c>
      <c r="U4" s="21">
        <f t="shared" si="2"/>
        <v>4527.5</v>
      </c>
      <c r="V4" s="21">
        <f t="shared" si="2"/>
        <v>4800</v>
      </c>
      <c r="W4" s="21">
        <f t="shared" si="2"/>
        <v>6596</v>
      </c>
    </row>
    <row r="5" spans="1:24" ht="30.75" customHeight="1">
      <c r="A5" s="73" t="s">
        <v>98</v>
      </c>
      <c r="B5">
        <v>0</v>
      </c>
      <c r="C5">
        <v>0</v>
      </c>
      <c r="D5">
        <v>0</v>
      </c>
      <c r="E5" s="21">
        <f>SUM(E2:E4)</f>
        <v>0</v>
      </c>
      <c r="F5" s="21">
        <f t="shared" ref="F5:W5" si="3">SUM(F2:F4)</f>
        <v>1893</v>
      </c>
      <c r="G5" s="21">
        <f t="shared" si="3"/>
        <v>3256</v>
      </c>
      <c r="H5" s="21">
        <f t="shared" si="3"/>
        <v>5484</v>
      </c>
      <c r="I5" s="21">
        <f t="shared" si="3"/>
        <v>8555.5</v>
      </c>
      <c r="J5" s="21">
        <f t="shared" si="3"/>
        <v>10637</v>
      </c>
      <c r="K5" s="21">
        <f t="shared" si="3"/>
        <v>14365.333333333332</v>
      </c>
      <c r="L5" s="21">
        <f t="shared" si="3"/>
        <v>15817.5</v>
      </c>
      <c r="M5" s="21">
        <f t="shared" si="3"/>
        <v>18023.5</v>
      </c>
      <c r="N5" s="21">
        <f t="shared" si="3"/>
        <v>20148</v>
      </c>
      <c r="O5" s="21">
        <f t="shared" si="3"/>
        <v>22198</v>
      </c>
      <c r="P5" s="21">
        <f t="shared" si="3"/>
        <v>23629</v>
      </c>
      <c r="Q5" s="21">
        <f t="shared" si="3"/>
        <v>25738</v>
      </c>
      <c r="R5" s="21">
        <f t="shared" si="3"/>
        <v>28930.5</v>
      </c>
      <c r="S5" s="21">
        <f t="shared" si="3"/>
        <v>32122.999999999996</v>
      </c>
      <c r="T5" s="21">
        <f t="shared" si="3"/>
        <v>42037</v>
      </c>
      <c r="U5" s="21">
        <f t="shared" si="3"/>
        <v>57426.5</v>
      </c>
      <c r="V5">
        <f t="shared" si="3"/>
        <v>66800</v>
      </c>
      <c r="W5">
        <f t="shared" si="3"/>
        <v>94223</v>
      </c>
    </row>
    <row r="6" spans="1:24" ht="82.95" customHeight="1">
      <c r="A6" s="660" t="s">
        <v>99</v>
      </c>
      <c r="B6" s="660"/>
      <c r="C6" s="660"/>
      <c r="D6" s="660"/>
      <c r="E6" s="660"/>
      <c r="F6" s="660"/>
      <c r="G6" s="660"/>
      <c r="H6" s="660"/>
      <c r="I6" s="660"/>
      <c r="J6" s="38"/>
      <c r="K6" s="38"/>
      <c r="L6" s="38"/>
      <c r="X6" s="504" t="s">
        <v>100</v>
      </c>
    </row>
    <row r="7" spans="1:24" ht="59.85" customHeight="1">
      <c r="A7" s="204" t="s">
        <v>101</v>
      </c>
      <c r="B7" s="202"/>
      <c r="C7" s="203">
        <v>2002</v>
      </c>
      <c r="D7" s="205">
        <v>2003</v>
      </c>
      <c r="E7" s="224"/>
      <c r="F7" s="224"/>
      <c r="G7" s="224"/>
      <c r="H7" s="224"/>
      <c r="I7" s="224"/>
      <c r="J7" s="38"/>
      <c r="K7" s="38"/>
      <c r="L7" s="38"/>
    </row>
    <row r="8" spans="1:24">
      <c r="A8" s="663" t="s">
        <v>102</v>
      </c>
      <c r="B8" s="662"/>
      <c r="C8" s="64">
        <v>0</v>
      </c>
      <c r="D8" s="71">
        <v>1986</v>
      </c>
      <c r="E8" s="224"/>
      <c r="F8" s="224"/>
      <c r="G8" s="224"/>
      <c r="H8" s="224"/>
      <c r="I8" s="224"/>
      <c r="J8" s="38"/>
      <c r="K8" s="38"/>
      <c r="L8" s="38"/>
    </row>
    <row r="9" spans="1:24">
      <c r="A9" s="69" t="s">
        <v>103</v>
      </c>
      <c r="B9" s="67"/>
      <c r="C9" s="64"/>
      <c r="D9" s="71">
        <f>D8</f>
        <v>1986</v>
      </c>
      <c r="E9" s="210"/>
      <c r="F9" s="224"/>
      <c r="G9" s="224"/>
      <c r="H9" s="224"/>
      <c r="I9" s="224"/>
      <c r="J9" s="38"/>
      <c r="K9" s="38"/>
      <c r="L9" s="38"/>
    </row>
    <row r="11" spans="1:24" ht="14.85" customHeight="1">
      <c r="A11" s="211" t="s">
        <v>104</v>
      </c>
      <c r="B11" s="202"/>
      <c r="C11" s="184">
        <v>2002</v>
      </c>
      <c r="D11" s="184">
        <v>2003</v>
      </c>
      <c r="E11" s="184">
        <v>2004</v>
      </c>
      <c r="F11" s="184">
        <v>2005</v>
      </c>
      <c r="G11" s="184">
        <v>2006</v>
      </c>
    </row>
    <row r="12" spans="1:24">
      <c r="A12" s="663" t="s">
        <v>102</v>
      </c>
      <c r="B12" s="662"/>
      <c r="C12" s="214">
        <v>0</v>
      </c>
      <c r="D12" s="202"/>
      <c r="E12" s="202"/>
      <c r="F12" s="202"/>
      <c r="G12" s="212">
        <v>9449</v>
      </c>
    </row>
    <row r="13" spans="1:24">
      <c r="A13" s="69" t="s">
        <v>103</v>
      </c>
      <c r="B13" s="65"/>
      <c r="C13" s="213"/>
      <c r="D13" s="64"/>
      <c r="E13" s="64"/>
      <c r="F13" s="64"/>
      <c r="G13" s="71"/>
    </row>
    <row r="15" spans="1:24">
      <c r="A15" s="28" t="s">
        <v>105</v>
      </c>
      <c r="B15" s="28"/>
      <c r="C15" s="54">
        <v>2002</v>
      </c>
      <c r="D15" s="54">
        <v>2003</v>
      </c>
      <c r="E15" s="54">
        <v>2004</v>
      </c>
      <c r="F15" s="54">
        <v>2005</v>
      </c>
      <c r="G15" s="54">
        <v>2006</v>
      </c>
      <c r="H15" s="54">
        <v>2007</v>
      </c>
      <c r="I15" s="54">
        <v>2008</v>
      </c>
      <c r="J15" s="1"/>
      <c r="K15" s="1"/>
    </row>
    <row r="16" spans="1:24">
      <c r="A16" s="661" t="s">
        <v>102</v>
      </c>
      <c r="B16" s="662"/>
      <c r="C16" s="64"/>
      <c r="D16" s="64"/>
      <c r="E16" s="64"/>
      <c r="F16" s="64"/>
      <c r="G16" s="64">
        <v>8818</v>
      </c>
      <c r="H16" s="64"/>
      <c r="I16" s="64">
        <v>13095</v>
      </c>
    </row>
    <row r="17" spans="1:23">
      <c r="A17" s="661" t="s">
        <v>106</v>
      </c>
      <c r="B17" s="662"/>
      <c r="C17" s="65"/>
      <c r="D17" s="65"/>
      <c r="E17" s="65"/>
      <c r="F17" s="65"/>
      <c r="G17" s="65"/>
      <c r="H17" s="65"/>
      <c r="I17" s="65">
        <v>2567</v>
      </c>
    </row>
    <row r="18" spans="1:23">
      <c r="A18" s="661" t="s">
        <v>107</v>
      </c>
      <c r="B18" s="662"/>
      <c r="C18" s="69"/>
      <c r="D18" s="65"/>
      <c r="E18" s="65"/>
      <c r="F18" s="65"/>
      <c r="G18" s="65"/>
      <c r="H18" s="65"/>
      <c r="I18" s="65"/>
    </row>
    <row r="19" spans="1:23">
      <c r="A19" s="65" t="s">
        <v>103</v>
      </c>
      <c r="B19" s="67"/>
      <c r="C19" s="64"/>
      <c r="D19" s="64"/>
      <c r="E19" s="68"/>
      <c r="F19" s="68"/>
      <c r="G19" s="68">
        <f t="shared" ref="G19:I19" si="4">SUM(G16:G18)</f>
        <v>8818</v>
      </c>
      <c r="H19" s="68">
        <f t="shared" si="4"/>
        <v>0</v>
      </c>
      <c r="I19" s="68">
        <f t="shared" si="4"/>
        <v>15662</v>
      </c>
      <c r="J19" s="30"/>
      <c r="K19" s="30"/>
      <c r="L19" s="30"/>
      <c r="M19" t="s">
        <v>108</v>
      </c>
    </row>
    <row r="21" spans="1:23">
      <c r="A21" s="53" t="s">
        <v>109</v>
      </c>
      <c r="B21" s="28"/>
      <c r="C21" s="54">
        <v>2002</v>
      </c>
      <c r="D21" s="54">
        <v>2003</v>
      </c>
      <c r="E21" s="54">
        <v>2004</v>
      </c>
      <c r="F21" s="54">
        <v>2005</v>
      </c>
      <c r="G21" s="54">
        <v>2006</v>
      </c>
      <c r="H21" s="54">
        <v>2007</v>
      </c>
      <c r="I21" s="54">
        <v>2008</v>
      </c>
      <c r="J21" s="54">
        <v>2009</v>
      </c>
      <c r="K21" s="54">
        <v>2010</v>
      </c>
      <c r="L21" s="70">
        <v>2011</v>
      </c>
    </row>
    <row r="22" spans="1:23">
      <c r="A22" s="661" t="s">
        <v>102</v>
      </c>
      <c r="B22" s="662"/>
      <c r="C22" s="64">
        <v>0</v>
      </c>
      <c r="D22" s="64">
        <v>0</v>
      </c>
      <c r="E22" s="64">
        <v>3293</v>
      </c>
      <c r="F22" s="64">
        <v>5549</v>
      </c>
      <c r="G22" s="64">
        <v>8068</v>
      </c>
      <c r="H22" s="64">
        <v>8639</v>
      </c>
      <c r="I22" s="64">
        <v>11140</v>
      </c>
      <c r="J22" s="64">
        <v>12349</v>
      </c>
      <c r="K22" s="64">
        <v>13665</v>
      </c>
      <c r="L22" s="71">
        <v>15007</v>
      </c>
    </row>
    <row r="23" spans="1:23">
      <c r="A23" s="661" t="s">
        <v>106</v>
      </c>
      <c r="B23" s="662"/>
      <c r="C23" s="65">
        <v>0</v>
      </c>
      <c r="D23" s="65">
        <v>0</v>
      </c>
      <c r="E23" s="65">
        <v>0</v>
      </c>
      <c r="F23" s="65">
        <v>0</v>
      </c>
      <c r="G23" s="65">
        <v>0</v>
      </c>
      <c r="H23" s="65">
        <v>2132</v>
      </c>
      <c r="I23" s="65">
        <v>2756</v>
      </c>
      <c r="J23" s="65">
        <v>3678</v>
      </c>
      <c r="K23" s="65">
        <v>4597</v>
      </c>
      <c r="L23" s="67">
        <v>5403</v>
      </c>
    </row>
    <row r="24" spans="1:23" ht="33.75" customHeight="1">
      <c r="A24" s="661" t="s">
        <v>107</v>
      </c>
      <c r="B24" s="662"/>
      <c r="C24" s="69">
        <v>0</v>
      </c>
      <c r="D24" s="65">
        <v>0</v>
      </c>
      <c r="E24" s="65">
        <v>0</v>
      </c>
      <c r="F24" s="65">
        <v>0</v>
      </c>
      <c r="G24" s="65">
        <v>0</v>
      </c>
      <c r="H24" s="65">
        <v>0</v>
      </c>
      <c r="I24" s="65">
        <v>0</v>
      </c>
      <c r="J24" s="65">
        <v>0</v>
      </c>
      <c r="K24" s="65">
        <v>0</v>
      </c>
      <c r="L24" s="67">
        <v>0</v>
      </c>
    </row>
    <row r="25" spans="1:23" ht="33" customHeight="1">
      <c r="A25" s="65" t="s">
        <v>103</v>
      </c>
      <c r="B25" s="67"/>
      <c r="C25" s="64"/>
      <c r="D25" s="64"/>
      <c r="E25" s="68">
        <f t="shared" ref="E25:L25" si="5">SUM(E22:E24)</f>
        <v>3293</v>
      </c>
      <c r="F25" s="68">
        <f t="shared" si="5"/>
        <v>5549</v>
      </c>
      <c r="G25" s="68">
        <f t="shared" si="5"/>
        <v>8068</v>
      </c>
      <c r="H25" s="68">
        <f t="shared" si="5"/>
        <v>10771</v>
      </c>
      <c r="I25" s="68">
        <f t="shared" si="5"/>
        <v>13896</v>
      </c>
      <c r="J25" s="68">
        <f t="shared" si="5"/>
        <v>16027</v>
      </c>
      <c r="K25" s="68">
        <f t="shared" si="5"/>
        <v>18262</v>
      </c>
      <c r="L25" s="72">
        <f t="shared" si="5"/>
        <v>20410</v>
      </c>
      <c r="M25" s="30"/>
    </row>
    <row r="27" spans="1:23">
      <c r="A27" s="28" t="s">
        <v>110</v>
      </c>
      <c r="B27" s="66"/>
      <c r="C27" s="54">
        <v>2002</v>
      </c>
      <c r="D27" s="54">
        <v>2003</v>
      </c>
      <c r="E27" s="54">
        <v>2004</v>
      </c>
      <c r="F27" s="54">
        <v>2005</v>
      </c>
      <c r="G27" s="54">
        <v>2006</v>
      </c>
      <c r="H27" s="54">
        <v>2007</v>
      </c>
      <c r="I27" s="54">
        <v>2008</v>
      </c>
      <c r="J27" s="54">
        <v>2009</v>
      </c>
      <c r="K27" s="54">
        <v>2010</v>
      </c>
      <c r="L27" s="54">
        <v>2011</v>
      </c>
      <c r="M27" s="70">
        <v>2012</v>
      </c>
    </row>
    <row r="28" spans="1:23">
      <c r="A28" s="661" t="s">
        <v>102</v>
      </c>
      <c r="B28" s="662"/>
      <c r="C28" s="64"/>
      <c r="D28" s="64">
        <v>1800</v>
      </c>
      <c r="E28" s="64">
        <v>3219</v>
      </c>
      <c r="F28" s="64">
        <v>5419</v>
      </c>
      <c r="G28" s="64">
        <v>7887</v>
      </c>
      <c r="H28" s="64">
        <v>8566</v>
      </c>
      <c r="I28" s="64">
        <v>11029</v>
      </c>
      <c r="J28" s="64">
        <v>12228</v>
      </c>
      <c r="K28" s="64">
        <v>13344</v>
      </c>
      <c r="L28" s="64">
        <v>14656</v>
      </c>
      <c r="M28" s="71">
        <v>16095</v>
      </c>
      <c r="W28" s="31"/>
    </row>
    <row r="29" spans="1:23" ht="36.75" customHeight="1">
      <c r="A29" s="661" t="s">
        <v>106</v>
      </c>
      <c r="B29" s="662"/>
      <c r="C29" s="65"/>
      <c r="D29" s="65">
        <v>0</v>
      </c>
      <c r="E29" s="65">
        <v>0</v>
      </c>
      <c r="F29" s="65">
        <v>0</v>
      </c>
      <c r="G29" s="65">
        <v>0</v>
      </c>
      <c r="H29" s="65">
        <v>1937</v>
      </c>
      <c r="I29" s="65">
        <v>2509</v>
      </c>
      <c r="J29" s="65">
        <v>3380</v>
      </c>
      <c r="K29" s="65">
        <v>4441</v>
      </c>
      <c r="L29" s="65">
        <v>5230</v>
      </c>
      <c r="M29" s="67">
        <v>6103</v>
      </c>
      <c r="W29" s="31"/>
    </row>
    <row r="30" spans="1:23" ht="33" customHeight="1">
      <c r="A30" s="65" t="s">
        <v>103</v>
      </c>
      <c r="B30" s="67"/>
      <c r="C30" s="69"/>
      <c r="D30" s="65">
        <f t="shared" ref="D30:M30" si="6">SUM(D28:D29)</f>
        <v>1800</v>
      </c>
      <c r="E30" s="65">
        <f t="shared" si="6"/>
        <v>3219</v>
      </c>
      <c r="F30" s="65">
        <f t="shared" si="6"/>
        <v>5419</v>
      </c>
      <c r="G30" s="65">
        <f t="shared" si="6"/>
        <v>7887</v>
      </c>
      <c r="H30" s="65">
        <f t="shared" si="6"/>
        <v>10503</v>
      </c>
      <c r="I30" s="65">
        <f t="shared" si="6"/>
        <v>13538</v>
      </c>
      <c r="J30" s="65">
        <f t="shared" si="6"/>
        <v>15608</v>
      </c>
      <c r="K30" s="65">
        <f t="shared" si="6"/>
        <v>17785</v>
      </c>
      <c r="L30" s="65">
        <f t="shared" si="6"/>
        <v>19886</v>
      </c>
      <c r="M30" s="67">
        <f t="shared" si="6"/>
        <v>22198</v>
      </c>
      <c r="W30" s="31"/>
    </row>
    <row r="31" spans="1:23">
      <c r="W31" s="31"/>
    </row>
    <row r="32" spans="1:23">
      <c r="A32" s="28" t="s">
        <v>111</v>
      </c>
      <c r="B32" s="28"/>
      <c r="C32" s="28"/>
      <c r="D32" s="28"/>
      <c r="E32" s="28"/>
      <c r="F32" s="28"/>
      <c r="G32" s="28"/>
      <c r="H32" s="28"/>
      <c r="I32" s="28"/>
      <c r="J32" s="28"/>
      <c r="K32" s="28"/>
      <c r="L32" s="28"/>
      <c r="M32" s="28"/>
      <c r="N32" s="54">
        <v>2013</v>
      </c>
      <c r="P32" s="22"/>
      <c r="W32" s="31"/>
    </row>
    <row r="33" spans="1:23">
      <c r="A33" s="659" t="s">
        <v>102</v>
      </c>
      <c r="B33" s="659"/>
      <c r="C33" s="28"/>
      <c r="D33" s="28"/>
      <c r="E33" s="28"/>
      <c r="F33" s="28"/>
      <c r="G33" s="28"/>
      <c r="H33" s="28"/>
      <c r="I33" s="28"/>
      <c r="J33" s="28"/>
      <c r="K33" s="28"/>
      <c r="L33" s="28"/>
      <c r="M33" s="28"/>
      <c r="N33" s="28">
        <v>16777</v>
      </c>
      <c r="P33" s="22"/>
      <c r="W33" s="31"/>
    </row>
    <row r="34" spans="1:23">
      <c r="A34" s="659" t="s">
        <v>106</v>
      </c>
      <c r="B34" s="659"/>
      <c r="C34" s="28"/>
      <c r="D34" s="28"/>
      <c r="E34" s="28"/>
      <c r="F34" s="28"/>
      <c r="G34" s="28"/>
      <c r="H34" s="28"/>
      <c r="I34" s="28"/>
      <c r="J34" s="28"/>
      <c r="K34" s="28"/>
      <c r="L34" s="28"/>
      <c r="M34" s="28"/>
      <c r="N34" s="28">
        <v>6852</v>
      </c>
      <c r="P34" s="22"/>
    </row>
    <row r="35" spans="1:23" ht="34.5" customHeight="1">
      <c r="A35" s="659" t="s">
        <v>107</v>
      </c>
      <c r="B35" s="659"/>
      <c r="C35" s="28"/>
      <c r="D35" s="28"/>
      <c r="E35" s="28"/>
      <c r="F35" s="28"/>
      <c r="G35" s="28"/>
      <c r="H35" s="28"/>
      <c r="I35" s="28"/>
      <c r="J35" s="28"/>
      <c r="K35" s="28"/>
      <c r="L35" s="28"/>
      <c r="M35" s="28"/>
      <c r="N35" s="28">
        <v>0</v>
      </c>
      <c r="P35" s="22"/>
    </row>
    <row r="36" spans="1:23" ht="36.75" customHeight="1">
      <c r="A36" s="28" t="s">
        <v>103</v>
      </c>
      <c r="B36" s="28"/>
      <c r="C36" s="28"/>
      <c r="D36" s="28"/>
      <c r="E36" s="28"/>
      <c r="F36" s="28"/>
      <c r="G36" s="28"/>
      <c r="H36" s="28"/>
      <c r="I36" s="28"/>
      <c r="J36" s="28"/>
      <c r="K36" s="28"/>
      <c r="L36" s="28"/>
      <c r="M36" s="28"/>
      <c r="N36" s="29">
        <f>SUM(N33:N35)</f>
        <v>23629</v>
      </c>
      <c r="P36" s="22"/>
      <c r="W36" s="31"/>
    </row>
    <row r="37" spans="1:23">
      <c r="N37" s="30"/>
      <c r="P37" s="22"/>
      <c r="W37" s="31"/>
    </row>
    <row r="38" spans="1:23">
      <c r="A38" s="28" t="s">
        <v>112</v>
      </c>
      <c r="B38" s="28"/>
      <c r="C38" s="28"/>
      <c r="D38" s="28"/>
      <c r="E38" s="28"/>
      <c r="F38" s="28"/>
      <c r="G38" s="28"/>
      <c r="H38" s="28"/>
      <c r="I38" s="28"/>
      <c r="J38" s="28"/>
      <c r="K38" s="28"/>
      <c r="L38" s="28"/>
      <c r="M38" s="28"/>
      <c r="N38" s="29"/>
      <c r="O38" s="54">
        <v>2014</v>
      </c>
      <c r="P38" s="22" t="s">
        <v>113</v>
      </c>
      <c r="W38" s="31"/>
    </row>
    <row r="39" spans="1:23">
      <c r="A39" s="659" t="s">
        <v>102</v>
      </c>
      <c r="B39" s="659"/>
      <c r="C39" s="28"/>
      <c r="D39" s="28"/>
      <c r="E39" s="28"/>
      <c r="F39" s="28"/>
      <c r="G39" s="28"/>
      <c r="H39" s="28"/>
      <c r="I39" s="28"/>
      <c r="J39" s="28"/>
      <c r="K39" s="28"/>
      <c r="L39" s="28"/>
      <c r="M39" s="28"/>
      <c r="N39" s="29"/>
      <c r="O39" s="28">
        <v>17759</v>
      </c>
      <c r="P39" s="55">
        <f>O39/O42</f>
        <v>0.68999145232729819</v>
      </c>
      <c r="W39" s="31"/>
    </row>
    <row r="40" spans="1:23">
      <c r="A40" s="659" t="s">
        <v>106</v>
      </c>
      <c r="B40" s="659"/>
      <c r="C40" s="28"/>
      <c r="D40" s="28"/>
      <c r="E40" s="28"/>
      <c r="F40" s="28"/>
      <c r="G40" s="28"/>
      <c r="H40" s="28"/>
      <c r="I40" s="28"/>
      <c r="J40" s="28"/>
      <c r="K40" s="28"/>
      <c r="L40" s="28"/>
      <c r="M40" s="28"/>
      <c r="N40" s="29"/>
      <c r="O40" s="28">
        <v>7979</v>
      </c>
      <c r="P40" s="32">
        <f>O40/O42</f>
        <v>0.31000854767270186</v>
      </c>
    </row>
    <row r="41" spans="1:23" ht="43.5" customHeight="1">
      <c r="A41" s="659" t="s">
        <v>107</v>
      </c>
      <c r="B41" s="659"/>
      <c r="C41" s="28"/>
      <c r="D41" s="28"/>
      <c r="E41" s="28"/>
      <c r="F41" s="28"/>
      <c r="G41" s="28"/>
      <c r="H41" s="28"/>
      <c r="I41" s="28"/>
      <c r="J41" s="28"/>
      <c r="K41" s="28"/>
      <c r="L41" s="28"/>
      <c r="M41" s="28"/>
      <c r="N41" s="29"/>
      <c r="O41" s="28">
        <v>0</v>
      </c>
    </row>
    <row r="42" spans="1:23" ht="45" customHeight="1">
      <c r="A42" s="28" t="s">
        <v>103</v>
      </c>
      <c r="B42" s="28"/>
      <c r="C42" s="28"/>
      <c r="D42" s="28"/>
      <c r="E42" s="28"/>
      <c r="F42" s="28"/>
      <c r="G42" s="28"/>
      <c r="H42" s="28"/>
      <c r="I42" s="28"/>
      <c r="J42" s="28"/>
      <c r="K42" s="28"/>
      <c r="L42" s="28"/>
      <c r="M42" s="28"/>
      <c r="N42" s="29"/>
      <c r="O42" s="29">
        <f>SUM(O39:O41)</f>
        <v>25738</v>
      </c>
      <c r="P42" s="22"/>
      <c r="V42" s="31"/>
    </row>
    <row r="43" spans="1:23" ht="36.75" customHeight="1">
      <c r="P43" s="22"/>
      <c r="S43" s="38"/>
    </row>
    <row r="44" spans="1:23">
      <c r="A44" s="28" t="s">
        <v>114</v>
      </c>
      <c r="B44" s="28"/>
      <c r="C44" s="28"/>
      <c r="D44" s="28"/>
      <c r="E44" s="28"/>
      <c r="F44" s="28"/>
      <c r="G44" s="28"/>
      <c r="H44" s="28"/>
      <c r="I44" s="28"/>
      <c r="J44" s="28"/>
      <c r="K44" s="28"/>
      <c r="L44" s="28"/>
      <c r="M44" s="28"/>
      <c r="N44" s="28"/>
      <c r="O44" s="28"/>
      <c r="P44" s="54">
        <v>2015</v>
      </c>
      <c r="Q44" s="54">
        <v>2016</v>
      </c>
      <c r="R44" s="54">
        <v>2017</v>
      </c>
      <c r="S44" s="46" t="s">
        <v>115</v>
      </c>
    </row>
    <row r="45" spans="1:23">
      <c r="A45" s="659" t="s">
        <v>102</v>
      </c>
      <c r="B45" s="659"/>
      <c r="C45" s="28"/>
      <c r="D45" s="28"/>
      <c r="E45" s="28"/>
      <c r="F45" s="28"/>
      <c r="G45" s="28"/>
      <c r="H45" s="28"/>
      <c r="I45" s="28"/>
      <c r="J45" s="28"/>
      <c r="K45" s="28"/>
      <c r="L45" s="28"/>
      <c r="M45" s="28"/>
      <c r="N45" s="28"/>
      <c r="O45" s="28"/>
      <c r="P45" s="33">
        <f>P48*P39</f>
        <v>19961.7977115549</v>
      </c>
      <c r="Q45" s="33">
        <f>Q48*S45</f>
        <v>23096.436999999998</v>
      </c>
      <c r="R45" s="33"/>
      <c r="S45">
        <v>0.71899999999999997</v>
      </c>
    </row>
    <row r="46" spans="1:23">
      <c r="A46" s="659" t="s">
        <v>106</v>
      </c>
      <c r="B46" s="659"/>
      <c r="C46" s="28"/>
      <c r="D46" s="28"/>
      <c r="E46" s="28"/>
      <c r="F46" s="28"/>
      <c r="G46" s="28"/>
      <c r="H46" s="28"/>
      <c r="I46" s="28"/>
      <c r="J46" s="28"/>
      <c r="K46" s="28"/>
      <c r="L46" s="28"/>
      <c r="M46" s="28"/>
      <c r="N46" s="28"/>
      <c r="O46" s="28"/>
      <c r="P46" s="33">
        <f>P48*P40</f>
        <v>8968.7022884451017</v>
      </c>
      <c r="Q46" s="33">
        <f>Q48*S46</f>
        <v>7034.9369999999999</v>
      </c>
      <c r="R46" s="33"/>
      <c r="S46">
        <v>0.219</v>
      </c>
      <c r="W46" s="31"/>
    </row>
    <row r="47" spans="1:23" ht="40.5" customHeight="1">
      <c r="A47" s="659" t="s">
        <v>107</v>
      </c>
      <c r="B47" s="659"/>
      <c r="C47" s="28"/>
      <c r="D47" s="28"/>
      <c r="E47" s="28"/>
      <c r="F47" s="28"/>
      <c r="G47" s="28"/>
      <c r="H47" s="28"/>
      <c r="I47" s="28"/>
      <c r="J47" s="28"/>
      <c r="K47" s="28"/>
      <c r="L47" s="28"/>
      <c r="M47" s="28"/>
      <c r="N47" s="28"/>
      <c r="O47" s="28"/>
      <c r="P47" s="33"/>
      <c r="Q47" s="33">
        <f>Q48*S47</f>
        <v>1991.626</v>
      </c>
      <c r="R47" s="33"/>
      <c r="S47">
        <v>6.2E-2</v>
      </c>
      <c r="W47" s="31"/>
    </row>
    <row r="48" spans="1:23">
      <c r="A48" s="28" t="s">
        <v>103</v>
      </c>
      <c r="B48" s="28"/>
      <c r="C48" s="28"/>
      <c r="D48" s="28"/>
      <c r="E48" s="28"/>
      <c r="F48" s="28"/>
      <c r="G48" s="28"/>
      <c r="H48" s="28"/>
      <c r="I48" s="28"/>
      <c r="J48" s="28"/>
      <c r="K48" s="28"/>
      <c r="L48" s="28"/>
      <c r="M48" s="28"/>
      <c r="N48" s="28"/>
      <c r="O48" s="28"/>
      <c r="P48" s="33">
        <f>(Q48-O42)/2+O42</f>
        <v>28930.5</v>
      </c>
      <c r="Q48" s="28">
        <v>32123</v>
      </c>
      <c r="R48" s="33"/>
      <c r="W48" s="31"/>
    </row>
    <row r="49" spans="1:23" ht="51" customHeight="1">
      <c r="P49" s="22" t="s">
        <v>116</v>
      </c>
      <c r="W49" s="31"/>
    </row>
    <row r="50" spans="1:23" ht="51" customHeight="1">
      <c r="A50" s="229" t="s">
        <v>117</v>
      </c>
      <c r="B50" s="28"/>
      <c r="C50" s="28"/>
      <c r="D50" s="28"/>
      <c r="E50" s="28"/>
      <c r="F50" s="28"/>
      <c r="G50" s="28"/>
      <c r="H50" s="28"/>
      <c r="I50" s="28"/>
      <c r="J50" s="28"/>
      <c r="K50" s="28"/>
      <c r="L50" s="28"/>
      <c r="M50" s="28"/>
      <c r="N50" s="28"/>
      <c r="O50" s="28"/>
      <c r="P50" s="34"/>
      <c r="Q50" s="28"/>
      <c r="R50" s="54">
        <v>2017</v>
      </c>
      <c r="S50" s="54">
        <v>2018</v>
      </c>
      <c r="T50" s="54">
        <v>2019</v>
      </c>
      <c r="W50" s="31"/>
    </row>
    <row r="51" spans="1:23">
      <c r="A51" s="417" t="s">
        <v>102</v>
      </c>
      <c r="B51" s="28"/>
      <c r="C51" s="28"/>
      <c r="D51" s="28"/>
      <c r="E51" s="28"/>
      <c r="F51" s="28"/>
      <c r="G51" s="28"/>
      <c r="H51" s="28"/>
      <c r="I51" s="28"/>
      <c r="J51" s="28"/>
      <c r="K51" s="28"/>
      <c r="L51" s="28"/>
      <c r="M51" s="28"/>
      <c r="N51" s="28"/>
      <c r="O51" s="28"/>
      <c r="P51" s="34"/>
      <c r="Q51" s="28"/>
      <c r="R51" s="28">
        <f>25121+969+3721</f>
        <v>29811</v>
      </c>
      <c r="S51" s="35">
        <f>2134+8222+33454</f>
        <v>43810</v>
      </c>
      <c r="T51" s="35"/>
      <c r="W51" s="31"/>
    </row>
    <row r="52" spans="1:23">
      <c r="A52" s="417" t="s">
        <v>106</v>
      </c>
      <c r="B52" s="28"/>
      <c r="C52" s="28"/>
      <c r="D52" s="28"/>
      <c r="E52" s="28"/>
      <c r="F52" s="28"/>
      <c r="G52" s="28"/>
      <c r="H52" s="28"/>
      <c r="I52" s="28"/>
      <c r="J52" s="28"/>
      <c r="K52" s="28"/>
      <c r="L52" s="28"/>
      <c r="M52" s="28"/>
      <c r="N52" s="28"/>
      <c r="O52" s="28"/>
      <c r="P52" s="34"/>
      <c r="Q52" s="28"/>
      <c r="R52" s="28">
        <f>8528</f>
        <v>8528</v>
      </c>
      <c r="S52" s="35">
        <f>1494+394+9100</f>
        <v>10988</v>
      </c>
      <c r="T52" s="35"/>
      <c r="W52" s="31"/>
    </row>
    <row r="53" spans="1:23">
      <c r="A53" s="417" t="s">
        <v>107</v>
      </c>
      <c r="B53" s="28"/>
      <c r="C53" s="28"/>
      <c r="D53" s="28"/>
      <c r="E53" s="28"/>
      <c r="F53" s="28"/>
      <c r="G53" s="28"/>
      <c r="H53" s="28"/>
      <c r="I53" s="28"/>
      <c r="J53" s="28"/>
      <c r="K53" s="28"/>
      <c r="L53" s="28"/>
      <c r="M53" s="28"/>
      <c r="N53" s="28"/>
      <c r="O53" s="28"/>
      <c r="P53" s="34"/>
      <c r="Q53" s="28"/>
      <c r="R53" s="28">
        <v>3698</v>
      </c>
      <c r="S53" s="35">
        <v>4555</v>
      </c>
      <c r="T53" s="35"/>
      <c r="W53" s="31"/>
    </row>
    <row r="54" spans="1:23">
      <c r="A54" s="28" t="s">
        <v>103</v>
      </c>
      <c r="B54" s="28"/>
      <c r="C54" s="28"/>
      <c r="D54" s="28"/>
      <c r="E54" s="28"/>
      <c r="F54" s="28"/>
      <c r="G54" s="28"/>
      <c r="H54" s="28"/>
      <c r="I54" s="28"/>
      <c r="J54" s="28"/>
      <c r="K54" s="28"/>
      <c r="L54" s="28"/>
      <c r="M54" s="28"/>
      <c r="N54" s="28"/>
      <c r="O54" s="28"/>
      <c r="P54" s="34"/>
      <c r="Q54" s="28"/>
      <c r="R54" s="36">
        <f t="shared" ref="R54" si="7">SUM(R51:R53)</f>
        <v>42037</v>
      </c>
      <c r="S54" s="36">
        <f>SUM(S51:S53)</f>
        <v>59353</v>
      </c>
      <c r="T54" s="36"/>
      <c r="W54" s="31"/>
    </row>
    <row r="55" spans="1:23" ht="51" customHeight="1">
      <c r="R55" t="s">
        <v>118</v>
      </c>
      <c r="S55" t="s">
        <v>119</v>
      </c>
    </row>
    <row r="56" spans="1:23">
      <c r="A56" s="28" t="s">
        <v>120</v>
      </c>
      <c r="B56" s="28"/>
      <c r="C56" s="28"/>
      <c r="D56" s="28"/>
      <c r="E56" s="28"/>
      <c r="F56" s="28"/>
      <c r="G56" s="28"/>
      <c r="H56" s="28"/>
      <c r="I56" s="28"/>
      <c r="J56" s="28"/>
      <c r="K56" s="28"/>
      <c r="L56" s="28"/>
      <c r="M56" s="28"/>
      <c r="N56" s="28"/>
      <c r="O56" s="28"/>
      <c r="P56" s="34"/>
      <c r="Q56" s="28"/>
      <c r="R56" s="28"/>
      <c r="S56" s="54">
        <v>2018</v>
      </c>
      <c r="T56" s="54">
        <v>2019</v>
      </c>
      <c r="W56" s="31"/>
    </row>
    <row r="57" spans="1:23">
      <c r="A57" s="417" t="s">
        <v>102</v>
      </c>
      <c r="B57" s="28"/>
      <c r="C57" s="28"/>
      <c r="D57" s="28"/>
      <c r="E57" s="28"/>
      <c r="F57" s="28"/>
      <c r="G57" s="28"/>
      <c r="H57" s="28"/>
      <c r="I57" s="28"/>
      <c r="J57" s="28"/>
      <c r="K57" s="28"/>
      <c r="L57" s="28"/>
      <c r="M57" s="28"/>
      <c r="N57" s="28"/>
      <c r="O57" s="28"/>
      <c r="P57" s="34"/>
      <c r="Q57" s="28"/>
      <c r="R57" s="28"/>
      <c r="S57" s="35">
        <v>40000</v>
      </c>
      <c r="T57" s="35">
        <v>50000</v>
      </c>
      <c r="W57" s="31"/>
    </row>
    <row r="58" spans="1:23">
      <c r="A58" s="417" t="s">
        <v>106</v>
      </c>
      <c r="B58" s="28"/>
      <c r="C58" s="28"/>
      <c r="D58" s="28"/>
      <c r="E58" s="28"/>
      <c r="F58" s="28"/>
      <c r="G58" s="28"/>
      <c r="H58" s="28"/>
      <c r="I58" s="28"/>
      <c r="J58" s="28"/>
      <c r="K58" s="28"/>
      <c r="L58" s="28"/>
      <c r="M58" s="28"/>
      <c r="N58" s="28"/>
      <c r="O58" s="28"/>
      <c r="P58" s="34"/>
      <c r="Q58" s="28"/>
      <c r="R58" s="28"/>
      <c r="S58" s="35">
        <v>11000</v>
      </c>
      <c r="T58" s="35">
        <v>12000</v>
      </c>
    </row>
    <row r="59" spans="1:23">
      <c r="A59" s="417" t="s">
        <v>107</v>
      </c>
      <c r="B59" s="28"/>
      <c r="C59" s="28"/>
      <c r="D59" s="28"/>
      <c r="E59" s="28"/>
      <c r="F59" s="28"/>
      <c r="G59" s="28"/>
      <c r="H59" s="28"/>
      <c r="I59" s="28"/>
      <c r="J59" s="28"/>
      <c r="K59" s="28"/>
      <c r="L59" s="28"/>
      <c r="M59" s="28"/>
      <c r="N59" s="28"/>
      <c r="O59" s="28"/>
      <c r="P59" s="34"/>
      <c r="Q59" s="28"/>
      <c r="R59" s="28"/>
      <c r="S59" s="35">
        <v>4500</v>
      </c>
      <c r="T59" s="35">
        <v>4800</v>
      </c>
    </row>
    <row r="60" spans="1:23">
      <c r="A60" s="28" t="s">
        <v>103</v>
      </c>
      <c r="B60" s="28"/>
      <c r="C60" s="28"/>
      <c r="D60" s="28"/>
      <c r="E60" s="28"/>
      <c r="F60" s="28"/>
      <c r="G60" s="28"/>
      <c r="H60" s="28"/>
      <c r="I60" s="28"/>
      <c r="J60" s="28"/>
      <c r="K60" s="28"/>
      <c r="L60" s="28"/>
      <c r="M60" s="28"/>
      <c r="N60" s="28"/>
      <c r="O60" s="28"/>
      <c r="P60" s="34"/>
      <c r="Q60" s="28"/>
      <c r="R60" s="28"/>
      <c r="S60" s="36">
        <v>55500</v>
      </c>
      <c r="T60" s="36">
        <v>66800</v>
      </c>
    </row>
    <row r="61" spans="1:23">
      <c r="P61" s="22"/>
      <c r="S61" s="183"/>
      <c r="T61" s="183"/>
    </row>
    <row r="62" spans="1:23">
      <c r="P62" s="22"/>
      <c r="S62" s="183"/>
      <c r="T62" s="183"/>
    </row>
    <row r="63" spans="1:23">
      <c r="A63" s="28" t="s">
        <v>121</v>
      </c>
      <c r="B63" s="28"/>
      <c r="C63" s="28"/>
      <c r="D63" s="28"/>
      <c r="E63" s="28"/>
      <c r="F63" s="28"/>
      <c r="G63" s="28"/>
      <c r="H63" s="28"/>
      <c r="I63" s="28"/>
      <c r="J63" s="28"/>
      <c r="K63" s="28"/>
      <c r="L63" s="28"/>
      <c r="M63" s="28"/>
      <c r="N63" s="28"/>
      <c r="O63" s="28"/>
      <c r="P63" s="34"/>
      <c r="Q63" s="28"/>
      <c r="R63" s="28"/>
      <c r="S63" s="184"/>
      <c r="T63" s="184"/>
      <c r="U63" s="54">
        <v>2020</v>
      </c>
    </row>
    <row r="64" spans="1:23">
      <c r="A64" s="417" t="s">
        <v>102</v>
      </c>
      <c r="B64" s="28"/>
      <c r="C64" s="28"/>
      <c r="D64" s="28"/>
      <c r="E64" s="28"/>
      <c r="F64" s="28"/>
      <c r="G64" s="28"/>
      <c r="H64" s="28"/>
      <c r="I64" s="28"/>
      <c r="J64" s="28"/>
      <c r="K64" s="28"/>
      <c r="L64" s="28"/>
      <c r="M64" s="28"/>
      <c r="N64" s="28"/>
      <c r="O64" s="28"/>
      <c r="P64" s="34"/>
      <c r="Q64" s="28"/>
      <c r="R64" s="28"/>
      <c r="S64" s="35"/>
      <c r="T64" s="35"/>
      <c r="U64" s="35">
        <v>67558</v>
      </c>
    </row>
    <row r="65" spans="1:32" ht="43.35" customHeight="1">
      <c r="A65" s="417" t="s">
        <v>106</v>
      </c>
      <c r="B65" s="28"/>
      <c r="C65" s="28"/>
      <c r="D65" s="28"/>
      <c r="E65" s="28"/>
      <c r="F65" s="28"/>
      <c r="G65" s="28"/>
      <c r="H65" s="28"/>
      <c r="I65" s="28"/>
      <c r="J65" s="28"/>
      <c r="K65" s="28"/>
      <c r="L65" s="28"/>
      <c r="M65" s="28"/>
      <c r="N65" s="28"/>
      <c r="O65" s="28"/>
      <c r="P65" s="34"/>
      <c r="Q65" s="28"/>
      <c r="R65" s="28"/>
      <c r="S65" s="35"/>
      <c r="T65" s="35"/>
      <c r="U65" s="185">
        <v>20069</v>
      </c>
    </row>
    <row r="66" spans="1:32" ht="42" customHeight="1">
      <c r="A66" s="417" t="s">
        <v>107</v>
      </c>
      <c r="B66" s="28"/>
      <c r="C66" s="28"/>
      <c r="D66" s="28"/>
      <c r="E66" s="28"/>
      <c r="F66" s="28"/>
      <c r="G66" s="28"/>
      <c r="H66" s="28"/>
      <c r="I66" s="28"/>
      <c r="J66" s="28"/>
      <c r="K66" s="28"/>
      <c r="L66" s="28"/>
      <c r="M66" s="28"/>
      <c r="N66" s="28"/>
      <c r="O66" s="28"/>
      <c r="P66" s="34"/>
      <c r="Q66" s="28"/>
      <c r="R66" s="28"/>
      <c r="S66" s="35"/>
      <c r="T66" s="35"/>
      <c r="U66" s="185">
        <v>6596</v>
      </c>
    </row>
    <row r="67" spans="1:32" ht="37.35" customHeight="1">
      <c r="A67" s="28" t="s">
        <v>103</v>
      </c>
      <c r="B67" s="28"/>
      <c r="C67" s="28"/>
      <c r="D67" s="28"/>
      <c r="E67" s="28"/>
      <c r="F67" s="28"/>
      <c r="G67" s="28"/>
      <c r="H67" s="28"/>
      <c r="I67" s="28"/>
      <c r="J67" s="28"/>
      <c r="K67" s="28"/>
      <c r="L67" s="28"/>
      <c r="M67" s="28"/>
      <c r="N67" s="28"/>
      <c r="O67" s="28"/>
      <c r="P67" s="34"/>
      <c r="Q67" s="28"/>
      <c r="R67" s="28"/>
      <c r="S67" s="36"/>
      <c r="T67" s="36"/>
      <c r="U67" s="28">
        <f>SUM(U64:U66)</f>
        <v>94223</v>
      </c>
    </row>
    <row r="68" spans="1:32" ht="37.35" customHeight="1"/>
    <row r="69" spans="1:32" ht="29.1" customHeight="1">
      <c r="A69" s="1" t="s">
        <v>122</v>
      </c>
      <c r="C69" s="54">
        <v>2002</v>
      </c>
      <c r="D69" s="54">
        <v>2003</v>
      </c>
      <c r="E69" s="54">
        <v>2004</v>
      </c>
      <c r="F69" s="54">
        <v>2005</v>
      </c>
      <c r="G69" s="54">
        <v>2006</v>
      </c>
      <c r="H69" s="54">
        <v>2007</v>
      </c>
      <c r="I69" s="54">
        <v>2008</v>
      </c>
      <c r="J69" s="54">
        <v>2009</v>
      </c>
      <c r="K69" s="54">
        <v>2010</v>
      </c>
      <c r="L69" s="54">
        <v>2011</v>
      </c>
      <c r="M69" s="54">
        <v>2012</v>
      </c>
      <c r="N69" s="54">
        <v>2013</v>
      </c>
      <c r="O69" s="54">
        <v>2014</v>
      </c>
      <c r="P69" s="54">
        <v>2015</v>
      </c>
      <c r="Q69" s="54">
        <v>2016</v>
      </c>
      <c r="R69" s="54">
        <v>2017</v>
      </c>
      <c r="S69" s="54">
        <v>2018</v>
      </c>
      <c r="T69" s="54">
        <v>2019</v>
      </c>
      <c r="U69" s="54">
        <v>2020</v>
      </c>
      <c r="V69" s="1"/>
      <c r="W69" s="1"/>
      <c r="X69" s="1"/>
      <c r="Y69" s="1"/>
      <c r="Z69" s="1"/>
      <c r="AA69" s="1"/>
      <c r="AB69" s="1"/>
      <c r="AC69" s="1"/>
      <c r="AD69" s="1"/>
      <c r="AE69" s="1"/>
      <c r="AF69" s="1"/>
    </row>
    <row r="70" spans="1:32" ht="42.6" customHeight="1">
      <c r="A70" s="37" t="s">
        <v>102</v>
      </c>
      <c r="C70">
        <v>0</v>
      </c>
      <c r="D70">
        <f>AVERAGE(D8,D28)</f>
        <v>1893</v>
      </c>
      <c r="E70">
        <f>AVERAGE(E22,E28)</f>
        <v>3256</v>
      </c>
      <c r="F70" s="21">
        <f>AVERAGE(F22,F28)</f>
        <v>5484</v>
      </c>
      <c r="G70" s="21">
        <f>AVERAGE(G12,G16,G22,G28)</f>
        <v>8555.5</v>
      </c>
      <c r="H70" s="21">
        <f>AVERAGE(H22,H28)</f>
        <v>8602.5</v>
      </c>
      <c r="I70" s="21">
        <f>AVERAGE(I16,I22,I28)</f>
        <v>11754.666666666666</v>
      </c>
      <c r="J70" s="21">
        <f t="shared" ref="J70:M71" si="8">AVERAGE(J22,J28)</f>
        <v>12288.5</v>
      </c>
      <c r="K70" s="21">
        <f t="shared" si="8"/>
        <v>13504.5</v>
      </c>
      <c r="L70" s="21">
        <f t="shared" si="8"/>
        <v>14831.5</v>
      </c>
      <c r="M70">
        <f t="shared" si="8"/>
        <v>16095</v>
      </c>
      <c r="N70">
        <f>N33</f>
        <v>16777</v>
      </c>
      <c r="O70">
        <f>O39</f>
        <v>17759</v>
      </c>
      <c r="P70" s="21">
        <f t="shared" ref="P70:Q72" si="9">P45</f>
        <v>19961.7977115549</v>
      </c>
      <c r="Q70" s="21">
        <f t="shared" si="9"/>
        <v>23096.436999999998</v>
      </c>
      <c r="R70" s="21">
        <f>R51</f>
        <v>29811</v>
      </c>
      <c r="S70" s="21">
        <f>AVERAGE(S51,S57)</f>
        <v>41905</v>
      </c>
      <c r="T70" s="21">
        <f t="shared" ref="T70:T72" si="10">T57</f>
        <v>50000</v>
      </c>
      <c r="U70" s="21">
        <f t="shared" ref="U70:U72" si="11">U64</f>
        <v>67558</v>
      </c>
    </row>
    <row r="71" spans="1:32" ht="47.1" customHeight="1">
      <c r="A71" s="37" t="s">
        <v>106</v>
      </c>
      <c r="C71">
        <v>0</v>
      </c>
      <c r="D71">
        <v>0</v>
      </c>
      <c r="E71">
        <v>0</v>
      </c>
      <c r="F71">
        <v>0</v>
      </c>
      <c r="G71">
        <v>0</v>
      </c>
      <c r="H71" s="21">
        <f>AVERAGE(H23,H29)</f>
        <v>2034.5</v>
      </c>
      <c r="I71" s="21">
        <f>AVERAGE(I17,I23,I29)</f>
        <v>2610.6666666666665</v>
      </c>
      <c r="J71" s="21">
        <f t="shared" si="8"/>
        <v>3529</v>
      </c>
      <c r="K71" s="21">
        <f t="shared" si="8"/>
        <v>4519</v>
      </c>
      <c r="L71" s="21">
        <f t="shared" si="8"/>
        <v>5316.5</v>
      </c>
      <c r="M71" s="21">
        <f t="shared" si="8"/>
        <v>6103</v>
      </c>
      <c r="N71">
        <f>N34</f>
        <v>6852</v>
      </c>
      <c r="O71">
        <f>O40</f>
        <v>7979</v>
      </c>
      <c r="P71" s="21">
        <f t="shared" si="9"/>
        <v>8968.7022884451017</v>
      </c>
      <c r="Q71" s="21">
        <f t="shared" si="9"/>
        <v>7034.9369999999999</v>
      </c>
      <c r="R71" s="21">
        <f>R52</f>
        <v>8528</v>
      </c>
      <c r="S71" s="21">
        <f>AVERAGE(S52,S58)</f>
        <v>10994</v>
      </c>
      <c r="T71" s="21">
        <f t="shared" si="10"/>
        <v>12000</v>
      </c>
      <c r="U71" s="99">
        <f t="shared" si="11"/>
        <v>20069</v>
      </c>
    </row>
    <row r="72" spans="1:32" ht="57" customHeight="1">
      <c r="A72" s="37" t="s">
        <v>107</v>
      </c>
      <c r="C72">
        <f t="shared" ref="C72:M72" si="12">C24</f>
        <v>0</v>
      </c>
      <c r="D72">
        <f t="shared" si="12"/>
        <v>0</v>
      </c>
      <c r="E72">
        <f t="shared" si="12"/>
        <v>0</v>
      </c>
      <c r="F72">
        <f t="shared" si="12"/>
        <v>0</v>
      </c>
      <c r="G72">
        <f t="shared" si="12"/>
        <v>0</v>
      </c>
      <c r="H72">
        <f t="shared" si="12"/>
        <v>0</v>
      </c>
      <c r="I72">
        <f t="shared" si="12"/>
        <v>0</v>
      </c>
      <c r="J72">
        <f t="shared" si="12"/>
        <v>0</v>
      </c>
      <c r="K72">
        <f t="shared" si="12"/>
        <v>0</v>
      </c>
      <c r="L72">
        <f t="shared" si="12"/>
        <v>0</v>
      </c>
      <c r="M72">
        <f t="shared" si="12"/>
        <v>0</v>
      </c>
      <c r="N72">
        <f>N35</f>
        <v>0</v>
      </c>
      <c r="O72">
        <f>O41</f>
        <v>0</v>
      </c>
      <c r="P72" s="21">
        <f t="shared" si="9"/>
        <v>0</v>
      </c>
      <c r="Q72" s="21">
        <f t="shared" si="9"/>
        <v>1991.626</v>
      </c>
      <c r="R72" s="21">
        <f>R53</f>
        <v>3698</v>
      </c>
      <c r="S72" s="21">
        <f>AVERAGE(S53,S59)</f>
        <v>4527.5</v>
      </c>
      <c r="T72" s="21">
        <f t="shared" si="10"/>
        <v>4800</v>
      </c>
      <c r="U72" s="99">
        <f t="shared" si="11"/>
        <v>6596</v>
      </c>
    </row>
    <row r="73" spans="1:32">
      <c r="A73" s="37" t="s">
        <v>103</v>
      </c>
      <c r="C73">
        <f t="shared" ref="C73:T73" si="13">SUM(C70:C72)</f>
        <v>0</v>
      </c>
      <c r="D73">
        <f t="shared" si="13"/>
        <v>1893</v>
      </c>
      <c r="E73">
        <f t="shared" si="13"/>
        <v>3256</v>
      </c>
      <c r="F73">
        <f t="shared" si="13"/>
        <v>5484</v>
      </c>
      <c r="G73" s="21">
        <f t="shared" si="13"/>
        <v>8555.5</v>
      </c>
      <c r="H73">
        <f t="shared" si="13"/>
        <v>10637</v>
      </c>
      <c r="I73" s="21">
        <f t="shared" si="13"/>
        <v>14365.333333333332</v>
      </c>
      <c r="J73" s="21">
        <f t="shared" si="13"/>
        <v>15817.5</v>
      </c>
      <c r="K73" s="21">
        <f t="shared" si="13"/>
        <v>18023.5</v>
      </c>
      <c r="L73">
        <f t="shared" si="13"/>
        <v>20148</v>
      </c>
      <c r="M73">
        <f t="shared" si="13"/>
        <v>22198</v>
      </c>
      <c r="N73">
        <f t="shared" si="13"/>
        <v>23629</v>
      </c>
      <c r="O73">
        <f t="shared" si="13"/>
        <v>25738</v>
      </c>
      <c r="P73" s="21">
        <f t="shared" si="13"/>
        <v>28930.5</v>
      </c>
      <c r="Q73">
        <f t="shared" si="13"/>
        <v>32122.999999999996</v>
      </c>
      <c r="R73" s="21">
        <f t="shared" si="13"/>
        <v>42037</v>
      </c>
      <c r="S73" s="21">
        <f t="shared" si="13"/>
        <v>57426.5</v>
      </c>
      <c r="T73">
        <f t="shared" si="13"/>
        <v>66800</v>
      </c>
      <c r="U73">
        <f>SUM(U70:U72)</f>
        <v>94223</v>
      </c>
      <c r="V73" s="21"/>
      <c r="W73" s="21"/>
      <c r="X73" s="21"/>
      <c r="Y73" s="21"/>
      <c r="Z73" s="21"/>
      <c r="AA73" s="21"/>
      <c r="AB73" s="21"/>
      <c r="AC73" s="21"/>
      <c r="AD73" s="21"/>
      <c r="AE73" s="21"/>
      <c r="AF73" s="289"/>
    </row>
    <row r="74" spans="1:32" ht="26.85" customHeight="1">
      <c r="A74" s="37"/>
      <c r="Q74" s="21"/>
      <c r="R74" s="21"/>
      <c r="U74" s="49"/>
    </row>
    <row r="75" spans="1:32" ht="78.599999999999994" customHeight="1">
      <c r="A75" s="38" t="s">
        <v>123</v>
      </c>
      <c r="B75" t="s">
        <v>124</v>
      </c>
    </row>
    <row r="76" spans="1:32">
      <c r="A76" s="38"/>
      <c r="C76" s="54">
        <v>2002</v>
      </c>
      <c r="D76" s="54">
        <v>2003</v>
      </c>
      <c r="E76" s="54">
        <v>2004</v>
      </c>
      <c r="F76" s="54">
        <v>2005</v>
      </c>
      <c r="G76" s="54">
        <v>2006</v>
      </c>
      <c r="H76" s="54">
        <v>2007</v>
      </c>
      <c r="I76" s="54">
        <v>2008</v>
      </c>
      <c r="J76" s="54">
        <v>2009</v>
      </c>
      <c r="K76" s="54">
        <v>2010</v>
      </c>
      <c r="L76" s="54">
        <v>2011</v>
      </c>
      <c r="M76" s="54">
        <v>2012</v>
      </c>
      <c r="N76" s="54">
        <v>2013</v>
      </c>
      <c r="O76" s="54">
        <v>2014</v>
      </c>
      <c r="P76" s="54">
        <v>2015</v>
      </c>
      <c r="Q76" s="54">
        <v>2016</v>
      </c>
      <c r="R76" s="54">
        <v>2017</v>
      </c>
      <c r="S76" s="54">
        <v>2018</v>
      </c>
      <c r="T76" s="54">
        <v>2019</v>
      </c>
      <c r="U76" s="54">
        <v>2020</v>
      </c>
      <c r="V76" s="54">
        <v>2021</v>
      </c>
      <c r="W76" s="54">
        <v>2022</v>
      </c>
      <c r="X76" s="54">
        <v>2023</v>
      </c>
      <c r="Y76" s="54">
        <v>2024</v>
      </c>
      <c r="Z76" s="54">
        <v>2025</v>
      </c>
      <c r="AA76" s="54">
        <v>2026</v>
      </c>
      <c r="AB76" s="54">
        <v>2027</v>
      </c>
      <c r="AC76" s="54">
        <v>2028</v>
      </c>
      <c r="AD76" s="54">
        <v>2029</v>
      </c>
      <c r="AE76" s="54">
        <v>2030</v>
      </c>
      <c r="AF76" s="54">
        <v>2031</v>
      </c>
    </row>
    <row r="77" spans="1:32" s="25" customFormat="1">
      <c r="A77" s="215" t="s">
        <v>125</v>
      </c>
      <c r="B77" s="25">
        <v>30</v>
      </c>
      <c r="C77" s="25">
        <f t="shared" ref="C77:T77" si="14">C70*$B$77</f>
        <v>0</v>
      </c>
      <c r="D77" s="25">
        <f t="shared" si="14"/>
        <v>56790</v>
      </c>
      <c r="E77" s="25">
        <f t="shared" si="14"/>
        <v>97680</v>
      </c>
      <c r="F77" s="25">
        <f t="shared" si="14"/>
        <v>164520</v>
      </c>
      <c r="G77" s="25">
        <f t="shared" si="14"/>
        <v>256665</v>
      </c>
      <c r="H77" s="25">
        <f t="shared" si="14"/>
        <v>258075</v>
      </c>
      <c r="I77" s="25">
        <f t="shared" si="14"/>
        <v>352640</v>
      </c>
      <c r="J77" s="25">
        <f t="shared" si="14"/>
        <v>368655</v>
      </c>
      <c r="K77" s="25">
        <f t="shared" si="14"/>
        <v>405135</v>
      </c>
      <c r="L77" s="216">
        <f t="shared" si="14"/>
        <v>444945</v>
      </c>
      <c r="M77" s="216">
        <f t="shared" si="14"/>
        <v>482850</v>
      </c>
      <c r="N77" s="216">
        <f t="shared" si="14"/>
        <v>503310</v>
      </c>
      <c r="O77" s="216">
        <f t="shared" si="14"/>
        <v>532770</v>
      </c>
      <c r="P77" s="216">
        <f t="shared" si="14"/>
        <v>598853.93134664698</v>
      </c>
      <c r="Q77" s="216">
        <f t="shared" si="14"/>
        <v>692893.11</v>
      </c>
      <c r="R77" s="216">
        <f t="shared" si="14"/>
        <v>894330</v>
      </c>
      <c r="S77" s="25">
        <f t="shared" si="14"/>
        <v>1257150</v>
      </c>
      <c r="T77" s="25">
        <f t="shared" si="14"/>
        <v>1500000</v>
      </c>
      <c r="U77" s="25">
        <f>U64*$B$77</f>
        <v>2026740</v>
      </c>
    </row>
    <row r="78" spans="1:32" s="25" customFormat="1">
      <c r="A78" s="215" t="s">
        <v>126</v>
      </c>
      <c r="B78" s="25">
        <v>100</v>
      </c>
      <c r="C78" s="25">
        <f t="shared" ref="C78:T78" si="15">C71*$B$78</f>
        <v>0</v>
      </c>
      <c r="D78" s="25">
        <f t="shared" si="15"/>
        <v>0</v>
      </c>
      <c r="E78" s="25">
        <f t="shared" si="15"/>
        <v>0</v>
      </c>
      <c r="F78" s="25">
        <f t="shared" si="15"/>
        <v>0</v>
      </c>
      <c r="G78" s="25">
        <f t="shared" si="15"/>
        <v>0</v>
      </c>
      <c r="H78" s="216">
        <f t="shared" si="15"/>
        <v>203450</v>
      </c>
      <c r="I78" s="216">
        <f t="shared" si="15"/>
        <v>261066.66666666666</v>
      </c>
      <c r="J78" s="216">
        <f t="shared" si="15"/>
        <v>352900</v>
      </c>
      <c r="K78" s="216">
        <f t="shared" si="15"/>
        <v>451900</v>
      </c>
      <c r="L78" s="216">
        <f t="shared" si="15"/>
        <v>531650</v>
      </c>
      <c r="M78" s="216">
        <f t="shared" si="15"/>
        <v>610300</v>
      </c>
      <c r="N78" s="216">
        <f t="shared" si="15"/>
        <v>685200</v>
      </c>
      <c r="O78" s="216">
        <f t="shared" si="15"/>
        <v>797900</v>
      </c>
      <c r="P78" s="216">
        <f t="shared" si="15"/>
        <v>896870.22884451016</v>
      </c>
      <c r="Q78" s="216">
        <f t="shared" si="15"/>
        <v>703493.7</v>
      </c>
      <c r="R78" s="216">
        <f t="shared" si="15"/>
        <v>852800</v>
      </c>
      <c r="S78" s="216">
        <f t="shared" si="15"/>
        <v>1099400</v>
      </c>
      <c r="T78" s="216">
        <f t="shared" si="15"/>
        <v>1200000</v>
      </c>
      <c r="U78" s="216">
        <f>U65*$B$78</f>
        <v>2006900</v>
      </c>
    </row>
    <row r="79" spans="1:32" s="25" customFormat="1">
      <c r="A79" s="215" t="s">
        <v>127</v>
      </c>
      <c r="B79" s="25">
        <v>275</v>
      </c>
      <c r="C79" s="25">
        <f t="shared" ref="C79:T79" si="16">C72*$B$79</f>
        <v>0</v>
      </c>
      <c r="D79" s="25">
        <f t="shared" si="16"/>
        <v>0</v>
      </c>
      <c r="E79" s="25">
        <f t="shared" si="16"/>
        <v>0</v>
      </c>
      <c r="F79" s="25">
        <f t="shared" si="16"/>
        <v>0</v>
      </c>
      <c r="G79" s="25">
        <f t="shared" si="16"/>
        <v>0</v>
      </c>
      <c r="H79" s="216">
        <f t="shared" si="16"/>
        <v>0</v>
      </c>
      <c r="I79" s="216">
        <f t="shared" si="16"/>
        <v>0</v>
      </c>
      <c r="J79" s="216">
        <f t="shared" si="16"/>
        <v>0</v>
      </c>
      <c r="K79" s="216">
        <f t="shared" si="16"/>
        <v>0</v>
      </c>
      <c r="L79" s="216">
        <f t="shared" si="16"/>
        <v>0</v>
      </c>
      <c r="M79" s="216">
        <f t="shared" si="16"/>
        <v>0</v>
      </c>
      <c r="N79" s="216">
        <f t="shared" si="16"/>
        <v>0</v>
      </c>
      <c r="O79" s="216">
        <f t="shared" si="16"/>
        <v>0</v>
      </c>
      <c r="P79" s="216">
        <f t="shared" si="16"/>
        <v>0</v>
      </c>
      <c r="Q79" s="216">
        <f t="shared" si="16"/>
        <v>547697.15</v>
      </c>
      <c r="R79" s="216">
        <f t="shared" si="16"/>
        <v>1016950</v>
      </c>
      <c r="S79" s="216">
        <f t="shared" si="16"/>
        <v>1245062.5</v>
      </c>
      <c r="T79" s="216">
        <f t="shared" si="16"/>
        <v>1320000</v>
      </c>
      <c r="U79" s="216">
        <f>U66*$B$79</f>
        <v>1813900</v>
      </c>
    </row>
    <row r="80" spans="1:32" s="25" customFormat="1">
      <c r="A80" s="215" t="s">
        <v>128</v>
      </c>
      <c r="C80" s="25">
        <f t="shared" ref="C80:T80" si="17">SUM(C77:C79)</f>
        <v>0</v>
      </c>
      <c r="D80" s="25">
        <f t="shared" si="17"/>
        <v>56790</v>
      </c>
      <c r="E80" s="25">
        <f t="shared" si="17"/>
        <v>97680</v>
      </c>
      <c r="F80" s="25">
        <f t="shared" si="17"/>
        <v>164520</v>
      </c>
      <c r="G80" s="25">
        <f t="shared" si="17"/>
        <v>256665</v>
      </c>
      <c r="H80" s="25">
        <f t="shared" si="17"/>
        <v>461525</v>
      </c>
      <c r="I80" s="216">
        <f t="shared" si="17"/>
        <v>613706.66666666663</v>
      </c>
      <c r="J80" s="25">
        <f t="shared" si="17"/>
        <v>721555</v>
      </c>
      <c r="K80" s="25">
        <f t="shared" si="17"/>
        <v>857035</v>
      </c>
      <c r="L80" s="25">
        <f t="shared" si="17"/>
        <v>976595</v>
      </c>
      <c r="M80" s="25">
        <f t="shared" si="17"/>
        <v>1093150</v>
      </c>
      <c r="N80" s="25">
        <f t="shared" si="17"/>
        <v>1188510</v>
      </c>
      <c r="O80" s="25">
        <f t="shared" si="17"/>
        <v>1330670</v>
      </c>
      <c r="P80" s="216">
        <f t="shared" si="17"/>
        <v>1495724.1601911571</v>
      </c>
      <c r="Q80" s="216">
        <f t="shared" si="17"/>
        <v>1944083.96</v>
      </c>
      <c r="R80" s="216">
        <f t="shared" si="17"/>
        <v>2764080</v>
      </c>
      <c r="S80" s="25">
        <f t="shared" si="17"/>
        <v>3601612.5</v>
      </c>
      <c r="T80" s="25">
        <f t="shared" si="17"/>
        <v>4020000</v>
      </c>
      <c r="U80" s="217">
        <f t="shared" ref="U80" si="18">SUM(U77:U79)</f>
        <v>5847540</v>
      </c>
    </row>
    <row r="81" spans="1:4">
      <c r="A81" t="s">
        <v>129</v>
      </c>
      <c r="B81" s="201"/>
      <c r="C81" s="201"/>
      <c r="D81" s="201"/>
    </row>
    <row r="82" spans="1:4">
      <c r="A82" s="39" t="s">
        <v>130</v>
      </c>
    </row>
  </sheetData>
  <mergeCells count="20">
    <mergeCell ref="A29:B29"/>
    <mergeCell ref="A41:B41"/>
    <mergeCell ref="A45:B45"/>
    <mergeCell ref="A8:B8"/>
    <mergeCell ref="A16:B16"/>
    <mergeCell ref="A17:B17"/>
    <mergeCell ref="A18:B18"/>
    <mergeCell ref="A12:B12"/>
    <mergeCell ref="A6:I6"/>
    <mergeCell ref="A22:B22"/>
    <mergeCell ref="A23:B23"/>
    <mergeCell ref="A24:B24"/>
    <mergeCell ref="A28:B28"/>
    <mergeCell ref="A46:B46"/>
    <mergeCell ref="A47:B47"/>
    <mergeCell ref="A33:B33"/>
    <mergeCell ref="A34:B34"/>
    <mergeCell ref="A35:B35"/>
    <mergeCell ref="A39:B39"/>
    <mergeCell ref="A40:B40"/>
  </mergeCells>
  <pageMargins left="0.7" right="0.7" top="0.75" bottom="0.75" header="0.3" footer="0.3"/>
  <pageSetup orientation="portrait" r:id="rId1"/>
  <ignoredErrors>
    <ignoredError sqref="O42 N36 E25:L25 D30:M30 U67 U73 G19 H19:I1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5E52-3254-4632-9798-00B6E3092026}">
  <dimension ref="A1:AB46"/>
  <sheetViews>
    <sheetView zoomScaleNormal="100" workbookViewId="0">
      <selection activeCell="B3" sqref="B3:V3"/>
    </sheetView>
  </sheetViews>
  <sheetFormatPr defaultColWidth="8.89453125" defaultRowHeight="14.4"/>
  <cols>
    <col min="1" max="1" width="31" customWidth="1"/>
    <col min="2" max="4" width="17.89453125" customWidth="1"/>
    <col min="5" max="5" width="14" customWidth="1"/>
    <col min="6" max="7" width="11.89453125" customWidth="1"/>
    <col min="13" max="13" width="10.41796875" customWidth="1"/>
    <col min="25" max="25" width="16.89453125" customWidth="1"/>
  </cols>
  <sheetData>
    <row r="1" spans="1:28" ht="43.35" customHeight="1">
      <c r="A1" s="664" t="s">
        <v>131</v>
      </c>
      <c r="B1" s="664"/>
      <c r="C1" s="664"/>
      <c r="D1" s="664"/>
      <c r="E1" s="664"/>
      <c r="F1" s="664"/>
      <c r="G1" s="664"/>
      <c r="H1" s="664"/>
      <c r="I1" s="30"/>
      <c r="J1" s="30"/>
      <c r="K1" s="30"/>
      <c r="L1" s="30"/>
      <c r="M1" s="30"/>
      <c r="N1" s="30"/>
      <c r="O1" s="30"/>
      <c r="P1" s="30"/>
      <c r="Q1" s="30"/>
      <c r="R1" s="30"/>
      <c r="S1" s="30"/>
      <c r="T1" s="30" t="s">
        <v>132</v>
      </c>
      <c r="U1" s="30"/>
      <c r="V1" s="30"/>
      <c r="W1" s="30"/>
      <c r="X1" s="30"/>
    </row>
    <row r="2" spans="1:28" ht="15.6">
      <c r="A2" s="59" t="s">
        <v>133</v>
      </c>
      <c r="B2" s="144">
        <v>1999</v>
      </c>
      <c r="C2" s="144">
        <v>2000</v>
      </c>
      <c r="D2" s="144">
        <v>2001</v>
      </c>
      <c r="E2" s="144">
        <v>2002</v>
      </c>
      <c r="F2" s="144">
        <v>2003</v>
      </c>
      <c r="G2" s="144">
        <v>2004</v>
      </c>
      <c r="H2" s="144">
        <v>2005</v>
      </c>
      <c r="I2" s="144">
        <v>2006</v>
      </c>
      <c r="J2" s="144">
        <v>2007</v>
      </c>
      <c r="K2" s="144">
        <v>2008</v>
      </c>
      <c r="L2" s="144">
        <v>2009</v>
      </c>
      <c r="M2" s="144">
        <v>2010</v>
      </c>
      <c r="N2" s="144">
        <v>2011</v>
      </c>
      <c r="O2" s="144">
        <v>2012</v>
      </c>
      <c r="P2" s="144">
        <v>2013</v>
      </c>
      <c r="Q2" s="144">
        <v>2014</v>
      </c>
      <c r="R2" s="144">
        <v>2015</v>
      </c>
      <c r="S2" s="144">
        <v>2016</v>
      </c>
      <c r="T2" s="144">
        <v>2017</v>
      </c>
      <c r="U2" s="63">
        <v>2018</v>
      </c>
      <c r="V2" s="63">
        <v>2019</v>
      </c>
      <c r="X2" s="145"/>
      <c r="Y2" s="30"/>
      <c r="Z2" s="30"/>
    </row>
    <row r="3" spans="1:28" ht="15.6">
      <c r="A3" s="146" t="s">
        <v>20</v>
      </c>
      <c r="B3" s="19">
        <f>AVERAGE(B8,C3)</f>
        <v>159053.5</v>
      </c>
      <c r="C3" s="19">
        <v>172497</v>
      </c>
      <c r="D3" s="20">
        <f>AVERAGE(C3,E3)</f>
        <v>198998.5</v>
      </c>
      <c r="E3" s="20">
        <v>225500</v>
      </c>
      <c r="F3" s="20">
        <v>227003</v>
      </c>
      <c r="G3" s="20">
        <v>240961</v>
      </c>
      <c r="H3" s="20">
        <v>235836</v>
      </c>
      <c r="I3" s="20">
        <v>258752</v>
      </c>
      <c r="J3" s="20">
        <v>262684</v>
      </c>
      <c r="K3" s="20">
        <v>268071</v>
      </c>
      <c r="L3" s="147">
        <v>283177</v>
      </c>
      <c r="M3" s="20">
        <v>299643</v>
      </c>
      <c r="N3" s="147">
        <v>306640</v>
      </c>
      <c r="O3" s="20">
        <v>311718</v>
      </c>
      <c r="P3" s="20">
        <v>330308</v>
      </c>
      <c r="Q3" s="20">
        <v>343576</v>
      </c>
      <c r="R3" s="20">
        <v>356843</v>
      </c>
      <c r="S3" s="20">
        <v>345443</v>
      </c>
      <c r="T3" s="20">
        <v>382867</v>
      </c>
      <c r="U3" s="199">
        <f>(T3+V3)/2</f>
        <v>395708.5</v>
      </c>
      <c r="V3" s="20">
        <v>408550</v>
      </c>
      <c r="X3" s="30"/>
      <c r="Y3" s="30"/>
      <c r="Z3" s="30"/>
      <c r="AA3" s="30"/>
      <c r="AB3" s="30"/>
    </row>
    <row r="4" spans="1:28" s="49" customFormat="1" ht="57.9">
      <c r="A4" s="145"/>
      <c r="B4" s="145" t="s">
        <v>134</v>
      </c>
      <c r="C4" s="145"/>
      <c r="D4" s="145" t="s">
        <v>135</v>
      </c>
      <c r="E4" s="145"/>
      <c r="F4" s="145"/>
      <c r="G4" s="145"/>
      <c r="H4" s="145"/>
      <c r="I4" s="145"/>
      <c r="L4" s="328" t="s">
        <v>136</v>
      </c>
      <c r="M4" s="328"/>
      <c r="N4" s="328"/>
      <c r="O4" s="145"/>
      <c r="P4" s="145"/>
      <c r="Q4" s="145"/>
      <c r="R4" s="145"/>
      <c r="S4" s="329" t="s">
        <v>137</v>
      </c>
      <c r="T4" s="330"/>
      <c r="U4" s="145"/>
      <c r="V4" s="145"/>
      <c r="X4" s="145"/>
      <c r="Y4" s="145"/>
      <c r="Z4" s="145"/>
    </row>
    <row r="5" spans="1:28" ht="29.1" customHeight="1">
      <c r="A5" s="23" t="s">
        <v>138</v>
      </c>
      <c r="B5" s="30"/>
      <c r="C5" s="30"/>
      <c r="D5" s="30"/>
      <c r="E5" s="30"/>
      <c r="F5" s="30"/>
      <c r="G5" s="30"/>
      <c r="H5" s="30"/>
      <c r="I5" s="30"/>
      <c r="J5" s="30"/>
      <c r="K5" s="30"/>
      <c r="L5" s="30"/>
      <c r="M5" s="30"/>
      <c r="N5" s="30"/>
      <c r="O5" s="30"/>
      <c r="P5" s="30"/>
      <c r="Q5" s="30"/>
      <c r="R5" s="30"/>
      <c r="S5" s="30"/>
      <c r="T5" s="145"/>
      <c r="U5" s="145"/>
      <c r="V5" s="145"/>
      <c r="W5" s="145"/>
      <c r="X5" s="145"/>
      <c r="Y5" s="145"/>
      <c r="Z5" s="145"/>
    </row>
    <row r="6" spans="1:28" ht="43.35" customHeight="1">
      <c r="A6" s="23" t="s">
        <v>139</v>
      </c>
      <c r="B6" s="30"/>
      <c r="C6" s="30"/>
      <c r="D6" s="30"/>
      <c r="E6" s="30"/>
      <c r="F6" s="30"/>
      <c r="G6" s="30"/>
      <c r="H6" s="30"/>
      <c r="I6" s="30"/>
      <c r="J6" s="30"/>
      <c r="K6" s="30"/>
      <c r="L6" s="30"/>
      <c r="M6" s="30"/>
      <c r="N6" s="30"/>
      <c r="O6" s="30"/>
      <c r="P6" s="30"/>
      <c r="Q6" s="30"/>
      <c r="R6" s="30"/>
      <c r="S6" s="30"/>
      <c r="T6" s="145"/>
      <c r="U6" s="145"/>
      <c r="V6" s="145"/>
      <c r="W6" s="145"/>
      <c r="X6" s="145"/>
      <c r="Y6" s="145"/>
      <c r="Z6" s="145"/>
    </row>
    <row r="7" spans="1:28">
      <c r="B7" s="144">
        <v>1998</v>
      </c>
      <c r="T7" s="30"/>
      <c r="U7" s="30"/>
      <c r="V7" s="30"/>
      <c r="W7" s="30"/>
      <c r="X7" s="30"/>
      <c r="Y7" s="30"/>
      <c r="Z7" s="30"/>
    </row>
    <row r="8" spans="1:28">
      <c r="B8" s="19">
        <v>145610</v>
      </c>
      <c r="T8" s="30"/>
      <c r="U8" s="30"/>
      <c r="V8" s="30"/>
      <c r="W8" s="30"/>
      <c r="X8" s="30"/>
      <c r="Y8" s="30"/>
      <c r="Z8" s="30"/>
    </row>
    <row r="9" spans="1:28" ht="72">
      <c r="B9" s="145" t="s">
        <v>140</v>
      </c>
      <c r="T9" s="30"/>
      <c r="U9" s="30"/>
      <c r="V9" s="30"/>
      <c r="W9" s="30"/>
      <c r="X9" s="30"/>
      <c r="Y9" s="30"/>
      <c r="Z9" s="30"/>
    </row>
    <row r="10" spans="1:28">
      <c r="T10" s="30"/>
      <c r="U10" s="30"/>
      <c r="V10" s="30"/>
      <c r="W10" s="30"/>
      <c r="X10" s="30"/>
      <c r="Y10" s="30"/>
      <c r="Z10" s="30"/>
    </row>
    <row r="11" spans="1:28">
      <c r="T11" s="30"/>
      <c r="U11" s="30"/>
      <c r="V11" s="30"/>
      <c r="W11" s="30"/>
      <c r="X11" s="30"/>
      <c r="Y11" s="30"/>
      <c r="Z11" s="30"/>
    </row>
    <row r="12" spans="1:28">
      <c r="T12" s="30"/>
      <c r="U12" s="30"/>
      <c r="V12" s="30"/>
      <c r="W12" s="30"/>
      <c r="X12" s="30"/>
      <c r="Y12" s="30"/>
      <c r="Z12" s="30"/>
    </row>
    <row r="13" spans="1:28">
      <c r="T13" s="30"/>
      <c r="U13" s="30"/>
      <c r="V13" s="30"/>
      <c r="W13" s="30"/>
      <c r="X13" s="30"/>
      <c r="Y13" s="30"/>
      <c r="Z13" s="30"/>
    </row>
    <row r="14" spans="1:28">
      <c r="T14" s="30"/>
      <c r="U14" s="30"/>
      <c r="V14" s="30"/>
      <c r="W14" s="30"/>
      <c r="X14" s="30"/>
      <c r="Y14" s="30"/>
      <c r="Z14" s="30"/>
    </row>
    <row r="15" spans="1:28">
      <c r="T15" s="30"/>
      <c r="U15" s="30"/>
      <c r="V15" s="30"/>
      <c r="W15" s="30"/>
      <c r="X15" s="30"/>
      <c r="Y15" s="30"/>
      <c r="Z15" s="30"/>
    </row>
    <row r="16" spans="1:28">
      <c r="T16" s="30"/>
      <c r="U16" s="30"/>
      <c r="V16" s="30"/>
      <c r="W16" s="30"/>
      <c r="X16" s="30"/>
      <c r="Y16" s="30"/>
      <c r="Z16" s="30"/>
    </row>
    <row r="17" spans="20:26">
      <c r="T17" s="30"/>
      <c r="U17" s="30"/>
      <c r="V17" s="30"/>
      <c r="W17" s="30"/>
      <c r="X17" s="30"/>
      <c r="Y17" s="30"/>
      <c r="Z17" s="30"/>
    </row>
    <row r="18" spans="20:26">
      <c r="T18" s="30"/>
      <c r="U18" s="30"/>
      <c r="V18" s="30"/>
      <c r="W18" s="30"/>
      <c r="X18" s="30"/>
      <c r="Y18" s="30"/>
      <c r="Z18" s="30"/>
    </row>
    <row r="19" spans="20:26">
      <c r="T19" s="30"/>
      <c r="U19" s="30"/>
      <c r="V19" s="30"/>
      <c r="W19" s="30"/>
      <c r="X19" s="30"/>
      <c r="Y19" s="30"/>
      <c r="Z19" s="30"/>
    </row>
    <row r="20" spans="20:26">
      <c r="T20" s="30"/>
      <c r="U20" s="30"/>
      <c r="V20" s="30"/>
      <c r="W20" s="30"/>
      <c r="X20" s="30"/>
      <c r="Y20" s="30"/>
      <c r="Z20" s="30"/>
    </row>
    <row r="21" spans="20:26">
      <c r="T21" s="30"/>
      <c r="U21" s="30"/>
      <c r="V21" s="30"/>
      <c r="W21" s="30"/>
      <c r="X21" s="30"/>
      <c r="Y21" s="30"/>
      <c r="Z21" s="30"/>
    </row>
    <row r="22" spans="20:26">
      <c r="T22" s="30"/>
      <c r="U22" s="30"/>
      <c r="V22" s="30"/>
      <c r="W22" s="30"/>
      <c r="X22" s="30"/>
      <c r="Y22" s="30"/>
      <c r="Z22" s="30"/>
    </row>
    <row r="23" spans="20:26">
      <c r="T23" s="30"/>
      <c r="U23" s="30"/>
      <c r="V23" s="30"/>
      <c r="W23" s="30"/>
      <c r="X23" s="30"/>
      <c r="Y23" s="30"/>
      <c r="Z23" s="30"/>
    </row>
    <row r="24" spans="20:26">
      <c r="T24" s="30"/>
      <c r="U24" s="30"/>
      <c r="V24" s="30"/>
      <c r="W24" s="30"/>
      <c r="X24" s="30"/>
      <c r="Y24" s="30"/>
      <c r="Z24" s="30"/>
    </row>
    <row r="25" spans="20:26">
      <c r="T25" s="30"/>
      <c r="U25" s="30"/>
      <c r="V25" s="30"/>
      <c r="W25" s="30"/>
      <c r="X25" s="30"/>
      <c r="Y25" s="30"/>
      <c r="Z25" s="30"/>
    </row>
    <row r="26" spans="20:26">
      <c r="T26" s="30"/>
      <c r="U26" s="30"/>
      <c r="V26" s="30"/>
      <c r="W26" s="30"/>
      <c r="X26" s="30"/>
      <c r="Y26" s="30"/>
      <c r="Z26" s="30"/>
    </row>
    <row r="27" spans="20:26">
      <c r="T27" s="30"/>
      <c r="U27" s="30"/>
      <c r="V27" s="30"/>
      <c r="W27" s="30"/>
      <c r="X27" s="30"/>
      <c r="Y27" s="30"/>
      <c r="Z27" s="30"/>
    </row>
    <row r="28" spans="20:26">
      <c r="T28" s="30"/>
      <c r="U28" s="30"/>
      <c r="V28" s="30"/>
      <c r="W28" s="30"/>
      <c r="X28" s="30"/>
      <c r="Y28" s="30"/>
      <c r="Z28" s="30"/>
    </row>
    <row r="29" spans="20:26">
      <c r="T29" s="30"/>
      <c r="U29" s="30"/>
      <c r="V29" s="30"/>
      <c r="W29" s="30"/>
      <c r="X29" s="30"/>
      <c r="Y29" s="30"/>
      <c r="Z29" s="30"/>
    </row>
    <row r="30" spans="20:26">
      <c r="T30" s="30"/>
      <c r="U30" s="30"/>
      <c r="V30" s="30"/>
      <c r="W30" s="30"/>
      <c r="X30" s="30"/>
      <c r="Y30" s="30"/>
      <c r="Z30" s="30"/>
    </row>
    <row r="31" spans="20:26">
      <c r="T31" s="30"/>
      <c r="U31" s="30"/>
      <c r="V31" s="30"/>
      <c r="W31" s="30"/>
      <c r="X31" s="30"/>
      <c r="Y31" s="30"/>
      <c r="Z31" s="30"/>
    </row>
    <row r="32" spans="20:26">
      <c r="T32" s="30"/>
      <c r="U32" s="30"/>
      <c r="V32" s="30"/>
      <c r="W32" s="30"/>
      <c r="X32" s="30"/>
      <c r="Y32" s="30"/>
      <c r="Z32" s="30"/>
    </row>
    <row r="33" spans="20:26">
      <c r="T33" s="30"/>
      <c r="U33" s="30"/>
      <c r="V33" s="30"/>
      <c r="W33" s="30"/>
      <c r="X33" s="30"/>
      <c r="Y33" s="30"/>
      <c r="Z33" s="30"/>
    </row>
    <row r="34" spans="20:26">
      <c r="T34" s="30"/>
      <c r="U34" s="30"/>
      <c r="V34" s="30"/>
      <c r="W34" s="30"/>
      <c r="X34" s="30"/>
      <c r="Y34" s="30"/>
      <c r="Z34" s="30"/>
    </row>
    <row r="35" spans="20:26">
      <c r="T35" s="30"/>
      <c r="U35" s="30"/>
      <c r="V35" s="30"/>
      <c r="W35" s="30"/>
      <c r="X35" s="30"/>
      <c r="Y35" s="30"/>
      <c r="Z35" s="30"/>
    </row>
    <row r="36" spans="20:26">
      <c r="T36" s="30"/>
      <c r="U36" s="30"/>
      <c r="V36" s="30"/>
      <c r="W36" s="30"/>
      <c r="X36" s="30"/>
      <c r="Y36" s="30"/>
      <c r="Z36" s="30"/>
    </row>
    <row r="37" spans="20:26">
      <c r="T37" s="30"/>
      <c r="U37" s="30"/>
      <c r="V37" s="30"/>
      <c r="W37" s="30"/>
      <c r="X37" s="30"/>
      <c r="Y37" s="30"/>
      <c r="Z37" s="30"/>
    </row>
    <row r="38" spans="20:26">
      <c r="T38" s="30"/>
      <c r="U38" s="30"/>
      <c r="V38" s="30"/>
      <c r="W38" s="30"/>
      <c r="X38" s="30"/>
      <c r="Y38" s="30"/>
      <c r="Z38" s="30"/>
    </row>
    <row r="39" spans="20:26">
      <c r="T39" s="30"/>
      <c r="U39" s="30"/>
      <c r="V39" s="30"/>
      <c r="W39" s="30"/>
      <c r="X39" s="30"/>
      <c r="Y39" s="30"/>
      <c r="Z39" s="30"/>
    </row>
    <row r="40" spans="20:26">
      <c r="T40" s="30"/>
      <c r="U40" s="30"/>
      <c r="V40" s="30"/>
      <c r="W40" s="30"/>
      <c r="X40" s="30"/>
      <c r="Y40" s="30"/>
      <c r="Z40" s="30"/>
    </row>
    <row r="41" spans="20:26">
      <c r="T41" s="30"/>
      <c r="U41" s="30"/>
      <c r="V41" s="30"/>
      <c r="W41" s="30"/>
      <c r="X41" s="30"/>
      <c r="Y41" s="30"/>
      <c r="Z41" s="30"/>
    </row>
    <row r="42" spans="20:26">
      <c r="T42" s="30"/>
      <c r="U42" s="30"/>
      <c r="V42" s="30"/>
      <c r="W42" s="30"/>
      <c r="X42" s="30"/>
      <c r="Y42" s="30"/>
      <c r="Z42" s="30"/>
    </row>
    <row r="43" spans="20:26">
      <c r="T43" s="30"/>
      <c r="U43" s="30"/>
      <c r="V43" s="30"/>
      <c r="W43" s="30"/>
      <c r="X43" s="30"/>
      <c r="Y43" s="30"/>
      <c r="Z43" s="30"/>
    </row>
    <row r="44" spans="20:26">
      <c r="T44" s="30"/>
      <c r="U44" s="30"/>
      <c r="V44" s="30"/>
      <c r="W44" s="30"/>
      <c r="X44" s="30"/>
      <c r="Y44" s="30"/>
      <c r="Z44" s="30"/>
    </row>
    <row r="45" spans="20:26">
      <c r="T45" s="30"/>
      <c r="U45" s="30"/>
      <c r="V45" s="30"/>
      <c r="W45" s="30"/>
      <c r="X45" s="30"/>
      <c r="Y45" s="30"/>
      <c r="Z45" s="30"/>
    </row>
    <row r="46" spans="20:26">
      <c r="T46" s="30"/>
      <c r="U46" s="30"/>
      <c r="V46" s="30"/>
      <c r="W46" s="30"/>
      <c r="X46" s="30"/>
      <c r="Y46" s="30"/>
      <c r="Z46" s="30"/>
    </row>
  </sheetData>
  <mergeCells count="1">
    <mergeCell ref="A1:H1"/>
  </mergeCells>
  <hyperlinks>
    <hyperlink ref="A5" r:id="rId1" xr:uid="{9855DF25-A725-497E-BD39-E1C327A7467B}"/>
    <hyperlink ref="A6" r:id="rId2" xr:uid="{77B57183-3B23-44CC-99C2-CCAD9A4D46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E6A9D-B405-464D-8CF0-C890580B1DF0}">
  <dimension ref="A1:W43"/>
  <sheetViews>
    <sheetView zoomScale="64" zoomScaleNormal="85" workbookViewId="0">
      <selection activeCell="E6" sqref="E6"/>
    </sheetView>
  </sheetViews>
  <sheetFormatPr defaultColWidth="8.41796875" defaultRowHeight="14.4"/>
  <cols>
    <col min="1" max="1" width="25.41796875" customWidth="1"/>
    <col min="2" max="2" width="11.68359375" customWidth="1"/>
    <col min="3" max="3" width="18" customWidth="1"/>
    <col min="4" max="4" width="14.89453125" bestFit="1" customWidth="1"/>
    <col min="5" max="5" width="19.5234375" customWidth="1"/>
    <col min="6" max="12" width="5.3125" bestFit="1" customWidth="1"/>
    <col min="13" max="13" width="5.41796875" bestFit="1" customWidth="1"/>
    <col min="14" max="17" width="7" bestFit="1" customWidth="1"/>
    <col min="18" max="23" width="8.1015625" bestFit="1" customWidth="1"/>
  </cols>
  <sheetData>
    <row r="1" spans="1:23">
      <c r="B1" s="161" t="s">
        <v>141</v>
      </c>
      <c r="C1" s="161" t="s">
        <v>142</v>
      </c>
      <c r="D1" s="161" t="s">
        <v>143</v>
      </c>
      <c r="E1" s="161" t="s">
        <v>144</v>
      </c>
      <c r="F1" s="161" t="s">
        <v>145</v>
      </c>
      <c r="G1" s="161" t="s">
        <v>146</v>
      </c>
      <c r="H1" s="161" t="s">
        <v>147</v>
      </c>
      <c r="I1" s="161" t="s">
        <v>148</v>
      </c>
      <c r="J1" s="161" t="s">
        <v>149</v>
      </c>
      <c r="K1" s="161" t="s">
        <v>150</v>
      </c>
      <c r="L1" s="161" t="s">
        <v>151</v>
      </c>
      <c r="M1" s="161" t="s">
        <v>152</v>
      </c>
      <c r="N1" s="161" t="s">
        <v>153</v>
      </c>
      <c r="O1" s="161" t="s">
        <v>154</v>
      </c>
      <c r="P1" s="161" t="s">
        <v>155</v>
      </c>
      <c r="Q1" s="161" t="s">
        <v>156</v>
      </c>
      <c r="R1" s="161" t="s">
        <v>157</v>
      </c>
      <c r="S1" s="161" t="s">
        <v>158</v>
      </c>
      <c r="T1" s="161" t="s">
        <v>159</v>
      </c>
      <c r="U1" s="161" t="s">
        <v>160</v>
      </c>
      <c r="V1" s="169" t="s">
        <v>161</v>
      </c>
      <c r="W1" s="169" t="s">
        <v>162</v>
      </c>
    </row>
    <row r="2" spans="1:23" ht="15.6">
      <c r="A2" s="150" t="s">
        <v>24</v>
      </c>
      <c r="B2">
        <f t="shared" ref="B2:D2" si="0">B29</f>
        <v>0</v>
      </c>
      <c r="C2">
        <f t="shared" si="0"/>
        <v>0</v>
      </c>
      <c r="D2">
        <f t="shared" si="0"/>
        <v>0</v>
      </c>
      <c r="E2">
        <f>E29</f>
        <v>0</v>
      </c>
      <c r="F2">
        <f t="shared" ref="F2:W2" si="1">F29</f>
        <v>0</v>
      </c>
      <c r="G2">
        <f t="shared" si="1"/>
        <v>0</v>
      </c>
      <c r="H2">
        <f t="shared" si="1"/>
        <v>0</v>
      </c>
      <c r="I2">
        <f t="shared" si="1"/>
        <v>0</v>
      </c>
      <c r="J2">
        <f t="shared" si="1"/>
        <v>0</v>
      </c>
      <c r="K2">
        <f t="shared" si="1"/>
        <v>0</v>
      </c>
      <c r="L2">
        <f t="shared" si="1"/>
        <v>0</v>
      </c>
      <c r="M2" s="21">
        <f t="shared" si="1"/>
        <v>434.77083333333331</v>
      </c>
      <c r="N2" s="21">
        <f t="shared" si="1"/>
        <v>1543.5208333333333</v>
      </c>
      <c r="O2" s="21">
        <f t="shared" si="1"/>
        <v>2990.2708333333335</v>
      </c>
      <c r="P2" s="21">
        <f t="shared" si="1"/>
        <v>4705.6875</v>
      </c>
      <c r="Q2" s="21">
        <f t="shared" si="1"/>
        <v>6685.270833333333</v>
      </c>
      <c r="R2" s="21">
        <f t="shared" si="1"/>
        <v>10849.4375</v>
      </c>
      <c r="S2" s="21">
        <f t="shared" si="1"/>
        <v>19529.104166666668</v>
      </c>
      <c r="T2" s="21">
        <f t="shared" si="1"/>
        <v>26956.604166666668</v>
      </c>
      <c r="U2" s="21">
        <f t="shared" si="1"/>
        <v>30646.604166666668</v>
      </c>
      <c r="V2" s="21">
        <f t="shared" si="1"/>
        <v>32227.1875</v>
      </c>
      <c r="W2" s="21">
        <f t="shared" si="1"/>
        <v>28917.104166666668</v>
      </c>
    </row>
    <row r="4" spans="1:23" ht="65.849999999999994" customHeight="1">
      <c r="A4" s="665" t="s">
        <v>163</v>
      </c>
      <c r="B4" s="665"/>
      <c r="C4" s="665"/>
      <c r="D4" s="665"/>
      <c r="E4" s="665"/>
      <c r="F4" s="665"/>
      <c r="G4" s="665"/>
      <c r="H4" s="665"/>
    </row>
    <row r="5" spans="1:23">
      <c r="A5" s="666"/>
      <c r="B5" s="666"/>
      <c r="C5" s="224"/>
      <c r="E5" s="49"/>
      <c r="F5" s="23"/>
    </row>
    <row r="6" spans="1:23" ht="50.85" customHeight="1">
      <c r="A6" s="523" t="s">
        <v>164</v>
      </c>
      <c r="B6" s="524" t="s">
        <v>165</v>
      </c>
      <c r="C6" s="524" t="s">
        <v>166</v>
      </c>
      <c r="D6" s="524" t="s">
        <v>167</v>
      </c>
      <c r="E6" s="525" t="s">
        <v>168</v>
      </c>
      <c r="K6" s="174"/>
    </row>
    <row r="7" spans="1:23">
      <c r="A7" s="526">
        <v>2002</v>
      </c>
      <c r="B7" s="527">
        <v>0</v>
      </c>
      <c r="C7" s="527"/>
      <c r="D7" s="527">
        <v>0</v>
      </c>
      <c r="E7" s="527">
        <f>0</f>
        <v>0</v>
      </c>
      <c r="K7" s="175"/>
    </row>
    <row r="8" spans="1:23">
      <c r="A8" s="528">
        <v>2003</v>
      </c>
      <c r="B8" s="529">
        <v>0</v>
      </c>
      <c r="C8" s="529"/>
      <c r="D8" s="529">
        <v>0</v>
      </c>
      <c r="E8" s="529">
        <f>0</f>
        <v>0</v>
      </c>
      <c r="K8" s="176"/>
    </row>
    <row r="9" spans="1:23">
      <c r="A9" s="526">
        <v>2004</v>
      </c>
      <c r="B9" s="527">
        <v>0</v>
      </c>
      <c r="C9" s="527"/>
      <c r="D9" s="527">
        <v>0</v>
      </c>
      <c r="E9" s="527">
        <f>0</f>
        <v>0</v>
      </c>
      <c r="K9" s="175"/>
    </row>
    <row r="10" spans="1:23">
      <c r="A10" s="528">
        <v>2005</v>
      </c>
      <c r="B10" s="529">
        <v>0</v>
      </c>
      <c r="C10" s="529"/>
      <c r="D10" s="529">
        <v>0</v>
      </c>
      <c r="E10" s="529">
        <f>0</f>
        <v>0</v>
      </c>
      <c r="K10" s="176"/>
    </row>
    <row r="11" spans="1:23">
      <c r="A11" s="526">
        <v>2006</v>
      </c>
      <c r="B11" s="527">
        <v>4081</v>
      </c>
      <c r="C11" s="527"/>
      <c r="D11" s="527">
        <v>0</v>
      </c>
      <c r="E11" s="527">
        <f>0</f>
        <v>0</v>
      </c>
      <c r="K11" s="175"/>
    </row>
    <row r="12" spans="1:23">
      <c r="A12" s="528">
        <v>2007</v>
      </c>
      <c r="B12" s="529">
        <v>23767</v>
      </c>
      <c r="C12" s="529"/>
      <c r="D12" s="529">
        <v>0</v>
      </c>
      <c r="E12" s="529">
        <f>0</f>
        <v>0</v>
      </c>
      <c r="K12" s="176"/>
    </row>
    <row r="13" spans="1:23">
      <c r="A13" s="526">
        <v>2008</v>
      </c>
      <c r="B13" s="527">
        <v>23555</v>
      </c>
      <c r="C13" s="527"/>
      <c r="D13" s="527">
        <v>0</v>
      </c>
      <c r="E13" s="527">
        <f>0</f>
        <v>0</v>
      </c>
      <c r="K13" s="175"/>
    </row>
    <row r="14" spans="1:23">
      <c r="A14" s="528">
        <v>2009</v>
      </c>
      <c r="B14" s="529">
        <v>24029</v>
      </c>
      <c r="C14" s="529"/>
      <c r="D14" s="529">
        <v>0</v>
      </c>
      <c r="E14" s="529">
        <v>0</v>
      </c>
      <c r="K14" s="176"/>
    </row>
    <row r="15" spans="1:23">
      <c r="A15" s="526">
        <v>2010</v>
      </c>
      <c r="B15" s="527">
        <v>30740</v>
      </c>
      <c r="C15" s="527">
        <f>AVERAGE(B12:B15)</f>
        <v>25522.75</v>
      </c>
      <c r="D15" s="527">
        <f t="shared" ref="D15:D25" si="2">B15-$C$15</f>
        <v>5217.25</v>
      </c>
      <c r="E15" s="527">
        <f t="shared" ref="E15:E25" si="3">D15/12</f>
        <v>434.77083333333331</v>
      </c>
      <c r="K15" s="175"/>
    </row>
    <row r="16" spans="1:23">
      <c r="A16" s="528">
        <v>2011</v>
      </c>
      <c r="B16" s="530">
        <v>44045</v>
      </c>
      <c r="C16" s="530"/>
      <c r="D16" s="530">
        <f t="shared" si="2"/>
        <v>18522.25</v>
      </c>
      <c r="E16" s="530">
        <f t="shared" si="3"/>
        <v>1543.5208333333333</v>
      </c>
      <c r="K16" s="177"/>
    </row>
    <row r="17" spans="1:23">
      <c r="A17" s="526">
        <v>2012</v>
      </c>
      <c r="B17" s="527">
        <v>61406</v>
      </c>
      <c r="C17" s="527"/>
      <c r="D17" s="527">
        <f t="shared" si="2"/>
        <v>35883.25</v>
      </c>
      <c r="E17" s="527">
        <f t="shared" si="3"/>
        <v>2990.2708333333335</v>
      </c>
      <c r="K17" s="175"/>
    </row>
    <row r="18" spans="1:23">
      <c r="A18" s="528">
        <v>2013</v>
      </c>
      <c r="B18" s="530">
        <v>81991</v>
      </c>
      <c r="C18" s="530"/>
      <c r="D18" s="530">
        <f t="shared" si="2"/>
        <v>56468.25</v>
      </c>
      <c r="E18" s="530">
        <f t="shared" si="3"/>
        <v>4705.6875</v>
      </c>
      <c r="K18" s="177"/>
    </row>
    <row r="19" spans="1:23">
      <c r="A19" s="526">
        <v>2014</v>
      </c>
      <c r="B19" s="527">
        <v>105746</v>
      </c>
      <c r="C19" s="527"/>
      <c r="D19" s="527">
        <f t="shared" si="2"/>
        <v>80223.25</v>
      </c>
      <c r="E19" s="527">
        <f t="shared" si="3"/>
        <v>6685.270833333333</v>
      </c>
      <c r="K19" s="175"/>
    </row>
    <row r="20" spans="1:23">
      <c r="A20" s="528">
        <v>2015</v>
      </c>
      <c r="B20" s="530">
        <v>155716</v>
      </c>
      <c r="C20" s="530"/>
      <c r="D20" s="530">
        <f t="shared" si="2"/>
        <v>130193.25</v>
      </c>
      <c r="E20" s="530">
        <f t="shared" si="3"/>
        <v>10849.4375</v>
      </c>
      <c r="K20" s="177"/>
    </row>
    <row r="21" spans="1:23">
      <c r="A21" s="526">
        <v>2016</v>
      </c>
      <c r="B21" s="527">
        <v>259872</v>
      </c>
      <c r="C21" s="527"/>
      <c r="D21" s="527">
        <f t="shared" si="2"/>
        <v>234349.25</v>
      </c>
      <c r="E21" s="527">
        <f t="shared" si="3"/>
        <v>19529.104166666668</v>
      </c>
      <c r="K21" s="175"/>
    </row>
    <row r="22" spans="1:23">
      <c r="A22" s="528">
        <v>2017</v>
      </c>
      <c r="B22" s="530">
        <v>349002</v>
      </c>
      <c r="C22" s="530"/>
      <c r="D22" s="530">
        <f t="shared" si="2"/>
        <v>323479.25</v>
      </c>
      <c r="E22" s="530">
        <f t="shared" si="3"/>
        <v>26956.604166666668</v>
      </c>
      <c r="K22" s="177"/>
    </row>
    <row r="23" spans="1:23">
      <c r="A23" s="526">
        <v>2018</v>
      </c>
      <c r="B23" s="527">
        <v>393282</v>
      </c>
      <c r="C23" s="527"/>
      <c r="D23" s="527">
        <f t="shared" si="2"/>
        <v>367759.25</v>
      </c>
      <c r="E23" s="527">
        <f t="shared" si="3"/>
        <v>30646.604166666668</v>
      </c>
      <c r="K23" s="175"/>
    </row>
    <row r="24" spans="1:23">
      <c r="A24" s="528">
        <v>2019</v>
      </c>
      <c r="B24" s="530">
        <v>412249</v>
      </c>
      <c r="C24" s="530"/>
      <c r="D24" s="530">
        <f t="shared" si="2"/>
        <v>386726.25</v>
      </c>
      <c r="E24" s="530">
        <f t="shared" si="3"/>
        <v>32227.1875</v>
      </c>
      <c r="K24" s="177"/>
    </row>
    <row r="25" spans="1:23">
      <c r="A25" s="462">
        <v>2020</v>
      </c>
      <c r="B25" s="527">
        <v>372528</v>
      </c>
      <c r="D25" s="527">
        <f t="shared" si="2"/>
        <v>347005.25</v>
      </c>
      <c r="E25" s="527">
        <f t="shared" si="3"/>
        <v>28917.104166666668</v>
      </c>
    </row>
    <row r="26" spans="1:23">
      <c r="A26" s="1"/>
    </row>
    <row r="28" spans="1:23">
      <c r="A28" s="409"/>
      <c r="B28" s="409" t="s">
        <v>141</v>
      </c>
      <c r="C28" s="409" t="s">
        <v>142</v>
      </c>
      <c r="D28" s="409" t="s">
        <v>143</v>
      </c>
      <c r="E28" s="409" t="s">
        <v>144</v>
      </c>
      <c r="F28" s="409" t="s">
        <v>145</v>
      </c>
      <c r="G28" s="409" t="s">
        <v>146</v>
      </c>
      <c r="H28" s="409" t="s">
        <v>147</v>
      </c>
      <c r="I28" s="409" t="s">
        <v>148</v>
      </c>
      <c r="J28" s="409" t="s">
        <v>149</v>
      </c>
      <c r="K28" s="409" t="s">
        <v>150</v>
      </c>
      <c r="L28" s="409" t="s">
        <v>151</v>
      </c>
      <c r="M28" s="409" t="s">
        <v>152</v>
      </c>
      <c r="N28" s="409" t="s">
        <v>153</v>
      </c>
      <c r="O28" s="409" t="s">
        <v>154</v>
      </c>
      <c r="P28" s="409" t="s">
        <v>155</v>
      </c>
      <c r="Q28" s="409" t="s">
        <v>156</v>
      </c>
      <c r="R28" s="409" t="s">
        <v>157</v>
      </c>
      <c r="S28" s="409" t="s">
        <v>158</v>
      </c>
      <c r="T28" s="409" t="s">
        <v>159</v>
      </c>
      <c r="U28" s="409" t="s">
        <v>160</v>
      </c>
      <c r="V28" s="409" t="s">
        <v>161</v>
      </c>
      <c r="W28" s="1" t="s">
        <v>162</v>
      </c>
    </row>
    <row r="29" spans="1:23" ht="15.6">
      <c r="A29" s="410" t="s">
        <v>24</v>
      </c>
      <c r="B29" s="411">
        <v>0</v>
      </c>
      <c r="C29" s="411">
        <v>0</v>
      </c>
      <c r="D29" s="411">
        <v>0</v>
      </c>
      <c r="E29" s="411">
        <v>0</v>
      </c>
      <c r="F29" s="411">
        <v>0</v>
      </c>
      <c r="G29" s="411">
        <v>0</v>
      </c>
      <c r="H29" s="411">
        <v>0</v>
      </c>
      <c r="I29" s="411">
        <v>0</v>
      </c>
      <c r="J29" s="411">
        <v>0</v>
      </c>
      <c r="K29" s="411">
        <v>0</v>
      </c>
      <c r="L29" s="411">
        <v>0</v>
      </c>
      <c r="M29" s="412">
        <f>$E15</f>
        <v>434.77083333333331</v>
      </c>
      <c r="N29" s="412">
        <f>$E16</f>
        <v>1543.5208333333333</v>
      </c>
      <c r="O29" s="412">
        <f>$E17</f>
        <v>2990.2708333333335</v>
      </c>
      <c r="P29" s="412">
        <f>$E18</f>
        <v>4705.6875</v>
      </c>
      <c r="Q29" s="412">
        <f>$E19</f>
        <v>6685.270833333333</v>
      </c>
      <c r="R29" s="412">
        <f>$E20</f>
        <v>10849.4375</v>
      </c>
      <c r="S29" s="412">
        <f>$E21</f>
        <v>19529.104166666668</v>
      </c>
      <c r="T29" s="412">
        <f>$E22</f>
        <v>26956.604166666668</v>
      </c>
      <c r="U29" s="412">
        <f>$E23</f>
        <v>30646.604166666668</v>
      </c>
      <c r="V29" s="413">
        <f>$E24</f>
        <v>32227.1875</v>
      </c>
      <c r="W29" s="413">
        <f>$E25</f>
        <v>28917.104166666668</v>
      </c>
    </row>
    <row r="30" spans="1:23">
      <c r="A30" s="48"/>
      <c r="B30" s="47"/>
      <c r="C30" s="47"/>
      <c r="D30" s="47"/>
      <c r="E30" s="47"/>
      <c r="F30" s="47"/>
      <c r="G30" s="47"/>
      <c r="H30" s="47"/>
      <c r="I30" s="47"/>
      <c r="J30" s="47"/>
      <c r="K30" s="47"/>
      <c r="L30" s="47"/>
      <c r="M30" s="47"/>
      <c r="N30" s="47"/>
      <c r="O30" s="47"/>
      <c r="P30" s="47"/>
      <c r="Q30" s="47"/>
      <c r="R30" s="47"/>
    </row>
    <row r="31" spans="1:23" ht="26.1" customHeight="1">
      <c r="A31" s="1" t="s">
        <v>169</v>
      </c>
      <c r="B31" s="1"/>
      <c r="C31" s="1"/>
      <c r="D31" s="1"/>
      <c r="E31" s="1"/>
      <c r="F31" s="1"/>
      <c r="G31" s="1"/>
      <c r="H31" s="1"/>
      <c r="I31" s="1"/>
      <c r="J31" s="1"/>
      <c r="K31" s="1"/>
      <c r="L31" s="1"/>
      <c r="M31" s="1"/>
      <c r="N31" s="1"/>
      <c r="O31" s="1"/>
      <c r="P31" s="1"/>
      <c r="Q31" s="1"/>
      <c r="R31" s="1"/>
    </row>
    <row r="32" spans="1:23">
      <c r="A32" s="1" t="s">
        <v>170</v>
      </c>
      <c r="B32" s="1"/>
      <c r="C32" s="1"/>
      <c r="D32" s="1"/>
      <c r="E32" s="1"/>
      <c r="F32" s="1"/>
      <c r="G32" s="1"/>
      <c r="H32" s="1"/>
      <c r="I32" s="1"/>
      <c r="J32" s="1"/>
      <c r="K32" s="1"/>
      <c r="L32" s="1"/>
      <c r="M32" s="1"/>
      <c r="N32" s="1"/>
      <c r="O32" s="1"/>
      <c r="P32" s="1"/>
      <c r="Q32" s="1"/>
      <c r="R32" s="1"/>
    </row>
    <row r="33" spans="1:18">
      <c r="A33" s="1" t="s">
        <v>171</v>
      </c>
      <c r="B33" s="1"/>
      <c r="C33" s="1"/>
      <c r="D33" s="1"/>
      <c r="E33" s="1"/>
      <c r="F33" s="1"/>
      <c r="G33" s="1"/>
      <c r="H33" s="1"/>
      <c r="I33" s="1"/>
      <c r="J33" s="1"/>
      <c r="K33" s="1"/>
      <c r="L33" s="1"/>
      <c r="M33" s="1"/>
      <c r="N33" s="1"/>
      <c r="O33" s="1"/>
      <c r="P33" s="1"/>
      <c r="Q33" s="1"/>
      <c r="R33" s="1"/>
    </row>
    <row r="34" spans="1:18">
      <c r="A34" s="1" t="s">
        <v>172</v>
      </c>
      <c r="B34" s="1"/>
      <c r="C34" s="1"/>
      <c r="D34" s="1"/>
      <c r="E34" s="1"/>
      <c r="F34" s="1"/>
      <c r="G34" s="1"/>
      <c r="H34" s="1"/>
      <c r="I34" s="1"/>
      <c r="J34" s="1"/>
      <c r="K34" s="1"/>
      <c r="L34" s="1"/>
      <c r="M34" s="1"/>
      <c r="N34" s="1"/>
      <c r="O34" s="1"/>
      <c r="P34" s="1"/>
      <c r="Q34" s="1"/>
      <c r="R34" s="1"/>
    </row>
    <row r="38" spans="1:18">
      <c r="A38" s="667" t="s">
        <v>173</v>
      </c>
      <c r="B38" s="667"/>
      <c r="C38" s="667"/>
    </row>
    <row r="41" spans="1:18" ht="15.6" customHeight="1"/>
    <row r="43" spans="1:18" ht="40.5" customHeight="1"/>
  </sheetData>
  <mergeCells count="3">
    <mergeCell ref="A4:H4"/>
    <mergeCell ref="A5:B5"/>
    <mergeCell ref="A38:C38"/>
  </mergeCells>
  <phoneticPr fontId="4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E34E-AB1F-4030-B6F0-F27D84030360}">
  <dimension ref="A1:BD49"/>
  <sheetViews>
    <sheetView zoomScale="68" zoomScaleNormal="100" workbookViewId="0">
      <selection activeCell="C35" sqref="C35"/>
    </sheetView>
  </sheetViews>
  <sheetFormatPr defaultColWidth="8.89453125" defaultRowHeight="14.4"/>
  <cols>
    <col min="1" max="1" width="26.41796875" style="39" customWidth="1"/>
    <col min="2" max="3" width="17.3125" style="39" customWidth="1"/>
    <col min="4" max="4" width="25.7890625" style="39" customWidth="1"/>
    <col min="5" max="8" width="17.3125" style="39" customWidth="1"/>
    <col min="9" max="16" width="17.3125" customWidth="1"/>
    <col min="17" max="32" width="17.3125" style="39" customWidth="1"/>
    <col min="33" max="34" width="6.68359375" style="39" bestFit="1" customWidth="1"/>
    <col min="35" max="37" width="7.68359375" style="39" bestFit="1" customWidth="1"/>
    <col min="38" max="38" width="8.41796875" style="39" bestFit="1" customWidth="1"/>
    <col min="39" max="39" width="7.68359375" style="39" bestFit="1" customWidth="1"/>
    <col min="40" max="41" width="8.89453125" style="39" bestFit="1" customWidth="1"/>
    <col min="42" max="42" width="13.41796875" style="39" customWidth="1"/>
    <col min="43" max="53" width="10.89453125" style="39" bestFit="1" customWidth="1"/>
    <col min="54" max="16384" width="8.89453125" style="39"/>
  </cols>
  <sheetData>
    <row r="1" spans="1:56" ht="14.85" customHeight="1">
      <c r="A1" s="670" t="s">
        <v>602</v>
      </c>
      <c r="B1" s="671"/>
      <c r="C1" s="671"/>
      <c r="D1" s="671"/>
      <c r="E1" s="671"/>
      <c r="F1" s="671"/>
      <c r="G1" s="671"/>
      <c r="H1" s="671"/>
      <c r="I1" s="671"/>
      <c r="J1" s="671"/>
      <c r="K1" s="671"/>
      <c r="L1" s="671"/>
      <c r="M1" s="671"/>
      <c r="N1" s="671"/>
      <c r="O1" s="671"/>
      <c r="P1" s="671"/>
      <c r="Q1" s="671"/>
      <c r="R1" s="671"/>
      <c r="U1" s="108">
        <v>1999</v>
      </c>
      <c r="V1" s="108">
        <v>2000</v>
      </c>
      <c r="W1" s="108">
        <v>2001</v>
      </c>
      <c r="X1" s="1">
        <v>2002</v>
      </c>
      <c r="Y1" s="1">
        <v>2003</v>
      </c>
      <c r="Z1" s="1">
        <v>2004</v>
      </c>
      <c r="AA1" s="1">
        <v>2005</v>
      </c>
      <c r="AB1" s="1">
        <v>2006</v>
      </c>
      <c r="AC1" s="1">
        <v>2007</v>
      </c>
      <c r="AD1" s="1">
        <v>2008</v>
      </c>
      <c r="AE1" s="1">
        <v>2009</v>
      </c>
      <c r="AF1" s="1">
        <v>2010</v>
      </c>
      <c r="AG1" s="1">
        <v>2011</v>
      </c>
      <c r="AH1" s="1">
        <v>2012</v>
      </c>
      <c r="AI1" s="1">
        <v>2013</v>
      </c>
      <c r="AJ1" s="1">
        <v>2014</v>
      </c>
      <c r="AK1" s="1">
        <v>2015</v>
      </c>
      <c r="AL1" s="1">
        <v>2016</v>
      </c>
      <c r="AM1" s="1">
        <v>2017</v>
      </c>
      <c r="AN1" s="1">
        <v>2018</v>
      </c>
      <c r="AO1" s="108">
        <v>2019</v>
      </c>
      <c r="AP1" s="108">
        <v>2020</v>
      </c>
      <c r="AQ1" s="108"/>
      <c r="AR1" s="108"/>
      <c r="AS1" s="108"/>
      <c r="AT1" s="108"/>
      <c r="AU1" s="108"/>
      <c r="AV1" s="108"/>
      <c r="AW1" s="108"/>
      <c r="AX1" s="108"/>
      <c r="AY1" s="108"/>
      <c r="AZ1" s="108"/>
      <c r="BA1" s="108"/>
      <c r="BB1" s="108"/>
      <c r="BC1" s="108"/>
      <c r="BD1" s="108"/>
    </row>
    <row r="2" spans="1:56" ht="14.85" customHeight="1">
      <c r="A2" s="670"/>
      <c r="B2" s="671"/>
      <c r="C2" s="671"/>
      <c r="D2" s="671"/>
      <c r="E2" s="671"/>
      <c r="F2" s="671"/>
      <c r="G2" s="671"/>
      <c r="H2" s="671"/>
      <c r="I2" s="671"/>
      <c r="J2" s="671"/>
      <c r="K2" s="671"/>
      <c r="L2" s="671"/>
      <c r="M2" s="671"/>
      <c r="N2" s="671"/>
      <c r="O2" s="671"/>
      <c r="P2" s="671"/>
      <c r="Q2" s="671"/>
      <c r="R2" s="671"/>
      <c r="T2" s="84" t="s">
        <v>174</v>
      </c>
      <c r="U2" s="159">
        <f>R7</f>
        <v>1103.5</v>
      </c>
      <c r="V2" s="159">
        <f>R8</f>
        <v>3310.4999999999995</v>
      </c>
      <c r="W2" s="159">
        <f>R9</f>
        <v>4414</v>
      </c>
      <c r="X2" s="159">
        <f>R10</f>
        <v>5517.5</v>
      </c>
      <c r="Y2" s="159">
        <f>R11</f>
        <v>9350.5</v>
      </c>
      <c r="Z2" s="159">
        <f>R12</f>
        <v>13113.5</v>
      </c>
      <c r="AA2" s="160">
        <f>R13</f>
        <v>14940.499999999998</v>
      </c>
      <c r="AB2" s="159">
        <f>R14</f>
        <v>24726.499999999996</v>
      </c>
      <c r="AC2" s="159">
        <f>R15</f>
        <v>26676.499999999996</v>
      </c>
      <c r="AD2" s="159">
        <f>R16</f>
        <v>35490.999999999993</v>
      </c>
      <c r="AE2" s="159">
        <f>R17</f>
        <v>39442</v>
      </c>
      <c r="AF2" s="159">
        <f>R18</f>
        <v>47435</v>
      </c>
      <c r="AG2" s="159">
        <f>R19</f>
        <v>49586</v>
      </c>
      <c r="AH2" s="159">
        <f>R20</f>
        <v>69053</v>
      </c>
      <c r="AI2" s="159">
        <f>R21</f>
        <v>141502</v>
      </c>
      <c r="AJ2" s="159">
        <f>R22</f>
        <v>211278.68817204301</v>
      </c>
      <c r="AK2" s="159">
        <f>R23</f>
        <v>325817.17840212741</v>
      </c>
      <c r="AL2" s="159">
        <f>R24</f>
        <v>573797.06734074547</v>
      </c>
      <c r="AM2" s="159">
        <f>R25</f>
        <v>916335.75439076754</v>
      </c>
      <c r="AN2" s="159">
        <f>R26</f>
        <v>1500485.9526574665</v>
      </c>
      <c r="AO2" s="160">
        <f>R27</f>
        <v>1931149</v>
      </c>
      <c r="AP2" s="160">
        <f>R28</f>
        <v>2303624</v>
      </c>
      <c r="AQ2" s="282"/>
      <c r="AR2" s="282"/>
      <c r="AS2" s="282"/>
      <c r="AT2" s="282"/>
      <c r="AU2" s="282"/>
      <c r="AV2" s="282"/>
      <c r="AW2" s="282"/>
      <c r="AX2" s="282"/>
      <c r="AY2" s="282"/>
      <c r="AZ2" s="282"/>
      <c r="BA2" s="282"/>
    </row>
    <row r="3" spans="1:56" ht="40.35" customHeight="1">
      <c r="A3" s="670"/>
      <c r="B3" s="671"/>
      <c r="C3" s="671"/>
      <c r="D3" s="671"/>
      <c r="E3" s="671"/>
      <c r="F3" s="671"/>
      <c r="G3" s="671"/>
      <c r="H3" s="671"/>
      <c r="I3" s="671"/>
      <c r="J3" s="671"/>
      <c r="K3" s="671"/>
      <c r="L3" s="671"/>
      <c r="M3" s="671"/>
      <c r="N3" s="671"/>
      <c r="O3" s="671"/>
      <c r="P3" s="671"/>
      <c r="Q3" s="671"/>
      <c r="R3" s="671"/>
      <c r="X3" s="218"/>
      <c r="Y3" s="222"/>
      <c r="Z3" s="221"/>
      <c r="AA3" s="222"/>
      <c r="AB3" s="222"/>
      <c r="AC3" s="222"/>
      <c r="AD3" s="222"/>
      <c r="AE3" s="222"/>
      <c r="AF3" s="222"/>
      <c r="AG3" s="222"/>
      <c r="AH3" s="218"/>
      <c r="AI3" s="222"/>
      <c r="AJ3" s="222"/>
      <c r="AK3" s="222"/>
      <c r="AL3" s="218"/>
      <c r="AM3" s="222"/>
      <c r="AN3" s="222"/>
      <c r="AO3" s="222"/>
    </row>
    <row r="4" spans="1:56" ht="45.6" customHeight="1" thickBot="1">
      <c r="A4" s="670"/>
      <c r="B4" s="672"/>
      <c r="C4" s="672"/>
      <c r="D4" s="672"/>
      <c r="E4" s="672"/>
      <c r="F4" s="672"/>
      <c r="G4" s="672"/>
      <c r="H4" s="672"/>
      <c r="I4" s="672"/>
      <c r="J4" s="672"/>
      <c r="K4" s="672"/>
      <c r="L4" s="672"/>
      <c r="M4" s="672"/>
      <c r="N4" s="672"/>
      <c r="O4" s="672"/>
      <c r="P4" s="672"/>
      <c r="Q4" s="672"/>
      <c r="R4" s="672"/>
      <c r="X4" s="218"/>
      <c r="Y4" s="198"/>
      <c r="Z4" s="198"/>
      <c r="AA4" s="198"/>
      <c r="AB4" s="198"/>
      <c r="AC4" s="198"/>
      <c r="AD4" s="198"/>
      <c r="AE4" s="198"/>
      <c r="AF4" s="197"/>
      <c r="AG4" s="198"/>
      <c r="AH4" s="198"/>
      <c r="AI4" s="198"/>
      <c r="AJ4" s="197"/>
      <c r="AK4" s="198"/>
      <c r="AL4" s="198"/>
      <c r="AM4" s="198"/>
      <c r="AN4" s="198"/>
      <c r="AO4" s="198"/>
      <c r="AP4" s="197"/>
    </row>
    <row r="5" spans="1:56">
      <c r="A5" s="97"/>
      <c r="B5" s="673" t="s">
        <v>175</v>
      </c>
      <c r="C5" s="673"/>
      <c r="D5" s="673"/>
      <c r="E5" s="673"/>
      <c r="F5" s="673"/>
      <c r="G5" s="673"/>
      <c r="H5" s="673"/>
      <c r="I5" s="674" t="s">
        <v>176</v>
      </c>
      <c r="J5" s="674"/>
      <c r="K5" s="674"/>
      <c r="L5" s="674"/>
      <c r="M5" s="674" t="s">
        <v>177</v>
      </c>
      <c r="N5" s="674"/>
      <c r="O5" s="674"/>
      <c r="P5" s="674"/>
      <c r="Q5" s="603" t="s">
        <v>178</v>
      </c>
      <c r="R5" s="604" t="s">
        <v>179</v>
      </c>
      <c r="X5" s="219"/>
      <c r="Y5" s="1"/>
      <c r="Z5" s="1"/>
      <c r="AA5" s="1"/>
      <c r="AB5" s="1"/>
      <c r="AC5" s="1"/>
      <c r="AD5" s="1"/>
      <c r="AE5" s="1"/>
      <c r="AF5" s="1"/>
      <c r="AG5" s="1"/>
      <c r="AH5" s="1"/>
      <c r="AI5" s="1"/>
      <c r="AJ5" s="1"/>
      <c r="AK5" s="1"/>
      <c r="AL5" s="1"/>
      <c r="AM5" s="1"/>
      <c r="AN5" s="1"/>
    </row>
    <row r="6" spans="1:56" ht="57.6">
      <c r="A6" s="621" t="s">
        <v>180</v>
      </c>
      <c r="B6" s="607" t="s">
        <v>181</v>
      </c>
      <c r="C6" s="607" t="s">
        <v>182</v>
      </c>
      <c r="D6" s="608" t="s">
        <v>72</v>
      </c>
      <c r="E6" s="607" t="s">
        <v>183</v>
      </c>
      <c r="F6" s="607" t="s">
        <v>72</v>
      </c>
      <c r="G6" s="607" t="s">
        <v>184</v>
      </c>
      <c r="H6" s="607" t="s">
        <v>185</v>
      </c>
      <c r="I6" s="609" t="s">
        <v>186</v>
      </c>
      <c r="J6" s="609" t="s">
        <v>187</v>
      </c>
      <c r="K6" s="609" t="s">
        <v>188</v>
      </c>
      <c r="L6" s="609" t="s">
        <v>189</v>
      </c>
      <c r="M6" s="609" t="s">
        <v>186</v>
      </c>
      <c r="N6" s="609" t="s">
        <v>187</v>
      </c>
      <c r="O6" s="609" t="s">
        <v>188</v>
      </c>
      <c r="P6" s="609" t="s">
        <v>189</v>
      </c>
      <c r="Q6" s="609" t="s">
        <v>190</v>
      </c>
      <c r="R6" s="622" t="s">
        <v>174</v>
      </c>
      <c r="S6" s="224"/>
      <c r="T6" s="224"/>
      <c r="U6" s="224"/>
      <c r="V6" s="224"/>
      <c r="W6" s="224"/>
      <c r="X6" s="225"/>
      <c r="Y6" s="224"/>
      <c r="Z6" s="151"/>
      <c r="AA6" s="151"/>
      <c r="AB6" s="151"/>
      <c r="AC6" s="151"/>
      <c r="AD6" s="151"/>
      <c r="AE6" s="151"/>
      <c r="AF6" s="151"/>
      <c r="AG6" s="151"/>
      <c r="AH6" s="151"/>
      <c r="AI6" s="151"/>
      <c r="AJ6" s="151"/>
      <c r="AK6" s="151"/>
      <c r="AL6" s="151"/>
      <c r="AM6" s="151"/>
      <c r="AN6" s="151"/>
      <c r="AO6" s="159"/>
    </row>
    <row r="7" spans="1:56">
      <c r="A7" s="394">
        <v>1999</v>
      </c>
      <c r="B7" s="607"/>
      <c r="C7" s="395">
        <f t="shared" ref="C7" si="0">C15/E15*E7</f>
        <v>971.49999999999989</v>
      </c>
      <c r="D7" s="608"/>
      <c r="E7" s="610">
        <v>1</v>
      </c>
      <c r="F7" s="675" t="s">
        <v>191</v>
      </c>
      <c r="G7" s="611">
        <v>0</v>
      </c>
      <c r="H7" s="612">
        <v>0</v>
      </c>
      <c r="I7" s="599"/>
      <c r="J7" s="599"/>
      <c r="K7" s="599"/>
      <c r="L7" s="599"/>
      <c r="M7" s="599"/>
      <c r="N7" s="599"/>
      <c r="O7" s="599"/>
      <c r="P7" s="599"/>
      <c r="Q7" s="599">
        <f t="shared" ref="Q7:Q8" si="1">(Q8/C8)*C7</f>
        <v>132</v>
      </c>
      <c r="R7" s="396">
        <f t="shared" ref="R7:R9" si="2">SUM(C7,Q7)</f>
        <v>1103.5</v>
      </c>
      <c r="S7" s="224"/>
      <c r="T7" s="224"/>
      <c r="U7" s="224"/>
      <c r="V7" s="224"/>
      <c r="W7" s="224"/>
      <c r="X7" s="225"/>
      <c r="Y7" s="224"/>
      <c r="Z7" s="151"/>
      <c r="AA7" s="151"/>
      <c r="AB7" s="151"/>
      <c r="AC7" s="151"/>
      <c r="AD7" s="151"/>
      <c r="AE7" s="151"/>
      <c r="AF7" s="151"/>
      <c r="AG7" s="151"/>
      <c r="AH7" s="151"/>
      <c r="AI7" s="151"/>
      <c r="AJ7" s="151"/>
      <c r="AK7" s="151"/>
      <c r="AL7" s="151"/>
      <c r="AM7" s="151"/>
      <c r="AN7" s="151"/>
      <c r="AO7" s="159"/>
    </row>
    <row r="8" spans="1:56">
      <c r="A8" s="154">
        <v>2000</v>
      </c>
      <c r="B8" s="155"/>
      <c r="C8" s="395">
        <f>C7*H8</f>
        <v>2914.4999999999995</v>
      </c>
      <c r="D8" s="613"/>
      <c r="E8" s="614">
        <v>3</v>
      </c>
      <c r="F8" s="675"/>
      <c r="G8" s="611">
        <f t="shared" ref="G8" si="3">E8-E7</f>
        <v>2</v>
      </c>
      <c r="H8" s="612">
        <f t="shared" ref="H8:H9" si="4">E8/E7</f>
        <v>3</v>
      </c>
      <c r="I8" s="599"/>
      <c r="J8" s="599"/>
      <c r="K8" s="599"/>
      <c r="L8" s="599"/>
      <c r="M8" s="599"/>
      <c r="N8" s="599"/>
      <c r="O8" s="599"/>
      <c r="P8" s="599"/>
      <c r="Q8" s="599">
        <f t="shared" si="1"/>
        <v>395.99999999999994</v>
      </c>
      <c r="R8" s="396">
        <f t="shared" si="2"/>
        <v>3310.4999999999995</v>
      </c>
      <c r="X8" s="220"/>
      <c r="Z8" s="152"/>
      <c r="AA8" s="152"/>
      <c r="AB8" s="152"/>
      <c r="AC8" s="152"/>
      <c r="AD8" s="152"/>
      <c r="AE8" s="152"/>
      <c r="AF8" s="152"/>
      <c r="AG8" s="152"/>
      <c r="AH8" s="152"/>
      <c r="AI8" s="152"/>
      <c r="AJ8" s="152"/>
      <c r="AK8" s="152"/>
      <c r="AL8" s="152"/>
      <c r="AM8" s="152"/>
      <c r="AN8" s="152"/>
      <c r="AO8" s="98"/>
    </row>
    <row r="9" spans="1:56">
      <c r="A9" s="154">
        <v>2001</v>
      </c>
      <c r="B9" s="613"/>
      <c r="C9" s="395">
        <f>C17/E17*E9</f>
        <v>3886</v>
      </c>
      <c r="D9" s="613"/>
      <c r="E9" s="615">
        <v>4</v>
      </c>
      <c r="F9" s="675"/>
      <c r="G9" s="611">
        <f t="shared" ref="G9:G22" si="5">E9-E8</f>
        <v>1</v>
      </c>
      <c r="H9" s="612">
        <f t="shared" si="4"/>
        <v>1.3333333333333333</v>
      </c>
      <c r="I9" s="599"/>
      <c r="J9" s="599"/>
      <c r="K9" s="599"/>
      <c r="L9" s="599"/>
      <c r="M9" s="599"/>
      <c r="N9" s="599"/>
      <c r="O9" s="599"/>
      <c r="P9" s="599"/>
      <c r="Q9" s="599">
        <f>(Q10/C10)*C9</f>
        <v>528</v>
      </c>
      <c r="R9" s="396">
        <f t="shared" si="2"/>
        <v>4414</v>
      </c>
      <c r="X9" s="220"/>
      <c r="Z9" s="153"/>
      <c r="AA9" s="153"/>
      <c r="AB9" s="153"/>
      <c r="AC9" s="153"/>
      <c r="AD9" s="153"/>
      <c r="AE9" s="153"/>
      <c r="AF9" s="153"/>
      <c r="AG9" s="153"/>
      <c r="AH9" s="153"/>
      <c r="AI9" s="153"/>
      <c r="AJ9" s="153"/>
      <c r="AK9" s="153"/>
      <c r="AL9" s="153"/>
      <c r="AM9" s="153"/>
      <c r="AN9" s="153"/>
      <c r="AO9" s="99"/>
    </row>
    <row r="10" spans="1:56">
      <c r="A10" s="156">
        <v>2002</v>
      </c>
      <c r="B10" s="101"/>
      <c r="C10" s="616">
        <f t="shared" ref="C10:C16" si="6">C9*H10</f>
        <v>4857.5</v>
      </c>
      <c r="D10" s="606"/>
      <c r="E10" s="617">
        <v>5</v>
      </c>
      <c r="F10" s="675"/>
      <c r="G10" s="618">
        <f t="shared" si="5"/>
        <v>1</v>
      </c>
      <c r="H10" s="612">
        <f>E10/E9</f>
        <v>1.25</v>
      </c>
      <c r="I10" s="599">
        <v>0</v>
      </c>
      <c r="J10" s="599">
        <v>0</v>
      </c>
      <c r="K10" s="599">
        <v>67</v>
      </c>
      <c r="L10" s="599">
        <v>573</v>
      </c>
      <c r="M10" s="599">
        <v>0</v>
      </c>
      <c r="N10" s="599">
        <v>0</v>
      </c>
      <c r="O10" s="599">
        <v>0</v>
      </c>
      <c r="P10" s="599">
        <v>20</v>
      </c>
      <c r="Q10" s="599">
        <f>SUM(I10:P10)</f>
        <v>660</v>
      </c>
      <c r="R10" s="396">
        <f t="shared" ref="R10:R26" si="7">SUM(C10,Q10)</f>
        <v>5517.5</v>
      </c>
      <c r="S10" s="223"/>
      <c r="T10"/>
      <c r="U10"/>
      <c r="V10"/>
      <c r="W10"/>
      <c r="X10" s="220"/>
      <c r="Y10"/>
      <c r="Z10" s="21"/>
      <c r="AA10" s="21"/>
      <c r="AB10" s="21"/>
      <c r="AC10" s="21"/>
      <c r="AD10" s="21"/>
      <c r="AE10" s="21"/>
      <c r="AF10" s="21"/>
      <c r="AG10" s="21"/>
      <c r="AH10" s="21"/>
      <c r="AI10" s="21"/>
      <c r="AJ10" s="21"/>
      <c r="AK10" s="21"/>
      <c r="AL10" s="21"/>
      <c r="AM10" s="21"/>
      <c r="AN10" s="21"/>
      <c r="AO10" s="98"/>
    </row>
    <row r="11" spans="1:56" s="100" customFormat="1">
      <c r="A11" s="156">
        <v>2003</v>
      </c>
      <c r="B11" s="101"/>
      <c r="C11" s="616">
        <f t="shared" si="6"/>
        <v>8743.5</v>
      </c>
      <c r="D11" s="606"/>
      <c r="E11" s="617">
        <v>9</v>
      </c>
      <c r="F11" s="675"/>
      <c r="G11" s="618">
        <f t="shared" si="5"/>
        <v>4</v>
      </c>
      <c r="H11" s="612">
        <f t="shared" ref="H11:H22" si="8">E11/E10</f>
        <v>1.8</v>
      </c>
      <c r="I11" s="599">
        <v>0</v>
      </c>
      <c r="J11" s="599">
        <v>0</v>
      </c>
      <c r="K11" s="599">
        <v>62</v>
      </c>
      <c r="L11" s="599">
        <v>444</v>
      </c>
      <c r="M11" s="599">
        <v>0</v>
      </c>
      <c r="N11" s="599">
        <v>0</v>
      </c>
      <c r="O11" s="599">
        <v>1</v>
      </c>
      <c r="P11" s="599">
        <v>100</v>
      </c>
      <c r="Q11" s="599">
        <f t="shared" ref="Q11:Q26" si="9">SUM(I11:P11)</f>
        <v>607</v>
      </c>
      <c r="R11" s="396">
        <f t="shared" si="7"/>
        <v>9350.5</v>
      </c>
      <c r="S11" s="223"/>
      <c r="T11"/>
      <c r="U11"/>
      <c r="V11"/>
      <c r="W11"/>
      <c r="X11" s="220"/>
      <c r="Y11"/>
      <c r="Z11" s="21"/>
      <c r="AA11" s="21"/>
      <c r="AB11" s="21"/>
      <c r="AC11" s="21"/>
      <c r="AD11" s="21"/>
      <c r="AE11" s="21"/>
      <c r="AF11" s="21"/>
      <c r="AG11" s="21"/>
      <c r="AH11" s="21"/>
      <c r="AI11" s="21"/>
      <c r="AJ11" s="21"/>
      <c r="AK11" s="21"/>
      <c r="AL11" s="21"/>
      <c r="AM11" s="21"/>
      <c r="AN11" s="21"/>
    </row>
    <row r="12" spans="1:56" s="100" customFormat="1">
      <c r="A12" s="156">
        <v>2004</v>
      </c>
      <c r="B12" s="101"/>
      <c r="C12" s="616">
        <f t="shared" si="6"/>
        <v>12629.5</v>
      </c>
      <c r="D12" s="606"/>
      <c r="E12" s="617">
        <v>13</v>
      </c>
      <c r="F12" s="675"/>
      <c r="G12" s="618">
        <f t="shared" si="5"/>
        <v>4</v>
      </c>
      <c r="H12" s="612">
        <f t="shared" si="8"/>
        <v>1.4444444444444444</v>
      </c>
      <c r="I12" s="599">
        <v>0</v>
      </c>
      <c r="J12" s="599">
        <v>0</v>
      </c>
      <c r="K12" s="599">
        <v>134</v>
      </c>
      <c r="L12" s="599">
        <v>271</v>
      </c>
      <c r="M12" s="599">
        <v>0</v>
      </c>
      <c r="N12" s="599">
        <v>0</v>
      </c>
      <c r="O12" s="599">
        <v>0</v>
      </c>
      <c r="P12" s="599">
        <v>79</v>
      </c>
      <c r="Q12" s="599">
        <f t="shared" si="9"/>
        <v>484</v>
      </c>
      <c r="R12" s="396">
        <f t="shared" si="7"/>
        <v>13113.5</v>
      </c>
      <c r="S12" s="223"/>
      <c r="T12"/>
      <c r="U12"/>
      <c r="V12"/>
      <c r="W12"/>
      <c r="X12" s="220"/>
      <c r="Y12"/>
      <c r="Z12" s="21"/>
      <c r="AA12" s="152"/>
      <c r="AB12" s="152"/>
      <c r="AC12" s="152"/>
      <c r="AD12" s="152"/>
      <c r="AE12" s="152"/>
      <c r="AF12" s="152"/>
      <c r="AG12" s="152"/>
      <c r="AH12" s="152"/>
      <c r="AI12" s="152"/>
      <c r="AJ12" s="152"/>
      <c r="AK12" s="152"/>
      <c r="AL12" s="152"/>
      <c r="AM12" s="152"/>
      <c r="AN12" s="152"/>
      <c r="AO12" s="39"/>
    </row>
    <row r="13" spans="1:56" ht="14.85" customHeight="1">
      <c r="A13" s="156">
        <v>2005</v>
      </c>
      <c r="B13" s="101"/>
      <c r="C13" s="616">
        <f t="shared" si="6"/>
        <v>14572.499999999998</v>
      </c>
      <c r="D13" s="606"/>
      <c r="E13" s="617">
        <v>15</v>
      </c>
      <c r="F13" s="675"/>
      <c r="G13" s="618">
        <f t="shared" si="5"/>
        <v>2</v>
      </c>
      <c r="H13" s="612">
        <f t="shared" si="8"/>
        <v>1.1538461538461537</v>
      </c>
      <c r="I13" s="599">
        <v>0</v>
      </c>
      <c r="J13" s="599">
        <v>0</v>
      </c>
      <c r="K13" s="599">
        <v>120</v>
      </c>
      <c r="L13" s="599">
        <v>200</v>
      </c>
      <c r="M13" s="599">
        <v>0</v>
      </c>
      <c r="N13" s="599">
        <v>0</v>
      </c>
      <c r="O13" s="599">
        <v>0</v>
      </c>
      <c r="P13" s="599">
        <v>48</v>
      </c>
      <c r="Q13" s="599">
        <f t="shared" si="9"/>
        <v>368</v>
      </c>
      <c r="R13" s="396">
        <f t="shared" si="7"/>
        <v>14940.499999999998</v>
      </c>
      <c r="S13" s="223"/>
      <c r="T13"/>
      <c r="U13"/>
      <c r="V13"/>
      <c r="W13"/>
      <c r="X13" s="220"/>
      <c r="Y13"/>
      <c r="Z13" s="21"/>
      <c r="AA13" s="153"/>
      <c r="AB13" s="153"/>
      <c r="AC13" s="153"/>
      <c r="AD13" s="153"/>
      <c r="AE13" s="153"/>
      <c r="AF13" s="153"/>
      <c r="AG13" s="153"/>
      <c r="AH13" s="153"/>
      <c r="AI13" s="153"/>
      <c r="AJ13" s="153"/>
      <c r="AK13" s="153"/>
      <c r="AL13" s="153"/>
      <c r="AM13" s="153"/>
      <c r="AN13" s="153"/>
    </row>
    <row r="14" spans="1:56">
      <c r="A14" s="156">
        <v>2006</v>
      </c>
      <c r="B14" s="101"/>
      <c r="C14" s="616">
        <f t="shared" si="6"/>
        <v>24287.499999999996</v>
      </c>
      <c r="D14" s="606"/>
      <c r="E14" s="617">
        <v>25</v>
      </c>
      <c r="F14" s="675"/>
      <c r="G14" s="618">
        <f t="shared" si="5"/>
        <v>10</v>
      </c>
      <c r="H14" s="612">
        <f t="shared" si="8"/>
        <v>1.6666666666666667</v>
      </c>
      <c r="I14" s="599">
        <v>0</v>
      </c>
      <c r="J14" s="599">
        <v>0</v>
      </c>
      <c r="K14" s="599">
        <v>201</v>
      </c>
      <c r="L14" s="599">
        <v>235</v>
      </c>
      <c r="M14" s="599">
        <v>0</v>
      </c>
      <c r="N14" s="599">
        <v>0</v>
      </c>
      <c r="O14" s="599">
        <v>2</v>
      </c>
      <c r="P14" s="599">
        <v>1</v>
      </c>
      <c r="Q14" s="599">
        <f t="shared" si="9"/>
        <v>439</v>
      </c>
      <c r="R14" s="396">
        <f t="shared" si="7"/>
        <v>24726.499999999996</v>
      </c>
      <c r="S14" s="223"/>
      <c r="T14"/>
      <c r="U14"/>
      <c r="V14"/>
      <c r="W14"/>
      <c r="X14" s="220"/>
      <c r="Y14"/>
      <c r="Z14" s="21"/>
      <c r="AO14"/>
    </row>
    <row r="15" spans="1:56">
      <c r="A15" s="156">
        <v>2007</v>
      </c>
      <c r="B15" s="101"/>
      <c r="C15" s="616">
        <f t="shared" si="6"/>
        <v>26230.499999999996</v>
      </c>
      <c r="D15" s="606"/>
      <c r="E15" s="617">
        <v>27</v>
      </c>
      <c r="F15" s="675"/>
      <c r="G15" s="618">
        <f t="shared" si="5"/>
        <v>2</v>
      </c>
      <c r="H15" s="612">
        <f t="shared" si="8"/>
        <v>1.08</v>
      </c>
      <c r="I15" s="599">
        <v>0</v>
      </c>
      <c r="J15" s="599">
        <v>0</v>
      </c>
      <c r="K15" s="599">
        <v>220</v>
      </c>
      <c r="L15" s="599">
        <v>212</v>
      </c>
      <c r="M15" s="599">
        <v>0</v>
      </c>
      <c r="N15" s="599">
        <v>0</v>
      </c>
      <c r="O15" s="599">
        <v>2</v>
      </c>
      <c r="P15" s="599">
        <v>12</v>
      </c>
      <c r="Q15" s="599">
        <f t="shared" si="9"/>
        <v>446</v>
      </c>
      <c r="R15" s="396">
        <f t="shared" si="7"/>
        <v>26676.499999999996</v>
      </c>
      <c r="S15" s="223"/>
      <c r="T15"/>
      <c r="U15"/>
      <c r="V15"/>
      <c r="W15"/>
      <c r="X15" s="220"/>
      <c r="Y15"/>
      <c r="Z15" s="21"/>
      <c r="AO15"/>
    </row>
    <row r="16" spans="1:56" ht="14.85" customHeight="1">
      <c r="A16" s="156">
        <v>2008</v>
      </c>
      <c r="B16" s="101"/>
      <c r="C16" s="616">
        <f t="shared" si="6"/>
        <v>34973.999999999993</v>
      </c>
      <c r="D16" s="606"/>
      <c r="E16" s="617">
        <v>36</v>
      </c>
      <c r="F16" s="675"/>
      <c r="G16" s="618">
        <f t="shared" si="5"/>
        <v>9</v>
      </c>
      <c r="H16" s="612">
        <f t="shared" si="8"/>
        <v>1.3333333333333333</v>
      </c>
      <c r="I16" s="599">
        <v>0</v>
      </c>
      <c r="J16" s="599">
        <v>0</v>
      </c>
      <c r="K16" s="599">
        <v>172</v>
      </c>
      <c r="L16" s="599">
        <v>300</v>
      </c>
      <c r="M16" s="599">
        <v>0</v>
      </c>
      <c r="N16" s="599">
        <v>0</v>
      </c>
      <c r="O16" s="599">
        <v>0</v>
      </c>
      <c r="P16" s="599">
        <v>45</v>
      </c>
      <c r="Q16" s="599">
        <f t="shared" si="9"/>
        <v>517</v>
      </c>
      <c r="R16" s="396">
        <f t="shared" si="7"/>
        <v>35490.999999999993</v>
      </c>
      <c r="S16" s="223"/>
      <c r="T16"/>
      <c r="U16"/>
      <c r="V16"/>
      <c r="W16"/>
      <c r="X16" s="220"/>
      <c r="Y16"/>
      <c r="Z16" s="21"/>
      <c r="AO16"/>
    </row>
    <row r="17" spans="1:41" ht="14.85" customHeight="1">
      <c r="A17" s="156">
        <v>2009</v>
      </c>
      <c r="B17" s="102">
        <v>38860</v>
      </c>
      <c r="C17" s="103">
        <v>38860</v>
      </c>
      <c r="D17" s="619" t="s">
        <v>192</v>
      </c>
      <c r="E17" s="617">
        <v>40</v>
      </c>
      <c r="F17" s="675"/>
      <c r="G17" s="618">
        <f t="shared" si="5"/>
        <v>4</v>
      </c>
      <c r="H17" s="612">
        <f t="shared" si="8"/>
        <v>1.1111111111111112</v>
      </c>
      <c r="I17" s="599">
        <v>0</v>
      </c>
      <c r="J17" s="599">
        <v>0</v>
      </c>
      <c r="K17" s="599">
        <v>213</v>
      </c>
      <c r="L17" s="599">
        <v>357</v>
      </c>
      <c r="M17" s="599">
        <v>0</v>
      </c>
      <c r="N17" s="599">
        <v>0</v>
      </c>
      <c r="O17" s="599">
        <v>1</v>
      </c>
      <c r="P17" s="599">
        <v>11</v>
      </c>
      <c r="Q17" s="599">
        <f t="shared" si="9"/>
        <v>582</v>
      </c>
      <c r="R17" s="396">
        <f t="shared" si="7"/>
        <v>39442</v>
      </c>
      <c r="S17" s="223"/>
      <c r="T17"/>
      <c r="U17"/>
      <c r="V17"/>
      <c r="W17"/>
      <c r="X17" s="220"/>
      <c r="Y17"/>
      <c r="Z17" s="21"/>
      <c r="AO17"/>
    </row>
    <row r="18" spans="1:41" ht="14.85" customHeight="1">
      <c r="A18" s="156">
        <v>2010</v>
      </c>
      <c r="B18" s="101"/>
      <c r="C18" s="616">
        <f>C17*H18</f>
        <v>46632</v>
      </c>
      <c r="D18" s="619"/>
      <c r="E18" s="617">
        <v>48</v>
      </c>
      <c r="F18" s="675"/>
      <c r="G18" s="618">
        <f t="shared" si="5"/>
        <v>8</v>
      </c>
      <c r="H18" s="612">
        <f t="shared" si="8"/>
        <v>1.2</v>
      </c>
      <c r="I18" s="599">
        <v>0</v>
      </c>
      <c r="J18" s="599">
        <v>0</v>
      </c>
      <c r="K18" s="599">
        <v>297</v>
      </c>
      <c r="L18" s="599">
        <v>503</v>
      </c>
      <c r="M18" s="599">
        <v>0</v>
      </c>
      <c r="N18" s="599">
        <v>0</v>
      </c>
      <c r="O18" s="599">
        <v>0</v>
      </c>
      <c r="P18" s="599">
        <v>3</v>
      </c>
      <c r="Q18" s="599">
        <f t="shared" si="9"/>
        <v>803</v>
      </c>
      <c r="R18" s="396">
        <f t="shared" si="7"/>
        <v>47435</v>
      </c>
      <c r="S18" s="223"/>
      <c r="T18"/>
      <c r="U18"/>
      <c r="V18"/>
      <c r="W18"/>
      <c r="X18" s="220"/>
      <c r="Y18"/>
      <c r="Z18" s="21"/>
      <c r="AO18"/>
    </row>
    <row r="19" spans="1:41" ht="14.85" customHeight="1">
      <c r="A19" s="156">
        <v>2011</v>
      </c>
      <c r="B19" s="101"/>
      <c r="C19" s="616">
        <f>C18*H19</f>
        <v>48575</v>
      </c>
      <c r="D19" s="619"/>
      <c r="E19" s="617">
        <v>50</v>
      </c>
      <c r="F19" s="669" t="s">
        <v>193</v>
      </c>
      <c r="G19" s="618">
        <f t="shared" si="5"/>
        <v>2</v>
      </c>
      <c r="H19" s="612">
        <f t="shared" si="8"/>
        <v>1.0416666666666667</v>
      </c>
      <c r="I19" s="599">
        <v>0</v>
      </c>
      <c r="J19" s="599">
        <v>0</v>
      </c>
      <c r="K19" s="599">
        <v>305</v>
      </c>
      <c r="L19" s="599">
        <v>693</v>
      </c>
      <c r="M19" s="599">
        <v>0</v>
      </c>
      <c r="N19" s="599">
        <v>0</v>
      </c>
      <c r="O19" s="599">
        <v>0</v>
      </c>
      <c r="P19" s="599">
        <v>13</v>
      </c>
      <c r="Q19" s="599">
        <f t="shared" si="9"/>
        <v>1011</v>
      </c>
      <c r="R19" s="396">
        <f t="shared" si="7"/>
        <v>49586</v>
      </c>
      <c r="S19" s="223"/>
      <c r="T19"/>
      <c r="U19"/>
      <c r="V19"/>
      <c r="W19"/>
      <c r="X19" s="220"/>
      <c r="Y19"/>
      <c r="Z19" s="21"/>
      <c r="AO19"/>
    </row>
    <row r="20" spans="1:41" ht="14.85" customHeight="1">
      <c r="A20" s="156">
        <v>2012</v>
      </c>
      <c r="B20" s="101"/>
      <c r="C20" s="616">
        <f>C19*H20</f>
        <v>68005</v>
      </c>
      <c r="D20" s="619"/>
      <c r="E20" s="617">
        <v>70</v>
      </c>
      <c r="F20" s="669"/>
      <c r="G20" s="618">
        <f t="shared" si="5"/>
        <v>20</v>
      </c>
      <c r="H20" s="612">
        <f t="shared" si="8"/>
        <v>1.4</v>
      </c>
      <c r="I20" s="599">
        <v>0</v>
      </c>
      <c r="J20" s="599">
        <v>0</v>
      </c>
      <c r="K20" s="599">
        <v>456</v>
      </c>
      <c r="L20" s="599">
        <v>589</v>
      </c>
      <c r="M20" s="599">
        <v>0</v>
      </c>
      <c r="N20" s="599">
        <v>0</v>
      </c>
      <c r="O20" s="599">
        <v>0</v>
      </c>
      <c r="P20" s="599">
        <v>3</v>
      </c>
      <c r="Q20" s="599">
        <f t="shared" si="9"/>
        <v>1048</v>
      </c>
      <c r="R20" s="396">
        <f t="shared" si="7"/>
        <v>69053</v>
      </c>
      <c r="S20" s="223"/>
      <c r="T20"/>
      <c r="U20"/>
      <c r="V20"/>
      <c r="W20"/>
      <c r="X20" s="220"/>
      <c r="Y20"/>
      <c r="Z20" s="21"/>
      <c r="AO20"/>
    </row>
    <row r="21" spans="1:41" ht="14.85" customHeight="1">
      <c r="A21" s="156">
        <v>2013</v>
      </c>
      <c r="B21" s="102">
        <v>140053</v>
      </c>
      <c r="C21" s="103">
        <v>140053</v>
      </c>
      <c r="D21" s="619" t="s">
        <v>193</v>
      </c>
      <c r="E21" s="620">
        <v>93</v>
      </c>
      <c r="F21" s="669"/>
      <c r="G21" s="618">
        <f t="shared" si="5"/>
        <v>23</v>
      </c>
      <c r="H21" s="612">
        <f t="shared" si="8"/>
        <v>1.3285714285714285</v>
      </c>
      <c r="I21" s="599">
        <v>0</v>
      </c>
      <c r="J21" s="599">
        <v>0</v>
      </c>
      <c r="K21" s="599">
        <v>767</v>
      </c>
      <c r="L21" s="599">
        <v>677</v>
      </c>
      <c r="M21" s="599">
        <v>0</v>
      </c>
      <c r="N21" s="599">
        <v>0</v>
      </c>
      <c r="O21" s="599">
        <v>0</v>
      </c>
      <c r="P21" s="599">
        <v>5</v>
      </c>
      <c r="Q21" s="599">
        <f t="shared" si="9"/>
        <v>1449</v>
      </c>
      <c r="R21" s="396">
        <f t="shared" si="7"/>
        <v>141502</v>
      </c>
      <c r="S21" s="223"/>
      <c r="T21"/>
      <c r="U21"/>
      <c r="V21"/>
      <c r="W21"/>
      <c r="X21" s="220"/>
      <c r="Y21"/>
      <c r="Z21" s="21"/>
      <c r="AO21"/>
    </row>
    <row r="22" spans="1:41" ht="14.85" customHeight="1">
      <c r="A22" s="156">
        <v>2014</v>
      </c>
      <c r="B22" s="101"/>
      <c r="C22" s="616">
        <f>C21*H22</f>
        <v>204808.68817204301</v>
      </c>
      <c r="D22" s="619"/>
      <c r="E22" s="620">
        <v>136</v>
      </c>
      <c r="F22" s="669"/>
      <c r="G22" s="618">
        <f t="shared" si="5"/>
        <v>43</v>
      </c>
      <c r="H22" s="612">
        <f t="shared" si="8"/>
        <v>1.4623655913978495</v>
      </c>
      <c r="I22" s="599">
        <v>0</v>
      </c>
      <c r="J22" s="599">
        <v>1366</v>
      </c>
      <c r="K22" s="599">
        <v>3824</v>
      </c>
      <c r="L22" s="599">
        <v>1254</v>
      </c>
      <c r="M22" s="599">
        <v>0</v>
      </c>
      <c r="N22" s="599">
        <v>11</v>
      </c>
      <c r="O22" s="599">
        <v>0</v>
      </c>
      <c r="P22" s="599">
        <v>15</v>
      </c>
      <c r="Q22" s="599">
        <f t="shared" si="9"/>
        <v>6470</v>
      </c>
      <c r="R22" s="396">
        <f t="shared" si="7"/>
        <v>211278.68817204301</v>
      </c>
      <c r="S22" s="223"/>
      <c r="T22"/>
      <c r="U22"/>
      <c r="V22"/>
      <c r="W22"/>
      <c r="X22" s="220"/>
      <c r="Y22"/>
      <c r="Z22" s="21"/>
      <c r="AO22"/>
    </row>
    <row r="23" spans="1:41" ht="14.85" customHeight="1">
      <c r="A23" s="156">
        <v>2015</v>
      </c>
      <c r="B23" s="101"/>
      <c r="C23" s="616">
        <f>C22*$H$22</f>
        <v>299505.17840212741</v>
      </c>
      <c r="D23" s="619"/>
      <c r="E23" s="606"/>
      <c r="F23" s="606"/>
      <c r="G23" s="606"/>
      <c r="H23" s="606"/>
      <c r="I23" s="599">
        <v>2</v>
      </c>
      <c r="J23" s="599">
        <v>11921</v>
      </c>
      <c r="K23" s="599">
        <v>11840</v>
      </c>
      <c r="L23" s="599">
        <v>2392</v>
      </c>
      <c r="M23" s="599">
        <v>0</v>
      </c>
      <c r="N23" s="599">
        <v>142</v>
      </c>
      <c r="O23" s="599">
        <v>9</v>
      </c>
      <c r="P23" s="599">
        <v>6</v>
      </c>
      <c r="Q23" s="599">
        <f t="shared" si="9"/>
        <v>26312</v>
      </c>
      <c r="R23" s="396">
        <f t="shared" si="7"/>
        <v>325817.17840212741</v>
      </c>
      <c r="S23" s="223"/>
      <c r="T23"/>
      <c r="U23"/>
      <c r="V23"/>
      <c r="W23"/>
      <c r="X23" s="220"/>
      <c r="Y23"/>
      <c r="Z23" s="21"/>
      <c r="AO23"/>
    </row>
    <row r="24" spans="1:41" ht="14.85" customHeight="1">
      <c r="A24" s="156">
        <v>2016</v>
      </c>
      <c r="B24" s="101"/>
      <c r="C24" s="616">
        <f>C23*$H$22</f>
        <v>437986.06734074547</v>
      </c>
      <c r="D24" s="619"/>
      <c r="E24" s="606"/>
      <c r="F24" s="606"/>
      <c r="G24" s="606"/>
      <c r="H24" s="606"/>
      <c r="I24" s="599">
        <v>48123</v>
      </c>
      <c r="J24" s="599">
        <v>47043</v>
      </c>
      <c r="K24" s="599">
        <v>31435</v>
      </c>
      <c r="L24" s="599">
        <v>7381</v>
      </c>
      <c r="M24" s="599">
        <v>158</v>
      </c>
      <c r="N24" s="599">
        <v>1614</v>
      </c>
      <c r="O24" s="599">
        <v>47</v>
      </c>
      <c r="P24" s="599">
        <v>10</v>
      </c>
      <c r="Q24" s="599">
        <f t="shared" si="9"/>
        <v>135811</v>
      </c>
      <c r="R24" s="396">
        <f t="shared" si="7"/>
        <v>573797.06734074547</v>
      </c>
      <c r="S24" s="223"/>
      <c r="T24"/>
      <c r="U24"/>
      <c r="V24"/>
      <c r="W24"/>
      <c r="X24" s="220"/>
      <c r="Y24"/>
      <c r="Z24" s="21"/>
      <c r="AO24"/>
    </row>
    <row r="25" spans="1:41" ht="14.85" customHeight="1">
      <c r="A25" s="156">
        <v>2017</v>
      </c>
      <c r="B25" s="606"/>
      <c r="C25" s="616">
        <f>C24*$H$22</f>
        <v>640495.75439076754</v>
      </c>
      <c r="D25" s="619"/>
      <c r="E25" s="606"/>
      <c r="F25" s="606"/>
      <c r="G25" s="606"/>
      <c r="H25" s="606"/>
      <c r="I25" s="599">
        <v>188256</v>
      </c>
      <c r="J25" s="599">
        <v>47357</v>
      </c>
      <c r="K25" s="599">
        <v>25895</v>
      </c>
      <c r="L25" s="599">
        <v>8986</v>
      </c>
      <c r="M25" s="599">
        <v>962</v>
      </c>
      <c r="N25" s="599">
        <v>4256</v>
      </c>
      <c r="O25" s="599">
        <v>87</v>
      </c>
      <c r="P25" s="599">
        <v>41</v>
      </c>
      <c r="Q25" s="599">
        <f t="shared" si="9"/>
        <v>275840</v>
      </c>
      <c r="R25" s="396">
        <f t="shared" si="7"/>
        <v>916335.75439076754</v>
      </c>
      <c r="S25" s="223"/>
      <c r="T25"/>
      <c r="U25"/>
      <c r="V25"/>
      <c r="W25"/>
      <c r="X25" s="220"/>
      <c r="Y25"/>
      <c r="Z25" s="21"/>
      <c r="AO25"/>
    </row>
    <row r="26" spans="1:41" ht="14.85" customHeight="1">
      <c r="A26" s="156">
        <v>2018</v>
      </c>
      <c r="B26" s="606"/>
      <c r="C26" s="616">
        <f>C25*$H$22</f>
        <v>936638.95265746652</v>
      </c>
      <c r="D26" s="619"/>
      <c r="E26" s="606"/>
      <c r="F26" s="606"/>
      <c r="G26" s="606"/>
      <c r="H26" s="606"/>
      <c r="I26" s="599">
        <v>491235</v>
      </c>
      <c r="J26" s="599">
        <v>29859</v>
      </c>
      <c r="K26" s="599">
        <v>23956</v>
      </c>
      <c r="L26" s="599">
        <v>11599</v>
      </c>
      <c r="M26" s="599">
        <v>5297</v>
      </c>
      <c r="N26" s="599">
        <v>1601</v>
      </c>
      <c r="O26" s="599">
        <v>186</v>
      </c>
      <c r="P26" s="599">
        <v>114</v>
      </c>
      <c r="Q26" s="599">
        <f t="shared" si="9"/>
        <v>563847</v>
      </c>
      <c r="R26" s="396">
        <f t="shared" si="7"/>
        <v>1500485.9526574665</v>
      </c>
      <c r="S26" s="223"/>
      <c r="T26"/>
      <c r="U26"/>
      <c r="V26"/>
      <c r="W26"/>
      <c r="X26" s="220"/>
      <c r="Y26"/>
      <c r="Z26" s="21"/>
      <c r="AO26"/>
    </row>
    <row r="27" spans="1:41" ht="14.85" customHeight="1">
      <c r="A27" s="156">
        <v>2019</v>
      </c>
      <c r="B27" s="102">
        <v>1012700</v>
      </c>
      <c r="C27" s="103">
        <v>1012700</v>
      </c>
      <c r="D27" s="619" t="s">
        <v>194</v>
      </c>
      <c r="E27" s="606"/>
      <c r="F27" s="606"/>
      <c r="G27" s="606"/>
      <c r="H27" s="606"/>
      <c r="I27" s="599">
        <v>874141</v>
      </c>
      <c r="J27" s="599">
        <v>6109</v>
      </c>
      <c r="K27" s="599">
        <v>17028</v>
      </c>
      <c r="L27" s="599">
        <v>7573</v>
      </c>
      <c r="M27" s="599">
        <v>6874</v>
      </c>
      <c r="N27" s="599">
        <v>6493</v>
      </c>
      <c r="O27" s="599">
        <v>107</v>
      </c>
      <c r="P27" s="599">
        <v>124</v>
      </c>
      <c r="Q27" s="599">
        <f>SUM(I27:P27)</f>
        <v>918449</v>
      </c>
      <c r="R27" s="396">
        <f>SUM(C27,Q27)</f>
        <v>1931149</v>
      </c>
      <c r="S27" s="223"/>
      <c r="T27"/>
      <c r="U27"/>
      <c r="V27"/>
      <c r="W27"/>
      <c r="X27" s="220"/>
      <c r="Y27"/>
      <c r="Z27" s="21"/>
      <c r="AO27"/>
    </row>
    <row r="28" spans="1:41" ht="14.85" customHeight="1" thickBot="1">
      <c r="A28" s="158">
        <v>2020</v>
      </c>
      <c r="B28" s="104"/>
      <c r="C28" s="623">
        <v>1296290</v>
      </c>
      <c r="D28" s="105" t="s">
        <v>590</v>
      </c>
      <c r="E28" s="106"/>
      <c r="F28" s="106"/>
      <c r="G28" s="106"/>
      <c r="H28" s="106"/>
      <c r="I28" s="106">
        <v>981142</v>
      </c>
      <c r="J28" s="106">
        <v>313</v>
      </c>
      <c r="K28" s="106">
        <v>11636</v>
      </c>
      <c r="L28" s="106">
        <v>5906</v>
      </c>
      <c r="M28" s="106">
        <v>8001</v>
      </c>
      <c r="N28" s="106">
        <v>5</v>
      </c>
      <c r="O28" s="106">
        <v>87</v>
      </c>
      <c r="P28" s="106">
        <v>244</v>
      </c>
      <c r="Q28" s="106">
        <f>SUM(I28:P28)</f>
        <v>1007334</v>
      </c>
      <c r="R28" s="624">
        <f>SUM(C28,Q28)</f>
        <v>2303624</v>
      </c>
      <c r="S28" s="605"/>
      <c r="T28"/>
      <c r="U28"/>
      <c r="V28"/>
      <c r="W28"/>
      <c r="X28" s="220"/>
      <c r="Y28"/>
      <c r="Z28" s="21"/>
      <c r="AO28"/>
    </row>
    <row r="29" spans="1:41" ht="14.85" customHeight="1">
      <c r="A29" s="466"/>
      <c r="B29" s="102"/>
      <c r="C29" s="103"/>
      <c r="D29" s="157"/>
      <c r="I29" s="19"/>
      <c r="J29" s="19"/>
      <c r="K29" s="19"/>
      <c r="L29" s="19"/>
      <c r="M29" s="19"/>
      <c r="N29" s="19"/>
      <c r="O29" s="19"/>
      <c r="P29" s="19"/>
      <c r="Q29" s="507" t="s">
        <v>592</v>
      </c>
      <c r="R29" s="19"/>
      <c r="S29" s="49"/>
      <c r="T29"/>
      <c r="U29"/>
      <c r="V29"/>
      <c r="W29"/>
      <c r="X29" s="220"/>
      <c r="Y29"/>
      <c r="Z29" s="21"/>
      <c r="AO29"/>
    </row>
    <row r="30" spans="1:41">
      <c r="A30" s="107" t="s">
        <v>195</v>
      </c>
      <c r="AO30"/>
    </row>
    <row r="31" spans="1:41">
      <c r="A31" s="107" t="s">
        <v>196</v>
      </c>
      <c r="B31" s="421"/>
      <c r="C31" s="421"/>
    </row>
    <row r="32" spans="1:41">
      <c r="A32" s="107" t="s">
        <v>197</v>
      </c>
      <c r="B32" s="107"/>
      <c r="C32" s="107"/>
    </row>
    <row r="33" spans="1:31">
      <c r="A33" s="107" t="s">
        <v>591</v>
      </c>
      <c r="B33" s="107"/>
      <c r="C33" s="107"/>
    </row>
    <row r="34" spans="1:31">
      <c r="A34" s="39" t="s">
        <v>198</v>
      </c>
      <c r="B34" s="107"/>
      <c r="C34" s="107"/>
    </row>
    <row r="35" spans="1:31" ht="18" customHeight="1">
      <c r="A35" s="39" t="s">
        <v>199</v>
      </c>
    </row>
    <row r="37" spans="1:31" ht="43.2">
      <c r="A37" s="201" t="s">
        <v>200</v>
      </c>
      <c r="B37" s="39">
        <v>0.86</v>
      </c>
    </row>
    <row r="38" spans="1:31">
      <c r="A38" s="201"/>
    </row>
    <row r="39" spans="1:31" ht="14.7" thickBot="1">
      <c r="A39" s="108" t="s">
        <v>601</v>
      </c>
    </row>
    <row r="40" spans="1:31" ht="30" customHeight="1" thickBot="1">
      <c r="A40" s="477"/>
      <c r="B40" s="501">
        <v>2006</v>
      </c>
      <c r="C40" s="496">
        <v>2006</v>
      </c>
      <c r="D40" s="501">
        <v>2007</v>
      </c>
      <c r="E40" s="496">
        <v>2007</v>
      </c>
      <c r="F40" s="496">
        <v>2008</v>
      </c>
      <c r="G40" s="496">
        <v>2008</v>
      </c>
      <c r="H40" s="496">
        <v>2009</v>
      </c>
      <c r="I40" s="496">
        <v>2009</v>
      </c>
      <c r="J40" s="496">
        <v>2010</v>
      </c>
      <c r="K40" s="496">
        <v>2010</v>
      </c>
      <c r="L40" s="496">
        <v>2011</v>
      </c>
      <c r="M40" s="496">
        <v>2011</v>
      </c>
      <c r="N40" s="496">
        <v>2012</v>
      </c>
      <c r="O40" s="496">
        <v>2012</v>
      </c>
      <c r="P40" s="496">
        <v>2013</v>
      </c>
      <c r="Q40" s="496">
        <v>2013</v>
      </c>
      <c r="R40" s="496">
        <v>2014</v>
      </c>
      <c r="S40" s="496">
        <v>2014</v>
      </c>
      <c r="T40" s="496">
        <v>2015</v>
      </c>
      <c r="U40" s="496">
        <v>2015</v>
      </c>
      <c r="V40" s="496">
        <v>2016</v>
      </c>
      <c r="W40" s="496">
        <v>2016</v>
      </c>
      <c r="X40" s="496">
        <v>2017</v>
      </c>
      <c r="Y40" s="496">
        <v>2017</v>
      </c>
      <c r="Z40" s="496">
        <v>2018</v>
      </c>
      <c r="AA40" s="496">
        <v>2018</v>
      </c>
      <c r="AB40" s="496">
        <v>2019</v>
      </c>
      <c r="AC40" s="496">
        <v>2019</v>
      </c>
      <c r="AD40" s="496">
        <v>2020</v>
      </c>
      <c r="AE40" s="497">
        <v>2020</v>
      </c>
    </row>
    <row r="41" spans="1:31" ht="33" customHeight="1">
      <c r="A41" s="478"/>
      <c r="B41" s="498" t="s">
        <v>201</v>
      </c>
      <c r="C41" s="499" t="s">
        <v>202</v>
      </c>
      <c r="D41" s="498" t="s">
        <v>201</v>
      </c>
      <c r="E41" s="499" t="s">
        <v>202</v>
      </c>
      <c r="F41" s="499" t="s">
        <v>201</v>
      </c>
      <c r="G41" s="499" t="s">
        <v>202</v>
      </c>
      <c r="H41" s="499" t="s">
        <v>201</v>
      </c>
      <c r="I41" s="499" t="s">
        <v>202</v>
      </c>
      <c r="J41" s="499" t="s">
        <v>201</v>
      </c>
      <c r="K41" s="499" t="s">
        <v>202</v>
      </c>
      <c r="L41" s="499" t="s">
        <v>201</v>
      </c>
      <c r="M41" s="499" t="s">
        <v>202</v>
      </c>
      <c r="N41" s="499" t="s">
        <v>201</v>
      </c>
      <c r="O41" s="499" t="s">
        <v>202</v>
      </c>
      <c r="P41" s="499" t="s">
        <v>201</v>
      </c>
      <c r="Q41" s="499" t="s">
        <v>202</v>
      </c>
      <c r="R41" s="499" t="s">
        <v>201</v>
      </c>
      <c r="S41" s="499" t="s">
        <v>202</v>
      </c>
      <c r="T41" s="499" t="s">
        <v>201</v>
      </c>
      <c r="U41" s="499" t="s">
        <v>202</v>
      </c>
      <c r="V41" s="499" t="s">
        <v>201</v>
      </c>
      <c r="W41" s="499" t="s">
        <v>202</v>
      </c>
      <c r="X41" s="499" t="s">
        <v>201</v>
      </c>
      <c r="Y41" s="499" t="s">
        <v>202</v>
      </c>
      <c r="Z41" s="499" t="s">
        <v>201</v>
      </c>
      <c r="AA41" s="499" t="s">
        <v>202</v>
      </c>
      <c r="AB41" s="499" t="s">
        <v>201</v>
      </c>
      <c r="AC41" s="499" t="s">
        <v>202</v>
      </c>
      <c r="AD41" s="499" t="s">
        <v>201</v>
      </c>
      <c r="AE41" s="500" t="s">
        <v>202</v>
      </c>
    </row>
    <row r="42" spans="1:31" ht="44.85" customHeight="1">
      <c r="A42" s="479" t="s">
        <v>203</v>
      </c>
      <c r="B42" s="468">
        <v>928</v>
      </c>
      <c r="C42" s="469">
        <v>1</v>
      </c>
      <c r="D42" s="468">
        <v>810</v>
      </c>
      <c r="E42" s="470">
        <v>1</v>
      </c>
      <c r="F42" s="471">
        <v>845</v>
      </c>
      <c r="G42" s="469">
        <v>1</v>
      </c>
      <c r="H42" s="468">
        <v>893</v>
      </c>
      <c r="I42" s="470">
        <v>1</v>
      </c>
      <c r="J42" s="471">
        <v>914</v>
      </c>
      <c r="K42" s="469">
        <v>1</v>
      </c>
      <c r="L42" s="468">
        <v>775</v>
      </c>
      <c r="M42" s="469">
        <v>1</v>
      </c>
      <c r="N42" s="468">
        <v>821</v>
      </c>
      <c r="O42" s="469">
        <v>1</v>
      </c>
      <c r="P42" s="474">
        <v>1238</v>
      </c>
      <c r="Q42" s="469">
        <v>1</v>
      </c>
      <c r="R42" s="474">
        <v>5688</v>
      </c>
      <c r="S42" s="469">
        <v>1</v>
      </c>
      <c r="T42" s="474">
        <v>23183</v>
      </c>
      <c r="U42" s="469">
        <v>1</v>
      </c>
      <c r="V42" s="474">
        <v>120340</v>
      </c>
      <c r="W42" s="470">
        <v>1</v>
      </c>
      <c r="X42" s="476">
        <v>241661</v>
      </c>
      <c r="Y42" s="469">
        <v>1</v>
      </c>
      <c r="Z42" s="474">
        <v>501898</v>
      </c>
      <c r="AA42" s="469">
        <v>1</v>
      </c>
      <c r="AB42" s="474">
        <v>814693</v>
      </c>
      <c r="AC42" s="469">
        <v>1</v>
      </c>
      <c r="AD42" s="474">
        <v>895419</v>
      </c>
      <c r="AE42" s="480">
        <v>1</v>
      </c>
    </row>
    <row r="43" spans="1:31" ht="17.100000000000001">
      <c r="A43" s="481" t="s">
        <v>204</v>
      </c>
      <c r="B43" s="472">
        <v>148</v>
      </c>
      <c r="C43" s="482">
        <v>0.16</v>
      </c>
      <c r="D43" s="472">
        <v>34</v>
      </c>
      <c r="E43" s="473">
        <v>4.2000000000000003E-2</v>
      </c>
      <c r="F43" s="483">
        <v>13</v>
      </c>
      <c r="G43" s="482">
        <v>1.4999999999999999E-2</v>
      </c>
      <c r="H43" s="472">
        <v>4</v>
      </c>
      <c r="I43" s="473">
        <v>4.0000000000000001E-3</v>
      </c>
      <c r="J43" s="483">
        <v>1</v>
      </c>
      <c r="K43" s="482">
        <v>1E-3</v>
      </c>
      <c r="L43" s="472">
        <v>1</v>
      </c>
      <c r="M43" s="482">
        <v>2E-3</v>
      </c>
      <c r="N43" s="472">
        <v>2</v>
      </c>
      <c r="O43" s="482">
        <v>3.0000000000000001E-3</v>
      </c>
      <c r="P43" s="472">
        <v>1</v>
      </c>
      <c r="Q43" s="482">
        <v>1E-3</v>
      </c>
      <c r="R43" s="472">
        <v>2</v>
      </c>
      <c r="S43" s="483" t="s">
        <v>205</v>
      </c>
      <c r="T43" s="472">
        <v>3</v>
      </c>
      <c r="U43" s="483" t="s">
        <v>205</v>
      </c>
      <c r="V43" s="475">
        <v>44508</v>
      </c>
      <c r="W43" s="473">
        <v>0.37</v>
      </c>
      <c r="X43" s="484">
        <v>170825</v>
      </c>
      <c r="Y43" s="482">
        <v>0.70699999999999996</v>
      </c>
      <c r="Z43" s="475">
        <v>447068</v>
      </c>
      <c r="AA43" s="482">
        <v>0.89100000000000001</v>
      </c>
      <c r="AB43" s="475">
        <v>789374</v>
      </c>
      <c r="AC43" s="482">
        <v>0.96899999999999997</v>
      </c>
      <c r="AD43" s="475">
        <v>880307</v>
      </c>
      <c r="AE43" s="485">
        <v>0.98299999999999998</v>
      </c>
    </row>
    <row r="44" spans="1:31" ht="17.100000000000001">
      <c r="A44" s="481" t="s">
        <v>206</v>
      </c>
      <c r="B44" s="472">
        <v>811</v>
      </c>
      <c r="C44" s="482">
        <v>0.873</v>
      </c>
      <c r="D44" s="472">
        <v>778</v>
      </c>
      <c r="E44" s="473">
        <v>0.96099999999999997</v>
      </c>
      <c r="F44" s="483">
        <v>811</v>
      </c>
      <c r="G44" s="482">
        <v>0.96</v>
      </c>
      <c r="H44" s="472">
        <v>853</v>
      </c>
      <c r="I44" s="473">
        <v>0.95499999999999996</v>
      </c>
      <c r="J44" s="483">
        <v>886</v>
      </c>
      <c r="K44" s="482">
        <v>0.96899999999999997</v>
      </c>
      <c r="L44" s="472">
        <v>709</v>
      </c>
      <c r="M44" s="482">
        <v>0.91500000000000004</v>
      </c>
      <c r="N44" s="472">
        <v>703</v>
      </c>
      <c r="O44" s="482">
        <v>0.85599999999999998</v>
      </c>
      <c r="P44" s="475">
        <v>1120</v>
      </c>
      <c r="Q44" s="482">
        <v>0.90500000000000003</v>
      </c>
      <c r="R44" s="475">
        <v>4225</v>
      </c>
      <c r="S44" s="482">
        <v>0.74299999999999999</v>
      </c>
      <c r="T44" s="475">
        <v>12081</v>
      </c>
      <c r="U44" s="482">
        <v>0.52100000000000002</v>
      </c>
      <c r="V44" s="475">
        <v>32007</v>
      </c>
      <c r="W44" s="473">
        <v>0.26600000000000001</v>
      </c>
      <c r="X44" s="484">
        <v>28815</v>
      </c>
      <c r="Y44" s="482">
        <v>0.11899999999999999</v>
      </c>
      <c r="Z44" s="475">
        <v>31012</v>
      </c>
      <c r="AA44" s="482">
        <v>6.2E-2</v>
      </c>
      <c r="AB44" s="475">
        <v>21476</v>
      </c>
      <c r="AC44" s="482">
        <v>2.5999999999999999E-2</v>
      </c>
      <c r="AD44" s="475">
        <v>15681</v>
      </c>
      <c r="AE44" s="485">
        <v>1.7999999999999999E-2</v>
      </c>
    </row>
    <row r="45" spans="1:31" ht="17.100000000000001">
      <c r="A45" s="481" t="s">
        <v>207</v>
      </c>
      <c r="B45" s="472">
        <v>15</v>
      </c>
      <c r="C45" s="482">
        <v>1.6E-2</v>
      </c>
      <c r="D45" s="472">
        <v>9</v>
      </c>
      <c r="E45" s="473">
        <v>1.0999999999999999E-2</v>
      </c>
      <c r="F45" s="483">
        <v>24</v>
      </c>
      <c r="G45" s="482">
        <v>2.8000000000000001E-2</v>
      </c>
      <c r="H45" s="472">
        <v>46</v>
      </c>
      <c r="I45" s="473">
        <v>5.1999999999999998E-2</v>
      </c>
      <c r="J45" s="483">
        <v>32</v>
      </c>
      <c r="K45" s="482">
        <v>3.5000000000000003E-2</v>
      </c>
      <c r="L45" s="472">
        <v>72</v>
      </c>
      <c r="M45" s="482">
        <v>9.2999999999999999E-2</v>
      </c>
      <c r="N45" s="472">
        <v>132</v>
      </c>
      <c r="O45" s="482">
        <v>0.161</v>
      </c>
      <c r="P45" s="472">
        <v>130</v>
      </c>
      <c r="Q45" s="482">
        <v>0.105</v>
      </c>
      <c r="R45" s="472">
        <v>241</v>
      </c>
      <c r="S45" s="482">
        <v>4.2000000000000003E-2</v>
      </c>
      <c r="T45" s="472">
        <v>382</v>
      </c>
      <c r="U45" s="482">
        <v>1.6E-2</v>
      </c>
      <c r="V45" s="475">
        <v>2970</v>
      </c>
      <c r="W45" s="473">
        <v>2.5000000000000001E-2</v>
      </c>
      <c r="X45" s="484">
        <v>2797</v>
      </c>
      <c r="Y45" s="482">
        <v>1.2E-2</v>
      </c>
      <c r="Z45" s="475">
        <v>1350</v>
      </c>
      <c r="AA45" s="482">
        <v>3.0000000000000001E-3</v>
      </c>
      <c r="AB45" s="472">
        <v>965</v>
      </c>
      <c r="AC45" s="482">
        <v>1E-3</v>
      </c>
      <c r="AD45" s="472">
        <v>723</v>
      </c>
      <c r="AE45" s="485">
        <v>1E-3</v>
      </c>
    </row>
    <row r="46" spans="1:31" ht="17.399999999999999" thickBot="1">
      <c r="A46" s="486" t="s">
        <v>208</v>
      </c>
      <c r="B46" s="487" t="s">
        <v>209</v>
      </c>
      <c r="C46" s="488" t="s">
        <v>209</v>
      </c>
      <c r="D46" s="487" t="s">
        <v>209</v>
      </c>
      <c r="E46" s="489" t="s">
        <v>209</v>
      </c>
      <c r="F46" s="488" t="s">
        <v>209</v>
      </c>
      <c r="G46" s="488" t="s">
        <v>209</v>
      </c>
      <c r="H46" s="487" t="s">
        <v>209</v>
      </c>
      <c r="I46" s="489" t="s">
        <v>209</v>
      </c>
      <c r="J46" s="488" t="s">
        <v>209</v>
      </c>
      <c r="K46" s="488" t="s">
        <v>209</v>
      </c>
      <c r="L46" s="487" t="s">
        <v>209</v>
      </c>
      <c r="M46" s="488" t="s">
        <v>209</v>
      </c>
      <c r="N46" s="487" t="s">
        <v>209</v>
      </c>
      <c r="O46" s="488" t="s">
        <v>209</v>
      </c>
      <c r="P46" s="487" t="s">
        <v>209</v>
      </c>
      <c r="Q46" s="488" t="s">
        <v>209</v>
      </c>
      <c r="R46" s="490">
        <v>1257</v>
      </c>
      <c r="S46" s="491">
        <v>0.221</v>
      </c>
      <c r="T46" s="490">
        <v>10880</v>
      </c>
      <c r="U46" s="491">
        <v>0.46899999999999997</v>
      </c>
      <c r="V46" s="490">
        <v>43011</v>
      </c>
      <c r="W46" s="492">
        <v>0.35699999999999998</v>
      </c>
      <c r="X46" s="493">
        <v>41788</v>
      </c>
      <c r="Y46" s="491">
        <v>0.17299999999999999</v>
      </c>
      <c r="Z46" s="490">
        <v>24375</v>
      </c>
      <c r="AA46" s="491">
        <v>4.9000000000000002E-2</v>
      </c>
      <c r="AB46" s="490">
        <v>5269</v>
      </c>
      <c r="AC46" s="491">
        <v>6.0000000000000001E-3</v>
      </c>
      <c r="AD46" s="494">
        <v>262</v>
      </c>
      <c r="AE46" s="495" t="s">
        <v>205</v>
      </c>
    </row>
    <row r="47" spans="1:31" ht="17.100000000000001">
      <c r="C47" s="467"/>
    </row>
    <row r="48" spans="1:31" ht="64.2" customHeight="1">
      <c r="A48" s="668" t="s">
        <v>210</v>
      </c>
      <c r="B48" s="668"/>
      <c r="C48" s="668"/>
      <c r="D48" s="668"/>
      <c r="E48" s="668"/>
    </row>
    <row r="49" spans="1:5" ht="127.5" customHeight="1">
      <c r="A49" s="668" t="s">
        <v>211</v>
      </c>
      <c r="B49" s="668"/>
      <c r="C49" s="668"/>
      <c r="D49" s="668"/>
      <c r="E49" s="668"/>
    </row>
  </sheetData>
  <mergeCells count="8">
    <mergeCell ref="A48:E48"/>
    <mergeCell ref="A49:E49"/>
    <mergeCell ref="F19:F22"/>
    <mergeCell ref="A1:R4"/>
    <mergeCell ref="B5:H5"/>
    <mergeCell ref="I5:L5"/>
    <mergeCell ref="M5:P5"/>
    <mergeCell ref="F7:F18"/>
  </mergeCells>
  <hyperlinks>
    <hyperlink ref="A30" r:id="rId1" location="tab" display="https://www.cdc.gov/mmwr/preview/mmwrhtml/mm6106a1.htm?s_cid=mm6106a1_w#tab" xr:uid="{B159624B-4E68-4E12-A6EA-D812F3D69CC2}"/>
    <hyperlink ref="A32" r:id="rId2" display="https://medium.com/@ejwharmreduction/harm-reduction-programs-distribute-one-million-doses-of-naloxone-in-2019-4884d3535256" xr:uid="{72A680CF-3F0F-451F-ACE4-C12C4CA706A3}"/>
    <hyperlink ref="A31" r:id="rId3" display="https://www.cdc.gov/mmwr/preview/mmwrhtml/mm6423a2.htm" xr:uid="{1C73A1D8-DADE-4DF2-BB31-F2FC0AB9B1A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3DDB-7600-4485-81E2-1F45B50E9A7D}">
  <dimension ref="A1:AG41"/>
  <sheetViews>
    <sheetView zoomScale="115" zoomScaleNormal="115" workbookViewId="0">
      <pane xSplit="1" ySplit="6" topLeftCell="B20" activePane="bottomRight" state="frozen"/>
      <selection pane="topRight" activeCell="B1" sqref="B1"/>
      <selection pane="bottomLeft" activeCell="A8" sqref="A8"/>
      <selection pane="bottomRight" activeCell="B41" sqref="B41:W41"/>
    </sheetView>
  </sheetViews>
  <sheetFormatPr defaultColWidth="8.89453125" defaultRowHeight="14.4"/>
  <cols>
    <col min="1" max="1" width="30" customWidth="1"/>
    <col min="2" max="2" width="9.41796875" customWidth="1"/>
    <col min="3" max="3" width="12.41796875" customWidth="1"/>
    <col min="4" max="4" width="8.41796875" customWidth="1"/>
    <col min="5" max="5" width="12.41796875" customWidth="1"/>
    <col min="6" max="6" width="9" customWidth="1"/>
    <col min="7" max="7" width="11.41796875" bestFit="1" customWidth="1"/>
    <col min="8" max="8" width="8.89453125" customWidth="1"/>
    <col min="9" max="9" width="12.41796875" customWidth="1"/>
    <col min="10" max="10" width="12.68359375" bestFit="1" customWidth="1"/>
    <col min="11" max="11" width="11.41796875" bestFit="1" customWidth="1"/>
    <col min="12" max="12" width="13.3125" customWidth="1"/>
    <col min="13" max="13" width="11.41796875" bestFit="1" customWidth="1"/>
    <col min="14" max="14" width="9.1015625" customWidth="1"/>
    <col min="15" max="15" width="11.41796875" bestFit="1" customWidth="1"/>
    <col min="16" max="16" width="8.89453125" customWidth="1"/>
    <col min="17" max="17" width="11.41796875" bestFit="1" customWidth="1"/>
    <col min="18" max="18" width="8.41796875" customWidth="1"/>
    <col min="19" max="19" width="11.41796875" bestFit="1" customWidth="1"/>
    <col min="20" max="20" width="11" bestFit="1" customWidth="1"/>
    <col min="21" max="21" width="8.1015625" customWidth="1"/>
    <col min="22" max="22" width="8.41796875" customWidth="1"/>
    <col min="23" max="23" width="11.41796875" bestFit="1" customWidth="1"/>
    <col min="24" max="24" width="7.89453125" bestFit="1" customWidth="1"/>
    <col min="25" max="25" width="11.89453125" bestFit="1" customWidth="1"/>
    <col min="26" max="26" width="7.89453125" bestFit="1" customWidth="1"/>
    <col min="27" max="27" width="12.41796875" bestFit="1" customWidth="1"/>
    <col min="28" max="28" width="10" customWidth="1"/>
    <col min="29" max="29" width="11.89453125" bestFit="1" customWidth="1"/>
    <col min="30" max="30" width="12" bestFit="1" customWidth="1"/>
  </cols>
  <sheetData>
    <row r="1" spans="1:33">
      <c r="A1" t="s">
        <v>180</v>
      </c>
      <c r="B1" s="56" t="s">
        <v>141</v>
      </c>
      <c r="C1" s="56" t="s">
        <v>142</v>
      </c>
      <c r="D1" s="56" t="s">
        <v>143</v>
      </c>
      <c r="E1" s="56" t="s">
        <v>144</v>
      </c>
      <c r="F1" s="56" t="s">
        <v>145</v>
      </c>
      <c r="G1" s="56" t="s">
        <v>146</v>
      </c>
      <c r="H1" s="56" t="s">
        <v>147</v>
      </c>
      <c r="I1" s="56" t="s">
        <v>148</v>
      </c>
      <c r="J1" s="56" t="s">
        <v>149</v>
      </c>
      <c r="K1" s="56" t="s">
        <v>150</v>
      </c>
      <c r="L1" s="56" t="s">
        <v>151</v>
      </c>
      <c r="M1" s="56" t="s">
        <v>152</v>
      </c>
      <c r="N1" s="56" t="s">
        <v>153</v>
      </c>
      <c r="O1" s="56" t="s">
        <v>154</v>
      </c>
      <c r="P1" s="56" t="s">
        <v>155</v>
      </c>
      <c r="Q1" s="56" t="s">
        <v>156</v>
      </c>
      <c r="R1" s="56" t="s">
        <v>157</v>
      </c>
      <c r="S1" s="56" t="s">
        <v>158</v>
      </c>
      <c r="T1" s="56" t="s">
        <v>159</v>
      </c>
      <c r="U1" s="56" t="s">
        <v>160</v>
      </c>
      <c r="V1" s="195">
        <v>2019</v>
      </c>
      <c r="W1" s="195">
        <v>2020</v>
      </c>
    </row>
    <row r="2" spans="1:33">
      <c r="A2" s="26" t="s">
        <v>12</v>
      </c>
      <c r="B2">
        <f t="shared" ref="B2:D2" si="0">B41</f>
        <v>0</v>
      </c>
      <c r="C2">
        <f t="shared" si="0"/>
        <v>0</v>
      </c>
      <c r="D2">
        <f t="shared" si="0"/>
        <v>0</v>
      </c>
      <c r="E2">
        <f t="shared" ref="E2:W2" si="1">E41</f>
        <v>0</v>
      </c>
      <c r="F2">
        <f t="shared" si="1"/>
        <v>0</v>
      </c>
      <c r="G2">
        <f t="shared" si="1"/>
        <v>0</v>
      </c>
      <c r="H2">
        <f t="shared" si="1"/>
        <v>0</v>
      </c>
      <c r="I2">
        <f t="shared" si="1"/>
        <v>0</v>
      </c>
      <c r="J2" s="24">
        <f t="shared" si="1"/>
        <v>1.0755202244563947E-2</v>
      </c>
      <c r="K2" s="24">
        <f t="shared" si="1"/>
        <v>5.6314948870589696E-3</v>
      </c>
      <c r="L2" s="24">
        <f t="shared" si="1"/>
        <v>5.7798856433668722E-3</v>
      </c>
      <c r="M2" s="24">
        <f t="shared" si="1"/>
        <v>6.1042036175059195E-3</v>
      </c>
      <c r="N2" s="24">
        <f t="shared" si="1"/>
        <v>5.3814787439894363E-3</v>
      </c>
      <c r="O2" s="24">
        <f t="shared" si="1"/>
        <v>0</v>
      </c>
      <c r="P2" s="24">
        <f t="shared" si="1"/>
        <v>6.4060575890166902E-3</v>
      </c>
      <c r="Q2" s="24">
        <f t="shared" si="1"/>
        <v>2.7908994218554105E-2</v>
      </c>
      <c r="R2" s="24">
        <f t="shared" si="1"/>
        <v>8.2317311449785074E-2</v>
      </c>
      <c r="S2" s="24">
        <f t="shared" si="1"/>
        <v>0.18473601770824541</v>
      </c>
      <c r="T2" s="24">
        <f t="shared" si="1"/>
        <v>0.32210083779712445</v>
      </c>
      <c r="U2" s="24">
        <f t="shared" si="1"/>
        <v>0.40610436550278561</v>
      </c>
      <c r="V2">
        <f t="shared" si="1"/>
        <v>0.47271690770965785</v>
      </c>
      <c r="W2">
        <f t="shared" si="1"/>
        <v>0.53636894162713789</v>
      </c>
    </row>
    <row r="3" spans="1:33" ht="14.85" customHeight="1">
      <c r="A3" s="678" t="s">
        <v>212</v>
      </c>
      <c r="B3" s="678"/>
      <c r="C3" s="678"/>
      <c r="D3" s="678"/>
      <c r="E3" s="678"/>
      <c r="F3" s="678"/>
      <c r="G3" s="678"/>
      <c r="H3" s="24"/>
      <c r="I3" s="24"/>
      <c r="J3" s="24"/>
      <c r="K3" s="24"/>
      <c r="L3" s="24"/>
      <c r="M3" s="24"/>
      <c r="N3" s="24"/>
      <c r="O3" s="24"/>
      <c r="P3" s="24"/>
      <c r="Q3" s="24"/>
      <c r="R3" s="24"/>
      <c r="AB3" s="23" t="s">
        <v>213</v>
      </c>
    </row>
    <row r="4" spans="1:33" ht="78.75" customHeight="1">
      <c r="A4" s="678"/>
      <c r="B4" s="678"/>
      <c r="C4" s="678"/>
      <c r="D4" s="678"/>
      <c r="E4" s="678"/>
      <c r="F4" s="678"/>
      <c r="G4" s="678"/>
      <c r="AB4" s="23" t="s">
        <v>214</v>
      </c>
    </row>
    <row r="5" spans="1:33" ht="14.85" customHeight="1">
      <c r="A5" s="57" t="s">
        <v>180</v>
      </c>
      <c r="B5" s="677">
        <v>2007</v>
      </c>
      <c r="C5" s="677"/>
      <c r="D5" s="677">
        <v>2008</v>
      </c>
      <c r="E5" s="677"/>
      <c r="F5" s="677">
        <v>2009</v>
      </c>
      <c r="G5" s="677"/>
      <c r="H5" s="677">
        <v>2010</v>
      </c>
      <c r="I5" s="677"/>
      <c r="J5" s="677">
        <v>2011</v>
      </c>
      <c r="K5" s="677"/>
      <c r="L5" s="677">
        <v>2012</v>
      </c>
      <c r="M5" s="677"/>
      <c r="N5" s="677">
        <v>2013</v>
      </c>
      <c r="O5" s="677"/>
      <c r="P5" s="677">
        <v>2014</v>
      </c>
      <c r="Q5" s="677"/>
      <c r="R5" s="677">
        <v>2015</v>
      </c>
      <c r="S5" s="677"/>
      <c r="T5" s="677">
        <v>2016</v>
      </c>
      <c r="U5" s="677"/>
      <c r="V5" s="677">
        <v>2017</v>
      </c>
      <c r="W5" s="677"/>
      <c r="X5" s="677">
        <v>2018</v>
      </c>
      <c r="Y5" s="677"/>
      <c r="Z5" s="676">
        <v>2019</v>
      </c>
      <c r="AA5" s="676"/>
      <c r="AB5" s="676">
        <v>2020</v>
      </c>
      <c r="AC5" s="676"/>
      <c r="AD5" t="s">
        <v>215</v>
      </c>
    </row>
    <row r="6" spans="1:33" ht="14.85" customHeight="1">
      <c r="A6" s="77" t="s">
        <v>216</v>
      </c>
      <c r="B6" s="148" t="s">
        <v>217</v>
      </c>
      <c r="C6" s="149" t="s">
        <v>218</v>
      </c>
      <c r="D6" s="1" t="s">
        <v>217</v>
      </c>
      <c r="E6" s="149" t="s">
        <v>218</v>
      </c>
      <c r="F6" s="1" t="s">
        <v>217</v>
      </c>
      <c r="G6" s="149" t="s">
        <v>218</v>
      </c>
      <c r="H6" s="1" t="s">
        <v>217</v>
      </c>
      <c r="I6" s="149" t="s">
        <v>218</v>
      </c>
      <c r="J6" s="1" t="s">
        <v>217</v>
      </c>
      <c r="K6" s="149" t="s">
        <v>218</v>
      </c>
      <c r="L6" s="1" t="s">
        <v>217</v>
      </c>
      <c r="M6" s="149" t="s">
        <v>218</v>
      </c>
      <c r="N6" s="1" t="s">
        <v>217</v>
      </c>
      <c r="O6" s="149" t="s">
        <v>218</v>
      </c>
      <c r="P6" s="1" t="s">
        <v>217</v>
      </c>
      <c r="Q6" s="149" t="s">
        <v>218</v>
      </c>
      <c r="R6" s="1" t="s">
        <v>217</v>
      </c>
      <c r="S6" s="149" t="s">
        <v>218</v>
      </c>
      <c r="T6" s="1" t="s">
        <v>217</v>
      </c>
      <c r="U6" s="149" t="s">
        <v>218</v>
      </c>
      <c r="V6" s="1" t="s">
        <v>217</v>
      </c>
      <c r="W6" s="149" t="s">
        <v>218</v>
      </c>
      <c r="X6" s="1" t="s">
        <v>217</v>
      </c>
      <c r="Y6" s="1" t="s">
        <v>218</v>
      </c>
      <c r="Z6" s="242" t="s">
        <v>217</v>
      </c>
      <c r="AA6" s="243" t="s">
        <v>218</v>
      </c>
      <c r="AB6" s="242" t="s">
        <v>217</v>
      </c>
      <c r="AC6" s="243" t="s">
        <v>218</v>
      </c>
      <c r="AD6" s="1"/>
    </row>
    <row r="7" spans="1:33" ht="14.85" customHeight="1">
      <c r="A7" s="26" t="s">
        <v>219</v>
      </c>
      <c r="B7" s="319">
        <v>88851</v>
      </c>
      <c r="C7" s="320">
        <f t="shared" ref="C7:C33" si="2">(B7/$B$38)</f>
        <v>0.48468235525153014</v>
      </c>
      <c r="D7" s="26">
        <v>95879</v>
      </c>
      <c r="E7" s="320">
        <f t="shared" ref="E7:E33" si="3">(D7/$D$38)</f>
        <v>0.48312715729006578</v>
      </c>
      <c r="F7" s="26">
        <v>112153</v>
      </c>
      <c r="G7" s="320">
        <f t="shared" ref="G7:G33" si="4">(F7/$F$38)</f>
        <v>0.46621245250704602</v>
      </c>
      <c r="H7" s="26">
        <v>110393</v>
      </c>
      <c r="I7" s="320">
        <f t="shared" ref="I7:I33" si="5">(H7/$H$38)</f>
        <v>0.42913398070329567</v>
      </c>
      <c r="J7" s="321">
        <v>119765</v>
      </c>
      <c r="K7" s="320">
        <f t="shared" ref="K7:K33" si="6">(J7/$J$38)</f>
        <v>0.44819379006575183</v>
      </c>
      <c r="L7" s="26">
        <v>131624</v>
      </c>
      <c r="M7" s="320">
        <f t="shared" ref="M7:M33" si="7">(L7/$L$38)</f>
        <v>0.48354555006135058</v>
      </c>
      <c r="N7" s="26">
        <v>151690</v>
      </c>
      <c r="O7" s="320">
        <f t="shared" ref="O7:O33" si="8">(N7/$N$38)</f>
        <v>0.55279403511585024</v>
      </c>
      <c r="P7" s="26">
        <v>163600</v>
      </c>
      <c r="Q7" s="320">
        <f t="shared" ref="Q7:Q33" si="9">(P7/$P$38)</f>
        <v>0.57268876675884761</v>
      </c>
      <c r="R7" s="26">
        <v>187868</v>
      </c>
      <c r="S7" s="320">
        <f t="shared" ref="S7:S33" si="10">(R7/$R$38)</f>
        <v>0.58675195122789159</v>
      </c>
      <c r="T7" s="26">
        <v>173842</v>
      </c>
      <c r="U7" s="320">
        <f t="shared" ref="U7:U33" si="11">(T7/$T$38)</f>
        <v>0.54350592303339351</v>
      </c>
      <c r="V7" s="26">
        <v>157055</v>
      </c>
      <c r="W7" s="320">
        <f t="shared" ref="W7:W33" si="12">(V7/$V$38)</f>
        <v>0.47820222392731437</v>
      </c>
      <c r="X7" s="26">
        <v>140818</v>
      </c>
      <c r="Y7" s="322">
        <f t="shared" ref="Y7:Y33" si="13">(X7/$X$38)</f>
        <v>0.43634459379899726</v>
      </c>
      <c r="Z7" s="323">
        <v>127641</v>
      </c>
      <c r="AA7" s="324">
        <f t="shared" ref="AA7:AA33" si="14">(Z7/$Z$38)</f>
        <v>0.40382498101746395</v>
      </c>
      <c r="AB7" s="26">
        <f>46476*2</f>
        <v>92952</v>
      </c>
      <c r="AC7" s="322">
        <f t="shared" ref="AC7:AC33" si="15">AB7/$AB$38</f>
        <v>0.358250372888411</v>
      </c>
    </row>
    <row r="8" spans="1:33" ht="14.85" customHeight="1">
      <c r="A8" t="s">
        <v>220</v>
      </c>
      <c r="B8" s="187">
        <v>29663</v>
      </c>
      <c r="C8" s="188">
        <f t="shared" si="2"/>
        <v>0.1618117151616317</v>
      </c>
      <c r="D8">
        <v>35071</v>
      </c>
      <c r="E8" s="188">
        <f t="shared" si="3"/>
        <v>0.17672016326119272</v>
      </c>
      <c r="F8">
        <v>47822</v>
      </c>
      <c r="G8" s="188">
        <f t="shared" si="4"/>
        <v>0.19879282679724977</v>
      </c>
      <c r="H8">
        <v>60932</v>
      </c>
      <c r="I8" s="188">
        <f t="shared" si="5"/>
        <v>0.23686276948912713</v>
      </c>
      <c r="J8" s="19">
        <v>59953</v>
      </c>
      <c r="K8" s="188">
        <f t="shared" si="6"/>
        <v>0.22436072555264075</v>
      </c>
      <c r="L8">
        <v>55237</v>
      </c>
      <c r="M8" s="188">
        <f t="shared" si="7"/>
        <v>0.20292352115677098</v>
      </c>
      <c r="N8" s="19">
        <v>45528</v>
      </c>
      <c r="O8" s="188">
        <f t="shared" si="8"/>
        <v>0.16591473947362667</v>
      </c>
      <c r="P8">
        <v>43000</v>
      </c>
      <c r="Q8" s="188">
        <f t="shared" si="9"/>
        <v>0.15052333111632302</v>
      </c>
      <c r="R8">
        <v>41894</v>
      </c>
      <c r="S8" s="188">
        <f t="shared" si="10"/>
        <v>0.13084392363117342</v>
      </c>
      <c r="T8">
        <v>37904</v>
      </c>
      <c r="U8" s="188">
        <f t="shared" si="11"/>
        <v>0.11850443797619531</v>
      </c>
      <c r="V8">
        <v>33076</v>
      </c>
      <c r="W8" s="188">
        <f t="shared" si="12"/>
        <v>0.10071004908229506</v>
      </c>
      <c r="X8">
        <v>27062</v>
      </c>
      <c r="Y8" s="24">
        <f t="shared" si="13"/>
        <v>8.3855454539820656E-2</v>
      </c>
      <c r="Z8" s="244">
        <v>22470</v>
      </c>
      <c r="AA8" s="279">
        <f t="shared" si="14"/>
        <v>7.1089597570235377E-2</v>
      </c>
      <c r="AB8">
        <f>8331*2</f>
        <v>16662</v>
      </c>
      <c r="AC8" s="24">
        <f t="shared" si="15"/>
        <v>6.4217743707146738E-2</v>
      </c>
    </row>
    <row r="9" spans="1:33" ht="14.85" customHeight="1">
      <c r="A9" t="s">
        <v>221</v>
      </c>
      <c r="B9" s="189">
        <v>462</v>
      </c>
      <c r="C9" s="188">
        <f t="shared" si="2"/>
        <v>2.5202107812653421E-3</v>
      </c>
      <c r="D9">
        <v>0</v>
      </c>
      <c r="E9" s="188">
        <f t="shared" si="3"/>
        <v>0</v>
      </c>
      <c r="F9">
        <v>0</v>
      </c>
      <c r="G9" s="188">
        <f t="shared" si="4"/>
        <v>0</v>
      </c>
      <c r="H9">
        <v>0</v>
      </c>
      <c r="I9" s="188">
        <f t="shared" si="5"/>
        <v>0</v>
      </c>
      <c r="J9">
        <v>0</v>
      </c>
      <c r="K9" s="188">
        <f t="shared" si="6"/>
        <v>0</v>
      </c>
      <c r="L9">
        <v>0</v>
      </c>
      <c r="M9" s="188">
        <f t="shared" si="7"/>
        <v>0</v>
      </c>
      <c r="N9">
        <v>0</v>
      </c>
      <c r="O9" s="188">
        <f t="shared" si="8"/>
        <v>0</v>
      </c>
      <c r="P9">
        <v>0</v>
      </c>
      <c r="Q9" s="188">
        <f t="shared" si="9"/>
        <v>0</v>
      </c>
      <c r="R9">
        <v>0</v>
      </c>
      <c r="S9" s="188">
        <f t="shared" si="10"/>
        <v>0</v>
      </c>
      <c r="T9">
        <v>0</v>
      </c>
      <c r="U9" s="188">
        <f t="shared" si="11"/>
        <v>0</v>
      </c>
      <c r="V9">
        <v>0</v>
      </c>
      <c r="W9" s="188">
        <f t="shared" si="12"/>
        <v>0</v>
      </c>
      <c r="X9">
        <v>0</v>
      </c>
      <c r="Y9" s="24">
        <f t="shared" si="13"/>
        <v>0</v>
      </c>
      <c r="Z9" s="245">
        <v>0</v>
      </c>
      <c r="AA9" s="279">
        <f t="shared" si="14"/>
        <v>0</v>
      </c>
      <c r="AB9" s="280">
        <f>Z9</f>
        <v>0</v>
      </c>
      <c r="AC9" s="24">
        <f t="shared" si="15"/>
        <v>0</v>
      </c>
    </row>
    <row r="10" spans="1:33" ht="14.85" customHeight="1">
      <c r="A10" t="s">
        <v>222</v>
      </c>
      <c r="B10" s="187">
        <v>38012</v>
      </c>
      <c r="C10" s="188">
        <f t="shared" si="2"/>
        <v>0.20735552428021253</v>
      </c>
      <c r="D10">
        <v>40029</v>
      </c>
      <c r="E10" s="188">
        <f t="shared" si="3"/>
        <v>0.2017031568869517</v>
      </c>
      <c r="F10">
        <v>47222</v>
      </c>
      <c r="G10" s="188">
        <f t="shared" si="4"/>
        <v>0.19629866728743525</v>
      </c>
      <c r="H10">
        <v>48078</v>
      </c>
      <c r="I10" s="188">
        <f t="shared" si="5"/>
        <v>0.1868950343251207</v>
      </c>
      <c r="J10" s="19">
        <v>46872</v>
      </c>
      <c r="K10" s="188">
        <f t="shared" si="6"/>
        <v>0.17540800173641646</v>
      </c>
      <c r="L10">
        <v>43115</v>
      </c>
      <c r="M10" s="188">
        <f t="shared" si="7"/>
        <v>0.15839107146793238</v>
      </c>
      <c r="N10" s="19">
        <v>37067</v>
      </c>
      <c r="O10" s="188">
        <f t="shared" si="8"/>
        <v>0.13508086557874099</v>
      </c>
      <c r="P10">
        <v>33132</v>
      </c>
      <c r="Q10" s="188">
        <f t="shared" si="9"/>
        <v>0.11597997689641895</v>
      </c>
      <c r="R10">
        <v>27219</v>
      </c>
      <c r="S10" s="188">
        <f t="shared" si="10"/>
        <v>8.5010759471926989E-2</v>
      </c>
      <c r="T10">
        <v>24681</v>
      </c>
      <c r="U10" s="188">
        <f t="shared" si="11"/>
        <v>7.7163572015894799E-2</v>
      </c>
      <c r="V10">
        <v>20812</v>
      </c>
      <c r="W10" s="188">
        <f t="shared" si="12"/>
        <v>6.3368531306709538E-2</v>
      </c>
      <c r="X10">
        <v>16452</v>
      </c>
      <c r="Y10" s="24">
        <f t="shared" si="13"/>
        <v>5.0978861063082158E-2</v>
      </c>
      <c r="Z10" s="244">
        <v>12747</v>
      </c>
      <c r="AA10" s="279">
        <f t="shared" si="14"/>
        <v>4.0328397873955958E-2</v>
      </c>
      <c r="AB10">
        <f>4529*2</f>
        <v>9058</v>
      </c>
      <c r="AC10" s="24">
        <f t="shared" si="15"/>
        <v>3.4910834383587511E-2</v>
      </c>
      <c r="AD10" s="27"/>
      <c r="AE10" s="27"/>
      <c r="AF10" s="27"/>
      <c r="AG10" s="27"/>
    </row>
    <row r="11" spans="1:33" ht="14.85" customHeight="1">
      <c r="A11" t="s">
        <v>223</v>
      </c>
      <c r="B11" s="187">
        <v>2855</v>
      </c>
      <c r="C11" s="188">
        <f t="shared" si="2"/>
        <v>1.5574029827949247E-2</v>
      </c>
      <c r="D11">
        <v>4961</v>
      </c>
      <c r="E11" s="188">
        <f t="shared" si="3"/>
        <v>2.4998110402862109E-2</v>
      </c>
      <c r="F11">
        <v>7508</v>
      </c>
      <c r="G11" s="188">
        <f t="shared" si="4"/>
        <v>3.1210249332812332E-2</v>
      </c>
      <c r="H11">
        <v>10537</v>
      </c>
      <c r="I11" s="188">
        <f t="shared" si="5"/>
        <v>4.0960792393273368E-2</v>
      </c>
      <c r="J11" s="19">
        <v>10922</v>
      </c>
      <c r="K11" s="188">
        <f t="shared" si="6"/>
        <v>4.0873148040730944E-2</v>
      </c>
      <c r="L11">
        <v>11801</v>
      </c>
      <c r="M11" s="188">
        <f t="shared" si="7"/>
        <v>4.3353195741460508E-2</v>
      </c>
      <c r="N11" s="19">
        <v>11992</v>
      </c>
      <c r="O11" s="188">
        <f t="shared" si="8"/>
        <v>4.3701668330867402E-2</v>
      </c>
      <c r="P11">
        <v>15209</v>
      </c>
      <c r="Q11" s="188">
        <f t="shared" si="9"/>
        <v>5.3239752161585045E-2</v>
      </c>
      <c r="R11">
        <v>17917</v>
      </c>
      <c r="S11" s="188">
        <f t="shared" si="10"/>
        <v>5.595862366209324E-2</v>
      </c>
      <c r="T11">
        <v>18077</v>
      </c>
      <c r="U11" s="188">
        <f t="shared" si="11"/>
        <v>5.6516587307294287E-2</v>
      </c>
      <c r="V11">
        <v>19137</v>
      </c>
      <c r="W11" s="188">
        <f t="shared" si="12"/>
        <v>5.8268478936022508E-2</v>
      </c>
      <c r="X11">
        <v>19621</v>
      </c>
      <c r="Y11" s="24">
        <f t="shared" si="13"/>
        <v>6.0798458115653722E-2</v>
      </c>
      <c r="Z11" s="244">
        <v>20552</v>
      </c>
      <c r="AA11" s="279">
        <f t="shared" si="14"/>
        <v>6.5021513540875722E-2</v>
      </c>
      <c r="AB11">
        <f>8638*2</f>
        <v>17276</v>
      </c>
      <c r="AC11" s="24">
        <f t="shared" si="15"/>
        <v>6.6584187989717145E-2</v>
      </c>
      <c r="AD11" s="27"/>
      <c r="AE11" s="27"/>
      <c r="AF11" s="27"/>
      <c r="AG11" s="27"/>
    </row>
    <row r="12" spans="1:33" ht="14.85" customHeight="1">
      <c r="A12" t="s">
        <v>224</v>
      </c>
      <c r="B12" s="187">
        <v>5326</v>
      </c>
      <c r="C12" s="188">
        <f t="shared" si="2"/>
        <v>2.9053339006535093E-2</v>
      </c>
      <c r="D12">
        <v>5786</v>
      </c>
      <c r="E12" s="188">
        <f t="shared" si="3"/>
        <v>2.9155224106220554E-2</v>
      </c>
      <c r="F12">
        <v>7351</v>
      </c>
      <c r="G12" s="188">
        <f t="shared" si="4"/>
        <v>3.05576109277442E-2</v>
      </c>
      <c r="H12">
        <v>7593</v>
      </c>
      <c r="I12" s="188">
        <f t="shared" si="5"/>
        <v>2.9516493939653096E-2</v>
      </c>
      <c r="J12" s="19">
        <v>8309</v>
      </c>
      <c r="K12" s="188">
        <f t="shared" si="6"/>
        <v>3.10945785634896E-2</v>
      </c>
      <c r="L12">
        <v>9311</v>
      </c>
      <c r="M12" s="188">
        <f t="shared" si="7"/>
        <v>3.4205711850583749E-2</v>
      </c>
      <c r="N12" s="19">
        <v>7955</v>
      </c>
      <c r="O12" s="188">
        <f t="shared" si="8"/>
        <v>2.898989089159858E-2</v>
      </c>
      <c r="P12">
        <v>7620</v>
      </c>
      <c r="Q12" s="188">
        <f t="shared" si="9"/>
        <v>2.6674134490846081E-2</v>
      </c>
      <c r="R12">
        <v>7290</v>
      </c>
      <c r="S12" s="188">
        <f t="shared" si="10"/>
        <v>2.2768229418801123E-2</v>
      </c>
      <c r="T12">
        <v>6201</v>
      </c>
      <c r="U12" s="188">
        <f t="shared" si="11"/>
        <v>1.9387030917327647E-2</v>
      </c>
      <c r="V12">
        <v>5192</v>
      </c>
      <c r="W12" s="188">
        <f t="shared" si="12"/>
        <v>1.5808639945437051E-2</v>
      </c>
      <c r="X12">
        <v>4011</v>
      </c>
      <c r="Y12" s="24">
        <f t="shared" si="13"/>
        <v>1.242865376392065E-2</v>
      </c>
      <c r="Z12" s="244">
        <v>3003</v>
      </c>
      <c r="AA12" s="279">
        <f t="shared" si="14"/>
        <v>9.5007593014426722E-3</v>
      </c>
      <c r="AB12">
        <f>1241*2</f>
        <v>2482</v>
      </c>
      <c r="AC12" s="24">
        <f t="shared" si="15"/>
        <v>9.5659848686315083E-3</v>
      </c>
      <c r="AD12" s="27"/>
      <c r="AE12" s="27"/>
      <c r="AF12" s="27"/>
      <c r="AG12" s="27"/>
    </row>
    <row r="13" spans="1:33" ht="14.85" customHeight="1">
      <c r="A13" t="s">
        <v>225</v>
      </c>
      <c r="B13" s="187">
        <v>9202</v>
      </c>
      <c r="C13" s="188">
        <f t="shared" si="2"/>
        <v>5.0196925561046921E-2</v>
      </c>
      <c r="D13">
        <v>9136</v>
      </c>
      <c r="E13" s="188">
        <f t="shared" si="3"/>
        <v>4.603562520470636E-2</v>
      </c>
      <c r="F13">
        <v>10016</v>
      </c>
      <c r="G13" s="188">
        <f t="shared" si="4"/>
        <v>4.1635836083837016E-2</v>
      </c>
      <c r="H13">
        <v>9477</v>
      </c>
      <c r="I13" s="188">
        <f t="shared" si="5"/>
        <v>3.684022297722802E-2</v>
      </c>
      <c r="J13" s="19">
        <v>8853</v>
      </c>
      <c r="K13" s="188">
        <f t="shared" si="6"/>
        <v>3.3130377184086339E-2</v>
      </c>
      <c r="L13">
        <v>8071</v>
      </c>
      <c r="M13" s="188">
        <f t="shared" si="7"/>
        <v>2.9650338346693315E-2</v>
      </c>
      <c r="N13" s="19">
        <v>6542</v>
      </c>
      <c r="O13" s="188">
        <f t="shared" si="8"/>
        <v>2.3840586576095276E-2</v>
      </c>
      <c r="P13">
        <v>5559</v>
      </c>
      <c r="Q13" s="188">
        <f t="shared" si="9"/>
        <v>1.9459516225014878E-2</v>
      </c>
      <c r="R13">
        <v>5023</v>
      </c>
      <c r="S13" s="188">
        <f t="shared" si="10"/>
        <v>1.5687903480197263E-2</v>
      </c>
      <c r="T13">
        <v>4231</v>
      </c>
      <c r="U13" s="188">
        <f t="shared" si="11"/>
        <v>1.3227951590261777E-2</v>
      </c>
      <c r="V13">
        <v>3105</v>
      </c>
      <c r="W13" s="188">
        <f t="shared" si="12"/>
        <v>9.4541269319302866E-3</v>
      </c>
      <c r="X13">
        <v>2430</v>
      </c>
      <c r="Y13" s="24">
        <f t="shared" si="13"/>
        <v>7.5297004852473643E-3</v>
      </c>
      <c r="Z13" s="244">
        <v>1839</v>
      </c>
      <c r="AA13" s="279">
        <f t="shared" si="14"/>
        <v>5.8181473044798789E-3</v>
      </c>
      <c r="AB13" s="465">
        <f>717*2</f>
        <v>1434</v>
      </c>
      <c r="AC13" s="24">
        <f t="shared" si="15"/>
        <v>5.5268421843745301E-3</v>
      </c>
    </row>
    <row r="14" spans="1:33" ht="14.85" customHeight="1">
      <c r="A14" t="s">
        <v>226</v>
      </c>
      <c r="B14" s="187">
        <v>3474</v>
      </c>
      <c r="C14" s="188">
        <f t="shared" si="2"/>
        <v>1.895067587470952E-2</v>
      </c>
      <c r="D14">
        <v>3699</v>
      </c>
      <c r="E14" s="188">
        <f t="shared" si="3"/>
        <v>1.8638986168148949E-2</v>
      </c>
      <c r="F14">
        <v>4136</v>
      </c>
      <c r="G14" s="188">
        <f t="shared" si="4"/>
        <v>1.7193072887654742E-2</v>
      </c>
      <c r="H14">
        <v>3951</v>
      </c>
      <c r="I14" s="188">
        <f t="shared" si="5"/>
        <v>1.5358839398863344E-2</v>
      </c>
      <c r="J14" s="19">
        <v>4083</v>
      </c>
      <c r="K14" s="188">
        <f t="shared" si="6"/>
        <v>1.5279716485103867E-2</v>
      </c>
      <c r="L14">
        <v>3673</v>
      </c>
      <c r="M14" s="188">
        <f t="shared" si="7"/>
        <v>1.3493457161120622E-2</v>
      </c>
      <c r="N14" s="19">
        <v>3383</v>
      </c>
      <c r="O14" s="188">
        <f t="shared" si="8"/>
        <v>1.2328447628696166E-2</v>
      </c>
      <c r="P14">
        <v>2904</v>
      </c>
      <c r="Q14" s="188">
        <f t="shared" si="9"/>
        <v>1.0165575664227955E-2</v>
      </c>
      <c r="R14">
        <v>3539</v>
      </c>
      <c r="S14" s="188">
        <f t="shared" si="10"/>
        <v>1.1053054034723892E-2</v>
      </c>
      <c r="T14">
        <v>3332</v>
      </c>
      <c r="U14" s="188">
        <f t="shared" si="11"/>
        <v>1.0417285440499229E-2</v>
      </c>
      <c r="V14">
        <v>3110</v>
      </c>
      <c r="W14" s="188">
        <f t="shared" si="12"/>
        <v>9.4693509688577107E-3</v>
      </c>
      <c r="X14">
        <v>2654</v>
      </c>
      <c r="Y14" s="24">
        <f t="shared" si="13"/>
        <v>8.2237963324471221E-3</v>
      </c>
      <c r="Z14" s="244">
        <v>2210</v>
      </c>
      <c r="AA14" s="279">
        <f t="shared" si="14"/>
        <v>6.9919007846114909E-3</v>
      </c>
      <c r="AB14" s="465">
        <f>708*2</f>
        <v>1416</v>
      </c>
      <c r="AC14" s="24">
        <f t="shared" si="15"/>
        <v>5.4574675962861469E-3</v>
      </c>
    </row>
    <row r="15" spans="1:33" ht="14.85" customHeight="1">
      <c r="A15" t="s">
        <v>227</v>
      </c>
      <c r="B15" s="187">
        <v>954</v>
      </c>
      <c r="C15" s="188">
        <f t="shared" si="2"/>
        <v>5.2040716132621999E-3</v>
      </c>
      <c r="D15">
        <v>1176</v>
      </c>
      <c r="E15" s="188">
        <f t="shared" si="3"/>
        <v>5.9257766244236731E-3</v>
      </c>
      <c r="F15">
        <v>1393</v>
      </c>
      <c r="G15" s="188">
        <f t="shared" si="4"/>
        <v>5.7906069952860387E-3</v>
      </c>
      <c r="H15">
        <v>1702</v>
      </c>
      <c r="I15" s="188">
        <f t="shared" si="5"/>
        <v>6.6162350434992188E-3</v>
      </c>
      <c r="J15" s="19">
        <v>1815</v>
      </c>
      <c r="K15" s="188">
        <f t="shared" si="6"/>
        <v>6.7922325301159733E-3</v>
      </c>
      <c r="L15">
        <v>2200</v>
      </c>
      <c r="M15" s="188">
        <f t="shared" si="7"/>
        <v>8.0821142810959343E-3</v>
      </c>
      <c r="N15" s="19">
        <v>2496</v>
      </c>
      <c r="O15" s="188">
        <f t="shared" si="8"/>
        <v>9.0960110201671971E-3</v>
      </c>
      <c r="P15">
        <v>3348</v>
      </c>
      <c r="Q15" s="188">
        <f t="shared" si="9"/>
        <v>1.1719816571568594E-2</v>
      </c>
      <c r="R15">
        <v>5334</v>
      </c>
      <c r="S15" s="188">
        <f t="shared" si="10"/>
        <v>1.6659223006842961E-2</v>
      </c>
      <c r="T15">
        <v>5675</v>
      </c>
      <c r="U15" s="188">
        <f t="shared" si="11"/>
        <v>1.7742525472638992E-2</v>
      </c>
      <c r="V15">
        <v>6498</v>
      </c>
      <c r="W15" s="188">
        <f t="shared" si="12"/>
        <v>1.9785158390880193E-2</v>
      </c>
      <c r="X15">
        <v>8850</v>
      </c>
      <c r="Y15" s="24">
        <f t="shared" si="13"/>
        <v>2.7422983248740401E-2</v>
      </c>
      <c r="Z15" s="244">
        <v>8196</v>
      </c>
      <c r="AA15" s="279">
        <f t="shared" si="14"/>
        <v>2.5930144267274108E-2</v>
      </c>
      <c r="AB15">
        <f>3886*2</f>
        <v>7772</v>
      </c>
      <c r="AC15" s="24">
        <f t="shared" si="15"/>
        <v>2.9954405479050802E-2</v>
      </c>
    </row>
    <row r="16" spans="1:33" ht="14.85" customHeight="1">
      <c r="A16" t="s">
        <v>228</v>
      </c>
      <c r="B16" s="187">
        <v>1792</v>
      </c>
      <c r="C16" s="188">
        <f t="shared" si="2"/>
        <v>9.7753630303625393E-3</v>
      </c>
      <c r="D16">
        <v>1807</v>
      </c>
      <c r="E16" s="188">
        <f t="shared" si="3"/>
        <v>9.1053387417802528E-3</v>
      </c>
      <c r="F16">
        <v>2309</v>
      </c>
      <c r="G16" s="188">
        <f t="shared" si="4"/>
        <v>9.5983571802695355E-3</v>
      </c>
      <c r="H16">
        <v>2596</v>
      </c>
      <c r="I16" s="188">
        <f t="shared" si="5"/>
        <v>1.0091507739673308E-2</v>
      </c>
      <c r="J16" s="19">
        <v>3043</v>
      </c>
      <c r="K16" s="188">
        <f t="shared" si="6"/>
        <v>1.1387748533963033E-2</v>
      </c>
      <c r="L16">
        <v>4441</v>
      </c>
      <c r="M16" s="188">
        <f t="shared" si="7"/>
        <v>1.631484978288502E-2</v>
      </c>
      <c r="N16" s="19">
        <v>5044</v>
      </c>
      <c r="O16" s="188">
        <f t="shared" si="8"/>
        <v>1.8381522269921211E-2</v>
      </c>
      <c r="P16">
        <v>4629</v>
      </c>
      <c r="Q16" s="188">
        <f t="shared" si="9"/>
        <v>1.6204011621801379E-2</v>
      </c>
      <c r="R16">
        <v>4044</v>
      </c>
      <c r="S16" s="188">
        <f t="shared" si="10"/>
        <v>1.2630277060306137E-2</v>
      </c>
      <c r="T16">
        <v>3524</v>
      </c>
      <c r="U16" s="188">
        <f t="shared" si="11"/>
        <v>1.1017561192172655E-2</v>
      </c>
      <c r="V16">
        <v>2975</v>
      </c>
      <c r="W16" s="188">
        <f t="shared" si="12"/>
        <v>9.0583019718172633E-3</v>
      </c>
      <c r="X16">
        <v>2273</v>
      </c>
      <c r="Y16" s="24">
        <f t="shared" si="13"/>
        <v>7.0432136637725348E-3</v>
      </c>
      <c r="Z16" s="244">
        <v>1582</v>
      </c>
      <c r="AA16" s="279">
        <f t="shared" si="14"/>
        <v>5.0050620096178181E-3</v>
      </c>
      <c r="AB16" s="465">
        <f>564*2</f>
        <v>1128</v>
      </c>
      <c r="AC16" s="24">
        <f t="shared" si="15"/>
        <v>4.3474741868720157E-3</v>
      </c>
    </row>
    <row r="17" spans="1:33" ht="14.85" customHeight="1">
      <c r="A17" t="s">
        <v>229</v>
      </c>
      <c r="B17" s="189">
        <v>1157</v>
      </c>
      <c r="C17" s="188">
        <f t="shared" si="2"/>
        <v>6.3114369565454567E-3</v>
      </c>
      <c r="D17">
        <v>0</v>
      </c>
      <c r="E17" s="188">
        <f t="shared" si="3"/>
        <v>0</v>
      </c>
      <c r="F17">
        <v>0</v>
      </c>
      <c r="G17" s="188">
        <f t="shared" si="4"/>
        <v>0</v>
      </c>
      <c r="H17">
        <v>0</v>
      </c>
      <c r="I17" s="188">
        <f t="shared" si="5"/>
        <v>0</v>
      </c>
      <c r="J17">
        <v>0</v>
      </c>
      <c r="K17" s="188">
        <f t="shared" si="6"/>
        <v>0</v>
      </c>
      <c r="L17">
        <v>0</v>
      </c>
      <c r="M17" s="188">
        <f t="shared" si="7"/>
        <v>0</v>
      </c>
      <c r="N17">
        <v>0</v>
      </c>
      <c r="O17" s="188">
        <f t="shared" si="8"/>
        <v>0</v>
      </c>
      <c r="P17">
        <v>0</v>
      </c>
      <c r="Q17" s="188">
        <f t="shared" si="9"/>
        <v>0</v>
      </c>
      <c r="R17">
        <v>0</v>
      </c>
      <c r="S17" s="188">
        <f t="shared" si="10"/>
        <v>0</v>
      </c>
      <c r="T17">
        <v>0</v>
      </c>
      <c r="U17" s="188">
        <f t="shared" si="11"/>
        <v>0</v>
      </c>
      <c r="V17">
        <v>0</v>
      </c>
      <c r="W17" s="188">
        <f t="shared" si="12"/>
        <v>0</v>
      </c>
      <c r="X17">
        <v>0</v>
      </c>
      <c r="Y17" s="24">
        <f t="shared" si="13"/>
        <v>0</v>
      </c>
      <c r="Z17" s="245">
        <v>0</v>
      </c>
      <c r="AA17" s="279">
        <f t="shared" si="14"/>
        <v>0</v>
      </c>
      <c r="AB17" s="280">
        <f>Z17</f>
        <v>0</v>
      </c>
      <c r="AC17" s="24">
        <f t="shared" si="15"/>
        <v>0</v>
      </c>
    </row>
    <row r="18" spans="1:33" ht="14.85" customHeight="1">
      <c r="A18" t="s">
        <v>230</v>
      </c>
      <c r="B18" s="187">
        <v>0</v>
      </c>
      <c r="C18" s="188">
        <f t="shared" si="2"/>
        <v>0</v>
      </c>
      <c r="D18">
        <v>0</v>
      </c>
      <c r="E18" s="188">
        <f t="shared" si="3"/>
        <v>0</v>
      </c>
      <c r="F18">
        <v>0</v>
      </c>
      <c r="G18" s="188">
        <f t="shared" si="4"/>
        <v>0</v>
      </c>
      <c r="H18">
        <v>850</v>
      </c>
      <c r="I18" s="188">
        <f t="shared" si="5"/>
        <v>3.3042301921118308E-3</v>
      </c>
      <c r="J18" s="19">
        <v>2954</v>
      </c>
      <c r="K18" s="188">
        <f t="shared" si="6"/>
        <v>1.1054685891990405E-2</v>
      </c>
      <c r="L18">
        <v>2733</v>
      </c>
      <c r="M18" s="188">
        <f t="shared" si="7"/>
        <v>1.0040190150106904E-2</v>
      </c>
      <c r="N18" s="19">
        <v>1731</v>
      </c>
      <c r="O18" s="188">
        <f t="shared" si="8"/>
        <v>6.3081711041303758E-3</v>
      </c>
      <c r="P18">
        <v>1972</v>
      </c>
      <c r="Q18" s="188">
        <f t="shared" si="9"/>
        <v>6.9030699758462558E-3</v>
      </c>
      <c r="R18">
        <v>2277</v>
      </c>
      <c r="S18" s="188">
        <f t="shared" si="10"/>
        <v>7.1115580777243014E-3</v>
      </c>
      <c r="T18">
        <v>2120</v>
      </c>
      <c r="U18" s="188">
        <f t="shared" si="11"/>
        <v>6.6280447580607344E-3</v>
      </c>
      <c r="V18">
        <v>1648</v>
      </c>
      <c r="W18" s="188">
        <f t="shared" si="12"/>
        <v>5.0178425712789406E-3</v>
      </c>
      <c r="X18">
        <v>1125</v>
      </c>
      <c r="Y18" s="24">
        <f t="shared" si="13"/>
        <v>3.4859724468737801E-3</v>
      </c>
      <c r="Z18" s="245">
        <v>0</v>
      </c>
      <c r="AA18" s="279">
        <f t="shared" si="14"/>
        <v>0</v>
      </c>
      <c r="AB18" s="465">
        <f>169*2</f>
        <v>338</v>
      </c>
      <c r="AC18" s="24">
        <f t="shared" si="15"/>
        <v>1.3027005985485295E-3</v>
      </c>
    </row>
    <row r="19" spans="1:33" ht="14.85" customHeight="1">
      <c r="A19" t="s">
        <v>231</v>
      </c>
      <c r="B19" s="187">
        <v>0</v>
      </c>
      <c r="C19" s="188">
        <f t="shared" si="2"/>
        <v>0</v>
      </c>
      <c r="D19">
        <v>0</v>
      </c>
      <c r="E19" s="188">
        <f t="shared" si="3"/>
        <v>0</v>
      </c>
      <c r="F19">
        <v>0</v>
      </c>
      <c r="G19" s="188">
        <f t="shared" si="4"/>
        <v>0</v>
      </c>
      <c r="H19">
        <v>0</v>
      </c>
      <c r="I19" s="188">
        <f t="shared" si="5"/>
        <v>0</v>
      </c>
      <c r="J19">
        <v>0</v>
      </c>
      <c r="K19" s="188">
        <f t="shared" si="6"/>
        <v>0</v>
      </c>
      <c r="L19">
        <v>0</v>
      </c>
      <c r="M19" s="188">
        <f t="shared" si="7"/>
        <v>0</v>
      </c>
      <c r="N19">
        <v>0</v>
      </c>
      <c r="O19" s="188">
        <f t="shared" si="8"/>
        <v>0</v>
      </c>
      <c r="P19">
        <v>0</v>
      </c>
      <c r="Q19" s="188">
        <f t="shared" si="9"/>
        <v>0</v>
      </c>
      <c r="R19">
        <v>926</v>
      </c>
      <c r="S19" s="188">
        <f t="shared" si="10"/>
        <v>2.8920960825527899E-3</v>
      </c>
      <c r="T19">
        <v>874</v>
      </c>
      <c r="U19" s="188">
        <f t="shared" si="11"/>
        <v>2.7325052445967366E-3</v>
      </c>
      <c r="V19">
        <v>1196</v>
      </c>
      <c r="W19" s="188">
        <f t="shared" si="12"/>
        <v>3.6415896330398139E-3</v>
      </c>
      <c r="X19">
        <v>1135</v>
      </c>
      <c r="Y19" s="24">
        <f t="shared" si="13"/>
        <v>3.516958868623769E-3</v>
      </c>
      <c r="Z19" s="244">
        <v>1408</v>
      </c>
      <c r="AA19" s="279">
        <f t="shared" si="14"/>
        <v>4.4545684636800812E-3</v>
      </c>
      <c r="AB19" s="280">
        <f t="shared" ref="AB19:AB21" si="16">Z19</f>
        <v>1408</v>
      </c>
      <c r="AC19" s="24">
        <f t="shared" si="15"/>
        <v>5.4266344460246431E-3</v>
      </c>
    </row>
    <row r="20" spans="1:33" ht="14.85" customHeight="1">
      <c r="A20" t="s">
        <v>232</v>
      </c>
      <c r="B20" s="189">
        <v>604</v>
      </c>
      <c r="C20" s="188">
        <f t="shared" si="2"/>
        <v>3.2948210213945167E-3</v>
      </c>
      <c r="D20">
        <v>368</v>
      </c>
      <c r="E20" s="188">
        <f t="shared" si="3"/>
        <v>1.854324657982918E-3</v>
      </c>
      <c r="F20">
        <v>0</v>
      </c>
      <c r="G20" s="188">
        <f t="shared" si="4"/>
        <v>0</v>
      </c>
      <c r="H20">
        <v>0</v>
      </c>
      <c r="I20" s="188">
        <f t="shared" si="5"/>
        <v>0</v>
      </c>
      <c r="J20">
        <v>0</v>
      </c>
      <c r="K20" s="188">
        <f t="shared" si="6"/>
        <v>0</v>
      </c>
      <c r="L20">
        <v>0</v>
      </c>
      <c r="M20" s="188">
        <f t="shared" si="7"/>
        <v>0</v>
      </c>
      <c r="N20">
        <v>0</v>
      </c>
      <c r="O20" s="188">
        <f t="shared" si="8"/>
        <v>0</v>
      </c>
      <c r="P20">
        <v>0</v>
      </c>
      <c r="Q20" s="188">
        <f t="shared" si="9"/>
        <v>0</v>
      </c>
      <c r="R20">
        <v>0</v>
      </c>
      <c r="S20" s="188">
        <f t="shared" si="10"/>
        <v>0</v>
      </c>
      <c r="T20">
        <v>0</v>
      </c>
      <c r="U20" s="188">
        <f t="shared" si="11"/>
        <v>0</v>
      </c>
      <c r="V20">
        <v>0</v>
      </c>
      <c r="W20" s="188">
        <f t="shared" si="12"/>
        <v>0</v>
      </c>
      <c r="X20">
        <v>0</v>
      </c>
      <c r="Y20" s="24">
        <f t="shared" si="13"/>
        <v>0</v>
      </c>
      <c r="Z20" s="245">
        <v>0</v>
      </c>
      <c r="AA20" s="279">
        <f t="shared" si="14"/>
        <v>0</v>
      </c>
      <c r="AB20" s="280">
        <f t="shared" si="16"/>
        <v>0</v>
      </c>
      <c r="AC20" s="24">
        <f t="shared" si="15"/>
        <v>0</v>
      </c>
    </row>
    <row r="21" spans="1:33" ht="14.25" customHeight="1">
      <c r="A21" t="s">
        <v>233</v>
      </c>
      <c r="B21" s="189">
        <v>0</v>
      </c>
      <c r="C21" s="188">
        <f t="shared" si="2"/>
        <v>0</v>
      </c>
      <c r="D21">
        <v>0</v>
      </c>
      <c r="E21" s="188">
        <f t="shared" si="3"/>
        <v>0</v>
      </c>
      <c r="F21">
        <v>0</v>
      </c>
      <c r="G21" s="188">
        <f t="shared" si="4"/>
        <v>0</v>
      </c>
      <c r="H21">
        <v>459</v>
      </c>
      <c r="I21" s="188">
        <f t="shared" si="5"/>
        <v>1.7842843037403887E-3</v>
      </c>
      <c r="J21">
        <v>0</v>
      </c>
      <c r="K21" s="188">
        <f t="shared" si="6"/>
        <v>0</v>
      </c>
      <c r="L21">
        <v>0</v>
      </c>
      <c r="M21" s="188">
        <f t="shared" si="7"/>
        <v>0</v>
      </c>
      <c r="N21">
        <v>0</v>
      </c>
      <c r="O21" s="188">
        <f t="shared" si="8"/>
        <v>0</v>
      </c>
      <c r="P21">
        <v>0</v>
      </c>
      <c r="Q21" s="188">
        <f t="shared" si="9"/>
        <v>0</v>
      </c>
      <c r="R21">
        <v>0</v>
      </c>
      <c r="S21" s="188">
        <f t="shared" si="10"/>
        <v>0</v>
      </c>
      <c r="T21">
        <v>0</v>
      </c>
      <c r="U21" s="188">
        <f t="shared" si="11"/>
        <v>0</v>
      </c>
      <c r="V21">
        <v>0</v>
      </c>
      <c r="W21" s="188">
        <f t="shared" si="12"/>
        <v>0</v>
      </c>
      <c r="X21">
        <v>0</v>
      </c>
      <c r="Y21" s="24">
        <f t="shared" si="13"/>
        <v>0</v>
      </c>
      <c r="Z21" s="245">
        <v>0</v>
      </c>
      <c r="AA21" s="279">
        <f t="shared" si="14"/>
        <v>0</v>
      </c>
      <c r="AB21" s="280">
        <f t="shared" si="16"/>
        <v>0</v>
      </c>
      <c r="AC21" s="24">
        <f t="shared" si="15"/>
        <v>0</v>
      </c>
    </row>
    <row r="22" spans="1:33" ht="14.85" customHeight="1">
      <c r="A22" s="462" t="s">
        <v>234</v>
      </c>
      <c r="B22" s="189">
        <v>966</v>
      </c>
      <c r="C22" s="188">
        <f t="shared" si="2"/>
        <v>5.2695316335548067E-3</v>
      </c>
      <c r="D22">
        <v>543</v>
      </c>
      <c r="E22" s="188">
        <f t="shared" si="3"/>
        <v>2.7361366556650124E-3</v>
      </c>
      <c r="F22">
        <v>652</v>
      </c>
      <c r="G22" s="188">
        <f t="shared" si="4"/>
        <v>2.710320000665109E-3</v>
      </c>
      <c r="H22">
        <v>678</v>
      </c>
      <c r="I22" s="188">
        <f t="shared" si="5"/>
        <v>2.6356094944139075E-3</v>
      </c>
      <c r="J22">
        <v>648</v>
      </c>
      <c r="K22" s="188">
        <f t="shared" si="6"/>
        <v>2.424995415710827E-3</v>
      </c>
      <c r="L22">
        <v>0</v>
      </c>
      <c r="M22" s="188">
        <f t="shared" si="7"/>
        <v>0</v>
      </c>
      <c r="N22">
        <v>978</v>
      </c>
      <c r="O22" s="188">
        <f t="shared" si="8"/>
        <v>3.564062010305897E-3</v>
      </c>
      <c r="P22">
        <v>4697</v>
      </c>
      <c r="Q22" s="188">
        <f t="shared" si="9"/>
        <v>1.6442048517520215E-2</v>
      </c>
      <c r="R22">
        <v>14440</v>
      </c>
      <c r="S22" s="188">
        <f t="shared" si="10"/>
        <v>4.509920888991608E-2</v>
      </c>
      <c r="T22">
        <v>34199</v>
      </c>
      <c r="U22" s="188">
        <f t="shared" si="11"/>
        <v>0.10692099183062219</v>
      </c>
      <c r="V22">
        <v>56530</v>
      </c>
      <c r="W22" s="188">
        <f t="shared" si="12"/>
        <v>0.17212296150145542</v>
      </c>
      <c r="X22">
        <v>83765</v>
      </c>
      <c r="Y22" s="24">
        <f t="shared" si="13"/>
        <v>0.25955776178878415</v>
      </c>
      <c r="Z22" s="244">
        <v>98954</v>
      </c>
      <c r="AA22" s="279">
        <f t="shared" si="14"/>
        <v>0.31306631232599341</v>
      </c>
      <c r="AB22">
        <f>49284*2</f>
        <v>98568</v>
      </c>
      <c r="AC22" s="24">
        <f t="shared" si="15"/>
        <v>0.37989524437198652</v>
      </c>
    </row>
    <row r="23" spans="1:33" ht="14.85" customHeight="1">
      <c r="A23" s="462" t="s">
        <v>235</v>
      </c>
      <c r="B23" s="189">
        <v>0</v>
      </c>
      <c r="C23" s="188">
        <f t="shared" si="2"/>
        <v>0</v>
      </c>
      <c r="D23">
        <v>0</v>
      </c>
      <c r="E23" s="188">
        <f t="shared" si="3"/>
        <v>0</v>
      </c>
      <c r="F23">
        <v>0</v>
      </c>
      <c r="G23" s="188">
        <f t="shared" si="4"/>
        <v>0</v>
      </c>
      <c r="H23">
        <v>0</v>
      </c>
      <c r="I23" s="188">
        <f t="shared" si="5"/>
        <v>0</v>
      </c>
      <c r="J23">
        <v>0</v>
      </c>
      <c r="K23" s="188">
        <f t="shared" si="6"/>
        <v>0</v>
      </c>
      <c r="L23">
        <v>0</v>
      </c>
      <c r="M23" s="188">
        <f t="shared" si="7"/>
        <v>0</v>
      </c>
      <c r="N23">
        <v>0</v>
      </c>
      <c r="O23" s="188">
        <f t="shared" si="8"/>
        <v>0</v>
      </c>
      <c r="P23">
        <v>0</v>
      </c>
      <c r="Q23" s="188">
        <f t="shared" si="9"/>
        <v>0</v>
      </c>
      <c r="R23">
        <v>0</v>
      </c>
      <c r="S23" s="188">
        <f t="shared" si="10"/>
        <v>0</v>
      </c>
      <c r="T23">
        <v>0</v>
      </c>
      <c r="U23" s="188">
        <f t="shared" si="11"/>
        <v>0</v>
      </c>
      <c r="V23">
        <v>0</v>
      </c>
      <c r="W23" s="188">
        <f t="shared" si="12"/>
        <v>0</v>
      </c>
      <c r="X23">
        <v>0</v>
      </c>
      <c r="Y23" s="24">
        <f t="shared" si="13"/>
        <v>0</v>
      </c>
      <c r="Z23" s="244">
        <v>0</v>
      </c>
      <c r="AA23" s="279">
        <f t="shared" si="14"/>
        <v>0</v>
      </c>
      <c r="AB23">
        <f>(861-279)+571</f>
        <v>1153</v>
      </c>
      <c r="AC23" s="24">
        <f t="shared" si="15"/>
        <v>4.4438277814392146E-3</v>
      </c>
    </row>
    <row r="24" spans="1:33" ht="14.85" customHeight="1">
      <c r="A24" s="462" t="s">
        <v>236</v>
      </c>
      <c r="B24" s="187">
        <v>0</v>
      </c>
      <c r="C24" s="188">
        <f t="shared" si="2"/>
        <v>0</v>
      </c>
      <c r="D24">
        <v>0</v>
      </c>
      <c r="E24" s="188">
        <f t="shared" si="3"/>
        <v>0</v>
      </c>
      <c r="F24">
        <v>0</v>
      </c>
      <c r="G24" s="188">
        <f t="shared" si="4"/>
        <v>0</v>
      </c>
      <c r="H24">
        <v>0</v>
      </c>
      <c r="I24" s="188">
        <f t="shared" si="5"/>
        <v>0</v>
      </c>
      <c r="J24">
        <v>0</v>
      </c>
      <c r="K24" s="188">
        <f t="shared" si="6"/>
        <v>0</v>
      </c>
      <c r="L24">
        <v>0</v>
      </c>
      <c r="M24" s="188">
        <f t="shared" si="7"/>
        <v>0</v>
      </c>
      <c r="N24">
        <v>0</v>
      </c>
      <c r="O24" s="188">
        <f t="shared" si="8"/>
        <v>0</v>
      </c>
      <c r="P24">
        <v>0</v>
      </c>
      <c r="Q24" s="188">
        <f t="shared" si="9"/>
        <v>0</v>
      </c>
      <c r="R24">
        <v>2412</v>
      </c>
      <c r="S24" s="188">
        <f t="shared" si="10"/>
        <v>7.5331919558502478E-3</v>
      </c>
      <c r="T24">
        <v>1669</v>
      </c>
      <c r="U24" s="188">
        <f t="shared" si="11"/>
        <v>5.2180220288695119E-3</v>
      </c>
      <c r="V24">
        <v>1376</v>
      </c>
      <c r="W24" s="188">
        <f t="shared" si="12"/>
        <v>4.1896549624270765E-3</v>
      </c>
      <c r="X24">
        <v>7148</v>
      </c>
      <c r="Y24" s="24">
        <f t="shared" si="13"/>
        <v>2.2149094266892249E-2</v>
      </c>
      <c r="Z24" s="244">
        <v>12190</v>
      </c>
      <c r="AA24" s="279">
        <f t="shared" si="14"/>
        <v>3.8566185775752972E-2</v>
      </c>
      <c r="AB24" s="21">
        <f>2337*2</f>
        <v>4674</v>
      </c>
      <c r="AC24" s="24">
        <f t="shared" si="15"/>
        <v>1.8014268040283509E-2</v>
      </c>
      <c r="AD24" s="21"/>
      <c r="AE24" s="27"/>
      <c r="AF24" s="27"/>
      <c r="AG24" s="27"/>
    </row>
    <row r="25" spans="1:33" ht="14.85" customHeight="1">
      <c r="A25" s="462" t="s">
        <v>237</v>
      </c>
      <c r="B25" s="187">
        <v>0</v>
      </c>
      <c r="C25" s="188">
        <f t="shared" si="2"/>
        <v>0</v>
      </c>
      <c r="D25">
        <v>0</v>
      </c>
      <c r="E25" s="188">
        <f t="shared" si="3"/>
        <v>0</v>
      </c>
      <c r="F25">
        <v>0</v>
      </c>
      <c r="G25" s="188">
        <f t="shared" si="4"/>
        <v>0</v>
      </c>
      <c r="H25">
        <v>0</v>
      </c>
      <c r="I25" s="188">
        <f t="shared" si="5"/>
        <v>0</v>
      </c>
      <c r="J25">
        <v>0</v>
      </c>
      <c r="K25" s="188">
        <f t="shared" si="6"/>
        <v>0</v>
      </c>
      <c r="L25">
        <v>0</v>
      </c>
      <c r="M25" s="188">
        <f t="shared" si="7"/>
        <v>0</v>
      </c>
      <c r="N25">
        <v>0</v>
      </c>
      <c r="O25" s="188">
        <f t="shared" si="8"/>
        <v>0</v>
      </c>
      <c r="P25">
        <v>0</v>
      </c>
      <c r="Q25" s="188">
        <f t="shared" si="9"/>
        <v>0</v>
      </c>
      <c r="R25">
        <v>0</v>
      </c>
      <c r="S25" s="188">
        <f t="shared" si="10"/>
        <v>0</v>
      </c>
      <c r="T25">
        <v>0</v>
      </c>
      <c r="U25" s="188">
        <f t="shared" si="11"/>
        <v>0</v>
      </c>
      <c r="V25">
        <v>0</v>
      </c>
      <c r="W25" s="188">
        <f t="shared" si="12"/>
        <v>0</v>
      </c>
      <c r="X25">
        <v>1643</v>
      </c>
      <c r="Y25" s="24">
        <f t="shared" si="13"/>
        <v>5.091069093523218E-3</v>
      </c>
      <c r="Z25" s="245">
        <v>0</v>
      </c>
      <c r="AA25" s="279">
        <f t="shared" si="14"/>
        <v>0</v>
      </c>
      <c r="AB25" s="281">
        <f>Z25</f>
        <v>0</v>
      </c>
      <c r="AC25" s="24">
        <f t="shared" si="15"/>
        <v>0</v>
      </c>
    </row>
    <row r="26" spans="1:33" ht="14.85" customHeight="1">
      <c r="A26" s="462" t="s">
        <v>238</v>
      </c>
      <c r="B26" s="187">
        <v>0</v>
      </c>
      <c r="C26" s="188">
        <f t="shared" si="2"/>
        <v>0</v>
      </c>
      <c r="D26">
        <v>0</v>
      </c>
      <c r="E26" s="188">
        <f t="shared" si="3"/>
        <v>0</v>
      </c>
      <c r="F26">
        <v>0</v>
      </c>
      <c r="G26" s="188">
        <f t="shared" si="4"/>
        <v>0</v>
      </c>
      <c r="H26">
        <v>0</v>
      </c>
      <c r="I26" s="188">
        <f t="shared" si="5"/>
        <v>0</v>
      </c>
      <c r="J26">
        <v>0</v>
      </c>
      <c r="K26" s="188">
        <f t="shared" si="6"/>
        <v>0</v>
      </c>
      <c r="L26">
        <v>0</v>
      </c>
      <c r="M26" s="188">
        <f t="shared" si="7"/>
        <v>0</v>
      </c>
      <c r="N26">
        <v>0</v>
      </c>
      <c r="O26" s="188">
        <f t="shared" si="8"/>
        <v>0</v>
      </c>
      <c r="P26">
        <v>0</v>
      </c>
      <c r="Q26" s="188">
        <f t="shared" si="9"/>
        <v>0</v>
      </c>
      <c r="R26">
        <v>0</v>
      </c>
      <c r="S26" s="188">
        <f t="shared" si="10"/>
        <v>0</v>
      </c>
      <c r="T26">
        <v>0</v>
      </c>
      <c r="U26" s="188">
        <f t="shared" si="11"/>
        <v>0</v>
      </c>
      <c r="V26">
        <v>0</v>
      </c>
      <c r="W26" s="188">
        <f t="shared" si="12"/>
        <v>0</v>
      </c>
      <c r="X26">
        <v>1057</v>
      </c>
      <c r="Y26" s="24">
        <f t="shared" si="13"/>
        <v>3.2752647789738537E-3</v>
      </c>
      <c r="Z26" s="245">
        <v>0</v>
      </c>
      <c r="AA26" s="279">
        <f t="shared" si="14"/>
        <v>0</v>
      </c>
      <c r="AB26" s="281">
        <f t="shared" ref="AB26:AB27" si="17">Z26</f>
        <v>0</v>
      </c>
      <c r="AC26" s="24">
        <f t="shared" si="15"/>
        <v>0</v>
      </c>
    </row>
    <row r="27" spans="1:33" ht="14.85" customHeight="1">
      <c r="A27" s="462" t="s">
        <v>239</v>
      </c>
      <c r="B27" s="187">
        <v>0</v>
      </c>
      <c r="C27" s="188">
        <f t="shared" si="2"/>
        <v>0</v>
      </c>
      <c r="D27">
        <v>0</v>
      </c>
      <c r="E27" s="188">
        <f t="shared" si="3"/>
        <v>0</v>
      </c>
      <c r="F27">
        <v>0</v>
      </c>
      <c r="G27" s="188">
        <f t="shared" si="4"/>
        <v>0</v>
      </c>
      <c r="H27">
        <v>0</v>
      </c>
      <c r="I27" s="188">
        <f t="shared" si="5"/>
        <v>0</v>
      </c>
      <c r="J27">
        <v>0</v>
      </c>
      <c r="K27" s="188">
        <f t="shared" si="6"/>
        <v>0</v>
      </c>
      <c r="L27">
        <v>0</v>
      </c>
      <c r="M27" s="188">
        <f t="shared" si="7"/>
        <v>0</v>
      </c>
      <c r="N27">
        <v>0</v>
      </c>
      <c r="O27" s="188">
        <f t="shared" si="8"/>
        <v>0</v>
      </c>
      <c r="P27">
        <v>0</v>
      </c>
      <c r="Q27" s="188">
        <f t="shared" si="9"/>
        <v>0</v>
      </c>
      <c r="R27">
        <v>0</v>
      </c>
      <c r="S27" s="188">
        <f t="shared" si="10"/>
        <v>0</v>
      </c>
      <c r="T27">
        <v>0</v>
      </c>
      <c r="U27" s="188">
        <f t="shared" si="11"/>
        <v>0</v>
      </c>
      <c r="V27">
        <v>1119</v>
      </c>
      <c r="W27" s="188">
        <f t="shared" si="12"/>
        <v>3.4071394643574848E-3</v>
      </c>
      <c r="X27">
        <v>1011</v>
      </c>
      <c r="Y27" s="24">
        <f t="shared" si="13"/>
        <v>3.1327272389239037E-3</v>
      </c>
      <c r="Z27" s="245">
        <v>0</v>
      </c>
      <c r="AA27" s="279">
        <f t="shared" si="14"/>
        <v>0</v>
      </c>
      <c r="AB27" s="281">
        <f t="shared" si="17"/>
        <v>0</v>
      </c>
      <c r="AC27" s="24">
        <f t="shared" si="15"/>
        <v>0</v>
      </c>
    </row>
    <row r="28" spans="1:33" ht="14.85" customHeight="1">
      <c r="A28" s="462" t="s">
        <v>240</v>
      </c>
      <c r="B28" s="187">
        <v>0</v>
      </c>
      <c r="C28" s="188">
        <f t="shared" si="2"/>
        <v>0</v>
      </c>
      <c r="D28">
        <v>0</v>
      </c>
      <c r="E28" s="188">
        <f t="shared" si="3"/>
        <v>0</v>
      </c>
      <c r="F28">
        <v>0</v>
      </c>
      <c r="G28" s="188">
        <f t="shared" si="4"/>
        <v>0</v>
      </c>
      <c r="H28">
        <v>0</v>
      </c>
      <c r="I28" s="188">
        <f t="shared" si="5"/>
        <v>0</v>
      </c>
      <c r="J28">
        <v>0</v>
      </c>
      <c r="K28" s="188">
        <f t="shared" si="6"/>
        <v>0</v>
      </c>
      <c r="L28">
        <v>0</v>
      </c>
      <c r="M28" s="188">
        <f t="shared" si="7"/>
        <v>0</v>
      </c>
      <c r="N28">
        <v>0</v>
      </c>
      <c r="O28" s="188">
        <f t="shared" si="8"/>
        <v>0</v>
      </c>
      <c r="P28">
        <v>0</v>
      </c>
      <c r="Q28" s="188">
        <f t="shared" si="9"/>
        <v>0</v>
      </c>
      <c r="R28">
        <v>0</v>
      </c>
      <c r="S28" s="188">
        <f t="shared" si="10"/>
        <v>0</v>
      </c>
      <c r="T28">
        <v>0</v>
      </c>
      <c r="U28" s="188">
        <f t="shared" si="11"/>
        <v>0</v>
      </c>
      <c r="V28">
        <v>1434</v>
      </c>
      <c r="W28" s="188">
        <f t="shared" si="12"/>
        <v>4.3662537907851948E-3</v>
      </c>
      <c r="X28">
        <v>876</v>
      </c>
      <c r="Y28" s="24">
        <f t="shared" si="13"/>
        <v>2.7144105452990498E-3</v>
      </c>
      <c r="Z28" s="245">
        <v>0</v>
      </c>
      <c r="AA28" s="279">
        <f t="shared" si="14"/>
        <v>0</v>
      </c>
      <c r="AB28">
        <f>82</f>
        <v>82</v>
      </c>
      <c r="AC28" s="24">
        <f t="shared" si="15"/>
        <v>3.1603979018041248E-4</v>
      </c>
    </row>
    <row r="29" spans="1:33" ht="14.85" customHeight="1">
      <c r="A29" s="462" t="s">
        <v>241</v>
      </c>
      <c r="B29" s="187">
        <v>0</v>
      </c>
      <c r="C29" s="188">
        <f t="shared" si="2"/>
        <v>0</v>
      </c>
      <c r="D29">
        <v>0</v>
      </c>
      <c r="E29" s="188">
        <f t="shared" si="3"/>
        <v>0</v>
      </c>
      <c r="F29">
        <v>0</v>
      </c>
      <c r="G29" s="188">
        <f t="shared" si="4"/>
        <v>0</v>
      </c>
      <c r="H29">
        <v>0</v>
      </c>
      <c r="I29" s="188">
        <f t="shared" si="5"/>
        <v>0</v>
      </c>
      <c r="J29">
        <v>0</v>
      </c>
      <c r="K29" s="188">
        <f t="shared" si="6"/>
        <v>0</v>
      </c>
      <c r="L29">
        <v>0</v>
      </c>
      <c r="M29" s="188">
        <f t="shared" si="7"/>
        <v>0</v>
      </c>
      <c r="N29">
        <v>0</v>
      </c>
      <c r="O29" s="188">
        <f t="shared" si="8"/>
        <v>0</v>
      </c>
      <c r="P29">
        <v>0</v>
      </c>
      <c r="Q29" s="188">
        <f t="shared" si="9"/>
        <v>0</v>
      </c>
      <c r="R29">
        <v>0</v>
      </c>
      <c r="S29" s="188">
        <f t="shared" si="10"/>
        <v>0</v>
      </c>
      <c r="T29">
        <v>1251</v>
      </c>
      <c r="U29" s="188">
        <f t="shared" si="11"/>
        <v>3.91117169449716E-3</v>
      </c>
      <c r="V29">
        <v>6213</v>
      </c>
      <c r="W29" s="188">
        <f t="shared" si="12"/>
        <v>1.8917388286017026E-2</v>
      </c>
      <c r="X29">
        <v>791</v>
      </c>
      <c r="Y29" s="24">
        <f t="shared" si="13"/>
        <v>2.451025960424142E-3</v>
      </c>
      <c r="Z29" s="244">
        <v>3288</v>
      </c>
      <c r="AA29" s="279">
        <f t="shared" si="14"/>
        <v>1.0402429764616554E-2</v>
      </c>
      <c r="AB29">
        <f>1210*2</f>
        <v>2420</v>
      </c>
      <c r="AC29" s="24">
        <f t="shared" si="15"/>
        <v>9.3270279541048558E-3</v>
      </c>
    </row>
    <row r="30" spans="1:33" ht="14.85" customHeight="1">
      <c r="A30" s="462" t="s">
        <v>242</v>
      </c>
      <c r="B30" s="189">
        <v>0</v>
      </c>
      <c r="C30" s="188">
        <f t="shared" si="2"/>
        <v>0</v>
      </c>
      <c r="D30">
        <v>0</v>
      </c>
      <c r="E30" s="188">
        <f t="shared" si="3"/>
        <v>0</v>
      </c>
      <c r="F30">
        <v>0</v>
      </c>
      <c r="G30" s="188">
        <f t="shared" si="4"/>
        <v>0</v>
      </c>
      <c r="H30">
        <v>0</v>
      </c>
      <c r="I30" s="188">
        <f t="shared" si="5"/>
        <v>0</v>
      </c>
      <c r="J30">
        <v>0</v>
      </c>
      <c r="K30" s="188">
        <f t="shared" si="6"/>
        <v>0</v>
      </c>
      <c r="L30">
        <v>0</v>
      </c>
      <c r="M30" s="188">
        <f t="shared" si="7"/>
        <v>0</v>
      </c>
      <c r="N30">
        <v>0</v>
      </c>
      <c r="O30" s="188">
        <f t="shared" si="8"/>
        <v>0</v>
      </c>
      <c r="P30">
        <v>0</v>
      </c>
      <c r="Q30" s="188">
        <f t="shared" si="9"/>
        <v>0</v>
      </c>
      <c r="R30">
        <v>0</v>
      </c>
      <c r="S30" s="188">
        <f t="shared" si="10"/>
        <v>0</v>
      </c>
      <c r="T30">
        <v>2273</v>
      </c>
      <c r="U30" s="188">
        <f t="shared" si="11"/>
        <v>7.1063894976754948E-3</v>
      </c>
      <c r="V30">
        <v>4970</v>
      </c>
      <c r="W30" s="188">
        <f t="shared" si="12"/>
        <v>1.5132692705859428E-2</v>
      </c>
      <c r="X30">
        <v>0</v>
      </c>
      <c r="Y30" s="24">
        <f t="shared" si="13"/>
        <v>0</v>
      </c>
      <c r="Z30" s="245">
        <v>0</v>
      </c>
      <c r="AA30" s="279">
        <f t="shared" si="14"/>
        <v>0</v>
      </c>
      <c r="AB30" s="281">
        <f>Z30</f>
        <v>0</v>
      </c>
      <c r="AC30" s="24">
        <f t="shared" si="15"/>
        <v>0</v>
      </c>
    </row>
    <row r="31" spans="1:33" ht="14.85" customHeight="1">
      <c r="A31" s="462" t="s">
        <v>243</v>
      </c>
      <c r="B31" s="189">
        <v>0</v>
      </c>
      <c r="C31" s="188">
        <f t="shared" si="2"/>
        <v>0</v>
      </c>
      <c r="D31">
        <v>0</v>
      </c>
      <c r="E31" s="188">
        <f t="shared" si="3"/>
        <v>0</v>
      </c>
      <c r="F31">
        <v>0</v>
      </c>
      <c r="G31" s="188">
        <f t="shared" si="4"/>
        <v>0</v>
      </c>
      <c r="H31">
        <v>0</v>
      </c>
      <c r="I31" s="188">
        <f t="shared" si="5"/>
        <v>0</v>
      </c>
      <c r="J31">
        <v>0</v>
      </c>
      <c r="K31" s="188">
        <f t="shared" si="6"/>
        <v>0</v>
      </c>
      <c r="L31">
        <v>0</v>
      </c>
      <c r="M31" s="188">
        <f t="shared" si="7"/>
        <v>0</v>
      </c>
      <c r="N31">
        <v>0</v>
      </c>
      <c r="O31" s="188">
        <f t="shared" si="8"/>
        <v>0</v>
      </c>
      <c r="P31">
        <v>0</v>
      </c>
      <c r="Q31" s="188">
        <f t="shared" si="9"/>
        <v>0</v>
      </c>
      <c r="R31">
        <v>0</v>
      </c>
      <c r="S31" s="188">
        <f t="shared" si="10"/>
        <v>0</v>
      </c>
      <c r="T31">
        <v>0</v>
      </c>
      <c r="U31" s="188">
        <f t="shared" si="11"/>
        <v>0</v>
      </c>
      <c r="V31">
        <v>2194</v>
      </c>
      <c r="W31" s="188">
        <f t="shared" si="12"/>
        <v>6.6803074037536389E-3</v>
      </c>
      <c r="X31">
        <v>0</v>
      </c>
      <c r="Y31" s="24">
        <f t="shared" si="13"/>
        <v>0</v>
      </c>
      <c r="Z31" s="245">
        <v>0</v>
      </c>
      <c r="AA31" s="279">
        <f t="shared" si="14"/>
        <v>0</v>
      </c>
      <c r="AB31" s="281">
        <f t="shared" ref="AB31:AB32" si="18">Z31</f>
        <v>0</v>
      </c>
      <c r="AC31" s="24">
        <f t="shared" si="15"/>
        <v>0</v>
      </c>
    </row>
    <row r="32" spans="1:33" ht="14.85" customHeight="1">
      <c r="A32" s="462" t="s">
        <v>244</v>
      </c>
      <c r="B32" s="189">
        <v>0</v>
      </c>
      <c r="C32" s="188">
        <f t="shared" si="2"/>
        <v>0</v>
      </c>
      <c r="D32">
        <v>0</v>
      </c>
      <c r="E32" s="188">
        <f t="shared" si="3"/>
        <v>0</v>
      </c>
      <c r="F32">
        <v>0</v>
      </c>
      <c r="G32" s="188">
        <f t="shared" si="4"/>
        <v>0</v>
      </c>
      <c r="H32">
        <v>0</v>
      </c>
      <c r="I32" s="188">
        <f t="shared" si="5"/>
        <v>0</v>
      </c>
      <c r="J32">
        <v>0</v>
      </c>
      <c r="K32" s="188">
        <f t="shared" si="6"/>
        <v>0</v>
      </c>
      <c r="L32">
        <v>0</v>
      </c>
      <c r="M32" s="188">
        <f t="shared" si="7"/>
        <v>0</v>
      </c>
      <c r="N32">
        <v>0</v>
      </c>
      <c r="O32" s="188">
        <f t="shared" si="8"/>
        <v>0</v>
      </c>
      <c r="P32">
        <v>0</v>
      </c>
      <c r="Q32" s="188">
        <f t="shared" si="9"/>
        <v>0</v>
      </c>
      <c r="R32">
        <v>0</v>
      </c>
      <c r="S32" s="188">
        <f t="shared" si="10"/>
        <v>0</v>
      </c>
      <c r="T32">
        <v>0</v>
      </c>
      <c r="U32" s="188">
        <f t="shared" si="11"/>
        <v>0</v>
      </c>
      <c r="V32">
        <v>788</v>
      </c>
      <c r="W32" s="188">
        <f t="shared" si="12"/>
        <v>2.3993082197620178E-3</v>
      </c>
      <c r="X32">
        <v>0</v>
      </c>
      <c r="Y32" s="24">
        <f t="shared" si="13"/>
        <v>0</v>
      </c>
      <c r="Z32" s="245">
        <v>0</v>
      </c>
      <c r="AA32" s="279">
        <f t="shared" si="14"/>
        <v>0</v>
      </c>
      <c r="AB32" s="281">
        <f t="shared" si="18"/>
        <v>0</v>
      </c>
      <c r="AC32" s="24">
        <f t="shared" si="15"/>
        <v>0</v>
      </c>
    </row>
    <row r="33" spans="1:29" ht="14.85" customHeight="1">
      <c r="A33" s="462" t="s">
        <v>245</v>
      </c>
      <c r="B33" s="189">
        <v>0</v>
      </c>
      <c r="C33" s="188">
        <f t="shared" si="2"/>
        <v>0</v>
      </c>
      <c r="D33">
        <v>0</v>
      </c>
      <c r="E33" s="188">
        <f t="shared" si="3"/>
        <v>0</v>
      </c>
      <c r="F33">
        <v>0</v>
      </c>
      <c r="G33" s="188">
        <f t="shared" si="4"/>
        <v>0</v>
      </c>
      <c r="H33">
        <v>0</v>
      </c>
      <c r="I33" s="188">
        <f t="shared" si="5"/>
        <v>0</v>
      </c>
      <c r="J33">
        <v>0</v>
      </c>
      <c r="K33" s="188">
        <f t="shared" si="6"/>
        <v>0</v>
      </c>
      <c r="L33">
        <v>0</v>
      </c>
      <c r="M33" s="188">
        <f t="shared" si="7"/>
        <v>0</v>
      </c>
      <c r="N33">
        <v>0</v>
      </c>
      <c r="O33" s="188">
        <f t="shared" si="8"/>
        <v>0</v>
      </c>
      <c r="P33">
        <v>0</v>
      </c>
      <c r="Q33" s="188">
        <f t="shared" si="9"/>
        <v>0</v>
      </c>
      <c r="R33">
        <v>0</v>
      </c>
      <c r="S33" s="188">
        <f t="shared" si="10"/>
        <v>0</v>
      </c>
      <c r="T33">
        <v>0</v>
      </c>
      <c r="U33" s="188">
        <f t="shared" si="11"/>
        <v>0</v>
      </c>
      <c r="V33">
        <v>0</v>
      </c>
      <c r="W33" s="188">
        <f t="shared" si="12"/>
        <v>0</v>
      </c>
      <c r="X33">
        <v>0</v>
      </c>
      <c r="Y33" s="24">
        <f t="shared" si="13"/>
        <v>0</v>
      </c>
      <c r="Z33" s="245">
        <v>0</v>
      </c>
      <c r="AA33" s="279">
        <f t="shared" si="14"/>
        <v>0</v>
      </c>
      <c r="AB33" s="21">
        <f>319*2</f>
        <v>638</v>
      </c>
      <c r="AC33" s="24">
        <f t="shared" si="15"/>
        <v>2.4589437333549166E-3</v>
      </c>
    </row>
    <row r="34" spans="1:29" ht="14.85" customHeight="1">
      <c r="A34" s="463" t="s">
        <v>246</v>
      </c>
      <c r="B34" s="464"/>
      <c r="C34" s="320"/>
      <c r="D34" s="26"/>
      <c r="E34" s="320"/>
      <c r="F34" s="26">
        <f>SUM(F23:F33)</f>
        <v>0</v>
      </c>
      <c r="G34" s="320">
        <f>F34/F35</f>
        <v>0</v>
      </c>
      <c r="H34" s="26">
        <f>SUM(H23:H33)</f>
        <v>0</v>
      </c>
      <c r="I34" s="320">
        <f>H34/H35</f>
        <v>0</v>
      </c>
      <c r="J34" s="26">
        <f>SUM(J23:J33)</f>
        <v>0</v>
      </c>
      <c r="K34" s="320">
        <f>J34/J35</f>
        <v>0</v>
      </c>
      <c r="L34" s="26">
        <f>SUM(L23:L33)</f>
        <v>0</v>
      </c>
      <c r="M34" s="320">
        <v>0</v>
      </c>
      <c r="N34" s="26">
        <f>SUM(N23:N33)</f>
        <v>0</v>
      </c>
      <c r="O34" s="320">
        <f>N34/N35</f>
        <v>0</v>
      </c>
      <c r="P34" s="26">
        <f>SUM(P23:P33)</f>
        <v>0</v>
      </c>
      <c r="Q34" s="320">
        <f>P34/P35</f>
        <v>0</v>
      </c>
      <c r="R34" s="26">
        <f>SUM(R23:R33)</f>
        <v>2412</v>
      </c>
      <c r="S34" s="320">
        <f>R34/R35</f>
        <v>0.14312841205791599</v>
      </c>
      <c r="T34" s="26">
        <f>SUM(T23:T33)</f>
        <v>5193</v>
      </c>
      <c r="U34" s="320">
        <f>T34/T35</f>
        <v>0.13182879772542649</v>
      </c>
      <c r="V34" s="26">
        <f>SUM(V23:V33)</f>
        <v>18094</v>
      </c>
      <c r="W34" s="320">
        <f>V34/V35</f>
        <v>0.24246891080617497</v>
      </c>
      <c r="X34" s="26">
        <f>SUM(X23:X33)</f>
        <v>12526</v>
      </c>
      <c r="Y34" s="320">
        <f>X34/X35</f>
        <v>0.13008484697427589</v>
      </c>
      <c r="Z34" s="26">
        <f>SUM(Z23:Z33)</f>
        <v>15478</v>
      </c>
      <c r="AA34" s="320">
        <f>Z34/Z35</f>
        <v>0.13525936800894856</v>
      </c>
      <c r="AB34" s="26">
        <f>SUM(AB23:AB33)</f>
        <v>8967</v>
      </c>
      <c r="AC34" s="320">
        <f>AB34/AB35</f>
        <v>8.3386804296275638E-2</v>
      </c>
    </row>
    <row r="35" spans="1:29" ht="14.85" customHeight="1">
      <c r="A35" s="325" t="s">
        <v>247</v>
      </c>
      <c r="B35" s="319">
        <f>SUM(B22:B33)</f>
        <v>966</v>
      </c>
      <c r="C35" s="320">
        <f>(B35/$B$38)</f>
        <v>5.2695316335548067E-3</v>
      </c>
      <c r="D35" s="319">
        <f>SUM(D22:D33)</f>
        <v>543</v>
      </c>
      <c r="E35" s="320">
        <f>(D35/$D$38)</f>
        <v>2.7361366556650124E-3</v>
      </c>
      <c r="F35" s="319">
        <f>SUM(F22:F33)</f>
        <v>652</v>
      </c>
      <c r="G35" s="320">
        <f>(F35/$F$38)</f>
        <v>2.710320000665109E-3</v>
      </c>
      <c r="H35" s="319">
        <f>SUM(H22:H33)</f>
        <v>678</v>
      </c>
      <c r="I35" s="320">
        <f>(H35/$H$38)</f>
        <v>2.6356094944139075E-3</v>
      </c>
      <c r="J35" s="319">
        <f>SUM(J22:J33)</f>
        <v>648</v>
      </c>
      <c r="K35" s="320">
        <f>(J35/$J$38)</f>
        <v>2.424995415710827E-3</v>
      </c>
      <c r="L35" s="319">
        <f>SUM(L22:L33)</f>
        <v>0</v>
      </c>
      <c r="M35" s="320">
        <f>(L35/$L$38)</f>
        <v>0</v>
      </c>
      <c r="N35" s="319">
        <f>SUM(N22:N33)</f>
        <v>978</v>
      </c>
      <c r="O35" s="320">
        <f>(N35/$N$38)</f>
        <v>3.564062010305897E-3</v>
      </c>
      <c r="P35" s="319">
        <f>SUM(P22:P33)</f>
        <v>4697</v>
      </c>
      <c r="Q35" s="320">
        <f>(P35/$P$38)</f>
        <v>1.6442048517520215E-2</v>
      </c>
      <c r="R35" s="319">
        <f>SUM(R22:R33)</f>
        <v>16852</v>
      </c>
      <c r="S35" s="320">
        <f>(R35/$R$38)</f>
        <v>5.2632400845766328E-2</v>
      </c>
      <c r="T35" s="319">
        <f>SUM(T22:T33)</f>
        <v>39392</v>
      </c>
      <c r="U35" s="320">
        <f>(T35/$T$38)</f>
        <v>0.12315657505166436</v>
      </c>
      <c r="V35" s="319">
        <f>SUM(V22:V33)</f>
        <v>74624</v>
      </c>
      <c r="W35" s="320">
        <f>(V35/$V$38)</f>
        <v>0.22721570633441729</v>
      </c>
      <c r="X35" s="319">
        <f>SUM(X22:X33)</f>
        <v>96291</v>
      </c>
      <c r="Y35" s="322">
        <f>(X35/$X$38)</f>
        <v>0.29837135367282058</v>
      </c>
      <c r="Z35" s="319">
        <f>SUM(Z22:Z33)</f>
        <v>114432</v>
      </c>
      <c r="AA35" s="324">
        <f>(Z35/$Z$38)</f>
        <v>0.36203492786636293</v>
      </c>
      <c r="AB35" s="319">
        <f>SUM(AB22:AB33)</f>
        <v>107535</v>
      </c>
      <c r="AC35" s="322">
        <f>AB35/$AB$38</f>
        <v>0.41445535167134945</v>
      </c>
    </row>
    <row r="36" spans="1:29" ht="14.85" customHeight="1">
      <c r="A36" s="325" t="s">
        <v>248</v>
      </c>
      <c r="B36" s="321">
        <f>SUM(B8:B18)</f>
        <v>92897</v>
      </c>
      <c r="C36" s="322">
        <f>(B36/$B$38)</f>
        <v>0.5067532920935206</v>
      </c>
      <c r="D36" s="321">
        <f>SUM(D8:D18)</f>
        <v>101665</v>
      </c>
      <c r="E36" s="320">
        <f>(D36/$D$38)</f>
        <v>0.51228238139628635</v>
      </c>
      <c r="F36" s="321">
        <f>SUM(F8:F18)</f>
        <v>127757</v>
      </c>
      <c r="G36" s="320">
        <f>(F36/$F$38)</f>
        <v>0.53107722749228892</v>
      </c>
      <c r="H36" s="321">
        <f>SUM(H8:H18)</f>
        <v>145716</v>
      </c>
      <c r="I36" s="320">
        <f>(H36/$H$38)</f>
        <v>0.56644612549855</v>
      </c>
      <c r="J36" s="321">
        <f>SUM(J8:J18)</f>
        <v>146804</v>
      </c>
      <c r="K36" s="320">
        <f>(J36/$J$38)</f>
        <v>0.54938121451853739</v>
      </c>
      <c r="L36" s="321">
        <f>SUM(L8:L18)</f>
        <v>140582</v>
      </c>
      <c r="M36" s="320">
        <f>(L36/$L$38)</f>
        <v>0.51645444993864942</v>
      </c>
      <c r="N36" s="321">
        <f>SUM(N8:N18)</f>
        <v>121738</v>
      </c>
      <c r="O36" s="320">
        <f>(N36/$N$38)</f>
        <v>0.44364190287384386</v>
      </c>
      <c r="P36" s="321">
        <f>SUM(P8:P18)</f>
        <v>117373</v>
      </c>
      <c r="Q36" s="320">
        <f>(P36/$P$38)</f>
        <v>0.41086918472363215</v>
      </c>
      <c r="R36" s="321">
        <f>SUM(R8:R18)</f>
        <v>114537</v>
      </c>
      <c r="S36" s="320">
        <f>(R36/$R$38)</f>
        <v>0.35772355184378934</v>
      </c>
      <c r="T36" s="321">
        <f>SUM(T8:T18)</f>
        <v>105745</v>
      </c>
      <c r="U36" s="320">
        <f>(T36/$T$38)</f>
        <v>0.33060499667034543</v>
      </c>
      <c r="V36" s="321">
        <f>SUM(V8:V18)</f>
        <v>95553</v>
      </c>
      <c r="W36" s="320">
        <f>(V36/$V$38)</f>
        <v>0.29094048010522855</v>
      </c>
      <c r="X36" s="321">
        <f>SUM(X8:X18)</f>
        <v>84478</v>
      </c>
      <c r="Y36" s="322">
        <f>(X36/$X$38)</f>
        <v>0.26176709365955836</v>
      </c>
      <c r="Z36" s="321">
        <f>SUM(Z8:Z18)</f>
        <v>72599</v>
      </c>
      <c r="AA36" s="324">
        <f>(Z36/$Z$38)</f>
        <v>0.22968552265249303</v>
      </c>
      <c r="AB36" s="321">
        <f>SUM(AB8:AB18)</f>
        <v>57566</v>
      </c>
      <c r="AC36" s="322">
        <f>AB36/$AB$38</f>
        <v>0.22186764099421494</v>
      </c>
    </row>
    <row r="37" spans="1:29" ht="14.85" customHeight="1">
      <c r="A37" s="325" t="s">
        <v>249</v>
      </c>
      <c r="B37" s="321">
        <f>SUM(B35,B7)</f>
        <v>89817</v>
      </c>
      <c r="C37" s="326">
        <f>B35/B37</f>
        <v>1.0755202244563947E-2</v>
      </c>
      <c r="D37" s="321">
        <f>SUM(D35,D7)</f>
        <v>96422</v>
      </c>
      <c r="E37" s="326">
        <f>D35/D37</f>
        <v>5.6314948870589696E-3</v>
      </c>
      <c r="F37" s="321">
        <f>SUM(F35,F7)</f>
        <v>112805</v>
      </c>
      <c r="G37" s="326">
        <f>F35/F37</f>
        <v>5.7798856433668722E-3</v>
      </c>
      <c r="H37" s="321">
        <f>SUM(H35,H7)</f>
        <v>111071</v>
      </c>
      <c r="I37" s="326">
        <f>H35/H37</f>
        <v>6.1042036175059195E-3</v>
      </c>
      <c r="J37" s="321">
        <f>SUM(J35,J7)</f>
        <v>120413</v>
      </c>
      <c r="K37" s="326">
        <f>J35/J37</f>
        <v>5.3814787439894363E-3</v>
      </c>
      <c r="L37" s="321">
        <f>SUM(L35,L7)</f>
        <v>131624</v>
      </c>
      <c r="M37" s="326">
        <f>L35/L37</f>
        <v>0</v>
      </c>
      <c r="N37" s="321">
        <f>SUM(N35,N7)</f>
        <v>152668</v>
      </c>
      <c r="O37" s="326">
        <f>N35/N37</f>
        <v>6.4060575890166902E-3</v>
      </c>
      <c r="P37" s="321">
        <f>SUM(P35,P7)</f>
        <v>168297</v>
      </c>
      <c r="Q37" s="326">
        <f>P35/P37</f>
        <v>2.7908994218554105E-2</v>
      </c>
      <c r="R37" s="321">
        <f>SUM(R35,R7)</f>
        <v>204720</v>
      </c>
      <c r="S37" s="326">
        <f>R35/R37</f>
        <v>8.2317311449785074E-2</v>
      </c>
      <c r="T37" s="321">
        <f>SUM(T35,T7)</f>
        <v>213234</v>
      </c>
      <c r="U37" s="326">
        <f>T35/T37</f>
        <v>0.18473601770824541</v>
      </c>
      <c r="V37" s="321">
        <f>SUM(V35,V7)</f>
        <v>231679</v>
      </c>
      <c r="W37" s="326">
        <f>V35/V37</f>
        <v>0.32210083779712445</v>
      </c>
      <c r="X37" s="321">
        <f>SUM(X35,X7)</f>
        <v>237109</v>
      </c>
      <c r="Y37" s="326">
        <f>X35/X37</f>
        <v>0.40610436550278561</v>
      </c>
      <c r="Z37" s="321">
        <f>SUM(Z35,Z7)</f>
        <v>242073</v>
      </c>
      <c r="AA37" s="326">
        <f>Z35/Z37</f>
        <v>0.47271690770965785</v>
      </c>
      <c r="AB37" s="323">
        <f>SUM(AB35,AB7)</f>
        <v>200487</v>
      </c>
      <c r="AC37" s="326">
        <f>AB35/AB37</f>
        <v>0.53636894162713789</v>
      </c>
    </row>
    <row r="38" spans="1:29" ht="14.85" customHeight="1">
      <c r="A38" t="s">
        <v>250</v>
      </c>
      <c r="B38" s="192">
        <f>SUM(B7:B33)</f>
        <v>183318</v>
      </c>
      <c r="C38" s="186"/>
      <c r="D38" s="192">
        <f>SUM(D7:D33)</f>
        <v>198455</v>
      </c>
      <c r="E38" s="186"/>
      <c r="F38" s="192">
        <f>SUM(F7:F33)</f>
        <v>240562</v>
      </c>
      <c r="G38" s="186"/>
      <c r="H38" s="192">
        <f>SUM(H7:H33)</f>
        <v>257246</v>
      </c>
      <c r="I38" s="191"/>
      <c r="J38" s="192">
        <f>SUM(J7:J33)</f>
        <v>267217</v>
      </c>
      <c r="K38" s="190"/>
      <c r="L38" s="192">
        <f>SUM(L7:L33)</f>
        <v>272206</v>
      </c>
      <c r="M38" s="190"/>
      <c r="N38" s="192">
        <f>SUM(N7:N33)</f>
        <v>274406</v>
      </c>
      <c r="O38" s="190"/>
      <c r="P38" s="192">
        <f>SUM(P7:P33)</f>
        <v>285670</v>
      </c>
      <c r="Q38" s="193"/>
      <c r="R38" s="192">
        <f>SUM(R7:R33)</f>
        <v>320183</v>
      </c>
      <c r="S38" s="193"/>
      <c r="T38" s="192">
        <f>SUM(T7:T33)</f>
        <v>319853</v>
      </c>
      <c r="U38" s="191"/>
      <c r="V38" s="192">
        <f>SUM(V7:V33)</f>
        <v>328428</v>
      </c>
      <c r="W38" s="194"/>
      <c r="X38" s="192">
        <f>SUM(X7:X33)</f>
        <v>322722</v>
      </c>
      <c r="Y38" s="194"/>
      <c r="Z38" s="192">
        <f>SUM(Z7:Z33)</f>
        <v>316080</v>
      </c>
      <c r="AA38" s="246"/>
      <c r="AB38" s="192">
        <f>SUM(AB7:AB33)</f>
        <v>259461</v>
      </c>
      <c r="AC38" s="61"/>
    </row>
    <row r="39" spans="1:29" ht="14.85" customHeight="1">
      <c r="E39" s="24"/>
      <c r="I39" s="24"/>
      <c r="Q39" s="24"/>
    </row>
    <row r="40" spans="1:29">
      <c r="A40" t="s">
        <v>180</v>
      </c>
      <c r="B40" s="56" t="s">
        <v>141</v>
      </c>
      <c r="C40" s="56" t="s">
        <v>142</v>
      </c>
      <c r="D40" s="56" t="s">
        <v>143</v>
      </c>
      <c r="E40" s="56" t="s">
        <v>144</v>
      </c>
      <c r="F40" s="56" t="s">
        <v>145</v>
      </c>
      <c r="G40" s="56" t="s">
        <v>146</v>
      </c>
      <c r="H40" s="56" t="s">
        <v>147</v>
      </c>
      <c r="I40" s="56" t="s">
        <v>148</v>
      </c>
      <c r="J40" s="56" t="s">
        <v>149</v>
      </c>
      <c r="K40" s="56" t="s">
        <v>150</v>
      </c>
      <c r="L40" s="56" t="s">
        <v>151</v>
      </c>
      <c r="M40" s="56" t="s">
        <v>152</v>
      </c>
      <c r="N40" s="56" t="s">
        <v>153</v>
      </c>
      <c r="O40" s="56" t="s">
        <v>154</v>
      </c>
      <c r="P40" s="56" t="s">
        <v>155</v>
      </c>
      <c r="Q40" s="56" t="s">
        <v>156</v>
      </c>
      <c r="R40" s="56" t="s">
        <v>157</v>
      </c>
      <c r="S40" s="56" t="s">
        <v>158</v>
      </c>
      <c r="T40" s="56" t="s">
        <v>159</v>
      </c>
      <c r="U40" s="56" t="s">
        <v>160</v>
      </c>
      <c r="V40" s="195">
        <v>2019</v>
      </c>
      <c r="W40" s="56">
        <v>2020</v>
      </c>
    </row>
    <row r="41" spans="1:29">
      <c r="A41" s="26" t="s">
        <v>12</v>
      </c>
      <c r="B41">
        <v>0</v>
      </c>
      <c r="C41">
        <v>0</v>
      </c>
      <c r="D41">
        <v>0</v>
      </c>
      <c r="E41">
        <v>0</v>
      </c>
      <c r="F41">
        <v>0</v>
      </c>
      <c r="G41">
        <v>0</v>
      </c>
      <c r="H41">
        <v>0</v>
      </c>
      <c r="I41">
        <v>0</v>
      </c>
      <c r="J41" s="24">
        <f>C37</f>
        <v>1.0755202244563947E-2</v>
      </c>
      <c r="K41" s="24">
        <f>E37</f>
        <v>5.6314948870589696E-3</v>
      </c>
      <c r="L41" s="24">
        <f>G37</f>
        <v>5.7798856433668722E-3</v>
      </c>
      <c r="M41" s="24">
        <f>I37</f>
        <v>6.1042036175059195E-3</v>
      </c>
      <c r="N41" s="24">
        <f>K37</f>
        <v>5.3814787439894363E-3</v>
      </c>
      <c r="O41" s="24">
        <f>M37</f>
        <v>0</v>
      </c>
      <c r="P41" s="24">
        <f>O37</f>
        <v>6.4060575890166902E-3</v>
      </c>
      <c r="Q41" s="24">
        <f>Q37</f>
        <v>2.7908994218554105E-2</v>
      </c>
      <c r="R41" s="24">
        <f>S37</f>
        <v>8.2317311449785074E-2</v>
      </c>
      <c r="S41" s="24">
        <f>U37</f>
        <v>0.18473601770824541</v>
      </c>
      <c r="T41" s="24">
        <f>W37</f>
        <v>0.32210083779712445</v>
      </c>
      <c r="U41" s="24">
        <f>Y37</f>
        <v>0.40610436550278561</v>
      </c>
      <c r="V41" s="24">
        <f>AA37</f>
        <v>0.47271690770965785</v>
      </c>
      <c r="W41" s="24">
        <f>AC37</f>
        <v>0.53636894162713789</v>
      </c>
    </row>
  </sheetData>
  <mergeCells count="15">
    <mergeCell ref="A3:G4"/>
    <mergeCell ref="V5:W5"/>
    <mergeCell ref="X5:Y5"/>
    <mergeCell ref="B5:C5"/>
    <mergeCell ref="D5:E5"/>
    <mergeCell ref="F5:G5"/>
    <mergeCell ref="H5:I5"/>
    <mergeCell ref="J5:K5"/>
    <mergeCell ref="L5:M5"/>
    <mergeCell ref="AB5:AC5"/>
    <mergeCell ref="Z5:AA5"/>
    <mergeCell ref="N5:O5"/>
    <mergeCell ref="P5:Q5"/>
    <mergeCell ref="R5:S5"/>
    <mergeCell ref="T5:U5"/>
  </mergeCells>
  <phoneticPr fontId="40" type="noConversion"/>
  <hyperlinks>
    <hyperlink ref="AB4" r:id="rId1" display="https://www.nflis.deadiversion.usdoj.gov/DesktopModules/ReportDownloads/Reports/NFLIS_Snapshot_032020.pdf" xr:uid="{60BFA226-14F1-4B8A-A7B1-10951700FA17}"/>
    <hyperlink ref="AB3" r:id="rId2" display="https://www.nflis.deadiversion.usdoj.gov/DesktopModules/ReportDownloads/Reports/13915NFLISdrugMidYear2020.pdf" xr:uid="{136A67D5-B0BA-41F9-ABB8-901098CCEA22}"/>
  </hyperlinks>
  <pageMargins left="0.7" right="0.7" top="0.75" bottom="0.75" header="0.3" footer="0.3"/>
  <pageSetup orientation="portrait" r:id="rId3"/>
  <ignoredErrors>
    <ignoredError sqref="E40:U40 E1:U1 B40:D40 B1:D1" numberStoredAsText="1"/>
    <ignoredError sqref="AB18" formula="1"/>
    <ignoredError sqref="B35" formulaRange="1"/>
  </ignoredError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5EE9-2B6F-46E3-8E78-3355AAA71A4E}">
  <dimension ref="A1:AJ116"/>
  <sheetViews>
    <sheetView tabSelected="1" topLeftCell="A56" zoomScale="49" zoomScaleNormal="70" workbookViewId="0">
      <selection activeCell="A68" sqref="A68"/>
    </sheetView>
  </sheetViews>
  <sheetFormatPr defaultColWidth="8.89453125" defaultRowHeight="14.4"/>
  <cols>
    <col min="1" max="1" width="39.89453125" customWidth="1"/>
    <col min="2" max="23" width="15.7890625" customWidth="1"/>
    <col min="24" max="24" width="18.3125" customWidth="1"/>
    <col min="25" max="25" width="16.68359375" bestFit="1" customWidth="1"/>
    <col min="26" max="26" width="16" customWidth="1"/>
    <col min="27" max="27" width="17.89453125" customWidth="1"/>
    <col min="28" max="28" width="16.68359375" bestFit="1" customWidth="1"/>
    <col min="29" max="29" width="17.68359375" bestFit="1" customWidth="1"/>
    <col min="30" max="30" width="22.41796875" customWidth="1"/>
    <col min="31" max="31" width="17.3125" customWidth="1"/>
    <col min="32" max="32" width="12.41796875" customWidth="1"/>
    <col min="33" max="33" width="12.68359375" customWidth="1"/>
    <col min="34" max="36" width="9" bestFit="1" customWidth="1"/>
  </cols>
  <sheetData>
    <row r="1" spans="1:27">
      <c r="A1" s="531"/>
      <c r="B1" s="532">
        <v>1999</v>
      </c>
      <c r="C1" s="532">
        <v>2000</v>
      </c>
      <c r="D1" s="532">
        <v>2001</v>
      </c>
      <c r="E1" s="532">
        <v>2002</v>
      </c>
      <c r="F1" s="532">
        <v>2003</v>
      </c>
      <c r="G1" s="532">
        <v>2004</v>
      </c>
      <c r="H1" s="532">
        <v>2005</v>
      </c>
      <c r="I1" s="532">
        <v>2006</v>
      </c>
      <c r="J1" s="532">
        <v>2007</v>
      </c>
      <c r="K1" s="532">
        <v>2008</v>
      </c>
      <c r="L1" s="532">
        <v>2009</v>
      </c>
      <c r="M1" s="532">
        <v>2010</v>
      </c>
      <c r="N1" s="532">
        <v>2011</v>
      </c>
      <c r="O1" s="532">
        <v>2012</v>
      </c>
      <c r="P1" s="532">
        <v>2013</v>
      </c>
      <c r="Q1" s="532">
        <v>2014</v>
      </c>
      <c r="R1" s="532">
        <v>2015</v>
      </c>
      <c r="S1" s="532">
        <v>2016</v>
      </c>
      <c r="T1" s="532">
        <v>2017</v>
      </c>
      <c r="U1" s="532">
        <v>2018</v>
      </c>
      <c r="V1" s="532">
        <v>2019</v>
      </c>
      <c r="W1" s="533">
        <v>2020</v>
      </c>
    </row>
    <row r="2" spans="1:27">
      <c r="A2" s="74" t="s">
        <v>251</v>
      </c>
      <c r="B2" s="112">
        <f t="shared" ref="B2:V2" si="0">B51</f>
        <v>50615800.308805212</v>
      </c>
      <c r="C2" s="112">
        <f t="shared" si="0"/>
        <v>55268292.708259083</v>
      </c>
      <c r="D2" s="112">
        <f t="shared" si="0"/>
        <v>61600655.974125087</v>
      </c>
      <c r="E2" s="112">
        <f t="shared" si="0"/>
        <v>64144383.982784502</v>
      </c>
      <c r="F2" s="112">
        <f t="shared" si="0"/>
        <v>67962522.71045579</v>
      </c>
      <c r="G2" s="112">
        <f t="shared" si="0"/>
        <v>72565755.505764052</v>
      </c>
      <c r="H2" s="112">
        <f t="shared" si="0"/>
        <v>76938987.677525371</v>
      </c>
      <c r="I2" s="112">
        <f t="shared" si="0"/>
        <v>83200866.264006272</v>
      </c>
      <c r="J2" s="112">
        <f t="shared" si="0"/>
        <v>89963829.540194139</v>
      </c>
      <c r="K2" s="112">
        <f t="shared" si="0"/>
        <v>95576169.900532424</v>
      </c>
      <c r="L2" s="112">
        <f t="shared" si="0"/>
        <v>100503576.55517608</v>
      </c>
      <c r="M2" s="112">
        <f t="shared" si="0"/>
        <v>109073194.77822027</v>
      </c>
      <c r="N2" s="112">
        <f t="shared" si="0"/>
        <v>109066341.52647889</v>
      </c>
      <c r="O2" s="112">
        <f t="shared" si="0"/>
        <v>114059108.02698019</v>
      </c>
      <c r="P2" s="112">
        <f t="shared" si="0"/>
        <v>109256435.34644848</v>
      </c>
      <c r="Q2" s="112">
        <f t="shared" si="0"/>
        <v>112819821.18383473</v>
      </c>
      <c r="R2" s="112">
        <f t="shared" si="0"/>
        <v>108159505.44816807</v>
      </c>
      <c r="S2" s="112">
        <f t="shared" si="0"/>
        <v>105696730.38438496</v>
      </c>
      <c r="T2" s="112">
        <f t="shared" si="0"/>
        <v>99733895.461657792</v>
      </c>
      <c r="U2" s="112">
        <f t="shared" si="0"/>
        <v>88986086.68498829</v>
      </c>
      <c r="V2" s="112">
        <f t="shared" si="0"/>
        <v>78456550.964611903</v>
      </c>
      <c r="W2" s="534"/>
    </row>
    <row r="3" spans="1:27">
      <c r="A3" s="446" t="s">
        <v>3</v>
      </c>
      <c r="B3" s="19">
        <f t="shared" ref="B3:W3" si="1">B55</f>
        <v>156716600</v>
      </c>
      <c r="C3" s="19">
        <f t="shared" si="1"/>
        <v>167976040</v>
      </c>
      <c r="D3" s="19">
        <f t="shared" si="1"/>
        <v>183715880</v>
      </c>
      <c r="E3" s="19">
        <f t="shared" si="1"/>
        <v>187651428</v>
      </c>
      <c r="F3" s="19">
        <f t="shared" si="1"/>
        <v>194953119</v>
      </c>
      <c r="G3" s="19">
        <f t="shared" si="1"/>
        <v>204027579</v>
      </c>
      <c r="H3" s="19">
        <f t="shared" si="1"/>
        <v>211944467</v>
      </c>
      <c r="I3" s="19">
        <f t="shared" si="1"/>
        <v>224458726</v>
      </c>
      <c r="J3" s="19">
        <f t="shared" si="1"/>
        <v>237583497</v>
      </c>
      <c r="K3" s="19">
        <f t="shared" si="1"/>
        <v>246965271</v>
      </c>
      <c r="L3" s="19">
        <f t="shared" si="1"/>
        <v>253048448</v>
      </c>
      <c r="M3" s="19">
        <f t="shared" si="1"/>
        <v>259934115</v>
      </c>
      <c r="N3" s="19">
        <f t="shared" si="1"/>
        <v>260625937</v>
      </c>
      <c r="O3" s="19">
        <f t="shared" si="1"/>
        <v>263067911</v>
      </c>
      <c r="P3" s="19">
        <f t="shared" si="1"/>
        <v>253919348</v>
      </c>
      <c r="Q3" s="19">
        <f t="shared" si="1"/>
        <v>246326325</v>
      </c>
      <c r="R3" s="19">
        <f t="shared" si="1"/>
        <v>229140550</v>
      </c>
      <c r="S3" s="19">
        <f t="shared" si="1"/>
        <v>217313967</v>
      </c>
      <c r="T3" s="19">
        <f t="shared" si="1"/>
        <v>193782638</v>
      </c>
      <c r="U3" s="19">
        <f t="shared" si="1"/>
        <v>169863949</v>
      </c>
      <c r="V3" s="19">
        <f t="shared" si="1"/>
        <v>154658303</v>
      </c>
      <c r="W3" s="396">
        <f t="shared" si="1"/>
        <v>144174733</v>
      </c>
    </row>
    <row r="4" spans="1:27">
      <c r="A4" s="26" t="s">
        <v>5</v>
      </c>
      <c r="B4" s="19">
        <f t="shared" ref="B4:W4" si="2">B58</f>
        <v>83860335346.247116</v>
      </c>
      <c r="C4" s="19">
        <f t="shared" si="2"/>
        <v>88243037645.415298</v>
      </c>
      <c r="D4" s="19">
        <f t="shared" si="2"/>
        <v>104432410000.00002</v>
      </c>
      <c r="E4" s="19">
        <f t="shared" si="2"/>
        <v>113914397673</v>
      </c>
      <c r="F4" s="19">
        <f t="shared" si="2"/>
        <v>128182380208</v>
      </c>
      <c r="G4" s="19">
        <f t="shared" si="2"/>
        <v>141266597589</v>
      </c>
      <c r="H4" s="19">
        <f t="shared" si="2"/>
        <v>152741116253</v>
      </c>
      <c r="I4" s="19">
        <f t="shared" si="2"/>
        <v>172377484435</v>
      </c>
      <c r="J4" s="19">
        <f t="shared" si="2"/>
        <v>194816933897</v>
      </c>
      <c r="K4" s="19">
        <f t="shared" si="2"/>
        <v>214803554568</v>
      </c>
      <c r="L4" s="19">
        <f t="shared" si="2"/>
        <v>227757668789</v>
      </c>
      <c r="M4" s="19">
        <f t="shared" si="2"/>
        <v>245404960604</v>
      </c>
      <c r="N4" s="19">
        <f t="shared" si="2"/>
        <v>246463188398</v>
      </c>
      <c r="O4" s="19">
        <f t="shared" si="2"/>
        <v>239867616739</v>
      </c>
      <c r="P4" s="19">
        <f t="shared" si="2"/>
        <v>228965844787</v>
      </c>
      <c r="Q4" s="19">
        <f t="shared" si="2"/>
        <v>221271525079</v>
      </c>
      <c r="R4" s="19">
        <f t="shared" si="2"/>
        <v>209409702158</v>
      </c>
      <c r="S4" s="19">
        <f t="shared" si="2"/>
        <v>197124327717</v>
      </c>
      <c r="T4" s="19">
        <f t="shared" si="2"/>
        <v>170285611746</v>
      </c>
      <c r="U4" s="19">
        <f t="shared" si="2"/>
        <v>141100706124</v>
      </c>
      <c r="V4" s="19">
        <f t="shared" si="2"/>
        <v>120407890118</v>
      </c>
      <c r="W4" s="396">
        <f t="shared" si="2"/>
        <v>110314545203</v>
      </c>
      <c r="AA4" s="49"/>
    </row>
    <row r="5" spans="1:27" ht="14.7" thickBot="1">
      <c r="A5" s="75" t="s">
        <v>252</v>
      </c>
      <c r="B5" s="535">
        <f t="shared" ref="B5:W5" si="3">B68</f>
        <v>0</v>
      </c>
      <c r="C5" s="535">
        <f t="shared" si="3"/>
        <v>0</v>
      </c>
      <c r="D5" s="535">
        <f t="shared" si="3"/>
        <v>0</v>
      </c>
      <c r="E5" s="535">
        <f t="shared" si="3"/>
        <v>0</v>
      </c>
      <c r="F5" s="535">
        <f t="shared" si="3"/>
        <v>0</v>
      </c>
      <c r="G5" s="535">
        <f t="shared" si="3"/>
        <v>0</v>
      </c>
      <c r="H5" s="535">
        <f t="shared" si="3"/>
        <v>0</v>
      </c>
      <c r="I5" s="535">
        <f t="shared" si="3"/>
        <v>0</v>
      </c>
      <c r="J5" s="535">
        <f t="shared" si="3"/>
        <v>0</v>
      </c>
      <c r="K5" s="535">
        <f t="shared" si="3"/>
        <v>0</v>
      </c>
      <c r="L5" s="535">
        <f t="shared" si="3"/>
        <v>1.2868150677794213E-4</v>
      </c>
      <c r="M5" s="535">
        <f t="shared" si="3"/>
        <v>3.0440046129983321E-2</v>
      </c>
      <c r="N5" s="535">
        <f t="shared" si="3"/>
        <v>0.10357235362782942</v>
      </c>
      <c r="O5" s="535">
        <f t="shared" si="3"/>
        <v>9.0387600251146713E-2</v>
      </c>
      <c r="P5" s="535">
        <f t="shared" si="3"/>
        <v>8.5121503878147764E-2</v>
      </c>
      <c r="Q5" s="535">
        <f t="shared" si="3"/>
        <v>7.9822156563950336E-2</v>
      </c>
      <c r="R5" s="535">
        <f t="shared" si="3"/>
        <v>7.5699132306866743E-2</v>
      </c>
      <c r="S5" s="535">
        <f t="shared" si="3"/>
        <v>7.0648063363307451E-2</v>
      </c>
      <c r="T5" s="535">
        <f t="shared" si="3"/>
        <v>6.5304469508482815E-2</v>
      </c>
      <c r="U5" s="535">
        <f t="shared" si="3"/>
        <v>6.2178924571006849E-2</v>
      </c>
      <c r="V5" s="535">
        <f t="shared" si="3"/>
        <v>5.5745186078936089E-2</v>
      </c>
      <c r="W5" s="536">
        <f t="shared" si="3"/>
        <v>4.9272336100354815E-2</v>
      </c>
      <c r="AA5" s="49"/>
    </row>
    <row r="6" spans="1:27" ht="14.7" thickBot="1"/>
    <row r="7" spans="1:27" ht="18.600000000000001" thickBot="1">
      <c r="A7" s="679" t="s">
        <v>253</v>
      </c>
      <c r="B7" s="680"/>
      <c r="C7" s="681"/>
      <c r="X7" s="537"/>
      <c r="Y7" s="447"/>
      <c r="Z7" s="283"/>
    </row>
    <row r="8" spans="1:27" ht="40.950000000000003" customHeight="1" thickBot="1">
      <c r="A8" s="692" t="s">
        <v>254</v>
      </c>
      <c r="B8" s="693"/>
      <c r="C8" s="693"/>
      <c r="D8" s="693"/>
      <c r="E8" s="693"/>
      <c r="F8" s="693"/>
      <c r="G8" s="693"/>
      <c r="H8" s="693"/>
      <c r="I8" s="693"/>
      <c r="J8" s="693"/>
      <c r="K8" s="693"/>
      <c r="L8" s="693"/>
      <c r="M8" s="693"/>
      <c r="N8" s="693"/>
      <c r="O8" s="693"/>
      <c r="P8" s="693"/>
      <c r="Q8" s="693"/>
      <c r="R8" s="693"/>
      <c r="S8" s="693"/>
      <c r="T8" s="693"/>
      <c r="U8" s="693"/>
      <c r="V8" s="693"/>
      <c r="W8" s="694"/>
    </row>
    <row r="9" spans="1:27" ht="45.6" customHeight="1">
      <c r="A9" s="699" t="s">
        <v>255</v>
      </c>
      <c r="B9" s="700"/>
      <c r="C9" s="700"/>
      <c r="D9" s="700"/>
      <c r="E9" s="700"/>
      <c r="F9" s="700"/>
      <c r="G9" s="700"/>
      <c r="H9" s="700"/>
      <c r="I9" s="700"/>
      <c r="J9" s="700"/>
      <c r="K9" s="700"/>
      <c r="L9" s="700"/>
      <c r="M9" s="700"/>
      <c r="N9" s="700"/>
      <c r="O9" s="700"/>
      <c r="P9" s="700"/>
      <c r="Q9" s="700"/>
      <c r="R9" s="700"/>
      <c r="S9" s="700"/>
      <c r="T9" s="700"/>
      <c r="U9" s="700"/>
      <c r="V9" s="700"/>
      <c r="W9" s="701"/>
      <c r="X9" s="537"/>
      <c r="Y9" s="425"/>
      <c r="Z9" s="283"/>
    </row>
    <row r="10" spans="1:27" ht="41.25" customHeight="1">
      <c r="A10" s="538"/>
      <c r="W10" s="539"/>
      <c r="X10" s="5"/>
    </row>
    <row r="11" spans="1:27">
      <c r="A11" s="538"/>
      <c r="B11" s="511">
        <v>1999</v>
      </c>
      <c r="C11" s="511">
        <v>2000</v>
      </c>
      <c r="D11" s="511">
        <v>2001</v>
      </c>
      <c r="E11" s="511">
        <v>2002</v>
      </c>
      <c r="F11" s="511">
        <v>2003</v>
      </c>
      <c r="G11" s="511">
        <v>2004</v>
      </c>
      <c r="H11" s="511">
        <v>2005</v>
      </c>
      <c r="I11" s="511">
        <v>2006</v>
      </c>
      <c r="J11" s="511">
        <v>2007</v>
      </c>
      <c r="K11" s="511">
        <v>2008</v>
      </c>
      <c r="L11" s="511">
        <v>2009</v>
      </c>
      <c r="M11" s="511">
        <v>2010</v>
      </c>
      <c r="N11" s="511">
        <v>2011</v>
      </c>
      <c r="O11" s="511">
        <v>2012</v>
      </c>
      <c r="P11" s="511">
        <v>2013</v>
      </c>
      <c r="Q11" s="511">
        <v>2014</v>
      </c>
      <c r="R11" s="511">
        <v>2015</v>
      </c>
      <c r="S11" s="511">
        <v>2016</v>
      </c>
      <c r="T11" s="511">
        <v>2017</v>
      </c>
      <c r="U11" s="511">
        <v>2018</v>
      </c>
      <c r="V11" s="511">
        <v>2019</v>
      </c>
      <c r="W11" s="436">
        <v>2020</v>
      </c>
    </row>
    <row r="12" spans="1:27" ht="24" customHeight="1">
      <c r="A12" s="540" t="s">
        <v>256</v>
      </c>
      <c r="C12" s="541"/>
      <c r="D12" s="541"/>
      <c r="E12" s="542"/>
      <c r="F12" s="542"/>
      <c r="G12" s="542"/>
      <c r="H12" s="542"/>
      <c r="I12" s="542"/>
      <c r="J12" s="542"/>
      <c r="K12" s="542"/>
      <c r="L12" s="543">
        <v>23258806</v>
      </c>
      <c r="M12" s="543">
        <v>25429918</v>
      </c>
      <c r="N12" s="543">
        <v>25798751</v>
      </c>
      <c r="O12" s="543">
        <v>25993402</v>
      </c>
      <c r="P12" s="543">
        <v>25589547</v>
      </c>
      <c r="Q12" s="543">
        <v>25291294</v>
      </c>
      <c r="R12" s="543">
        <v>25137513</v>
      </c>
      <c r="S12" s="543">
        <v>24370396</v>
      </c>
      <c r="T12" s="543">
        <v>23159070</v>
      </c>
      <c r="U12" s="543">
        <v>21477752</v>
      </c>
      <c r="V12" s="543">
        <v>20326898</v>
      </c>
      <c r="W12" s="544"/>
    </row>
    <row r="13" spans="1:27">
      <c r="A13" s="540" t="s">
        <v>257</v>
      </c>
      <c r="C13" s="541"/>
      <c r="D13" s="541"/>
      <c r="E13" s="542"/>
      <c r="F13" s="542"/>
      <c r="G13" s="542"/>
      <c r="H13" s="542"/>
      <c r="I13" s="542"/>
      <c r="J13" s="542"/>
      <c r="K13" s="542"/>
      <c r="L13" s="543">
        <v>9281438</v>
      </c>
      <c r="M13" s="543">
        <v>9778929</v>
      </c>
      <c r="N13" s="543">
        <v>9937157</v>
      </c>
      <c r="O13" s="543">
        <v>9821515</v>
      </c>
      <c r="P13" s="543">
        <v>9543836</v>
      </c>
      <c r="Q13" s="543">
        <v>9253083</v>
      </c>
      <c r="R13" s="543">
        <v>8856090</v>
      </c>
      <c r="S13" s="543">
        <v>8266434</v>
      </c>
      <c r="T13" s="543">
        <v>7393821</v>
      </c>
      <c r="U13" s="543">
        <v>6480323</v>
      </c>
      <c r="V13" s="543">
        <v>5918623</v>
      </c>
      <c r="W13" s="544"/>
    </row>
    <row r="14" spans="1:27">
      <c r="A14" s="540" t="s">
        <v>258</v>
      </c>
      <c r="C14" s="541"/>
      <c r="D14" s="541"/>
      <c r="E14" s="542"/>
      <c r="F14" s="542"/>
      <c r="G14" s="542"/>
      <c r="H14" s="542"/>
      <c r="I14" s="542"/>
      <c r="J14" s="542"/>
      <c r="K14" s="542"/>
      <c r="L14" s="543">
        <v>4202336</v>
      </c>
      <c r="M14" s="543">
        <v>4289866</v>
      </c>
      <c r="N14" s="543">
        <v>4363507</v>
      </c>
      <c r="O14" s="543">
        <v>4237278</v>
      </c>
      <c r="P14" s="543">
        <v>4098103</v>
      </c>
      <c r="Q14" s="543">
        <v>3887087</v>
      </c>
      <c r="R14" s="543">
        <v>3644195</v>
      </c>
      <c r="S14" s="543">
        <v>3304716</v>
      </c>
      <c r="T14" s="543">
        <v>2825160</v>
      </c>
      <c r="U14" s="543">
        <v>2421720</v>
      </c>
      <c r="V14" s="543">
        <v>2200193</v>
      </c>
      <c r="W14" s="544"/>
    </row>
    <row r="15" spans="1:27">
      <c r="A15" s="540" t="s">
        <v>259</v>
      </c>
      <c r="C15" s="541"/>
      <c r="D15" s="541"/>
      <c r="E15" s="542"/>
      <c r="F15" s="542"/>
      <c r="G15" s="542"/>
      <c r="H15" s="542"/>
      <c r="I15" s="542"/>
      <c r="J15" s="542"/>
      <c r="K15" s="542"/>
      <c r="L15" s="543">
        <v>2227083</v>
      </c>
      <c r="M15" s="543">
        <v>2224468</v>
      </c>
      <c r="N15" s="543">
        <v>2266880</v>
      </c>
      <c r="O15" s="543">
        <v>2165440</v>
      </c>
      <c r="P15" s="543">
        <v>2088347</v>
      </c>
      <c r="Q15" s="543">
        <v>1942296</v>
      </c>
      <c r="R15" s="543">
        <v>1784569</v>
      </c>
      <c r="S15" s="543">
        <v>1587844</v>
      </c>
      <c r="T15" s="543">
        <v>1320046</v>
      </c>
      <c r="U15" s="543">
        <v>1125235</v>
      </c>
      <c r="V15" s="543">
        <v>1036166</v>
      </c>
      <c r="W15" s="544"/>
    </row>
    <row r="16" spans="1:27">
      <c r="A16" s="540" t="s">
        <v>260</v>
      </c>
      <c r="C16" s="541"/>
      <c r="D16" s="541"/>
      <c r="E16" s="542"/>
      <c r="F16" s="542"/>
      <c r="G16" s="542"/>
      <c r="H16" s="542"/>
      <c r="I16" s="542"/>
      <c r="J16" s="542"/>
      <c r="K16" s="542"/>
      <c r="L16" s="543">
        <v>5046641</v>
      </c>
      <c r="M16" s="543">
        <v>4896697</v>
      </c>
      <c r="N16" s="543">
        <v>5032950</v>
      </c>
      <c r="O16" s="543">
        <v>4655017</v>
      </c>
      <c r="P16" s="543">
        <v>4605484</v>
      </c>
      <c r="Q16" s="543">
        <v>3946240</v>
      </c>
      <c r="R16" s="543">
        <v>3539867</v>
      </c>
      <c r="S16" s="543">
        <v>3075285</v>
      </c>
      <c r="T16" s="543">
        <v>2443596</v>
      </c>
      <c r="U16" s="543">
        <v>2132075</v>
      </c>
      <c r="V16" s="543">
        <v>2206189</v>
      </c>
      <c r="W16" s="544"/>
    </row>
    <row r="17" spans="1:36">
      <c r="A17" s="540" t="s">
        <v>261</v>
      </c>
      <c r="C17" s="541"/>
      <c r="D17" s="541"/>
      <c r="E17" s="542"/>
      <c r="F17" s="542"/>
      <c r="G17" s="542"/>
      <c r="H17" s="542"/>
      <c r="I17" s="542"/>
      <c r="J17" s="542"/>
      <c r="K17" s="542"/>
      <c r="L17" s="543">
        <v>44016304</v>
      </c>
      <c r="M17" s="543">
        <v>46619878</v>
      </c>
      <c r="N17" s="543">
        <v>47399246</v>
      </c>
      <c r="O17" s="543">
        <v>46872652</v>
      </c>
      <c r="P17" s="543">
        <v>45925317</v>
      </c>
      <c r="Q17" s="543">
        <v>44320000</v>
      </c>
      <c r="R17" s="543">
        <v>42962235</v>
      </c>
      <c r="S17" s="543">
        <v>40604676</v>
      </c>
      <c r="T17" s="543">
        <v>37141693</v>
      </c>
      <c r="U17" s="543">
        <v>33637105</v>
      </c>
      <c r="V17" s="543">
        <v>31688069</v>
      </c>
      <c r="W17" s="544"/>
    </row>
    <row r="18" spans="1:36">
      <c r="A18" s="540"/>
      <c r="B18" s="511">
        <v>1999</v>
      </c>
      <c r="C18" s="511">
        <v>2000</v>
      </c>
      <c r="D18" s="511">
        <v>2001</v>
      </c>
      <c r="E18" s="511">
        <v>2002</v>
      </c>
      <c r="F18" s="511">
        <v>2003</v>
      </c>
      <c r="G18" s="511">
        <v>2004</v>
      </c>
      <c r="H18" s="511">
        <v>2005</v>
      </c>
      <c r="I18" s="511">
        <v>2006</v>
      </c>
      <c r="J18" s="511">
        <v>2007</v>
      </c>
      <c r="K18" s="511">
        <v>2008</v>
      </c>
      <c r="L18" s="511">
        <v>2009</v>
      </c>
      <c r="M18" s="511">
        <v>2010</v>
      </c>
      <c r="N18" s="511">
        <v>2011</v>
      </c>
      <c r="O18" s="511">
        <v>2012</v>
      </c>
      <c r="P18" s="511">
        <v>2013</v>
      </c>
      <c r="Q18" s="511">
        <v>2014</v>
      </c>
      <c r="R18" s="511">
        <v>2015</v>
      </c>
      <c r="S18" s="511">
        <v>2016</v>
      </c>
      <c r="T18" s="511">
        <v>2017</v>
      </c>
      <c r="U18" s="511">
        <v>2018</v>
      </c>
      <c r="V18" s="511">
        <v>2019</v>
      </c>
      <c r="W18" s="436">
        <v>2020</v>
      </c>
      <c r="Y18" s="545"/>
      <c r="Z18" s="545"/>
      <c r="AA18" s="545"/>
    </row>
    <row r="19" spans="1:36">
      <c r="A19" s="540" t="s">
        <v>262</v>
      </c>
      <c r="C19" s="541"/>
      <c r="D19" s="541"/>
      <c r="E19" s="542"/>
      <c r="F19" s="542"/>
      <c r="G19" s="542"/>
      <c r="H19" s="542"/>
      <c r="I19" s="542"/>
      <c r="J19" s="542"/>
      <c r="K19" s="542"/>
      <c r="L19" s="543">
        <v>23258806</v>
      </c>
      <c r="M19" s="543">
        <v>25429918</v>
      </c>
      <c r="N19" s="543">
        <v>25798751</v>
      </c>
      <c r="O19" s="543">
        <v>25993402</v>
      </c>
      <c r="P19" s="543">
        <v>25589547</v>
      </c>
      <c r="Q19" s="543">
        <v>25291294</v>
      </c>
      <c r="R19" s="543">
        <v>25137513</v>
      </c>
      <c r="S19" s="543">
        <v>24370396</v>
      </c>
      <c r="T19" s="543">
        <v>23159070</v>
      </c>
      <c r="U19" s="543">
        <v>21477752</v>
      </c>
      <c r="V19" s="543">
        <v>20326898</v>
      </c>
      <c r="W19" s="544"/>
      <c r="Y19" s="545"/>
      <c r="Z19" s="545"/>
      <c r="AA19" s="545"/>
    </row>
    <row r="20" spans="1:36">
      <c r="A20" s="540" t="s">
        <v>263</v>
      </c>
      <c r="C20" s="541"/>
      <c r="D20" s="541"/>
      <c r="E20" s="542"/>
      <c r="F20" s="542"/>
      <c r="G20" s="542"/>
      <c r="H20" s="542"/>
      <c r="I20" s="542"/>
      <c r="J20" s="542"/>
      <c r="K20" s="542"/>
      <c r="L20" s="543">
        <v>18562877</v>
      </c>
      <c r="M20" s="543">
        <v>19557858</v>
      </c>
      <c r="N20" s="543">
        <v>19874314</v>
      </c>
      <c r="O20" s="543">
        <v>19643030</v>
      </c>
      <c r="P20" s="543">
        <v>19087671</v>
      </c>
      <c r="Q20" s="543">
        <v>18506166</v>
      </c>
      <c r="R20" s="543">
        <v>17712180</v>
      </c>
      <c r="S20" s="543">
        <v>16532869</v>
      </c>
      <c r="T20" s="543">
        <v>14787642</v>
      </c>
      <c r="U20" s="543">
        <v>12960645</v>
      </c>
      <c r="V20" s="543">
        <v>11837245</v>
      </c>
      <c r="W20" s="544"/>
      <c r="Y20" s="546"/>
      <c r="Z20" s="545"/>
      <c r="AA20" s="545"/>
      <c r="AB20" s="545"/>
      <c r="AC20" s="545"/>
      <c r="AD20" s="545"/>
      <c r="AE20" s="545"/>
      <c r="AF20" s="545"/>
      <c r="AG20" s="545"/>
      <c r="AH20" s="545"/>
      <c r="AI20" s="545"/>
      <c r="AJ20" s="545"/>
    </row>
    <row r="21" spans="1:36">
      <c r="A21" s="540" t="s">
        <v>264</v>
      </c>
      <c r="C21" s="541"/>
      <c r="D21" s="541"/>
      <c r="E21" s="542"/>
      <c r="F21" s="542"/>
      <c r="G21" s="542"/>
      <c r="H21" s="542"/>
      <c r="I21" s="542"/>
      <c r="J21" s="542"/>
      <c r="K21" s="542"/>
      <c r="L21" s="543">
        <v>12607007</v>
      </c>
      <c r="M21" s="543">
        <v>12869597</v>
      </c>
      <c r="N21" s="543">
        <v>13090522</v>
      </c>
      <c r="O21" s="543">
        <v>12711835</v>
      </c>
      <c r="P21" s="543">
        <v>12294310</v>
      </c>
      <c r="Q21" s="543">
        <v>11661261</v>
      </c>
      <c r="R21" s="543">
        <v>10932585</v>
      </c>
      <c r="S21" s="543">
        <v>9914147</v>
      </c>
      <c r="T21" s="543">
        <v>8475479</v>
      </c>
      <c r="U21" s="543">
        <v>7265160</v>
      </c>
      <c r="V21" s="543">
        <v>6600580</v>
      </c>
      <c r="W21" s="544"/>
      <c r="Y21" s="546"/>
      <c r="Z21" s="545"/>
      <c r="AA21" s="545"/>
      <c r="AB21" s="545"/>
      <c r="AC21" s="545"/>
      <c r="AD21" s="545"/>
      <c r="AE21" s="545"/>
      <c r="AF21" s="545"/>
      <c r="AG21" s="545"/>
      <c r="AH21" s="545"/>
      <c r="AI21" s="545"/>
      <c r="AJ21" s="545"/>
    </row>
    <row r="22" spans="1:36">
      <c r="A22" s="540" t="s">
        <v>265</v>
      </c>
      <c r="C22" s="541"/>
      <c r="D22" s="541"/>
      <c r="E22" s="542"/>
      <c r="F22" s="542"/>
      <c r="G22" s="542"/>
      <c r="H22" s="542"/>
      <c r="I22" s="542"/>
      <c r="J22" s="542"/>
      <c r="K22" s="542"/>
      <c r="L22" s="543">
        <v>8908333</v>
      </c>
      <c r="M22" s="543">
        <v>8897874</v>
      </c>
      <c r="N22" s="543">
        <v>9067520</v>
      </c>
      <c r="O22" s="543">
        <v>8661761</v>
      </c>
      <c r="P22" s="543">
        <v>8353390</v>
      </c>
      <c r="Q22" s="543">
        <v>7769183</v>
      </c>
      <c r="R22" s="543">
        <v>7138277</v>
      </c>
      <c r="S22" s="543">
        <v>6351377</v>
      </c>
      <c r="T22" s="543">
        <v>5280185</v>
      </c>
      <c r="U22" s="543">
        <v>4500942</v>
      </c>
      <c r="V22" s="543">
        <v>4144664</v>
      </c>
      <c r="W22" s="544"/>
      <c r="Y22" s="546"/>
      <c r="Z22" s="545"/>
      <c r="AA22" s="545"/>
      <c r="AB22" s="545"/>
      <c r="AC22" s="545"/>
      <c r="AD22" s="545"/>
      <c r="AE22" s="545"/>
      <c r="AF22" s="545"/>
      <c r="AG22" s="545"/>
      <c r="AH22" s="545"/>
      <c r="AI22" s="545"/>
      <c r="AJ22" s="545"/>
    </row>
    <row r="23" spans="1:36">
      <c r="A23" s="540" t="s">
        <v>266</v>
      </c>
      <c r="C23" s="541"/>
      <c r="D23" s="541"/>
      <c r="E23" s="542"/>
      <c r="F23" s="542"/>
      <c r="G23" s="542"/>
      <c r="H23" s="542"/>
      <c r="I23" s="542"/>
      <c r="J23" s="542"/>
      <c r="K23" s="542"/>
      <c r="L23" s="543">
        <v>47487465</v>
      </c>
      <c r="M23" s="543">
        <v>44345347</v>
      </c>
      <c r="N23" s="543">
        <v>45434569</v>
      </c>
      <c r="O23" s="543">
        <v>41097873</v>
      </c>
      <c r="P23" s="543">
        <v>41408626</v>
      </c>
      <c r="Q23" s="543">
        <v>33538627</v>
      </c>
      <c r="R23" s="543">
        <v>30096782</v>
      </c>
      <c r="S23" s="543">
        <v>26314996</v>
      </c>
      <c r="T23" s="543">
        <v>20463814</v>
      </c>
      <c r="U23" s="543">
        <v>18004769</v>
      </c>
      <c r="V23" s="543">
        <v>19556053</v>
      </c>
      <c r="W23" s="544"/>
      <c r="Y23" s="546"/>
      <c r="Z23" s="545"/>
      <c r="AA23" s="545"/>
      <c r="AB23" s="545"/>
      <c r="AC23" s="545"/>
      <c r="AD23" s="545"/>
      <c r="AE23" s="545"/>
      <c r="AF23" s="545"/>
      <c r="AG23" s="545"/>
      <c r="AH23" s="545"/>
      <c r="AI23" s="545"/>
      <c r="AJ23" s="545"/>
    </row>
    <row r="24" spans="1:36">
      <c r="A24" s="540" t="s">
        <v>267</v>
      </c>
      <c r="B24" s="547"/>
      <c r="C24" s="547"/>
      <c r="D24" s="547"/>
      <c r="E24" s="548"/>
      <c r="F24" s="548"/>
      <c r="G24" s="548"/>
      <c r="H24" s="548"/>
      <c r="I24" s="548"/>
      <c r="J24" s="548"/>
      <c r="K24" s="548"/>
      <c r="L24" s="543">
        <v>110824488</v>
      </c>
      <c r="M24" s="543">
        <v>111100594</v>
      </c>
      <c r="N24" s="543">
        <v>113265676</v>
      </c>
      <c r="O24" s="543">
        <v>108107900</v>
      </c>
      <c r="P24" s="543">
        <v>106733544</v>
      </c>
      <c r="Q24" s="543">
        <v>96766531</v>
      </c>
      <c r="R24" s="543">
        <v>91017337</v>
      </c>
      <c r="S24" s="543">
        <v>83483786</v>
      </c>
      <c r="T24" s="543">
        <v>72166190</v>
      </c>
      <c r="U24" s="543">
        <v>64209268</v>
      </c>
      <c r="V24" s="543">
        <v>62465440</v>
      </c>
      <c r="W24" s="549"/>
    </row>
    <row r="25" spans="1:36" ht="14.7" thickBot="1">
      <c r="A25" s="550" t="s">
        <v>268</v>
      </c>
      <c r="B25" s="551"/>
      <c r="C25" s="551"/>
      <c r="D25" s="551"/>
      <c r="E25" s="552"/>
      <c r="F25" s="552"/>
      <c r="G25" s="552"/>
      <c r="H25" s="552"/>
      <c r="I25" s="552"/>
      <c r="J25" s="552"/>
      <c r="K25" s="552"/>
      <c r="L25" s="553">
        <f t="shared" ref="L25:V25" si="4">L23/L16</f>
        <v>9.4097172753124312</v>
      </c>
      <c r="M25" s="553">
        <f t="shared" si="4"/>
        <v>9.05617541783778</v>
      </c>
      <c r="N25" s="553">
        <f t="shared" si="4"/>
        <v>9.0274230818903423</v>
      </c>
      <c r="O25" s="553">
        <f t="shared" si="4"/>
        <v>8.8287267264544891</v>
      </c>
      <c r="P25" s="553">
        <f t="shared" si="4"/>
        <v>8.9911561955268979</v>
      </c>
      <c r="Q25" s="553">
        <f t="shared" si="4"/>
        <v>8.4988817203211156</v>
      </c>
      <c r="R25" s="553">
        <f t="shared" si="4"/>
        <v>8.5022352534713868</v>
      </c>
      <c r="S25" s="553">
        <f t="shared" si="4"/>
        <v>8.5569291951802846</v>
      </c>
      <c r="T25" s="553">
        <f t="shared" si="4"/>
        <v>8.3744669740824591</v>
      </c>
      <c r="U25" s="553">
        <f t="shared" si="4"/>
        <v>8.4447165320169315</v>
      </c>
      <c r="V25" s="553">
        <f t="shared" si="4"/>
        <v>8.8641784543391342</v>
      </c>
      <c r="W25" s="554"/>
      <c r="Y25" s="555"/>
      <c r="Z25" s="556"/>
      <c r="AA25" s="556"/>
      <c r="AB25" s="556"/>
      <c r="AC25" s="556"/>
      <c r="AD25" s="556"/>
      <c r="AE25" s="556"/>
      <c r="AF25" s="556"/>
      <c r="AG25" s="556"/>
      <c r="AH25" s="556"/>
      <c r="AI25" s="556"/>
      <c r="AJ25" s="556"/>
    </row>
    <row r="26" spans="1:36" ht="14.7" thickBot="1">
      <c r="A26" s="550"/>
      <c r="B26" s="551"/>
      <c r="C26" s="551"/>
      <c r="D26" s="551"/>
      <c r="E26" s="552"/>
      <c r="F26" s="552"/>
      <c r="G26" s="552"/>
      <c r="H26" s="552"/>
      <c r="I26" s="552"/>
      <c r="J26" s="552"/>
      <c r="K26" s="552"/>
      <c r="L26" s="553"/>
      <c r="M26" s="553"/>
      <c r="N26" s="553"/>
      <c r="O26" s="553"/>
      <c r="P26" s="553"/>
      <c r="Q26" s="553"/>
      <c r="R26" s="553"/>
      <c r="S26" s="553"/>
      <c r="T26" s="553"/>
      <c r="U26" s="553"/>
      <c r="V26" s="553"/>
      <c r="W26" s="554"/>
      <c r="Y26" s="555"/>
      <c r="Z26" s="556"/>
      <c r="AA26" s="556"/>
      <c r="AB26" s="556"/>
      <c r="AC26" s="556"/>
      <c r="AD26" s="556"/>
      <c r="AE26" s="556"/>
      <c r="AF26" s="556"/>
      <c r="AG26" s="556"/>
      <c r="AH26" s="556"/>
      <c r="AI26" s="556"/>
      <c r="AJ26" s="556"/>
    </row>
    <row r="27" spans="1:36" ht="53.25" customHeight="1" thickBot="1">
      <c r="A27" s="702" t="s">
        <v>269</v>
      </c>
      <c r="B27" s="703"/>
      <c r="C27" s="703"/>
      <c r="D27" s="703"/>
      <c r="E27" s="703"/>
      <c r="F27" s="703"/>
      <c r="G27" s="703"/>
      <c r="H27" s="703"/>
      <c r="I27" s="703"/>
      <c r="J27" s="703"/>
      <c r="K27" s="703"/>
      <c r="L27" s="703"/>
      <c r="M27" s="703"/>
      <c r="N27" s="703"/>
      <c r="O27" s="703"/>
      <c r="P27" s="703"/>
      <c r="Q27" s="703"/>
      <c r="R27" s="703"/>
      <c r="S27" s="703"/>
      <c r="T27" s="703"/>
      <c r="U27" s="703"/>
      <c r="V27" s="703"/>
      <c r="W27" s="704"/>
      <c r="Y27" s="555"/>
      <c r="Z27" s="556"/>
      <c r="AA27" s="556"/>
      <c r="AB27" s="556"/>
      <c r="AC27" s="556"/>
      <c r="AD27" s="556"/>
      <c r="AE27" s="556"/>
      <c r="AF27" s="556"/>
      <c r="AG27" s="556"/>
      <c r="AH27" s="556"/>
      <c r="AI27" s="556"/>
      <c r="AJ27" s="556"/>
    </row>
    <row r="28" spans="1:36" ht="79.2" customHeight="1" thickBot="1">
      <c r="X28" s="685" t="s">
        <v>270</v>
      </c>
      <c r="Y28" s="685"/>
      <c r="Z28" s="685"/>
      <c r="AA28" s="685"/>
      <c r="AB28" s="509"/>
      <c r="AC28" s="509"/>
      <c r="AD28" s="509"/>
      <c r="AE28" s="509"/>
      <c r="AF28" s="509"/>
      <c r="AG28" s="509"/>
      <c r="AH28" s="509"/>
    </row>
    <row r="29" spans="1:36" ht="48" customHeight="1">
      <c r="A29" s="531"/>
      <c r="B29" s="434">
        <v>1999</v>
      </c>
      <c r="C29" s="434">
        <v>2000</v>
      </c>
      <c r="D29" s="434">
        <v>2001</v>
      </c>
      <c r="E29" s="434">
        <v>2002</v>
      </c>
      <c r="F29" s="434">
        <v>2003</v>
      </c>
      <c r="G29" s="434">
        <v>2004</v>
      </c>
      <c r="H29" s="434">
        <v>2005</v>
      </c>
      <c r="I29" s="434">
        <v>2006</v>
      </c>
      <c r="J29" s="434">
        <v>2007</v>
      </c>
      <c r="K29" s="434">
        <v>2008</v>
      </c>
      <c r="L29" s="434">
        <v>2009</v>
      </c>
      <c r="M29" s="434">
        <v>2010</v>
      </c>
      <c r="N29" s="434">
        <v>2011</v>
      </c>
      <c r="O29" s="434">
        <v>2012</v>
      </c>
      <c r="P29" s="434">
        <v>2013</v>
      </c>
      <c r="Q29" s="434">
        <v>2014</v>
      </c>
      <c r="R29" s="434">
        <v>2015</v>
      </c>
      <c r="S29" s="434">
        <v>2016</v>
      </c>
      <c r="T29" s="434">
        <v>2017</v>
      </c>
      <c r="U29" s="434">
        <v>2018</v>
      </c>
      <c r="V29" s="434">
        <v>2019</v>
      </c>
      <c r="W29" s="435">
        <v>2020</v>
      </c>
      <c r="X29" s="248" t="s">
        <v>271</v>
      </c>
    </row>
    <row r="30" spans="1:36" ht="48" customHeight="1">
      <c r="A30" s="540" t="s">
        <v>272</v>
      </c>
      <c r="B30" s="441">
        <f t="shared" ref="B30:K30" si="5">TREND($L30:$V30,$L29:$V29,B29)</f>
        <v>0.40435106414411948</v>
      </c>
      <c r="C30" s="441">
        <f t="shared" si="5"/>
        <v>0.41611788590348908</v>
      </c>
      <c r="D30" s="441">
        <f t="shared" si="5"/>
        <v>0.42788470766285869</v>
      </c>
      <c r="E30" s="441">
        <f t="shared" si="5"/>
        <v>0.43965152942222829</v>
      </c>
      <c r="F30" s="441">
        <f t="shared" si="5"/>
        <v>0.4514183511815979</v>
      </c>
      <c r="G30" s="441">
        <f t="shared" si="5"/>
        <v>0.4631851729409675</v>
      </c>
      <c r="H30" s="441">
        <f t="shared" si="5"/>
        <v>0.47495199470033711</v>
      </c>
      <c r="I30" s="441">
        <f t="shared" si="5"/>
        <v>0.48671881645970672</v>
      </c>
      <c r="J30" s="441">
        <f t="shared" si="5"/>
        <v>0.49848563821907632</v>
      </c>
      <c r="K30" s="441">
        <f t="shared" si="5"/>
        <v>0.51025245997844593</v>
      </c>
      <c r="L30" s="441">
        <f t="shared" ref="L30:V30" si="6">L12/L17</f>
        <v>0.52841342607957265</v>
      </c>
      <c r="M30" s="441">
        <f t="shared" si="6"/>
        <v>0.54547371402387623</v>
      </c>
      <c r="N30" s="441">
        <f t="shared" si="6"/>
        <v>0.54428610531062038</v>
      </c>
      <c r="O30" s="441">
        <f t="shared" si="6"/>
        <v>0.55455368729723253</v>
      </c>
      <c r="P30" s="441">
        <f t="shared" si="6"/>
        <v>0.55719913702500956</v>
      </c>
      <c r="Q30" s="441">
        <f t="shared" si="6"/>
        <v>0.57065194043321299</v>
      </c>
      <c r="R30" s="441">
        <f t="shared" si="6"/>
        <v>0.58510719938103783</v>
      </c>
      <c r="S30" s="441">
        <f t="shared" si="6"/>
        <v>0.60018693413536905</v>
      </c>
      <c r="T30" s="441">
        <f t="shared" si="6"/>
        <v>0.62353296603900099</v>
      </c>
      <c r="U30" s="441">
        <f t="shared" si="6"/>
        <v>0.63851368897531458</v>
      </c>
      <c r="V30" s="441">
        <f t="shared" si="6"/>
        <v>0.64146849718106835</v>
      </c>
      <c r="W30" s="580"/>
      <c r="X30" s="547">
        <f>0.5*1</f>
        <v>0.5</v>
      </c>
      <c r="Y30" t="s">
        <v>596</v>
      </c>
    </row>
    <row r="31" spans="1:36" ht="48" customHeight="1">
      <c r="A31" s="540" t="s">
        <v>273</v>
      </c>
      <c r="B31" s="441">
        <f t="shared" ref="B31:K31" si="7">TREND($L31:$V31,$L29:$V29,B29)</f>
        <v>0.23598756759296169</v>
      </c>
      <c r="C31" s="441">
        <f t="shared" si="7"/>
        <v>0.23385881965844124</v>
      </c>
      <c r="D31" s="441">
        <f t="shared" si="7"/>
        <v>0.23173007172391991</v>
      </c>
      <c r="E31" s="441">
        <f t="shared" si="7"/>
        <v>0.22960132378939946</v>
      </c>
      <c r="F31" s="441">
        <f t="shared" si="7"/>
        <v>0.22747257585487901</v>
      </c>
      <c r="G31" s="441">
        <f t="shared" si="7"/>
        <v>0.22534382792035768</v>
      </c>
      <c r="H31" s="441">
        <f t="shared" si="7"/>
        <v>0.22321507998583723</v>
      </c>
      <c r="I31" s="441">
        <f t="shared" si="7"/>
        <v>0.22108633205131678</v>
      </c>
      <c r="J31" s="441">
        <f t="shared" si="7"/>
        <v>0.21895758411679545</v>
      </c>
      <c r="K31" s="441">
        <f t="shared" si="7"/>
        <v>0.216828836182275</v>
      </c>
      <c r="L31" s="441">
        <f t="shared" ref="L31:V31" si="8">L13/L17</f>
        <v>0.21086363816462192</v>
      </c>
      <c r="M31" s="441">
        <f t="shared" si="8"/>
        <v>0.2097587857265521</v>
      </c>
      <c r="N31" s="441">
        <f t="shared" si="8"/>
        <v>0.20964799735421952</v>
      </c>
      <c r="O31" s="441">
        <f t="shared" si="8"/>
        <v>0.20953614913873445</v>
      </c>
      <c r="P31" s="441">
        <f t="shared" si="8"/>
        <v>0.20781208761171971</v>
      </c>
      <c r="Q31" s="441">
        <f t="shared" si="8"/>
        <v>0.20877894855595669</v>
      </c>
      <c r="R31" s="441">
        <f t="shared" si="8"/>
        <v>0.20613662208216124</v>
      </c>
      <c r="S31" s="441">
        <f t="shared" si="8"/>
        <v>0.20358330158822102</v>
      </c>
      <c r="T31" s="441">
        <f t="shared" si="8"/>
        <v>0.19907065087205367</v>
      </c>
      <c r="U31" s="441">
        <f t="shared" si="8"/>
        <v>0.19265400515294048</v>
      </c>
      <c r="V31" s="441">
        <f t="shared" si="8"/>
        <v>0.18677764807947117</v>
      </c>
      <c r="W31" s="581"/>
      <c r="X31" s="547">
        <f>0.5*2</f>
        <v>1</v>
      </c>
    </row>
    <row r="32" spans="1:36" ht="48" customHeight="1">
      <c r="A32" s="540" t="s">
        <v>274</v>
      </c>
      <c r="B32" s="441">
        <f t="shared" ref="B32:K32" si="9">TREND($L32:$V32,$L29:$V29,B29)</f>
        <v>0.12287712234454595</v>
      </c>
      <c r="C32" s="441">
        <f t="shared" si="9"/>
        <v>0.12032526089580564</v>
      </c>
      <c r="D32" s="441">
        <f t="shared" si="9"/>
        <v>0.11777339944706533</v>
      </c>
      <c r="E32" s="441">
        <f t="shared" si="9"/>
        <v>0.11522153799832502</v>
      </c>
      <c r="F32" s="441">
        <f t="shared" si="9"/>
        <v>0.11266967654958471</v>
      </c>
      <c r="G32" s="441">
        <f t="shared" si="9"/>
        <v>0.1101178151008444</v>
      </c>
      <c r="H32" s="441">
        <f t="shared" si="9"/>
        <v>0.10756595365210408</v>
      </c>
      <c r="I32" s="441">
        <f t="shared" si="9"/>
        <v>0.10501409220336377</v>
      </c>
      <c r="J32" s="441">
        <f t="shared" si="9"/>
        <v>0.10246223075462346</v>
      </c>
      <c r="K32" s="441">
        <f t="shared" si="9"/>
        <v>9.9910369305883151E-2</v>
      </c>
      <c r="L32" s="441">
        <f t="shared" ref="L32:V32" si="10">L14/L17</f>
        <v>9.5472259551824257E-2</v>
      </c>
      <c r="M32" s="441">
        <f t="shared" si="10"/>
        <v>9.2017958519754167E-2</v>
      </c>
      <c r="N32" s="441">
        <f t="shared" si="10"/>
        <v>9.2058574096305246E-2</v>
      </c>
      <c r="O32" s="441">
        <f t="shared" si="10"/>
        <v>9.0399792185857114E-2</v>
      </c>
      <c r="P32" s="441">
        <f t="shared" si="10"/>
        <v>8.923407104625973E-2</v>
      </c>
      <c r="Q32" s="441">
        <f t="shared" si="10"/>
        <v>8.7705031588447654E-2</v>
      </c>
      <c r="R32" s="441">
        <f t="shared" si="10"/>
        <v>8.4823217414084717E-2</v>
      </c>
      <c r="S32" s="441">
        <f t="shared" si="10"/>
        <v>8.1387572209663736E-2</v>
      </c>
      <c r="T32" s="441">
        <f t="shared" si="10"/>
        <v>7.6064384033328797E-2</v>
      </c>
      <c r="U32" s="441">
        <f t="shared" si="10"/>
        <v>7.1995494261471074E-2</v>
      </c>
      <c r="V32" s="441">
        <f t="shared" si="10"/>
        <v>6.943285184086162E-2</v>
      </c>
      <c r="W32" s="581"/>
      <c r="X32" s="547">
        <f>0.5*3</f>
        <v>1.5</v>
      </c>
    </row>
    <row r="33" spans="1:36" ht="48" customHeight="1">
      <c r="A33" s="540" t="s">
        <v>275</v>
      </c>
      <c r="B33" s="441">
        <f t="shared" ref="B33:K33" si="11">TREND($L33:$V33,$L$29:$V$29,B29)</f>
        <v>6.9658194268269469E-2</v>
      </c>
      <c r="C33" s="441">
        <f t="shared" si="11"/>
        <v>6.7826238346569312E-2</v>
      </c>
      <c r="D33" s="441">
        <f t="shared" si="11"/>
        <v>6.5994282424868711E-2</v>
      </c>
      <c r="E33" s="441">
        <f t="shared" si="11"/>
        <v>6.4162326503168554E-2</v>
      </c>
      <c r="F33" s="441">
        <f t="shared" si="11"/>
        <v>6.2330370581468397E-2</v>
      </c>
      <c r="G33" s="441">
        <f t="shared" si="11"/>
        <v>6.0498414659767796E-2</v>
      </c>
      <c r="H33" s="441">
        <f t="shared" si="11"/>
        <v>5.8666458738067639E-2</v>
      </c>
      <c r="I33" s="441">
        <f t="shared" si="11"/>
        <v>5.6834502816367483E-2</v>
      </c>
      <c r="J33" s="441">
        <f t="shared" si="11"/>
        <v>5.5002546894666882E-2</v>
      </c>
      <c r="K33" s="441">
        <f t="shared" si="11"/>
        <v>5.3170590972966725E-2</v>
      </c>
      <c r="L33" s="441">
        <f t="shared" ref="L33:V33" si="12">L15/L17</f>
        <v>5.0596774322532852E-2</v>
      </c>
      <c r="M33" s="441">
        <f t="shared" si="12"/>
        <v>4.7715011180423941E-2</v>
      </c>
      <c r="N33" s="441">
        <f t="shared" si="12"/>
        <v>4.7825233338099932E-2</v>
      </c>
      <c r="O33" s="441">
        <f t="shared" si="12"/>
        <v>4.6198367440357331E-2</v>
      </c>
      <c r="P33" s="441">
        <f t="shared" si="12"/>
        <v>4.5472674690519826E-2</v>
      </c>
      <c r="Q33" s="441">
        <f t="shared" si="12"/>
        <v>4.3824368231046934E-2</v>
      </c>
      <c r="R33" s="441">
        <f t="shared" si="12"/>
        <v>4.1538085716443754E-2</v>
      </c>
      <c r="S33" s="441">
        <f t="shared" si="12"/>
        <v>3.9104954316098964E-2</v>
      </c>
      <c r="T33" s="441">
        <f t="shared" si="12"/>
        <v>3.5540813931125861E-2</v>
      </c>
      <c r="U33" s="441">
        <f t="shared" si="12"/>
        <v>3.3452195127969542E-2</v>
      </c>
      <c r="V33" s="441">
        <f t="shared" si="12"/>
        <v>3.2698931575792768E-2</v>
      </c>
      <c r="W33" s="581"/>
      <c r="X33" s="547">
        <f>0.5*4</f>
        <v>2</v>
      </c>
    </row>
    <row r="34" spans="1:36" ht="48" customHeight="1">
      <c r="A34" s="540" t="s">
        <v>276</v>
      </c>
      <c r="B34" s="441">
        <f t="shared" ref="B34:K34" si="13">TREND($L34:$V34,$L$29:$V$29,B29)</f>
        <v>0.16712604663718977</v>
      </c>
      <c r="C34" s="441">
        <f t="shared" si="13"/>
        <v>0.16187179009878427</v>
      </c>
      <c r="D34" s="441">
        <f t="shared" si="13"/>
        <v>0.15661753356038055</v>
      </c>
      <c r="E34" s="441">
        <f t="shared" si="13"/>
        <v>0.15136327702197683</v>
      </c>
      <c r="F34" s="441">
        <f t="shared" si="13"/>
        <v>0.1461090204835731</v>
      </c>
      <c r="G34" s="441">
        <f t="shared" si="13"/>
        <v>0.14085476394516938</v>
      </c>
      <c r="H34" s="441">
        <f t="shared" si="13"/>
        <v>0.13560050740676388</v>
      </c>
      <c r="I34" s="441">
        <f t="shared" si="13"/>
        <v>0.13034625086836016</v>
      </c>
      <c r="J34" s="441">
        <f t="shared" si="13"/>
        <v>0.12509199432995644</v>
      </c>
      <c r="K34" s="441">
        <f t="shared" si="13"/>
        <v>0.11983773779155271</v>
      </c>
      <c r="L34" s="441">
        <f t="shared" ref="L34:V34" si="14">L16/L17</f>
        <v>0.11465390188144829</v>
      </c>
      <c r="M34" s="441">
        <f t="shared" si="14"/>
        <v>0.10503453054939355</v>
      </c>
      <c r="N34" s="441">
        <f t="shared" si="14"/>
        <v>0.10618206880337294</v>
      </c>
      <c r="O34" s="441">
        <f t="shared" si="14"/>
        <v>9.9312003937818583E-2</v>
      </c>
      <c r="P34" s="441">
        <f t="shared" si="14"/>
        <v>0.1002820296264912</v>
      </c>
      <c r="Q34" s="441">
        <f t="shared" si="14"/>
        <v>8.9039711191335746E-2</v>
      </c>
      <c r="R34" s="441">
        <f t="shared" si="14"/>
        <v>8.2394852130016044E-2</v>
      </c>
      <c r="S34" s="441">
        <f t="shared" si="14"/>
        <v>7.5737213122941807E-2</v>
      </c>
      <c r="T34" s="441">
        <f t="shared" si="14"/>
        <v>6.5791185124490684E-2</v>
      </c>
      <c r="U34" s="441">
        <f t="shared" si="14"/>
        <v>6.3384616482304285E-2</v>
      </c>
      <c r="V34" s="441">
        <f t="shared" si="14"/>
        <v>6.9622071322806067E-2</v>
      </c>
      <c r="W34" s="581"/>
      <c r="X34" s="557">
        <f>L25</f>
        <v>9.4097172753124312</v>
      </c>
    </row>
    <row r="35" spans="1:36" ht="51" customHeight="1" thickBot="1">
      <c r="A35" s="558"/>
      <c r="B35" s="695" t="s">
        <v>277</v>
      </c>
      <c r="C35" s="696"/>
      <c r="D35" s="696"/>
      <c r="E35" s="696"/>
      <c r="F35" s="696"/>
      <c r="G35" s="696"/>
      <c r="H35" s="696"/>
      <c r="I35" s="696"/>
      <c r="J35" s="696"/>
      <c r="K35" s="697"/>
      <c r="L35" s="442"/>
      <c r="M35" s="442"/>
      <c r="N35" s="442"/>
      <c r="O35" s="442"/>
      <c r="P35" s="442"/>
      <c r="Q35" s="442"/>
      <c r="R35" s="442"/>
      <c r="S35" s="442"/>
      <c r="T35" s="442"/>
      <c r="U35" s="442"/>
      <c r="V35" s="442"/>
      <c r="W35" s="443"/>
      <c r="X35" s="638">
        <f>V25</f>
        <v>8.8641784543391342</v>
      </c>
      <c r="Y35" s="555"/>
      <c r="Z35" s="556"/>
      <c r="AA35" s="556"/>
      <c r="AB35" s="556"/>
      <c r="AC35" s="556"/>
      <c r="AD35" s="556"/>
      <c r="AE35" s="556"/>
      <c r="AF35" s="556"/>
      <c r="AG35" s="556"/>
      <c r="AH35" s="556"/>
      <c r="AI35" s="556"/>
      <c r="AJ35" s="556"/>
    </row>
    <row r="36" spans="1:36" ht="51" customHeight="1" thickBot="1">
      <c r="B36" s="511"/>
      <c r="C36" s="511"/>
      <c r="D36" s="511"/>
      <c r="E36" s="511"/>
      <c r="F36" s="511"/>
      <c r="G36" s="511"/>
      <c r="H36" s="511"/>
      <c r="I36" s="511"/>
      <c r="J36" s="511"/>
      <c r="K36" s="511"/>
      <c r="L36" s="441"/>
      <c r="M36" s="441"/>
      <c r="N36" s="441"/>
      <c r="O36" s="441"/>
      <c r="P36" s="441"/>
      <c r="Q36" s="441"/>
      <c r="R36" s="441"/>
      <c r="S36" s="441"/>
      <c r="T36" s="441"/>
      <c r="U36" s="441"/>
      <c r="V36" s="441"/>
      <c r="W36" s="441"/>
      <c r="X36" s="270"/>
      <c r="Y36" s="555"/>
      <c r="Z36" s="556"/>
      <c r="AA36" s="556"/>
      <c r="AB36" s="556"/>
      <c r="AC36" s="556"/>
      <c r="AD36" s="556"/>
      <c r="AE36" s="556"/>
      <c r="AF36" s="556"/>
      <c r="AG36" s="556"/>
      <c r="AH36" s="556"/>
      <c r="AI36" s="556"/>
      <c r="AJ36" s="556"/>
    </row>
    <row r="37" spans="1:36" ht="51" customHeight="1">
      <c r="A37" s="686" t="s">
        <v>603</v>
      </c>
      <c r="B37" s="687"/>
      <c r="C37" s="687"/>
      <c r="D37" s="687"/>
      <c r="E37" s="687"/>
      <c r="F37" s="687"/>
      <c r="G37" s="687"/>
      <c r="H37" s="687"/>
      <c r="I37" s="687"/>
      <c r="J37" s="687"/>
      <c r="K37" s="687"/>
      <c r="L37" s="687"/>
      <c r="M37" s="687"/>
      <c r="N37" s="687"/>
      <c r="O37" s="687"/>
      <c r="P37" s="687"/>
      <c r="Q37" s="687"/>
      <c r="R37" s="687"/>
      <c r="S37" s="687"/>
      <c r="T37" s="687"/>
      <c r="U37" s="687"/>
      <c r="V37" s="687"/>
      <c r="W37" s="688"/>
      <c r="X37" s="270"/>
      <c r="Y37" s="555"/>
      <c r="Z37" s="556"/>
      <c r="AA37" s="556"/>
      <c r="AB37" s="556"/>
      <c r="AC37" s="556"/>
      <c r="AD37" s="556"/>
      <c r="AE37" s="556"/>
      <c r="AF37" s="556"/>
      <c r="AG37" s="556"/>
      <c r="AH37" s="556"/>
      <c r="AI37" s="556"/>
      <c r="AJ37" s="556"/>
    </row>
    <row r="38" spans="1:36" ht="51" customHeight="1">
      <c r="A38" s="538"/>
      <c r="B38" s="511">
        <v>1999</v>
      </c>
      <c r="C38" s="511">
        <v>2000</v>
      </c>
      <c r="D38" s="511">
        <v>2001</v>
      </c>
      <c r="E38" s="511">
        <v>2002</v>
      </c>
      <c r="F38" s="511">
        <v>2003</v>
      </c>
      <c r="G38" s="511">
        <v>2004</v>
      </c>
      <c r="H38" s="511">
        <v>2005</v>
      </c>
      <c r="I38" s="511">
        <v>2006</v>
      </c>
      <c r="J38" s="511">
        <v>2007</v>
      </c>
      <c r="K38" s="511">
        <v>2008</v>
      </c>
      <c r="L38" s="511">
        <v>2009</v>
      </c>
      <c r="M38" s="511">
        <v>2010</v>
      </c>
      <c r="N38" s="511">
        <v>2011</v>
      </c>
      <c r="O38" s="511">
        <v>2012</v>
      </c>
      <c r="P38" s="511">
        <v>2013</v>
      </c>
      <c r="Q38" s="511">
        <v>2014</v>
      </c>
      <c r="R38" s="511">
        <v>2015</v>
      </c>
      <c r="S38" s="511">
        <v>2016</v>
      </c>
      <c r="T38" s="511">
        <v>2017</v>
      </c>
      <c r="U38" s="511">
        <v>2018</v>
      </c>
      <c r="V38" s="511">
        <v>2019</v>
      </c>
      <c r="W38" s="436">
        <v>2020</v>
      </c>
    </row>
    <row r="39" spans="1:36">
      <c r="A39" s="512" t="s">
        <v>278</v>
      </c>
      <c r="B39" s="559">
        <f t="shared" ref="B39:K39" si="15">(B30*1)+(B31*2)+(B32*3)+(B33*4)+(B34*$X$34)</f>
        <v>3.096199191633394</v>
      </c>
      <c r="C39" s="559">
        <f t="shared" si="15"/>
        <v>3.0392840409723441</v>
      </c>
      <c r="D39" s="559">
        <f t="shared" si="15"/>
        <v>2.9823688903113066</v>
      </c>
      <c r="E39" s="559">
        <f t="shared" si="15"/>
        <v>2.9254537396502731</v>
      </c>
      <c r="F39" s="559">
        <f t="shared" si="15"/>
        <v>2.8685385889892396</v>
      </c>
      <c r="G39" s="559">
        <f t="shared" si="15"/>
        <v>2.8116234383282022</v>
      </c>
      <c r="H39" s="559">
        <f t="shared" si="15"/>
        <v>2.7547082876671518</v>
      </c>
      <c r="I39" s="559">
        <f t="shared" si="15"/>
        <v>2.6977931370061183</v>
      </c>
      <c r="J39" s="559">
        <f t="shared" si="15"/>
        <v>2.6408779863450809</v>
      </c>
      <c r="K39" s="559">
        <f t="shared" si="15"/>
        <v>2.5839628356840469</v>
      </c>
      <c r="L39" s="510">
        <f t="shared" ref="L39:V39" si="16">L24/L17</f>
        <v>2.5178054022891154</v>
      </c>
      <c r="M39" s="510">
        <f t="shared" si="16"/>
        <v>2.3831163607935655</v>
      </c>
      <c r="N39" s="510">
        <f t="shared" si="16"/>
        <v>2.3896092355561942</v>
      </c>
      <c r="O39" s="510">
        <f t="shared" si="16"/>
        <v>2.3064173966516766</v>
      </c>
      <c r="P39" s="510">
        <f t="shared" si="16"/>
        <v>2.3240676596745105</v>
      </c>
      <c r="Q39" s="510">
        <f t="shared" si="16"/>
        <v>2.1833603564981949</v>
      </c>
      <c r="R39" s="510">
        <f t="shared" si="16"/>
        <v>2.1185428784140306</v>
      </c>
      <c r="S39" s="510">
        <f t="shared" si="16"/>
        <v>2.0560140905939011</v>
      </c>
      <c r="T39" s="510">
        <f t="shared" si="16"/>
        <v>1.9429967826183907</v>
      </c>
      <c r="U39" s="510">
        <f t="shared" si="16"/>
        <v>1.9088821109902294</v>
      </c>
      <c r="V39" s="510">
        <f t="shared" si="16"/>
        <v>1.9712605397318468</v>
      </c>
      <c r="W39" s="513"/>
      <c r="AB39" s="556"/>
      <c r="AC39" s="556"/>
      <c r="AD39" s="556"/>
      <c r="AE39" s="556"/>
      <c r="AF39" s="556"/>
      <c r="AG39" s="556"/>
      <c r="AH39" s="248"/>
    </row>
    <row r="40" spans="1:36" ht="14.85" customHeight="1">
      <c r="A40" s="516"/>
      <c r="B40" s="698"/>
      <c r="C40" s="698"/>
      <c r="D40" s="698"/>
      <c r="E40" s="698"/>
      <c r="F40" s="698"/>
      <c r="G40" s="698"/>
      <c r="H40" s="698"/>
      <c r="I40" s="698"/>
      <c r="J40" s="698"/>
      <c r="K40" s="698"/>
      <c r="L40" s="510"/>
      <c r="M40" s="510"/>
      <c r="N40" s="510"/>
      <c r="O40" s="510"/>
      <c r="P40" s="510"/>
      <c r="Q40" s="510"/>
      <c r="R40" s="510"/>
      <c r="S40" s="510"/>
      <c r="T40" s="510"/>
      <c r="U40" s="510"/>
      <c r="V40" s="510"/>
      <c r="W40" s="513"/>
      <c r="AB40" s="556"/>
      <c r="AC40" s="556"/>
      <c r="AD40" s="556"/>
      <c r="AE40" s="556"/>
      <c r="AF40" s="556"/>
      <c r="AG40" s="556"/>
      <c r="AH40" s="248"/>
    </row>
    <row r="41" spans="1:36" ht="14.85" customHeight="1">
      <c r="A41" s="538" t="s">
        <v>279</v>
      </c>
      <c r="B41" s="511"/>
      <c r="C41" s="511"/>
      <c r="D41" s="511"/>
      <c r="E41" s="511"/>
      <c r="F41" s="511"/>
      <c r="G41" s="511"/>
      <c r="H41" s="511"/>
      <c r="I41" s="511"/>
      <c r="J41" s="511"/>
      <c r="K41" s="511"/>
      <c r="L41" s="510"/>
      <c r="M41" s="510"/>
      <c r="N41" s="510"/>
      <c r="O41" s="510"/>
      <c r="P41" s="510"/>
      <c r="Q41" s="510"/>
      <c r="R41" s="510"/>
      <c r="S41" s="510"/>
      <c r="T41" s="510"/>
      <c r="U41" s="510"/>
      <c r="V41" s="510"/>
      <c r="W41" s="513"/>
      <c r="AB41" s="556"/>
      <c r="AC41" s="556"/>
      <c r="AD41" s="556"/>
      <c r="AE41" s="556"/>
      <c r="AF41" s="556"/>
      <c r="AG41" s="556"/>
      <c r="AH41" s="248"/>
    </row>
    <row r="42" spans="1:36" ht="14.85" customHeight="1" thickBot="1">
      <c r="A42" s="558" t="s">
        <v>280</v>
      </c>
      <c r="B42" s="517"/>
      <c r="C42" s="517"/>
      <c r="D42" s="517"/>
      <c r="E42" s="517"/>
      <c r="F42" s="517"/>
      <c r="G42" s="517"/>
      <c r="H42" s="517"/>
      <c r="I42" s="517"/>
      <c r="J42" s="517"/>
      <c r="K42" s="517"/>
      <c r="L42" s="514"/>
      <c r="M42" s="514"/>
      <c r="N42" s="514"/>
      <c r="O42" s="514"/>
      <c r="P42" s="514"/>
      <c r="Q42" s="514"/>
      <c r="R42" s="514"/>
      <c r="S42" s="514"/>
      <c r="T42" s="514"/>
      <c r="U42" s="514"/>
      <c r="V42" s="514"/>
      <c r="W42" s="515"/>
      <c r="AB42" s="556"/>
      <c r="AC42" s="556"/>
      <c r="AD42" s="556"/>
      <c r="AE42" s="556"/>
      <c r="AF42" s="556"/>
      <c r="AG42" s="556"/>
      <c r="AH42" s="248"/>
    </row>
    <row r="43" spans="1:36" ht="14.85" customHeight="1" thickBot="1">
      <c r="B43" s="511"/>
      <c r="C43" s="511"/>
      <c r="D43" s="511"/>
      <c r="E43" s="511"/>
      <c r="F43" s="511"/>
      <c r="G43" s="511"/>
      <c r="H43" s="511"/>
      <c r="I43" s="511"/>
      <c r="J43" s="511"/>
      <c r="K43" s="511"/>
      <c r="L43" s="510"/>
      <c r="M43" s="510"/>
      <c r="N43" s="510"/>
      <c r="O43" s="510"/>
      <c r="P43" s="510"/>
      <c r="Q43" s="510"/>
      <c r="R43" s="510"/>
      <c r="S43" s="510"/>
      <c r="T43" s="510"/>
      <c r="U43" s="510"/>
      <c r="V43" s="510"/>
      <c r="W43" s="510"/>
      <c r="AB43" s="556"/>
      <c r="AC43" s="556"/>
      <c r="AD43" s="556"/>
      <c r="AE43" s="556"/>
      <c r="AF43" s="556"/>
      <c r="AG43" s="556"/>
      <c r="AH43" s="248"/>
    </row>
    <row r="44" spans="1:36" ht="61.2">
      <c r="A44" s="689" t="s">
        <v>281</v>
      </c>
      <c r="B44" s="690"/>
      <c r="C44" s="690"/>
      <c r="D44" s="690"/>
      <c r="E44" s="690"/>
      <c r="F44" s="690"/>
      <c r="G44" s="690"/>
      <c r="H44" s="690"/>
      <c r="I44" s="690"/>
      <c r="J44" s="690"/>
      <c r="K44" s="690"/>
      <c r="L44" s="690"/>
      <c r="M44" s="690"/>
      <c r="N44" s="690"/>
      <c r="O44" s="690"/>
      <c r="P44" s="690"/>
      <c r="Q44" s="690"/>
      <c r="R44" s="690"/>
      <c r="S44" s="690"/>
      <c r="T44" s="690"/>
      <c r="U44" s="690"/>
      <c r="V44" s="690"/>
      <c r="W44" s="691"/>
      <c r="X44" s="639" t="s">
        <v>282</v>
      </c>
      <c r="Y44" s="519" t="s">
        <v>594</v>
      </c>
      <c r="AD44" s="19"/>
      <c r="AE44" s="19"/>
    </row>
    <row r="45" spans="1:36" ht="15.6">
      <c r="A45" s="448" t="s">
        <v>283</v>
      </c>
      <c r="B45" s="636">
        <f t="shared" ref="B45:K45" si="17">SUM((B30*$X30)+(B31*$X31)+(B32*$X32)+(B33*$X33)+(B34*$X34))</f>
        <v>2.3344040199150147</v>
      </c>
      <c r="C45" s="636">
        <f t="shared" si="17"/>
        <v>2.2812259103253112</v>
      </c>
      <c r="D45" s="636">
        <f t="shared" si="17"/>
        <v>2.2280478007356219</v>
      </c>
      <c r="E45" s="636">
        <f t="shared" si="17"/>
        <v>2.1748696911459349</v>
      </c>
      <c r="F45" s="636">
        <f t="shared" si="17"/>
        <v>2.1216915815562478</v>
      </c>
      <c r="G45" s="636">
        <f t="shared" si="17"/>
        <v>2.0685134719665585</v>
      </c>
      <c r="H45" s="636">
        <f t="shared" si="17"/>
        <v>2.0153353623768546</v>
      </c>
      <c r="I45" s="636">
        <f t="shared" si="17"/>
        <v>1.9621572527871673</v>
      </c>
      <c r="J45" s="636">
        <f t="shared" si="17"/>
        <v>1.9089791431974783</v>
      </c>
      <c r="K45" s="636">
        <f t="shared" si="17"/>
        <v>1.855801033607791</v>
      </c>
      <c r="L45" s="636">
        <f t="shared" ref="L45:W45" si="18">SUM((L30*$X30)+(L31*$X31)+(L32*$X32)+(L33*$X33)+(L34*L25))</f>
        <v>1.7983330903930508</v>
      </c>
      <c r="M45" s="636">
        <f t="shared" si="18"/>
        <v>1.6671637364645187</v>
      </c>
      <c r="N45" s="636">
        <f t="shared" si="18"/>
        <v>1.6740798366286249</v>
      </c>
      <c r="O45" s="636">
        <f t="shared" si="18"/>
        <v>1.5916079593704233</v>
      </c>
      <c r="P45" s="636">
        <f t="shared" si="18"/>
        <v>1.6128595040508922</v>
      </c>
      <c r="Q45" s="636">
        <f t="shared" si="18"/>
        <v>1.4700491764440433</v>
      </c>
      <c r="R45" s="636">
        <f t="shared" si="18"/>
        <v>1.4095416358110791</v>
      </c>
      <c r="S45" s="636">
        <f t="shared" si="18"/>
        <v>1.3520460057358914</v>
      </c>
      <c r="T45" s="636">
        <f t="shared" si="18"/>
        <v>1.2469814448145915</v>
      </c>
      <c r="U45" s="636">
        <f t="shared" si="18"/>
        <v>1.2220735999724113</v>
      </c>
      <c r="V45" s="636">
        <f t="shared" si="18"/>
        <v>1.2942015021489635</v>
      </c>
      <c r="W45" s="560">
        <f t="shared" si="18"/>
        <v>0</v>
      </c>
      <c r="X45" s="640">
        <f>AVERAGE(B45:V45)</f>
        <v>1.7757125123546891</v>
      </c>
      <c r="Y45" s="641">
        <f>X45/12</f>
        <v>0.14797604269622408</v>
      </c>
    </row>
    <row r="46" spans="1:36" ht="81.599999999999994">
      <c r="A46" s="561" t="s">
        <v>284</v>
      </c>
      <c r="B46" s="637">
        <f t="shared" ref="B46:V46" si="19">B45*B51</f>
        <v>118157727.71209052</v>
      </c>
      <c r="C46" s="637">
        <f t="shared" si="19"/>
        <v>126079461.34552409</v>
      </c>
      <c r="D46" s="637">
        <f t="shared" si="19"/>
        <v>137249206.06702104</v>
      </c>
      <c r="E46" s="637">
        <f t="shared" si="19"/>
        <v>139505676.58138478</v>
      </c>
      <c r="F46" s="637">
        <f t="shared" si="19"/>
        <v>144195512.29609936</v>
      </c>
      <c r="G46" s="637">
        <f t="shared" si="19"/>
        <v>150103242.86710441</v>
      </c>
      <c r="H46" s="637">
        <f t="shared" si="19"/>
        <v>155057862.61199394</v>
      </c>
      <c r="I46" s="637">
        <f t="shared" si="19"/>
        <v>163253183.17809507</v>
      </c>
      <c r="J46" s="637">
        <f t="shared" si="19"/>
        <v>171739074.23440379</v>
      </c>
      <c r="K46" s="637">
        <f t="shared" si="19"/>
        <v>177370354.88968191</v>
      </c>
      <c r="L46" s="637">
        <f t="shared" si="19"/>
        <v>180738907.42202437</v>
      </c>
      <c r="M46" s="637">
        <f t="shared" si="19"/>
        <v>181842874.95457992</v>
      </c>
      <c r="N46" s="637">
        <f t="shared" si="19"/>
        <v>182585763.20432958</v>
      </c>
      <c r="O46" s="637">
        <f t="shared" si="19"/>
        <v>181537384.17443261</v>
      </c>
      <c r="P46" s="637">
        <f t="shared" si="19"/>
        <v>176215280.12724125</v>
      </c>
      <c r="Q46" s="637">
        <f t="shared" si="19"/>
        <v>165850685.21786049</v>
      </c>
      <c r="R46" s="637">
        <f t="shared" si="19"/>
        <v>152455326.23792812</v>
      </c>
      <c r="S46" s="637">
        <f t="shared" si="19"/>
        <v>142906842.13555112</v>
      </c>
      <c r="T46" s="637">
        <f t="shared" si="19"/>
        <v>124366317.05976546</v>
      </c>
      <c r="U46" s="637">
        <f t="shared" si="19"/>
        <v>108747547.3025807</v>
      </c>
      <c r="V46" s="637">
        <f t="shared" si="19"/>
        <v>101538586.11182743</v>
      </c>
      <c r="W46" s="449" t="e">
        <f>W45*W51</f>
        <v>#DIV/0!</v>
      </c>
      <c r="X46" s="639" t="s">
        <v>285</v>
      </c>
      <c r="Y46" s="519" t="s">
        <v>595</v>
      </c>
    </row>
    <row r="47" spans="1:36" ht="15.9" thickBot="1">
      <c r="A47" s="450" t="s">
        <v>286</v>
      </c>
      <c r="B47" s="292">
        <f t="shared" ref="B47:W47" si="20">B45/B39</f>
        <v>0.75395795794504561</v>
      </c>
      <c r="C47" s="292">
        <f t="shared" si="20"/>
        <v>0.75058003120876093</v>
      </c>
      <c r="D47" s="292">
        <f t="shared" si="20"/>
        <v>0.74707317661935946</v>
      </c>
      <c r="E47" s="292">
        <f t="shared" si="20"/>
        <v>0.7434298692434399</v>
      </c>
      <c r="F47" s="292">
        <f t="shared" si="20"/>
        <v>0.73964198693378869</v>
      </c>
      <c r="G47" s="292">
        <f t="shared" si="20"/>
        <v>0.73570074988295786</v>
      </c>
      <c r="H47" s="292">
        <f t="shared" si="20"/>
        <v>0.73159665268352558</v>
      </c>
      <c r="I47" s="292">
        <f t="shared" si="20"/>
        <v>0.72731938778844829</v>
      </c>
      <c r="J47" s="292">
        <f t="shared" si="20"/>
        <v>0.72285775907408167</v>
      </c>
      <c r="K47" s="292">
        <f t="shared" si="20"/>
        <v>0.71819958397989447</v>
      </c>
      <c r="L47" s="292">
        <f t="shared" si="20"/>
        <v>0.71424625936462705</v>
      </c>
      <c r="M47" s="292">
        <f t="shared" si="20"/>
        <v>0.6995729473777611</v>
      </c>
      <c r="N47" s="292">
        <f t="shared" si="20"/>
        <v>0.70056635692528779</v>
      </c>
      <c r="O47" s="292">
        <f t="shared" si="20"/>
        <v>0.6900780239001959</v>
      </c>
      <c r="P47" s="292">
        <f t="shared" si="20"/>
        <v>0.69398130357219279</v>
      </c>
      <c r="Q47" s="292">
        <f t="shared" si="20"/>
        <v>0.67329663290296105</v>
      </c>
      <c r="R47" s="292">
        <f t="shared" si="20"/>
        <v>0.66533542944680957</v>
      </c>
      <c r="S47" s="292">
        <f t="shared" si="20"/>
        <v>0.65760541813472628</v>
      </c>
      <c r="T47" s="292">
        <f t="shared" si="20"/>
        <v>0.64178255773236748</v>
      </c>
      <c r="U47" s="292">
        <f t="shared" si="20"/>
        <v>0.64020380983006997</v>
      </c>
      <c r="V47" s="292">
        <f t="shared" si="20"/>
        <v>0.65653498158341639</v>
      </c>
      <c r="W47" s="562" t="e">
        <f t="shared" si="20"/>
        <v>#DIV/0!</v>
      </c>
      <c r="X47" s="640">
        <f>AVERAGE(B47:V47)</f>
        <v>0.70493147029189118</v>
      </c>
      <c r="Y47" s="642">
        <f>X47/12</f>
        <v>5.874428919099093E-2</v>
      </c>
    </row>
    <row r="48" spans="1:36" ht="20.7" thickBot="1">
      <c r="A48" s="1"/>
      <c r="X48" s="520"/>
    </row>
    <row r="49" spans="1:34" ht="47.4" customHeight="1">
      <c r="A49" s="682" t="s">
        <v>287</v>
      </c>
      <c r="B49" s="683"/>
      <c r="C49" s="683"/>
      <c r="D49" s="683"/>
      <c r="E49" s="683"/>
      <c r="F49" s="683"/>
      <c r="G49" s="683"/>
      <c r="H49" s="683"/>
      <c r="I49" s="683"/>
      <c r="J49" s="683"/>
      <c r="K49" s="683"/>
      <c r="L49" s="683"/>
      <c r="M49" s="683"/>
      <c r="N49" s="683"/>
      <c r="O49" s="683"/>
      <c r="P49" s="683"/>
      <c r="Q49" s="683"/>
      <c r="R49" s="683"/>
      <c r="S49" s="683"/>
      <c r="T49" s="683"/>
      <c r="U49" s="683"/>
      <c r="V49" s="683"/>
      <c r="W49" s="684"/>
      <c r="X49" s="563"/>
    </row>
    <row r="50" spans="1:34" ht="14.85" customHeight="1">
      <c r="A50" s="538"/>
      <c r="B50" s="634">
        <v>1999</v>
      </c>
      <c r="C50" s="634">
        <v>2000</v>
      </c>
      <c r="D50" s="634">
        <v>2001</v>
      </c>
      <c r="E50" s="634">
        <v>2002</v>
      </c>
      <c r="F50" s="634">
        <v>2003</v>
      </c>
      <c r="G50" s="634">
        <v>2004</v>
      </c>
      <c r="H50" s="634">
        <v>2005</v>
      </c>
      <c r="I50" s="634">
        <v>2006</v>
      </c>
      <c r="J50" s="634">
        <v>2007</v>
      </c>
      <c r="K50" s="634">
        <v>2008</v>
      </c>
      <c r="L50" s="634">
        <v>2009</v>
      </c>
      <c r="M50" s="634">
        <v>2010</v>
      </c>
      <c r="N50" s="634">
        <v>2011</v>
      </c>
      <c r="O50" s="634">
        <v>2012</v>
      </c>
      <c r="P50" s="634">
        <v>2013</v>
      </c>
      <c r="Q50" s="634">
        <v>2014</v>
      </c>
      <c r="R50" s="634">
        <v>2015</v>
      </c>
      <c r="S50" s="634">
        <v>2016</v>
      </c>
      <c r="T50" s="634">
        <v>2017</v>
      </c>
      <c r="U50" s="634">
        <v>2018</v>
      </c>
      <c r="V50" s="635">
        <v>2019</v>
      </c>
      <c r="W50" s="521">
        <v>2020</v>
      </c>
      <c r="AB50" s="556"/>
      <c r="AC50" s="556"/>
      <c r="AD50" s="556"/>
      <c r="AE50" s="556"/>
      <c r="AF50" s="556"/>
      <c r="AG50" s="556"/>
      <c r="AH50" s="248"/>
    </row>
    <row r="51" spans="1:34" ht="42.6" customHeight="1" thickBot="1">
      <c r="A51" s="564" t="s">
        <v>288</v>
      </c>
      <c r="B51" s="565">
        <f t="shared" ref="B51:W51" si="21">B55/B39</f>
        <v>50615800.308805212</v>
      </c>
      <c r="C51" s="565">
        <f t="shared" si="21"/>
        <v>55268292.708259083</v>
      </c>
      <c r="D51" s="565">
        <f t="shared" si="21"/>
        <v>61600655.974125087</v>
      </c>
      <c r="E51" s="565">
        <f t="shared" si="21"/>
        <v>64144383.982784502</v>
      </c>
      <c r="F51" s="565">
        <f t="shared" si="21"/>
        <v>67962522.71045579</v>
      </c>
      <c r="G51" s="565">
        <f t="shared" si="21"/>
        <v>72565755.505764052</v>
      </c>
      <c r="H51" s="565">
        <f t="shared" si="21"/>
        <v>76938987.677525371</v>
      </c>
      <c r="I51" s="565">
        <f t="shared" si="21"/>
        <v>83200866.264006272</v>
      </c>
      <c r="J51" s="565">
        <f t="shared" si="21"/>
        <v>89963829.540194139</v>
      </c>
      <c r="K51" s="565">
        <f t="shared" si="21"/>
        <v>95576169.900532424</v>
      </c>
      <c r="L51" s="565">
        <f t="shared" si="21"/>
        <v>100503576.55517608</v>
      </c>
      <c r="M51" s="565">
        <f t="shared" si="21"/>
        <v>109073194.77822027</v>
      </c>
      <c r="N51" s="565">
        <f t="shared" si="21"/>
        <v>109066341.52647889</v>
      </c>
      <c r="O51" s="565">
        <f t="shared" si="21"/>
        <v>114059108.02698019</v>
      </c>
      <c r="P51" s="565">
        <f t="shared" si="21"/>
        <v>109256435.34644848</v>
      </c>
      <c r="Q51" s="565">
        <f t="shared" si="21"/>
        <v>112819821.18383473</v>
      </c>
      <c r="R51" s="565">
        <f t="shared" si="21"/>
        <v>108159505.44816807</v>
      </c>
      <c r="S51" s="565">
        <f t="shared" si="21"/>
        <v>105696730.38438496</v>
      </c>
      <c r="T51" s="565">
        <f t="shared" si="21"/>
        <v>99733895.461657792</v>
      </c>
      <c r="U51" s="565">
        <f t="shared" si="21"/>
        <v>88986086.68498829</v>
      </c>
      <c r="V51" s="565">
        <f t="shared" si="21"/>
        <v>78456550.964611903</v>
      </c>
      <c r="W51" s="566" t="e">
        <f t="shared" si="21"/>
        <v>#DIV/0!</v>
      </c>
      <c r="Y51" s="567"/>
      <c r="Z51" s="556"/>
      <c r="AA51" s="556"/>
      <c r="AB51" s="556"/>
      <c r="AC51" s="556"/>
      <c r="AD51" s="556"/>
      <c r="AE51" s="556"/>
      <c r="AF51" s="556"/>
      <c r="AG51" s="556"/>
      <c r="AH51" s="248"/>
    </row>
    <row r="52" spans="1:34" ht="51.6" customHeight="1">
      <c r="V52" s="591"/>
      <c r="W52" s="290"/>
    </row>
    <row r="53" spans="1:34" ht="20.399999999999999">
      <c r="A53" s="518" t="s">
        <v>289</v>
      </c>
    </row>
    <row r="54" spans="1:34" ht="14.7" thickBot="1">
      <c r="B54" s="511"/>
      <c r="C54" s="511"/>
      <c r="D54" s="511"/>
      <c r="E54" s="511"/>
      <c r="F54" s="511"/>
      <c r="G54" s="511"/>
      <c r="H54" s="511"/>
      <c r="I54" s="511"/>
      <c r="J54" s="511"/>
      <c r="K54" s="511"/>
      <c r="L54" s="433"/>
      <c r="M54" s="433"/>
      <c r="N54" s="433"/>
      <c r="O54" s="433"/>
      <c r="P54" s="433"/>
      <c r="Q54" s="433"/>
      <c r="R54" s="433"/>
      <c r="S54" s="433"/>
      <c r="T54" s="433"/>
      <c r="U54" s="433"/>
      <c r="V54" s="433"/>
      <c r="W54" s="433"/>
    </row>
    <row r="55" spans="1:34">
      <c r="A55" s="568" t="s">
        <v>3</v>
      </c>
      <c r="B55" s="437">
        <v>156716600</v>
      </c>
      <c r="C55" s="437">
        <v>167976040</v>
      </c>
      <c r="D55" s="437">
        <v>183715880</v>
      </c>
      <c r="E55" s="437">
        <v>187651428</v>
      </c>
      <c r="F55" s="437">
        <v>194953119</v>
      </c>
      <c r="G55" s="437">
        <v>204027579</v>
      </c>
      <c r="H55" s="437">
        <v>211944467</v>
      </c>
      <c r="I55" s="437">
        <v>224458726</v>
      </c>
      <c r="J55" s="437">
        <v>237583497</v>
      </c>
      <c r="K55" s="437">
        <v>246965271</v>
      </c>
      <c r="L55" s="437">
        <v>253048448</v>
      </c>
      <c r="M55" s="437">
        <v>259934115</v>
      </c>
      <c r="N55" s="437">
        <v>260625937</v>
      </c>
      <c r="O55" s="437">
        <v>263067911</v>
      </c>
      <c r="P55" s="437">
        <v>253919348</v>
      </c>
      <c r="Q55" s="437">
        <v>246326325</v>
      </c>
      <c r="R55" s="437">
        <v>229140550</v>
      </c>
      <c r="S55" s="437">
        <v>217313967</v>
      </c>
      <c r="T55" s="437">
        <v>193782638</v>
      </c>
      <c r="U55" s="437">
        <v>169863949</v>
      </c>
      <c r="V55" s="437">
        <v>154658303</v>
      </c>
      <c r="W55" s="438">
        <v>144174733</v>
      </c>
      <c r="X55" s="569"/>
    </row>
    <row r="56" spans="1:34" ht="40.950000000000003" customHeight="1" thickBot="1">
      <c r="A56" s="297" t="s">
        <v>290</v>
      </c>
      <c r="B56" s="705" t="s">
        <v>291</v>
      </c>
      <c r="C56" s="705"/>
      <c r="D56" s="705"/>
      <c r="E56" s="439"/>
      <c r="F56" s="439"/>
      <c r="G56" s="439"/>
      <c r="H56" s="439"/>
      <c r="I56" s="439"/>
      <c r="J56" s="439"/>
      <c r="K56" s="439"/>
      <c r="L56" s="439"/>
      <c r="M56" s="439"/>
      <c r="N56" s="439"/>
      <c r="O56" s="552" t="s">
        <v>292</v>
      </c>
      <c r="P56" s="439"/>
      <c r="Q56" s="439"/>
      <c r="R56" s="439"/>
      <c r="S56" s="439"/>
      <c r="T56" s="439"/>
      <c r="U56" s="439"/>
      <c r="V56" s="439"/>
      <c r="W56" s="440"/>
      <c r="X56" s="569"/>
    </row>
    <row r="57" spans="1:34">
      <c r="A57" s="531"/>
      <c r="B57" s="434">
        <v>1999</v>
      </c>
      <c r="C57" s="434">
        <v>2000</v>
      </c>
      <c r="D57" s="434">
        <v>2001</v>
      </c>
      <c r="E57" s="434">
        <v>2002</v>
      </c>
      <c r="F57" s="434">
        <v>2003</v>
      </c>
      <c r="G57" s="434">
        <v>2004</v>
      </c>
      <c r="H57" s="434">
        <v>2005</v>
      </c>
      <c r="I57" s="434">
        <v>2006</v>
      </c>
      <c r="J57" s="434">
        <v>2007</v>
      </c>
      <c r="K57" s="434">
        <v>2008</v>
      </c>
      <c r="L57" s="434">
        <v>2009</v>
      </c>
      <c r="M57" s="434">
        <v>2010</v>
      </c>
      <c r="N57" s="434">
        <v>2011</v>
      </c>
      <c r="O57" s="434">
        <v>2012</v>
      </c>
      <c r="P57" s="434">
        <v>2013</v>
      </c>
      <c r="Q57" s="434">
        <v>2014</v>
      </c>
      <c r="R57" s="434">
        <v>2015</v>
      </c>
      <c r="S57" s="434">
        <v>2016</v>
      </c>
      <c r="T57" s="434">
        <v>2017</v>
      </c>
      <c r="U57" s="434">
        <v>2018</v>
      </c>
      <c r="V57" s="444">
        <v>2019</v>
      </c>
      <c r="W57" s="445">
        <v>2020</v>
      </c>
      <c r="X57" s="285"/>
    </row>
    <row r="58" spans="1:34" ht="66.599999999999994" customHeight="1">
      <c r="A58" s="570" t="s">
        <v>604</v>
      </c>
      <c r="B58" s="632">
        <f>B84*1000000</f>
        <v>83860335346.247116</v>
      </c>
      <c r="C58" s="632">
        <f>C84*1000000</f>
        <v>88243037645.415298</v>
      </c>
      <c r="D58" s="632">
        <f>D84*1000000</f>
        <v>104432410000.00002</v>
      </c>
      <c r="E58" s="632">
        <v>113914397673</v>
      </c>
      <c r="F58" s="632">
        <v>128182380208</v>
      </c>
      <c r="G58" s="632">
        <v>141266597589</v>
      </c>
      <c r="H58" s="632">
        <v>152741116253</v>
      </c>
      <c r="I58" s="632">
        <v>172377484435</v>
      </c>
      <c r="J58" s="632">
        <v>194816933897</v>
      </c>
      <c r="K58" s="632">
        <v>214803554568</v>
      </c>
      <c r="L58" s="632">
        <v>227757668789</v>
      </c>
      <c r="M58" s="632">
        <v>245404960604</v>
      </c>
      <c r="N58" s="632">
        <v>246463188398</v>
      </c>
      <c r="O58" s="632">
        <v>239867616739</v>
      </c>
      <c r="P58" s="632">
        <v>228965844787</v>
      </c>
      <c r="Q58" s="632">
        <v>221271525079</v>
      </c>
      <c r="R58" s="632">
        <v>209409702158</v>
      </c>
      <c r="S58" s="632">
        <v>197124327717</v>
      </c>
      <c r="T58" s="632">
        <v>170285611746</v>
      </c>
      <c r="U58" s="632">
        <v>141100706124</v>
      </c>
      <c r="V58" s="632">
        <v>120407890118</v>
      </c>
      <c r="W58" s="633">
        <v>110314545203</v>
      </c>
      <c r="X58" s="285"/>
    </row>
    <row r="59" spans="1:34" ht="43.2">
      <c r="A59" s="571" t="s">
        <v>293</v>
      </c>
      <c r="B59" s="714" t="s">
        <v>294</v>
      </c>
      <c r="C59" s="714"/>
      <c r="D59" s="714"/>
      <c r="E59" s="572"/>
      <c r="F59" s="572"/>
      <c r="G59" s="572"/>
      <c r="H59" s="572"/>
      <c r="I59" s="572"/>
      <c r="J59" s="572"/>
      <c r="K59" s="572"/>
      <c r="L59" s="572"/>
      <c r="M59" s="572"/>
      <c r="N59" s="572"/>
      <c r="O59" s="572"/>
      <c r="P59" s="572"/>
      <c r="Q59" s="572"/>
      <c r="R59" s="572"/>
      <c r="S59" s="572"/>
      <c r="T59" s="572"/>
      <c r="U59" s="572"/>
      <c r="V59" s="451"/>
      <c r="W59" s="452"/>
      <c r="X59" s="285"/>
      <c r="Y59" s="286"/>
    </row>
    <row r="60" spans="1:34" ht="14.7" thickBot="1">
      <c r="A60" s="711" t="s">
        <v>295</v>
      </c>
      <c r="B60" s="712"/>
      <c r="C60" s="712"/>
      <c r="D60" s="712"/>
      <c r="E60" s="712"/>
      <c r="F60" s="712"/>
      <c r="G60" s="712"/>
      <c r="H60" s="712"/>
      <c r="I60" s="712"/>
      <c r="J60" s="712"/>
      <c r="K60" s="712"/>
      <c r="L60" s="712"/>
      <c r="M60" s="712"/>
      <c r="N60" s="712"/>
      <c r="O60" s="573"/>
      <c r="P60" s="573"/>
      <c r="Q60" s="573"/>
      <c r="R60" s="453"/>
      <c r="S60" s="292"/>
      <c r="T60" s="454"/>
      <c r="U60" s="454"/>
      <c r="V60" s="454"/>
      <c r="W60" s="455"/>
      <c r="X60" s="286"/>
      <c r="Y60" s="287"/>
      <c r="Z60" s="286"/>
      <c r="AA60" s="286"/>
      <c r="AB60" s="286"/>
      <c r="AC60" s="286"/>
      <c r="AD60" s="286"/>
      <c r="AE60" s="286"/>
      <c r="AF60" s="286"/>
      <c r="AG60" s="286"/>
      <c r="AH60" s="286"/>
    </row>
    <row r="61" spans="1:34" ht="14.7" thickBot="1">
      <c r="A61" s="418"/>
      <c r="B61" s="418"/>
      <c r="C61" s="418"/>
      <c r="D61" s="418"/>
      <c r="E61" s="418"/>
      <c r="F61" s="418"/>
      <c r="G61" s="418"/>
      <c r="H61" s="418"/>
      <c r="I61" s="418"/>
      <c r="J61" s="418"/>
      <c r="K61" s="418"/>
      <c r="L61" s="418"/>
      <c r="M61" s="418"/>
      <c r="N61" s="248"/>
      <c r="O61" s="248"/>
      <c r="P61" s="248"/>
      <c r="Q61" s="248"/>
      <c r="R61" s="288"/>
      <c r="S61" s="285"/>
      <c r="T61" s="285"/>
      <c r="U61" s="285"/>
      <c r="V61" s="285"/>
      <c r="W61" s="285"/>
      <c r="X61" s="287"/>
      <c r="Z61" s="287"/>
      <c r="AA61" s="287"/>
      <c r="AB61" s="287"/>
      <c r="AC61" s="287"/>
      <c r="AD61" s="287"/>
      <c r="AE61" s="287"/>
      <c r="AF61" s="287"/>
      <c r="AG61" s="287"/>
      <c r="AH61" s="287"/>
    </row>
    <row r="62" spans="1:34" ht="46.8">
      <c r="A62" s="456" t="s">
        <v>296</v>
      </c>
      <c r="B62" s="290" t="s">
        <v>297</v>
      </c>
      <c r="C62" s="290"/>
      <c r="D62" s="290"/>
      <c r="E62" s="290"/>
      <c r="F62" s="290"/>
      <c r="G62" s="290"/>
      <c r="H62" s="290"/>
      <c r="I62" s="290"/>
      <c r="J62" s="290"/>
      <c r="K62" s="290"/>
      <c r="L62" s="434">
        <v>2009</v>
      </c>
      <c r="M62" s="434">
        <v>2010</v>
      </c>
      <c r="N62" s="434">
        <v>2011</v>
      </c>
      <c r="O62" s="434">
        <v>2012</v>
      </c>
      <c r="P62" s="434">
        <v>2013</v>
      </c>
      <c r="Q62" s="434">
        <v>2014</v>
      </c>
      <c r="R62" s="434">
        <v>2015</v>
      </c>
      <c r="S62" s="434">
        <v>2016</v>
      </c>
      <c r="T62" s="434">
        <v>2017</v>
      </c>
      <c r="U62" s="434">
        <v>2018</v>
      </c>
      <c r="V62" s="444">
        <v>2019</v>
      </c>
      <c r="W62" s="445">
        <v>2020</v>
      </c>
      <c r="Y62" s="286"/>
      <c r="Z62" s="285"/>
      <c r="AA62" s="285"/>
      <c r="AB62" s="285"/>
      <c r="AC62" s="285"/>
      <c r="AD62" s="285"/>
      <c r="AE62" s="285"/>
    </row>
    <row r="63" spans="1:34">
      <c r="A63" s="457"/>
      <c r="B63" s="458" t="s">
        <v>298</v>
      </c>
      <c r="L63" s="574">
        <v>29308200</v>
      </c>
      <c r="M63" s="574">
        <v>7470138321.3125</v>
      </c>
      <c r="N63" s="575">
        <v>25526772505</v>
      </c>
      <c r="O63" s="575">
        <v>21681058255</v>
      </c>
      <c r="P63" s="575">
        <v>19489917045</v>
      </c>
      <c r="Q63" s="575">
        <v>17662370318</v>
      </c>
      <c r="R63" s="575">
        <v>15852132750</v>
      </c>
      <c r="S63" s="575">
        <v>13926451995</v>
      </c>
      <c r="T63" s="575">
        <v>11120411540</v>
      </c>
      <c r="U63" s="575">
        <v>8773490163</v>
      </c>
      <c r="V63" s="575">
        <v>6712160240</v>
      </c>
      <c r="W63" s="576">
        <v>5435455348</v>
      </c>
      <c r="Y63" s="287"/>
      <c r="Z63" s="286"/>
      <c r="AA63" s="286"/>
      <c r="AB63" s="286"/>
      <c r="AC63" s="286"/>
      <c r="AD63" s="286"/>
      <c r="AE63" s="286"/>
      <c r="AF63" s="286"/>
      <c r="AG63" s="286"/>
      <c r="AH63" s="286"/>
    </row>
    <row r="64" spans="1:34">
      <c r="A64" s="457"/>
      <c r="B64" s="458" t="s">
        <v>299</v>
      </c>
      <c r="M64" s="418"/>
      <c r="N64" s="418"/>
      <c r="O64" s="248"/>
      <c r="P64" s="248"/>
      <c r="Q64" s="248"/>
      <c r="R64" s="459"/>
      <c r="W64" s="539"/>
      <c r="Y64" s="287"/>
      <c r="Z64" s="287"/>
      <c r="AA64" s="287"/>
      <c r="AB64" s="287"/>
      <c r="AC64" s="287"/>
      <c r="AD64" s="287"/>
      <c r="AE64" s="287"/>
      <c r="AF64" s="287"/>
      <c r="AG64" s="287"/>
      <c r="AH64" s="287"/>
    </row>
    <row r="65" spans="1:34" ht="28.5" customHeight="1" thickBot="1">
      <c r="A65" s="709" t="s">
        <v>300</v>
      </c>
      <c r="B65" s="710"/>
      <c r="C65" s="710"/>
      <c r="D65" s="460" t="s">
        <v>301</v>
      </c>
      <c r="E65" s="461" t="s">
        <v>302</v>
      </c>
      <c r="F65" s="461" t="s">
        <v>303</v>
      </c>
      <c r="G65" s="461" t="s">
        <v>304</v>
      </c>
      <c r="H65" s="461" t="s">
        <v>305</v>
      </c>
      <c r="I65" s="461" t="s">
        <v>306</v>
      </c>
      <c r="J65" s="461" t="s">
        <v>307</v>
      </c>
      <c r="K65" s="461" t="s">
        <v>308</v>
      </c>
      <c r="L65" s="577" t="s">
        <v>309</v>
      </c>
      <c r="M65" s="577"/>
      <c r="N65" s="502"/>
      <c r="O65" s="573"/>
      <c r="P65" s="573"/>
      <c r="Q65" s="573"/>
      <c r="R65" s="292"/>
      <c r="S65" s="292"/>
      <c r="T65" s="292"/>
      <c r="U65" s="292"/>
      <c r="V65" s="292"/>
      <c r="W65" s="562"/>
      <c r="Y65" s="285"/>
      <c r="Z65" s="287"/>
      <c r="AA65" s="287"/>
      <c r="AB65" s="287"/>
      <c r="AC65" s="287"/>
      <c r="AD65" s="287"/>
      <c r="AE65" s="287"/>
      <c r="AF65" s="287"/>
      <c r="AG65" s="287"/>
      <c r="AH65" s="287"/>
    </row>
    <row r="66" spans="1:34" ht="14.7" thickBot="1">
      <c r="O66" s="248"/>
      <c r="P66" s="248"/>
      <c r="Q66" s="248"/>
      <c r="Z66" s="285"/>
      <c r="AA66" s="285"/>
      <c r="AB66" s="285"/>
      <c r="AC66" s="285"/>
      <c r="AD66" s="285"/>
      <c r="AE66" s="285"/>
    </row>
    <row r="67" spans="1:34">
      <c r="A67" s="531"/>
      <c r="B67" s="434">
        <v>1999</v>
      </c>
      <c r="C67" s="434">
        <v>2000</v>
      </c>
      <c r="D67" s="434">
        <v>2001</v>
      </c>
      <c r="E67" s="434">
        <v>2002</v>
      </c>
      <c r="F67" s="434">
        <v>2003</v>
      </c>
      <c r="G67" s="434">
        <v>2004</v>
      </c>
      <c r="H67" s="434">
        <v>2005</v>
      </c>
      <c r="I67" s="434">
        <v>2006</v>
      </c>
      <c r="J67" s="434">
        <v>2007</v>
      </c>
      <c r="K67" s="434">
        <v>2008</v>
      </c>
      <c r="L67" s="434">
        <v>2009</v>
      </c>
      <c r="M67" s="434">
        <v>2010</v>
      </c>
      <c r="N67" s="434">
        <v>2011</v>
      </c>
      <c r="O67" s="434">
        <v>2012</v>
      </c>
      <c r="P67" s="434">
        <v>2013</v>
      </c>
      <c r="Q67" s="434">
        <v>2014</v>
      </c>
      <c r="R67" s="434">
        <v>2015</v>
      </c>
      <c r="S67" s="434">
        <v>2016</v>
      </c>
      <c r="T67" s="434">
        <v>2017</v>
      </c>
      <c r="U67" s="434">
        <v>2018</v>
      </c>
      <c r="V67" s="444">
        <v>2019</v>
      </c>
      <c r="W67" s="445">
        <v>2020</v>
      </c>
    </row>
    <row r="68" spans="1:34" ht="37.799999999999997" customHeight="1" thickBot="1">
      <c r="A68" s="564" t="s">
        <v>605</v>
      </c>
      <c r="B68" s="292">
        <v>0</v>
      </c>
      <c r="C68" s="292">
        <v>0</v>
      </c>
      <c r="D68" s="292">
        <v>0</v>
      </c>
      <c r="E68" s="292">
        <v>0</v>
      </c>
      <c r="F68" s="292">
        <v>0</v>
      </c>
      <c r="G68" s="292">
        <v>0</v>
      </c>
      <c r="H68" s="292">
        <v>0</v>
      </c>
      <c r="I68" s="292">
        <v>0</v>
      </c>
      <c r="J68" s="292">
        <v>0</v>
      </c>
      <c r="K68" s="292">
        <v>0</v>
      </c>
      <c r="L68" s="292">
        <f t="shared" ref="L68:W68" si="22">L63/L58</f>
        <v>1.2868150677794213E-4</v>
      </c>
      <c r="M68" s="292">
        <f t="shared" si="22"/>
        <v>3.0440046129983321E-2</v>
      </c>
      <c r="N68" s="292">
        <f t="shared" si="22"/>
        <v>0.10357235362782942</v>
      </c>
      <c r="O68" s="292">
        <f t="shared" si="22"/>
        <v>9.0387600251146713E-2</v>
      </c>
      <c r="P68" s="292">
        <f t="shared" si="22"/>
        <v>8.5121503878147764E-2</v>
      </c>
      <c r="Q68" s="292">
        <f t="shared" si="22"/>
        <v>7.9822156563950336E-2</v>
      </c>
      <c r="R68" s="292">
        <f t="shared" si="22"/>
        <v>7.5699132306866743E-2</v>
      </c>
      <c r="S68" s="292">
        <f t="shared" si="22"/>
        <v>7.0648063363307451E-2</v>
      </c>
      <c r="T68" s="292">
        <f t="shared" si="22"/>
        <v>6.5304469508482815E-2</v>
      </c>
      <c r="U68" s="292">
        <f t="shared" si="22"/>
        <v>6.2178924571006849E-2</v>
      </c>
      <c r="V68" s="292">
        <f t="shared" si="22"/>
        <v>5.5745186078936089E-2</v>
      </c>
      <c r="W68" s="562">
        <f t="shared" si="22"/>
        <v>4.9272336100354815E-2</v>
      </c>
    </row>
    <row r="71" spans="1:34" ht="70.95" customHeight="1" thickBot="1">
      <c r="A71" s="713" t="s">
        <v>310</v>
      </c>
      <c r="B71" s="713"/>
      <c r="C71" s="713"/>
      <c r="D71" s="713"/>
      <c r="E71" s="713"/>
      <c r="F71" s="713"/>
      <c r="G71" s="713"/>
      <c r="H71" s="713"/>
      <c r="I71" s="713"/>
      <c r="J71" s="713"/>
      <c r="K71" s="713"/>
      <c r="L71" s="713"/>
      <c r="M71" s="713"/>
      <c r="N71" s="713"/>
      <c r="O71" s="713"/>
      <c r="P71" s="713"/>
      <c r="Q71" s="713"/>
      <c r="R71" s="713"/>
    </row>
    <row r="72" spans="1:34" ht="20.399999999999999">
      <c r="A72" s="706" t="s">
        <v>311</v>
      </c>
      <c r="B72" s="707"/>
      <c r="C72" s="707"/>
      <c r="D72" s="708"/>
    </row>
    <row r="73" spans="1:34">
      <c r="A73" s="538"/>
      <c r="B73" s="1">
        <v>1999</v>
      </c>
      <c r="C73" s="1">
        <v>2000</v>
      </c>
      <c r="D73" s="426">
        <v>2001</v>
      </c>
    </row>
    <row r="74" spans="1:34" ht="20.399999999999999" customHeight="1">
      <c r="A74" s="538" t="s">
        <v>234</v>
      </c>
      <c r="B74" s="21">
        <f t="shared" ref="B74:B83" si="23">B87*B99</f>
        <v>640.80000000000007</v>
      </c>
      <c r="C74" s="21">
        <f t="shared" ref="C74:C83" si="24">C87*B99</f>
        <v>820.80000000000007</v>
      </c>
      <c r="D74" s="578">
        <f t="shared" ref="D74:D83" si="25">D87*B99</f>
        <v>1108.8</v>
      </c>
    </row>
    <row r="75" spans="1:34">
      <c r="A75" s="538" t="s">
        <v>228</v>
      </c>
      <c r="B75" s="21">
        <f t="shared" si="23"/>
        <v>740</v>
      </c>
      <c r="C75" s="21">
        <f t="shared" si="24"/>
        <v>792</v>
      </c>
      <c r="D75" s="578">
        <f t="shared" si="25"/>
        <v>948</v>
      </c>
    </row>
    <row r="76" spans="1:34">
      <c r="A76" s="538" t="s">
        <v>220</v>
      </c>
      <c r="B76" s="21">
        <f t="shared" si="23"/>
        <v>13371</v>
      </c>
      <c r="C76" s="21">
        <f t="shared" si="24"/>
        <v>20812.5</v>
      </c>
      <c r="D76" s="578">
        <f t="shared" si="25"/>
        <v>27420</v>
      </c>
    </row>
    <row r="77" spans="1:34">
      <c r="A77" s="538" t="s">
        <v>222</v>
      </c>
      <c r="B77" s="21">
        <f t="shared" si="23"/>
        <v>12185.380228136883</v>
      </c>
      <c r="C77" s="21">
        <f t="shared" si="24"/>
        <v>13346</v>
      </c>
      <c r="D77" s="578">
        <f t="shared" si="25"/>
        <v>14723</v>
      </c>
    </row>
    <row r="78" spans="1:34">
      <c r="A78" s="538" t="s">
        <v>224</v>
      </c>
      <c r="B78" s="21">
        <f t="shared" si="23"/>
        <v>5337</v>
      </c>
      <c r="C78" s="21">
        <f t="shared" si="24"/>
        <v>6035</v>
      </c>
      <c r="D78" s="578">
        <f t="shared" si="25"/>
        <v>6911</v>
      </c>
    </row>
    <row r="79" spans="1:34">
      <c r="A79" s="538" t="s">
        <v>225</v>
      </c>
      <c r="B79" s="21">
        <f t="shared" si="23"/>
        <v>15906</v>
      </c>
      <c r="C79" s="21">
        <f t="shared" si="24"/>
        <v>15549</v>
      </c>
      <c r="D79" s="578">
        <f t="shared" si="25"/>
        <v>20622</v>
      </c>
    </row>
    <row r="80" spans="1:34">
      <c r="A80" s="538" t="s">
        <v>312</v>
      </c>
      <c r="B80" s="21">
        <f t="shared" si="23"/>
        <v>273</v>
      </c>
      <c r="C80" s="21">
        <f t="shared" si="24"/>
        <v>271.40000000000003</v>
      </c>
      <c r="D80" s="578">
        <f t="shared" si="25"/>
        <v>268.60000000000002</v>
      </c>
    </row>
    <row r="81" spans="1:4">
      <c r="A81" s="538" t="s">
        <v>226</v>
      </c>
      <c r="B81" s="21">
        <f t="shared" si="23"/>
        <v>3976.7551181102363</v>
      </c>
      <c r="C81" s="21">
        <f t="shared" si="24"/>
        <v>3206.0076454152909</v>
      </c>
      <c r="D81" s="578">
        <f t="shared" si="25"/>
        <v>3109.0499999999997</v>
      </c>
    </row>
    <row r="82" spans="1:4">
      <c r="A82" s="538" t="s">
        <v>313</v>
      </c>
      <c r="B82" s="21">
        <f t="shared" si="23"/>
        <v>30668.2</v>
      </c>
      <c r="C82" s="21">
        <f t="shared" si="24"/>
        <v>26731.75</v>
      </c>
      <c r="D82" s="578">
        <f t="shared" si="25"/>
        <v>28727</v>
      </c>
    </row>
    <row r="83" spans="1:4">
      <c r="A83" s="538" t="s">
        <v>314</v>
      </c>
      <c r="B83" s="21">
        <f t="shared" si="23"/>
        <v>762.2</v>
      </c>
      <c r="C83" s="21">
        <f t="shared" si="24"/>
        <v>678.58</v>
      </c>
      <c r="D83" s="578">
        <f t="shared" si="25"/>
        <v>594.96</v>
      </c>
    </row>
    <row r="84" spans="1:4" ht="92.1" customHeight="1">
      <c r="A84" s="538" t="s">
        <v>250</v>
      </c>
      <c r="B84" s="427">
        <f>SUM(B74:B83)</f>
        <v>83860.335346247113</v>
      </c>
      <c r="C84" s="427">
        <f t="shared" ref="C84:D84" si="26">SUM(C74:C83)</f>
        <v>88243.037645415301</v>
      </c>
      <c r="D84" s="428">
        <f t="shared" si="26"/>
        <v>104432.41000000002</v>
      </c>
    </row>
    <row r="85" spans="1:4">
      <c r="A85" s="538"/>
      <c r="B85" s="21"/>
      <c r="D85" s="539"/>
    </row>
    <row r="86" spans="1:4">
      <c r="A86" s="429" t="s">
        <v>315</v>
      </c>
      <c r="D86" s="539"/>
    </row>
    <row r="87" spans="1:4">
      <c r="A87" s="538" t="s">
        <v>316</v>
      </c>
      <c r="B87" s="283">
        <v>89</v>
      </c>
      <c r="C87" s="283">
        <v>114</v>
      </c>
      <c r="D87" s="430">
        <v>154</v>
      </c>
    </row>
    <row r="88" spans="1:4">
      <c r="A88" s="538" t="s">
        <v>228</v>
      </c>
      <c r="B88">
        <v>185</v>
      </c>
      <c r="C88">
        <v>198</v>
      </c>
      <c r="D88" s="539">
        <v>237</v>
      </c>
    </row>
    <row r="89" spans="1:4">
      <c r="A89" s="538" t="s">
        <v>220</v>
      </c>
      <c r="B89" s="283">
        <v>8914</v>
      </c>
      <c r="C89" s="283">
        <v>13875</v>
      </c>
      <c r="D89" s="430">
        <v>18280</v>
      </c>
    </row>
    <row r="90" spans="1:4">
      <c r="A90" s="538" t="s">
        <v>222</v>
      </c>
      <c r="B90" s="431">
        <f>17323*13875/19725</f>
        <v>12185.380228136883</v>
      </c>
      <c r="C90" s="283">
        <v>13346</v>
      </c>
      <c r="D90" s="430">
        <v>14723</v>
      </c>
    </row>
    <row r="91" spans="1:4">
      <c r="A91" s="538" t="s">
        <v>224</v>
      </c>
      <c r="B91" s="283">
        <v>5337</v>
      </c>
      <c r="C91" s="283">
        <v>6035</v>
      </c>
      <c r="D91" s="430">
        <v>6911</v>
      </c>
    </row>
    <row r="92" spans="1:4">
      <c r="A92" s="538" t="s">
        <v>225</v>
      </c>
      <c r="B92">
        <v>5302</v>
      </c>
      <c r="C92">
        <v>5183</v>
      </c>
      <c r="D92" s="539">
        <v>6874</v>
      </c>
    </row>
    <row r="93" spans="1:4">
      <c r="A93" s="538" t="s">
        <v>312</v>
      </c>
      <c r="B93" s="283">
        <v>2730</v>
      </c>
      <c r="C93" s="283">
        <v>2714</v>
      </c>
      <c r="D93" s="430">
        <v>2686</v>
      </c>
    </row>
    <row r="94" spans="1:4">
      <c r="A94" s="538" t="s">
        <v>226</v>
      </c>
      <c r="B94" s="431">
        <f>45322*(D94/35433)</f>
        <v>26511.700787401576</v>
      </c>
      <c r="C94" s="431">
        <f>36538*D94/35433</f>
        <v>21373.384302768605</v>
      </c>
      <c r="D94" s="432">
        <v>20727</v>
      </c>
    </row>
    <row r="95" spans="1:4">
      <c r="A95" s="538" t="s">
        <v>313</v>
      </c>
      <c r="B95" s="21">
        <v>133340</v>
      </c>
      <c r="C95">
        <v>116225</v>
      </c>
      <c r="D95" s="539">
        <v>124900</v>
      </c>
    </row>
    <row r="96" spans="1:4">
      <c r="A96" s="538" t="s">
        <v>314</v>
      </c>
      <c r="B96" s="21">
        <v>2060</v>
      </c>
      <c r="C96">
        <v>1834</v>
      </c>
      <c r="D96" s="539">
        <v>1608</v>
      </c>
    </row>
    <row r="97" spans="1:5" ht="100.8">
      <c r="A97" s="538"/>
      <c r="B97" s="508" t="s">
        <v>317</v>
      </c>
      <c r="C97" s="49" t="s">
        <v>318</v>
      </c>
      <c r="D97" s="579" t="s">
        <v>319</v>
      </c>
    </row>
    <row r="98" spans="1:5">
      <c r="A98" s="429" t="s">
        <v>320</v>
      </c>
      <c r="D98" s="539"/>
    </row>
    <row r="99" spans="1:5">
      <c r="A99" s="538" t="s">
        <v>321</v>
      </c>
      <c r="B99">
        <v>7.2</v>
      </c>
      <c r="D99" s="539"/>
    </row>
    <row r="100" spans="1:5">
      <c r="A100" s="538" t="s">
        <v>228</v>
      </c>
      <c r="B100">
        <v>4</v>
      </c>
      <c r="D100" s="539"/>
    </row>
    <row r="101" spans="1:5">
      <c r="A101" s="538" t="s">
        <v>220</v>
      </c>
      <c r="B101">
        <v>1.5</v>
      </c>
      <c r="D101" s="539"/>
    </row>
    <row r="102" spans="1:5">
      <c r="A102" s="538" t="s">
        <v>222</v>
      </c>
      <c r="B102">
        <v>1</v>
      </c>
      <c r="D102" s="539"/>
    </row>
    <row r="103" spans="1:5">
      <c r="A103" s="538" t="s">
        <v>224</v>
      </c>
      <c r="B103">
        <v>1</v>
      </c>
      <c r="D103" s="539"/>
    </row>
    <row r="104" spans="1:5">
      <c r="A104" s="538" t="s">
        <v>225</v>
      </c>
      <c r="B104">
        <v>3</v>
      </c>
      <c r="D104" s="539"/>
    </row>
    <row r="105" spans="1:5">
      <c r="A105" s="538" t="s">
        <v>312</v>
      </c>
      <c r="B105">
        <v>0.1</v>
      </c>
      <c r="D105" s="539"/>
    </row>
    <row r="106" spans="1:5">
      <c r="A106" s="538" t="s">
        <v>226</v>
      </c>
      <c r="B106">
        <v>0.15</v>
      </c>
      <c r="D106" s="539"/>
    </row>
    <row r="107" spans="1:5">
      <c r="A107" s="538" t="s">
        <v>322</v>
      </c>
      <c r="B107">
        <v>0.23</v>
      </c>
      <c r="D107" s="539"/>
    </row>
    <row r="108" spans="1:5">
      <c r="A108" s="538" t="s">
        <v>314</v>
      </c>
      <c r="B108">
        <v>0.37</v>
      </c>
      <c r="D108" s="539"/>
    </row>
    <row r="109" spans="1:5">
      <c r="A109" s="538" t="s">
        <v>323</v>
      </c>
      <c r="D109" s="539"/>
    </row>
    <row r="110" spans="1:5">
      <c r="A110" s="538"/>
      <c r="D110" s="539"/>
    </row>
    <row r="111" spans="1:5">
      <c r="A111" s="538" t="s">
        <v>324</v>
      </c>
      <c r="D111" s="539"/>
    </row>
    <row r="112" spans="1:5">
      <c r="A112" s="538" t="s">
        <v>220</v>
      </c>
      <c r="B112">
        <v>8914</v>
      </c>
      <c r="D112" s="539"/>
    </row>
    <row r="113" spans="1:4">
      <c r="A113" s="538" t="s">
        <v>224</v>
      </c>
      <c r="B113">
        <v>5337</v>
      </c>
      <c r="D113" s="539"/>
    </row>
    <row r="114" spans="1:4">
      <c r="A114" s="538" t="s">
        <v>228</v>
      </c>
      <c r="B114">
        <v>223</v>
      </c>
      <c r="D114" s="539"/>
    </row>
    <row r="115" spans="1:4" ht="14.1" customHeight="1">
      <c r="A115" s="538" t="s">
        <v>312</v>
      </c>
      <c r="B115">
        <v>2730</v>
      </c>
      <c r="D115" s="539"/>
    </row>
    <row r="116" spans="1:4" ht="14.7" thickBot="1">
      <c r="A116" s="558" t="s">
        <v>234</v>
      </c>
      <c r="B116" s="292">
        <v>89</v>
      </c>
      <c r="C116" s="292"/>
      <c r="D116" s="562"/>
    </row>
  </sheetData>
  <mergeCells count="16">
    <mergeCell ref="B56:D56"/>
    <mergeCell ref="A72:D72"/>
    <mergeCell ref="A65:C65"/>
    <mergeCell ref="A60:N60"/>
    <mergeCell ref="A71:R71"/>
    <mergeCell ref="B59:D59"/>
    <mergeCell ref="A7:C7"/>
    <mergeCell ref="A49:W49"/>
    <mergeCell ref="X28:AA28"/>
    <mergeCell ref="A37:W37"/>
    <mergeCell ref="A44:W44"/>
    <mergeCell ref="A8:W8"/>
    <mergeCell ref="B35:K35"/>
    <mergeCell ref="B40:K40"/>
    <mergeCell ref="A9:W9"/>
    <mergeCell ref="A27:W27"/>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1" ma:contentTypeDescription="Create a new document." ma:contentTypeScope="" ma:versionID="0b231b0256d86f46edf0b74cb15f0732">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3e0f08dad9a9dd49ec8fe5b22f031ccf"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2EFE88-F0B0-4CEB-A790-D35D5BED6864}">
  <ds:schemaRefs>
    <ds:schemaRef ds:uri="http://schemas.microsoft.com/sharepoint/v3/contenttype/forms"/>
  </ds:schemaRefs>
</ds:datastoreItem>
</file>

<file path=customXml/itemProps2.xml><?xml version="1.0" encoding="utf-8"?>
<ds:datastoreItem xmlns:ds="http://schemas.openxmlformats.org/officeDocument/2006/customXml" ds:itemID="{8F1832FE-3A96-421A-9179-C70D882F76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BCC93E-EAFD-4FDF-8B88-2730FA1D1CB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Directory</vt:lpstr>
      <vt:lpstr>Heroin and Rx Price</vt:lpstr>
      <vt:lpstr>Buprenorphine IQVIA</vt:lpstr>
      <vt:lpstr>Buprenorphine Capacity</vt:lpstr>
      <vt:lpstr>Methadone NSSATS</vt:lpstr>
      <vt:lpstr>Vivitrol IQVIA</vt:lpstr>
      <vt:lpstr>Nx kits HR + IQVIA</vt:lpstr>
      <vt:lpstr>Fentanyl NFLIS</vt:lpstr>
      <vt:lpstr>Opioid Rx Data IQVIA SH</vt:lpstr>
      <vt:lpstr>Opioid Fatal ODs NVSS</vt:lpstr>
      <vt:lpstr>Initiation Data</vt:lpstr>
      <vt:lpstr>NSDUH OUD HUD estimates</vt:lpstr>
      <vt:lpstr>RAND Adjusted Estimates</vt:lpstr>
      <vt:lpstr>Projections using 2020</vt:lpstr>
      <vt:lpstr>Projections using 2019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dc:creator>
  <cp:keywords/>
  <dc:description/>
  <cp:lastModifiedBy>Celia</cp:lastModifiedBy>
  <cp:revision/>
  <dcterms:created xsi:type="dcterms:W3CDTF">2020-10-06T18:41:18Z</dcterms:created>
  <dcterms:modified xsi:type="dcterms:W3CDTF">2021-07-12T14:28:20Z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