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Cas\Desktop\Harvard\Final Documentation\"/>
    </mc:Choice>
  </mc:AlternateContent>
  <xr:revisionPtr revIDLastSave="0" documentId="13_ncr:1_{8CF16721-C5D0-45CA-98FC-49CDD9957E13}" xr6:coauthVersionLast="47" xr6:coauthVersionMax="47" xr10:uidLastSave="{00000000-0000-0000-0000-000000000000}"/>
  <bookViews>
    <workbookView xWindow="-96" yWindow="-96" windowWidth="23232" windowHeight="12552" activeTab="1" xr2:uid="{00000000-000D-0000-FFFF-FFFF00000000}"/>
  </bookViews>
  <sheets>
    <sheet name="Introduction" sheetId="2" r:id="rId1"/>
    <sheet name="Variables" sheetId="1" r:id="rId2"/>
    <sheet name="inputtimeseries" sheetId="3" r:id="rId3"/>
    <sheet name="validationtimeseries" sheetId="4" r:id="rId4"/>
    <sheet name="YearSubs" sheetId="5" r:id="rId5"/>
    <sheet name="Calibration Weights" sheetId="6" r:id="rId6"/>
  </sheets>
  <externalReferences>
    <externalReference r:id="rId7"/>
  </externalReferences>
  <definedNames>
    <definedName name="QLVariableType" localSheetId="0">Introduction!#REF!</definedName>
  </definedNames>
  <calcPr calcId="181029"/>
</workbook>
</file>

<file path=xl/calcChain.xml><?xml version="1.0" encoding="utf-8"?>
<calcChain xmlns="http://schemas.openxmlformats.org/spreadsheetml/2006/main">
  <c r="L583" i="1" l="1"/>
  <c r="M583" i="1"/>
  <c r="N583" i="1"/>
  <c r="O583" i="1"/>
  <c r="P583" i="1"/>
  <c r="Q583" i="1"/>
  <c r="R583" i="1"/>
  <c r="S583" i="1"/>
  <c r="T583" i="1"/>
  <c r="U583" i="1"/>
  <c r="V583" i="1"/>
  <c r="W583" i="1"/>
  <c r="X583" i="1"/>
  <c r="Y583" i="1"/>
  <c r="Z583" i="1"/>
  <c r="AA583" i="1"/>
  <c r="AB583" i="1"/>
  <c r="AC583" i="1"/>
  <c r="AD583" i="1"/>
  <c r="AE583" i="1"/>
  <c r="AF583" i="1"/>
  <c r="K583" i="1"/>
  <c r="L6" i="1"/>
  <c r="M6" i="1"/>
  <c r="N6" i="1"/>
  <c r="O6" i="1"/>
  <c r="P6" i="1"/>
  <c r="Q6" i="1"/>
  <c r="R6" i="1"/>
  <c r="S6" i="1"/>
  <c r="T6" i="1"/>
  <c r="U6" i="1"/>
  <c r="V6" i="1"/>
  <c r="W6" i="1"/>
  <c r="X6" i="1"/>
  <c r="Y6" i="1"/>
  <c r="Z6" i="1"/>
  <c r="AA6" i="1"/>
  <c r="AB6" i="1"/>
  <c r="AC6" i="1"/>
  <c r="AD6" i="1"/>
  <c r="AE6" i="1"/>
  <c r="AF6" i="1"/>
  <c r="K6" i="1"/>
  <c r="AF578" i="1"/>
  <c r="L578" i="1"/>
  <c r="M578" i="1"/>
  <c r="N578" i="1"/>
  <c r="O578" i="1"/>
  <c r="P578" i="1"/>
  <c r="Q578" i="1"/>
  <c r="R578" i="1"/>
  <c r="S578" i="1"/>
  <c r="T578" i="1"/>
  <c r="U578" i="1"/>
  <c r="V578" i="1"/>
  <c r="W578" i="1"/>
  <c r="X578" i="1"/>
  <c r="Y578" i="1"/>
  <c r="Z578" i="1"/>
  <c r="AA578" i="1"/>
  <c r="AB578" i="1"/>
  <c r="AC578" i="1"/>
  <c r="AD578" i="1"/>
  <c r="AE578" i="1"/>
  <c r="K578" i="1"/>
  <c r="F5" i="3"/>
  <c r="K5" i="3"/>
  <c r="B5" i="3"/>
  <c r="X669" i="1"/>
  <c r="O5" i="3" s="1"/>
  <c r="Y669" i="1"/>
  <c r="P5" i="3" s="1"/>
  <c r="Z669" i="1"/>
  <c r="Q5" i="3" s="1"/>
  <c r="AA669" i="1"/>
  <c r="R5" i="3" s="1"/>
  <c r="AB669" i="1"/>
  <c r="S5" i="3" s="1"/>
  <c r="AC669" i="1"/>
  <c r="T5" i="3" s="1"/>
  <c r="AD669" i="1"/>
  <c r="U5" i="3" s="1"/>
  <c r="AE669" i="1"/>
  <c r="V5" i="3" s="1"/>
  <c r="R669" i="1"/>
  <c r="I5" i="3" s="1"/>
  <c r="S669" i="1"/>
  <c r="J5" i="3" s="1"/>
  <c r="T669" i="1"/>
  <c r="U669" i="1"/>
  <c r="L5" i="3" s="1"/>
  <c r="V669" i="1"/>
  <c r="M5" i="3" s="1"/>
  <c r="W669" i="1"/>
  <c r="N5" i="3" s="1"/>
  <c r="L669" i="1"/>
  <c r="C5" i="3" s="1"/>
  <c r="M669" i="1"/>
  <c r="D5" i="3" s="1"/>
  <c r="N669" i="1"/>
  <c r="E5" i="3" s="1"/>
  <c r="O669" i="1"/>
  <c r="P669" i="1"/>
  <c r="G5" i="3" s="1"/>
  <c r="Q669" i="1"/>
  <c r="H5" i="3" s="1"/>
  <c r="K669" i="1"/>
  <c r="AF637" i="1"/>
  <c r="W15" i="3" s="1"/>
  <c r="B20" i="4" l="1"/>
  <c r="C20" i="4"/>
  <c r="D20" i="4"/>
  <c r="E20" i="4"/>
  <c r="F20" i="4"/>
  <c r="G20" i="4"/>
  <c r="H20" i="4"/>
  <c r="I20" i="4"/>
  <c r="J20" i="4"/>
  <c r="K20" i="4"/>
  <c r="L20" i="4"/>
  <c r="M20" i="4"/>
  <c r="N20" i="4"/>
  <c r="O20" i="4"/>
  <c r="P20" i="4"/>
  <c r="Q20" i="4"/>
  <c r="R20" i="4"/>
  <c r="S20" i="4"/>
  <c r="T20" i="4"/>
  <c r="U20" i="4"/>
  <c r="V20" i="4"/>
  <c r="L12" i="4"/>
  <c r="K12" i="4"/>
  <c r="J12" i="4"/>
  <c r="I12" i="4"/>
  <c r="H12" i="4"/>
  <c r="G12" i="4"/>
  <c r="F12" i="4"/>
  <c r="E12" i="4"/>
  <c r="D12" i="4"/>
  <c r="C12" i="4"/>
  <c r="B12" i="4"/>
  <c r="AG362" i="1"/>
  <c r="X7" i="3" s="1"/>
  <c r="AH362" i="1"/>
  <c r="AI362" i="1"/>
  <c r="AJ362" i="1"/>
  <c r="AK362" i="1"/>
  <c r="AL362" i="1"/>
  <c r="AM362" i="1"/>
  <c r="AN362" i="1"/>
  <c r="AO362" i="1"/>
  <c r="AP362" i="1"/>
  <c r="Q161" i="1"/>
  <c r="H7" i="4" s="1"/>
  <c r="I7" i="6" s="1"/>
  <c r="R161" i="1"/>
  <c r="I7" i="4" s="1"/>
  <c r="J7" i="6" s="1"/>
  <c r="S161" i="1"/>
  <c r="J7" i="4" s="1"/>
  <c r="K7" i="6" s="1"/>
  <c r="T161" i="1"/>
  <c r="K7" i="4" s="1"/>
  <c r="L7" i="6" s="1"/>
  <c r="U161" i="1"/>
  <c r="L7" i="4" s="1"/>
  <c r="M7" i="6" s="1"/>
  <c r="V161" i="1"/>
  <c r="M7" i="4" s="1"/>
  <c r="N7" i="6" s="1"/>
  <c r="W161" i="1"/>
  <c r="N7" i="4" s="1"/>
  <c r="O7" i="6" s="1"/>
  <c r="X161" i="1"/>
  <c r="O7" i="4" s="1"/>
  <c r="P7" i="6" s="1"/>
  <c r="Y161" i="1"/>
  <c r="P7" i="4" s="1"/>
  <c r="Q7" i="6" s="1"/>
  <c r="Z161" i="1"/>
  <c r="Q7" i="4" s="1"/>
  <c r="R7" i="6" s="1"/>
  <c r="AA161" i="1"/>
  <c r="R7" i="4" s="1"/>
  <c r="S7" i="6" s="1"/>
  <c r="AB161" i="1"/>
  <c r="S7" i="4" s="1"/>
  <c r="T7" i="6" s="1"/>
  <c r="AC161" i="1"/>
  <c r="T7" i="4" s="1"/>
  <c r="U7" i="6" s="1"/>
  <c r="AD161" i="1"/>
  <c r="U7" i="4" s="1"/>
  <c r="V7" i="6" s="1"/>
  <c r="AE161" i="1"/>
  <c r="V7" i="4" s="1"/>
  <c r="L161" i="1"/>
  <c r="C7" i="4" s="1"/>
  <c r="D7" i="6" s="1"/>
  <c r="M161" i="1"/>
  <c r="D7" i="4" s="1"/>
  <c r="E7" i="6" s="1"/>
  <c r="N161" i="1"/>
  <c r="E7" i="4" s="1"/>
  <c r="F7" i="6" s="1"/>
  <c r="O161" i="1"/>
  <c r="F7" i="4" s="1"/>
  <c r="G7" i="6" s="1"/>
  <c r="P161" i="1"/>
  <c r="G7" i="4" s="1"/>
  <c r="H7" i="6" s="1"/>
  <c r="K161" i="1"/>
  <c r="B7" i="4" s="1"/>
  <c r="C7" i="6" s="1"/>
  <c r="AE596" i="1"/>
  <c r="V19" i="4" s="1"/>
  <c r="AD596" i="1"/>
  <c r="U19" i="4" s="1"/>
  <c r="V19" i="6" s="1"/>
  <c r="AC596" i="1"/>
  <c r="T19" i="4" s="1"/>
  <c r="U19" i="6" s="1"/>
  <c r="AB596" i="1"/>
  <c r="S19" i="4" s="1"/>
  <c r="T19" i="6" s="1"/>
  <c r="AA596" i="1"/>
  <c r="R19" i="4" s="1"/>
  <c r="S19" i="6" s="1"/>
  <c r="Z596" i="1"/>
  <c r="Q19" i="4" s="1"/>
  <c r="R19" i="6" s="1"/>
  <c r="Y596" i="1"/>
  <c r="P19" i="4" s="1"/>
  <c r="Q19" i="6" s="1"/>
  <c r="X596" i="1"/>
  <c r="O19" i="4" s="1"/>
  <c r="P19" i="6" s="1"/>
  <c r="W596" i="1"/>
  <c r="N19" i="4" s="1"/>
  <c r="O19" i="6" s="1"/>
  <c r="V596" i="1"/>
  <c r="M19" i="4" s="1"/>
  <c r="N19" i="6" s="1"/>
  <c r="U596" i="1"/>
  <c r="L19" i="4" s="1"/>
  <c r="M19" i="6" s="1"/>
  <c r="T596" i="1"/>
  <c r="K19" i="4" s="1"/>
  <c r="L19" i="6" s="1"/>
  <c r="S596" i="1"/>
  <c r="J19" i="4" s="1"/>
  <c r="K19" i="6" s="1"/>
  <c r="R596" i="1"/>
  <c r="I19" i="4" s="1"/>
  <c r="J19" i="6" s="1"/>
  <c r="Q596" i="1"/>
  <c r="H19" i="4" s="1"/>
  <c r="I19" i="6" s="1"/>
  <c r="P596" i="1"/>
  <c r="G19" i="4" s="1"/>
  <c r="H19" i="6" s="1"/>
  <c r="O596" i="1"/>
  <c r="F19" i="4" s="1"/>
  <c r="G19" i="6" s="1"/>
  <c r="N596" i="1"/>
  <c r="E19" i="4" s="1"/>
  <c r="F19" i="6" s="1"/>
  <c r="M596" i="1"/>
  <c r="D19" i="4" s="1"/>
  <c r="E19" i="6" s="1"/>
  <c r="L596" i="1"/>
  <c r="C19" i="4" s="1"/>
  <c r="D19" i="6" s="1"/>
  <c r="K596" i="1"/>
  <c r="B19" i="4" s="1"/>
  <c r="C19" i="6" s="1"/>
  <c r="AE580" i="1"/>
  <c r="V18" i="4" s="1"/>
  <c r="AD580" i="1"/>
  <c r="U18" i="4" s="1"/>
  <c r="V18" i="6" s="1"/>
  <c r="AC580" i="1"/>
  <c r="T18" i="4" s="1"/>
  <c r="U18" i="6" s="1"/>
  <c r="AB580" i="1"/>
  <c r="S18" i="4" s="1"/>
  <c r="T18" i="6" s="1"/>
  <c r="AA580" i="1"/>
  <c r="R18" i="4" s="1"/>
  <c r="S18" i="6" s="1"/>
  <c r="Z580" i="1"/>
  <c r="Q18" i="4" s="1"/>
  <c r="R18" i="6" s="1"/>
  <c r="Y580" i="1"/>
  <c r="P18" i="4" s="1"/>
  <c r="Q18" i="6" s="1"/>
  <c r="X580" i="1"/>
  <c r="O18" i="4" s="1"/>
  <c r="P18" i="6" s="1"/>
  <c r="W580" i="1"/>
  <c r="N18" i="4" s="1"/>
  <c r="O18" i="6" s="1"/>
  <c r="V580" i="1"/>
  <c r="M18" i="4" s="1"/>
  <c r="N18" i="6" s="1"/>
  <c r="U580" i="1"/>
  <c r="L18" i="4" s="1"/>
  <c r="M18" i="6" s="1"/>
  <c r="T580" i="1"/>
  <c r="K18" i="4" s="1"/>
  <c r="L18" i="6" s="1"/>
  <c r="S580" i="1"/>
  <c r="J18" i="4" s="1"/>
  <c r="K18" i="6" s="1"/>
  <c r="R580" i="1"/>
  <c r="I18" i="4" s="1"/>
  <c r="J18" i="6" s="1"/>
  <c r="Q580" i="1"/>
  <c r="H18" i="4" s="1"/>
  <c r="I18" i="6" s="1"/>
  <c r="P580" i="1"/>
  <c r="G18" i="4" s="1"/>
  <c r="H18" i="6" s="1"/>
  <c r="O580" i="1"/>
  <c r="F18" i="4" s="1"/>
  <c r="G18" i="6" s="1"/>
  <c r="N580" i="1"/>
  <c r="E18" i="4" s="1"/>
  <c r="F18" i="6" s="1"/>
  <c r="M580" i="1"/>
  <c r="D18" i="4" s="1"/>
  <c r="E18" i="6" s="1"/>
  <c r="L580" i="1"/>
  <c r="C18" i="4" s="1"/>
  <c r="D18" i="6" s="1"/>
  <c r="K580" i="1"/>
  <c r="B18" i="4" s="1"/>
  <c r="C18" i="6" s="1"/>
  <c r="AE572" i="1"/>
  <c r="V16" i="4" s="1"/>
  <c r="AD572" i="1"/>
  <c r="U16" i="4" s="1"/>
  <c r="V16" i="6" s="1"/>
  <c r="AC572" i="1"/>
  <c r="T16" i="4" s="1"/>
  <c r="U16" i="6" s="1"/>
  <c r="AB572" i="1"/>
  <c r="S16" i="4" s="1"/>
  <c r="T16" i="6" s="1"/>
  <c r="AA572" i="1"/>
  <c r="R16" i="4" s="1"/>
  <c r="S16" i="6" s="1"/>
  <c r="Z572" i="1"/>
  <c r="Q16" i="4" s="1"/>
  <c r="R16" i="6" s="1"/>
  <c r="Y572" i="1"/>
  <c r="P16" i="4" s="1"/>
  <c r="Q16" i="6" s="1"/>
  <c r="X572" i="1"/>
  <c r="O16" i="4" s="1"/>
  <c r="P16" i="6" s="1"/>
  <c r="W572" i="1"/>
  <c r="N16" i="4" s="1"/>
  <c r="O16" i="6" s="1"/>
  <c r="V572" i="1"/>
  <c r="M16" i="4" s="1"/>
  <c r="N16" i="6" s="1"/>
  <c r="U572" i="1"/>
  <c r="L16" i="4" s="1"/>
  <c r="M16" i="6" s="1"/>
  <c r="T572" i="1"/>
  <c r="K16" i="4" s="1"/>
  <c r="L16" i="6" s="1"/>
  <c r="L24" i="6" s="1"/>
  <c r="S572" i="1"/>
  <c r="J16" i="4" s="1"/>
  <c r="K16" i="6" s="1"/>
  <c r="K24" i="6" s="1"/>
  <c r="R572" i="1"/>
  <c r="I16" i="4" s="1"/>
  <c r="J16" i="6" s="1"/>
  <c r="J24" i="6" s="1"/>
  <c r="Q572" i="1"/>
  <c r="H16" i="4" s="1"/>
  <c r="I16" i="6" s="1"/>
  <c r="I24" i="6" s="1"/>
  <c r="P572" i="1"/>
  <c r="G16" i="4" s="1"/>
  <c r="H16" i="6" s="1"/>
  <c r="H24" i="6" s="1"/>
  <c r="O572" i="1"/>
  <c r="F16" i="4" s="1"/>
  <c r="G16" i="6" s="1"/>
  <c r="G24" i="6" s="1"/>
  <c r="N572" i="1"/>
  <c r="E16" i="4" s="1"/>
  <c r="F16" i="6" s="1"/>
  <c r="F24" i="6" s="1"/>
  <c r="M572" i="1"/>
  <c r="D16" i="4" s="1"/>
  <c r="E16" i="6" s="1"/>
  <c r="E24" i="6" s="1"/>
  <c r="L572" i="1"/>
  <c r="C16" i="4" s="1"/>
  <c r="D16" i="6" s="1"/>
  <c r="D24" i="6" s="1"/>
  <c r="K572" i="1"/>
  <c r="B16" i="4" s="1"/>
  <c r="C16" i="6" s="1"/>
  <c r="C24" i="6" s="1"/>
  <c r="AE571" i="1"/>
  <c r="V17" i="4" s="1"/>
  <c r="AD571" i="1"/>
  <c r="U17" i="4" s="1"/>
  <c r="V17" i="6" s="1"/>
  <c r="AC571" i="1"/>
  <c r="T17" i="4" s="1"/>
  <c r="U17" i="6" s="1"/>
  <c r="AB571" i="1"/>
  <c r="S17" i="4" s="1"/>
  <c r="T17" i="6" s="1"/>
  <c r="AA571" i="1"/>
  <c r="R17" i="4" s="1"/>
  <c r="S17" i="6" s="1"/>
  <c r="Z571" i="1"/>
  <c r="Q17" i="4" s="1"/>
  <c r="R17" i="6" s="1"/>
  <c r="Y571" i="1"/>
  <c r="P17" i="4" s="1"/>
  <c r="Q17" i="6" s="1"/>
  <c r="X571" i="1"/>
  <c r="O17" i="4" s="1"/>
  <c r="P17" i="6" s="1"/>
  <c r="W571" i="1"/>
  <c r="N17" i="4" s="1"/>
  <c r="O17" i="6" s="1"/>
  <c r="V571" i="1"/>
  <c r="M17" i="4" s="1"/>
  <c r="N17" i="6" s="1"/>
  <c r="U571" i="1"/>
  <c r="L17" i="4" s="1"/>
  <c r="M17" i="6" s="1"/>
  <c r="T571" i="1"/>
  <c r="K17" i="4" s="1"/>
  <c r="L17" i="6" s="1"/>
  <c r="S571" i="1"/>
  <c r="J17" i="4" s="1"/>
  <c r="K17" i="6" s="1"/>
  <c r="R571" i="1"/>
  <c r="I17" i="4" s="1"/>
  <c r="J17" i="6" s="1"/>
  <c r="Q571" i="1"/>
  <c r="H17" i="4" s="1"/>
  <c r="I17" i="6" s="1"/>
  <c r="P571" i="1"/>
  <c r="G17" i="4" s="1"/>
  <c r="H17" i="6" s="1"/>
  <c r="O571" i="1"/>
  <c r="F17" i="4" s="1"/>
  <c r="G17" i="6" s="1"/>
  <c r="N571" i="1"/>
  <c r="E17" i="4" s="1"/>
  <c r="F17" i="6" s="1"/>
  <c r="M571" i="1"/>
  <c r="D17" i="4" s="1"/>
  <c r="E17" i="6" s="1"/>
  <c r="L571" i="1"/>
  <c r="C17" i="4" s="1"/>
  <c r="D17" i="6" s="1"/>
  <c r="K571" i="1"/>
  <c r="B17" i="4" s="1"/>
  <c r="C17" i="6" s="1"/>
  <c r="AE560" i="1"/>
  <c r="V15" i="4" s="1"/>
  <c r="AD560" i="1"/>
  <c r="U15" i="4" s="1"/>
  <c r="V15" i="6" s="1"/>
  <c r="AC560" i="1"/>
  <c r="T15" i="4" s="1"/>
  <c r="U15" i="6" s="1"/>
  <c r="AB560" i="1"/>
  <c r="S15" i="4" s="1"/>
  <c r="T15" i="6" s="1"/>
  <c r="AA560" i="1"/>
  <c r="R15" i="4" s="1"/>
  <c r="S15" i="6" s="1"/>
  <c r="Z560" i="1"/>
  <c r="Q15" i="4" s="1"/>
  <c r="R15" i="6" s="1"/>
  <c r="Y560" i="1"/>
  <c r="P15" i="4" s="1"/>
  <c r="Q15" i="6" s="1"/>
  <c r="X560" i="1"/>
  <c r="O15" i="4" s="1"/>
  <c r="P15" i="6" s="1"/>
  <c r="W560" i="1"/>
  <c r="N15" i="4" s="1"/>
  <c r="O15" i="6" s="1"/>
  <c r="V560" i="1"/>
  <c r="M15" i="4" s="1"/>
  <c r="N15" i="6" s="1"/>
  <c r="U560" i="1"/>
  <c r="L15" i="4" s="1"/>
  <c r="M15" i="6" s="1"/>
  <c r="T560" i="1"/>
  <c r="K15" i="4" s="1"/>
  <c r="L15" i="6" s="1"/>
  <c r="S560" i="1"/>
  <c r="J15" i="4" s="1"/>
  <c r="K15" i="6" s="1"/>
  <c r="R560" i="1"/>
  <c r="I15" i="4" s="1"/>
  <c r="J15" i="6" s="1"/>
  <c r="Q560" i="1"/>
  <c r="H15" i="4" s="1"/>
  <c r="I15" i="6" s="1"/>
  <c r="P560" i="1"/>
  <c r="G15" i="4" s="1"/>
  <c r="H15" i="6" s="1"/>
  <c r="O560" i="1"/>
  <c r="F15" i="4" s="1"/>
  <c r="G15" i="6" s="1"/>
  <c r="N560" i="1"/>
  <c r="E15" i="4" s="1"/>
  <c r="F15" i="6" s="1"/>
  <c r="M560" i="1"/>
  <c r="D15" i="4" s="1"/>
  <c r="E15" i="6" s="1"/>
  <c r="L560" i="1"/>
  <c r="C15" i="4" s="1"/>
  <c r="D15" i="6" s="1"/>
  <c r="K560" i="1"/>
  <c r="B15" i="4" s="1"/>
  <c r="C15" i="6" s="1"/>
  <c r="AE558" i="1"/>
  <c r="V14" i="4" s="1"/>
  <c r="AD558" i="1"/>
  <c r="U14" i="4" s="1"/>
  <c r="V14" i="6" s="1"/>
  <c r="AC558" i="1"/>
  <c r="T14" i="4" s="1"/>
  <c r="U14" i="6" s="1"/>
  <c r="AB558" i="1"/>
  <c r="S14" i="4" s="1"/>
  <c r="T14" i="6" s="1"/>
  <c r="AA558" i="1"/>
  <c r="R14" i="4" s="1"/>
  <c r="S14" i="6" s="1"/>
  <c r="Z558" i="1"/>
  <c r="Q14" i="4" s="1"/>
  <c r="R14" i="6" s="1"/>
  <c r="Y558" i="1"/>
  <c r="P14" i="4" s="1"/>
  <c r="Q14" i="6" s="1"/>
  <c r="X558" i="1"/>
  <c r="O14" i="4" s="1"/>
  <c r="P14" i="6" s="1"/>
  <c r="W558" i="1"/>
  <c r="N14" i="4" s="1"/>
  <c r="O14" i="6" s="1"/>
  <c r="V558" i="1"/>
  <c r="M14" i="4" s="1"/>
  <c r="N14" i="6" s="1"/>
  <c r="U558" i="1"/>
  <c r="L14" i="4" s="1"/>
  <c r="M14" i="6" s="1"/>
  <c r="T558" i="1"/>
  <c r="K14" i="4" s="1"/>
  <c r="L14" i="6" s="1"/>
  <c r="S558" i="1"/>
  <c r="J14" i="4" s="1"/>
  <c r="K14" i="6" s="1"/>
  <c r="R558" i="1"/>
  <c r="I14" i="4" s="1"/>
  <c r="J14" i="6" s="1"/>
  <c r="Q558" i="1"/>
  <c r="H14" i="4" s="1"/>
  <c r="I14" i="6" s="1"/>
  <c r="P558" i="1"/>
  <c r="G14" i="4" s="1"/>
  <c r="H14" i="6" s="1"/>
  <c r="O558" i="1"/>
  <c r="F14" i="4" s="1"/>
  <c r="G14" i="6" s="1"/>
  <c r="N558" i="1"/>
  <c r="E14" i="4" s="1"/>
  <c r="F14" i="6" s="1"/>
  <c r="M558" i="1"/>
  <c r="D14" i="4" s="1"/>
  <c r="E14" i="6" s="1"/>
  <c r="L558" i="1"/>
  <c r="C14" i="4" s="1"/>
  <c r="D14" i="6" s="1"/>
  <c r="K558" i="1"/>
  <c r="B14" i="4" s="1"/>
  <c r="C14" i="6" s="1"/>
  <c r="AE541" i="1"/>
  <c r="V13" i="4" s="1"/>
  <c r="AD541" i="1"/>
  <c r="U13" i="4" s="1"/>
  <c r="V13" i="6" s="1"/>
  <c r="AC541" i="1"/>
  <c r="T13" i="4" s="1"/>
  <c r="U13" i="6" s="1"/>
  <c r="AB541" i="1"/>
  <c r="S13" i="4" s="1"/>
  <c r="T13" i="6" s="1"/>
  <c r="AA541" i="1"/>
  <c r="R13" i="4" s="1"/>
  <c r="S13" i="6" s="1"/>
  <c r="Z541" i="1"/>
  <c r="Q13" i="4" s="1"/>
  <c r="R13" i="6" s="1"/>
  <c r="Y541" i="1"/>
  <c r="P13" i="4" s="1"/>
  <c r="Q13" i="6" s="1"/>
  <c r="X541" i="1"/>
  <c r="O13" i="4" s="1"/>
  <c r="P13" i="6" s="1"/>
  <c r="W541" i="1"/>
  <c r="N13" i="4" s="1"/>
  <c r="O13" i="6" s="1"/>
  <c r="V541" i="1"/>
  <c r="M13" i="4" s="1"/>
  <c r="N13" i="6" s="1"/>
  <c r="U541" i="1"/>
  <c r="L13" i="4" s="1"/>
  <c r="M13" i="6" s="1"/>
  <c r="T541" i="1"/>
  <c r="K13" i="4" s="1"/>
  <c r="L13" i="6" s="1"/>
  <c r="S541" i="1"/>
  <c r="J13" i="4" s="1"/>
  <c r="K13" i="6" s="1"/>
  <c r="R541" i="1"/>
  <c r="I13" i="4" s="1"/>
  <c r="J13" i="6" s="1"/>
  <c r="Q541" i="1"/>
  <c r="H13" i="4" s="1"/>
  <c r="I13" i="6" s="1"/>
  <c r="P541" i="1"/>
  <c r="G13" i="4" s="1"/>
  <c r="H13" i="6" s="1"/>
  <c r="O541" i="1"/>
  <c r="F13" i="4" s="1"/>
  <c r="G13" i="6" s="1"/>
  <c r="N541" i="1"/>
  <c r="E13" i="4" s="1"/>
  <c r="F13" i="6" s="1"/>
  <c r="M541" i="1"/>
  <c r="D13" i="4" s="1"/>
  <c r="E13" i="6" s="1"/>
  <c r="L541" i="1"/>
  <c r="C13" i="4" s="1"/>
  <c r="D13" i="6" s="1"/>
  <c r="K541" i="1"/>
  <c r="B13" i="4" s="1"/>
  <c r="C13" i="6" s="1"/>
  <c r="AE472" i="1"/>
  <c r="V12" i="4" s="1"/>
  <c r="AD472" i="1"/>
  <c r="U12" i="4" s="1"/>
  <c r="V12" i="6" s="1"/>
  <c r="AC472" i="1"/>
  <c r="T12" i="4" s="1"/>
  <c r="U12" i="6" s="1"/>
  <c r="AB472" i="1"/>
  <c r="S12" i="4" s="1"/>
  <c r="T12" i="6" s="1"/>
  <c r="AA472" i="1"/>
  <c r="R12" i="4" s="1"/>
  <c r="S12" i="6" s="1"/>
  <c r="Z472" i="1"/>
  <c r="Q12" i="4" s="1"/>
  <c r="R12" i="6" s="1"/>
  <c r="Y472" i="1"/>
  <c r="P12" i="4" s="1"/>
  <c r="Q12" i="6" s="1"/>
  <c r="X472" i="1"/>
  <c r="O12" i="4" s="1"/>
  <c r="P12" i="6" s="1"/>
  <c r="W472" i="1"/>
  <c r="N12" i="4" s="1"/>
  <c r="O12" i="6" s="1"/>
  <c r="V472" i="1"/>
  <c r="M12" i="4" s="1"/>
  <c r="N12" i="6" s="1"/>
  <c r="AE470" i="1"/>
  <c r="V11" i="4" s="1"/>
  <c r="AD470" i="1"/>
  <c r="U11" i="4" s="1"/>
  <c r="V11" i="6" s="1"/>
  <c r="AC470" i="1"/>
  <c r="T11" i="4" s="1"/>
  <c r="U11" i="6" s="1"/>
  <c r="AB470" i="1"/>
  <c r="S11" i="4" s="1"/>
  <c r="T11" i="6" s="1"/>
  <c r="AA470" i="1"/>
  <c r="R11" i="4" s="1"/>
  <c r="S11" i="6" s="1"/>
  <c r="Z470" i="1"/>
  <c r="Q11" i="4" s="1"/>
  <c r="R11" i="6" s="1"/>
  <c r="Y470" i="1"/>
  <c r="P11" i="4" s="1"/>
  <c r="Q11" i="6" s="1"/>
  <c r="X470" i="1"/>
  <c r="O11" i="4" s="1"/>
  <c r="P11" i="6" s="1"/>
  <c r="W470" i="1"/>
  <c r="N11" i="4" s="1"/>
  <c r="O11" i="6" s="1"/>
  <c r="V470" i="1"/>
  <c r="M11" i="4" s="1"/>
  <c r="N11" i="6" s="1"/>
  <c r="U470" i="1"/>
  <c r="L11" i="4" s="1"/>
  <c r="M11" i="6" s="1"/>
  <c r="T470" i="1"/>
  <c r="K11" i="4" s="1"/>
  <c r="L11" i="6" s="1"/>
  <c r="S470" i="1"/>
  <c r="J11" i="4" s="1"/>
  <c r="K11" i="6" s="1"/>
  <c r="R470" i="1"/>
  <c r="I11" i="4" s="1"/>
  <c r="J11" i="6" s="1"/>
  <c r="Q470" i="1"/>
  <c r="H11" i="4" s="1"/>
  <c r="I11" i="6" s="1"/>
  <c r="P470" i="1"/>
  <c r="G11" i="4" s="1"/>
  <c r="H11" i="6" s="1"/>
  <c r="O470" i="1"/>
  <c r="F11" i="4" s="1"/>
  <c r="G11" i="6" s="1"/>
  <c r="N470" i="1"/>
  <c r="E11" i="4" s="1"/>
  <c r="F11" i="6" s="1"/>
  <c r="M470" i="1"/>
  <c r="D11" i="4" s="1"/>
  <c r="E11" i="6" s="1"/>
  <c r="L470" i="1"/>
  <c r="C11" i="4" s="1"/>
  <c r="D11" i="6" s="1"/>
  <c r="K470" i="1"/>
  <c r="B11" i="4" s="1"/>
  <c r="C11" i="6" s="1"/>
  <c r="AE462" i="1"/>
  <c r="V10" i="4" s="1"/>
  <c r="AD462" i="1"/>
  <c r="U10" i="4" s="1"/>
  <c r="V10" i="6" s="1"/>
  <c r="AC462" i="1"/>
  <c r="T10" i="4" s="1"/>
  <c r="U10" i="6" s="1"/>
  <c r="AB462" i="1"/>
  <c r="S10" i="4" s="1"/>
  <c r="T10" i="6" s="1"/>
  <c r="AA462" i="1"/>
  <c r="R10" i="4" s="1"/>
  <c r="S10" i="6" s="1"/>
  <c r="Z462" i="1"/>
  <c r="Q10" i="4" s="1"/>
  <c r="R10" i="6" s="1"/>
  <c r="Y462" i="1"/>
  <c r="P10" i="4" s="1"/>
  <c r="Q10" i="6" s="1"/>
  <c r="X462" i="1"/>
  <c r="O10" i="4" s="1"/>
  <c r="P10" i="6" s="1"/>
  <c r="W462" i="1"/>
  <c r="N10" i="4" s="1"/>
  <c r="O10" i="6" s="1"/>
  <c r="V462" i="1"/>
  <c r="M10" i="4" s="1"/>
  <c r="N10" i="6" s="1"/>
  <c r="U462" i="1"/>
  <c r="L10" i="4" s="1"/>
  <c r="M10" i="6" s="1"/>
  <c r="T462" i="1"/>
  <c r="K10" i="4" s="1"/>
  <c r="L10" i="6" s="1"/>
  <c r="S462" i="1"/>
  <c r="J10" i="4" s="1"/>
  <c r="K10" i="6" s="1"/>
  <c r="R462" i="1"/>
  <c r="I10" i="4" s="1"/>
  <c r="J10" i="6" s="1"/>
  <c r="Q462" i="1"/>
  <c r="H10" i="4" s="1"/>
  <c r="I10" i="6" s="1"/>
  <c r="P462" i="1"/>
  <c r="G10" i="4" s="1"/>
  <c r="H10" i="6" s="1"/>
  <c r="O462" i="1"/>
  <c r="F10" i="4" s="1"/>
  <c r="G10" i="6" s="1"/>
  <c r="N462" i="1"/>
  <c r="E10" i="4" s="1"/>
  <c r="F10" i="6" s="1"/>
  <c r="M462" i="1"/>
  <c r="D10" i="4" s="1"/>
  <c r="E10" i="6" s="1"/>
  <c r="L462" i="1"/>
  <c r="C10" i="4" s="1"/>
  <c r="D10" i="6" s="1"/>
  <c r="K462" i="1"/>
  <c r="B10" i="4" s="1"/>
  <c r="C10" i="6" s="1"/>
  <c r="AE449" i="1"/>
  <c r="V9" i="4" s="1"/>
  <c r="AD449" i="1"/>
  <c r="U9" i="4" s="1"/>
  <c r="V9" i="6" s="1"/>
  <c r="AC449" i="1"/>
  <c r="T9" i="4" s="1"/>
  <c r="U9" i="6" s="1"/>
  <c r="AB449" i="1"/>
  <c r="S9" i="4" s="1"/>
  <c r="T9" i="6" s="1"/>
  <c r="AA449" i="1"/>
  <c r="R9" i="4" s="1"/>
  <c r="S9" i="6" s="1"/>
  <c r="Z449" i="1"/>
  <c r="Q9" i="4" s="1"/>
  <c r="R9" i="6" s="1"/>
  <c r="Y449" i="1"/>
  <c r="P9" i="4" s="1"/>
  <c r="Q9" i="6" s="1"/>
  <c r="X449" i="1"/>
  <c r="O9" i="4" s="1"/>
  <c r="P9" i="6" s="1"/>
  <c r="W449" i="1"/>
  <c r="N9" i="4" s="1"/>
  <c r="O9" i="6" s="1"/>
  <c r="V449" i="1"/>
  <c r="M9" i="4" s="1"/>
  <c r="N9" i="6" s="1"/>
  <c r="U449" i="1"/>
  <c r="L9" i="4" s="1"/>
  <c r="M9" i="6" s="1"/>
  <c r="T449" i="1"/>
  <c r="K9" i="4" s="1"/>
  <c r="L9" i="6" s="1"/>
  <c r="S449" i="1"/>
  <c r="J9" i="4" s="1"/>
  <c r="K9" i="6" s="1"/>
  <c r="R449" i="1"/>
  <c r="I9" i="4" s="1"/>
  <c r="J9" i="6" s="1"/>
  <c r="Q449" i="1"/>
  <c r="H9" i="4" s="1"/>
  <c r="I9" i="6" s="1"/>
  <c r="P449" i="1"/>
  <c r="G9" i="4" s="1"/>
  <c r="H9" i="6" s="1"/>
  <c r="O449" i="1"/>
  <c r="F9" i="4" s="1"/>
  <c r="G9" i="6" s="1"/>
  <c r="N449" i="1"/>
  <c r="E9" i="4" s="1"/>
  <c r="F9" i="6" s="1"/>
  <c r="M449" i="1"/>
  <c r="D9" i="4" s="1"/>
  <c r="E9" i="6" s="1"/>
  <c r="L449" i="1"/>
  <c r="C9" i="4" s="1"/>
  <c r="D9" i="6" s="1"/>
  <c r="K449" i="1"/>
  <c r="B9" i="4" s="1"/>
  <c r="C9" i="6" s="1"/>
  <c r="AE189" i="1"/>
  <c r="V8" i="4" s="1"/>
  <c r="AD189" i="1"/>
  <c r="U8" i="4" s="1"/>
  <c r="V8" i="6" s="1"/>
  <c r="AC189" i="1"/>
  <c r="T8" i="4" s="1"/>
  <c r="U8" i="6" s="1"/>
  <c r="AB189" i="1"/>
  <c r="S8" i="4" s="1"/>
  <c r="T8" i="6" s="1"/>
  <c r="AA189" i="1"/>
  <c r="R8" i="4" s="1"/>
  <c r="S8" i="6" s="1"/>
  <c r="Z189" i="1"/>
  <c r="Q8" i="4" s="1"/>
  <c r="R8" i="6" s="1"/>
  <c r="Y189" i="1"/>
  <c r="P8" i="4" s="1"/>
  <c r="Q8" i="6" s="1"/>
  <c r="X189" i="1"/>
  <c r="O8" i="4" s="1"/>
  <c r="P8" i="6" s="1"/>
  <c r="W189" i="1"/>
  <c r="N8" i="4" s="1"/>
  <c r="O8" i="6" s="1"/>
  <c r="V189" i="1"/>
  <c r="M8" i="4" s="1"/>
  <c r="N8" i="6" s="1"/>
  <c r="U189" i="1"/>
  <c r="L8" i="4" s="1"/>
  <c r="M8" i="6" s="1"/>
  <c r="T189" i="1"/>
  <c r="K8" i="4" s="1"/>
  <c r="L8" i="6" s="1"/>
  <c r="S189" i="1"/>
  <c r="J8" i="4" s="1"/>
  <c r="K8" i="6" s="1"/>
  <c r="R189" i="1"/>
  <c r="I8" i="4" s="1"/>
  <c r="J8" i="6" s="1"/>
  <c r="Q189" i="1"/>
  <c r="H8" i="4" s="1"/>
  <c r="I8" i="6" s="1"/>
  <c r="P189" i="1"/>
  <c r="G8" i="4" s="1"/>
  <c r="H8" i="6" s="1"/>
  <c r="O189" i="1"/>
  <c r="F8" i="4" s="1"/>
  <c r="G8" i="6" s="1"/>
  <c r="N189" i="1"/>
  <c r="E8" i="4" s="1"/>
  <c r="F8" i="6" s="1"/>
  <c r="M189" i="1"/>
  <c r="D8" i="4" s="1"/>
  <c r="E8" i="6" s="1"/>
  <c r="L189" i="1"/>
  <c r="C8" i="4" s="1"/>
  <c r="D8" i="6" s="1"/>
  <c r="K189" i="1"/>
  <c r="B8" i="4" s="1"/>
  <c r="C8" i="6" s="1"/>
  <c r="AE159" i="1"/>
  <c r="V6" i="4" s="1"/>
  <c r="AD159" i="1"/>
  <c r="U6" i="4" s="1"/>
  <c r="V6" i="6" s="1"/>
  <c r="AC159" i="1"/>
  <c r="T6" i="4" s="1"/>
  <c r="U6" i="6" s="1"/>
  <c r="AB159" i="1"/>
  <c r="S6" i="4" s="1"/>
  <c r="T6" i="6" s="1"/>
  <c r="AA159" i="1"/>
  <c r="R6" i="4" s="1"/>
  <c r="S6" i="6" s="1"/>
  <c r="Z159" i="1"/>
  <c r="Q6" i="4" s="1"/>
  <c r="R6" i="6" s="1"/>
  <c r="Y159" i="1"/>
  <c r="P6" i="4" s="1"/>
  <c r="Q6" i="6" s="1"/>
  <c r="X159" i="1"/>
  <c r="O6" i="4" s="1"/>
  <c r="P6" i="6" s="1"/>
  <c r="W159" i="1"/>
  <c r="N6" i="4" s="1"/>
  <c r="O6" i="6" s="1"/>
  <c r="V159" i="1"/>
  <c r="M6" i="4" s="1"/>
  <c r="N6" i="6" s="1"/>
  <c r="U159" i="1"/>
  <c r="L6" i="4" s="1"/>
  <c r="M6" i="6" s="1"/>
  <c r="T159" i="1"/>
  <c r="K6" i="4" s="1"/>
  <c r="L6" i="6" s="1"/>
  <c r="S159" i="1"/>
  <c r="J6" i="4" s="1"/>
  <c r="K6" i="6" s="1"/>
  <c r="R159" i="1"/>
  <c r="I6" i="4" s="1"/>
  <c r="J6" i="6" s="1"/>
  <c r="Q159" i="1"/>
  <c r="H6" i="4" s="1"/>
  <c r="I6" i="6" s="1"/>
  <c r="P159" i="1"/>
  <c r="G6" i="4" s="1"/>
  <c r="H6" i="6" s="1"/>
  <c r="O159" i="1"/>
  <c r="F6" i="4" s="1"/>
  <c r="G6" i="6" s="1"/>
  <c r="N159" i="1"/>
  <c r="E6" i="4" s="1"/>
  <c r="F6" i="6" s="1"/>
  <c r="M159" i="1"/>
  <c r="D6" i="4" s="1"/>
  <c r="E6" i="6" s="1"/>
  <c r="L159" i="1"/>
  <c r="C6" i="4" s="1"/>
  <c r="D6" i="6" s="1"/>
  <c r="K159" i="1"/>
  <c r="B6" i="4" s="1"/>
  <c r="C6" i="6" s="1"/>
  <c r="AE155" i="1"/>
  <c r="V3" i="4" s="1"/>
  <c r="AD155" i="1"/>
  <c r="U3" i="4" s="1"/>
  <c r="V3" i="6" s="1"/>
  <c r="AC155" i="1"/>
  <c r="T3" i="4" s="1"/>
  <c r="U3" i="6" s="1"/>
  <c r="AB155" i="1"/>
  <c r="S3" i="4" s="1"/>
  <c r="T3" i="6" s="1"/>
  <c r="AA155" i="1"/>
  <c r="R3" i="4" s="1"/>
  <c r="S3" i="6" s="1"/>
  <c r="Z155" i="1"/>
  <c r="Q3" i="4" s="1"/>
  <c r="R3" i="6" s="1"/>
  <c r="Y155" i="1"/>
  <c r="P3" i="4" s="1"/>
  <c r="Q3" i="6" s="1"/>
  <c r="X155" i="1"/>
  <c r="O3" i="4" s="1"/>
  <c r="P3" i="6" s="1"/>
  <c r="W155" i="1"/>
  <c r="N3" i="4" s="1"/>
  <c r="O3" i="6" s="1"/>
  <c r="V155" i="1"/>
  <c r="M3" i="4" s="1"/>
  <c r="N3" i="6" s="1"/>
  <c r="U155" i="1"/>
  <c r="L3" i="4" s="1"/>
  <c r="M3" i="6" s="1"/>
  <c r="T155" i="1"/>
  <c r="K3" i="4" s="1"/>
  <c r="L3" i="6" s="1"/>
  <c r="S155" i="1"/>
  <c r="J3" i="4" s="1"/>
  <c r="K3" i="6" s="1"/>
  <c r="R155" i="1"/>
  <c r="I3" i="4" s="1"/>
  <c r="J3" i="6" s="1"/>
  <c r="Q155" i="1"/>
  <c r="H3" i="4" s="1"/>
  <c r="I3" i="6" s="1"/>
  <c r="P155" i="1"/>
  <c r="G3" i="4" s="1"/>
  <c r="H3" i="6" s="1"/>
  <c r="O155" i="1"/>
  <c r="F3" i="4" s="1"/>
  <c r="G3" i="6" s="1"/>
  <c r="N155" i="1"/>
  <c r="E3" i="4" s="1"/>
  <c r="F3" i="6" s="1"/>
  <c r="M155" i="1"/>
  <c r="D3" i="4" s="1"/>
  <c r="E3" i="6" s="1"/>
  <c r="L155" i="1"/>
  <c r="C3" i="4" s="1"/>
  <c r="D3" i="6" s="1"/>
  <c r="K155" i="1"/>
  <c r="B3" i="4" s="1"/>
  <c r="C3" i="6" s="1"/>
  <c r="AE152" i="1"/>
  <c r="V5" i="4" s="1"/>
  <c r="AD152" i="1"/>
  <c r="U5" i="4" s="1"/>
  <c r="V5" i="6" s="1"/>
  <c r="AC152" i="1"/>
  <c r="T5" i="4" s="1"/>
  <c r="U5" i="6" s="1"/>
  <c r="AB152" i="1"/>
  <c r="S5" i="4" s="1"/>
  <c r="T5" i="6" s="1"/>
  <c r="AA152" i="1"/>
  <c r="R5" i="4" s="1"/>
  <c r="S5" i="6" s="1"/>
  <c r="Z152" i="1"/>
  <c r="Q5" i="4" s="1"/>
  <c r="R5" i="6" s="1"/>
  <c r="Y152" i="1"/>
  <c r="P5" i="4" s="1"/>
  <c r="Q5" i="6" s="1"/>
  <c r="X152" i="1"/>
  <c r="O5" i="4" s="1"/>
  <c r="P5" i="6" s="1"/>
  <c r="W152" i="1"/>
  <c r="N5" i="4" s="1"/>
  <c r="O5" i="6" s="1"/>
  <c r="V152" i="1"/>
  <c r="M5" i="4" s="1"/>
  <c r="N5" i="6" s="1"/>
  <c r="U152" i="1"/>
  <c r="L5" i="4" s="1"/>
  <c r="M5" i="6" s="1"/>
  <c r="T152" i="1"/>
  <c r="K5" i="4" s="1"/>
  <c r="L5" i="6" s="1"/>
  <c r="S152" i="1"/>
  <c r="J5" i="4" s="1"/>
  <c r="K5" i="6" s="1"/>
  <c r="R152" i="1"/>
  <c r="I5" i="4" s="1"/>
  <c r="J5" i="6" s="1"/>
  <c r="Q152" i="1"/>
  <c r="H5" i="4" s="1"/>
  <c r="I5" i="6" s="1"/>
  <c r="P152" i="1"/>
  <c r="G5" i="4" s="1"/>
  <c r="H5" i="6" s="1"/>
  <c r="O152" i="1"/>
  <c r="F5" i="4" s="1"/>
  <c r="G5" i="6" s="1"/>
  <c r="N152" i="1"/>
  <c r="E5" i="4" s="1"/>
  <c r="F5" i="6" s="1"/>
  <c r="M152" i="1"/>
  <c r="D5" i="4" s="1"/>
  <c r="E5" i="6" s="1"/>
  <c r="L152" i="1"/>
  <c r="C5" i="4" s="1"/>
  <c r="D5" i="6" s="1"/>
  <c r="K152" i="1"/>
  <c r="B5" i="4" s="1"/>
  <c r="C5" i="6" s="1"/>
  <c r="AE149" i="1"/>
  <c r="V4" i="4" s="1"/>
  <c r="AD149" i="1"/>
  <c r="U4" i="4" s="1"/>
  <c r="V4" i="6" s="1"/>
  <c r="AC149" i="1"/>
  <c r="T4" i="4" s="1"/>
  <c r="U4" i="6" s="1"/>
  <c r="AB149" i="1"/>
  <c r="S4" i="4" s="1"/>
  <c r="T4" i="6" s="1"/>
  <c r="AA149" i="1"/>
  <c r="R4" i="4" s="1"/>
  <c r="S4" i="6" s="1"/>
  <c r="Z149" i="1"/>
  <c r="Q4" i="4" s="1"/>
  <c r="R4" i="6" s="1"/>
  <c r="Y149" i="1"/>
  <c r="P4" i="4" s="1"/>
  <c r="Q4" i="6" s="1"/>
  <c r="X149" i="1"/>
  <c r="O4" i="4" s="1"/>
  <c r="P4" i="6" s="1"/>
  <c r="W149" i="1"/>
  <c r="N4" i="4" s="1"/>
  <c r="O4" i="6" s="1"/>
  <c r="V149" i="1"/>
  <c r="M4" i="4" s="1"/>
  <c r="N4" i="6" s="1"/>
  <c r="U149" i="1"/>
  <c r="L4" i="4" s="1"/>
  <c r="M4" i="6" s="1"/>
  <c r="T149" i="1"/>
  <c r="K4" i="4" s="1"/>
  <c r="L4" i="6" s="1"/>
  <c r="S149" i="1"/>
  <c r="J4" i="4" s="1"/>
  <c r="K4" i="6" s="1"/>
  <c r="R149" i="1"/>
  <c r="I4" i="4" s="1"/>
  <c r="J4" i="6" s="1"/>
  <c r="Q149" i="1"/>
  <c r="H4" i="4" s="1"/>
  <c r="I4" i="6" s="1"/>
  <c r="P149" i="1"/>
  <c r="G4" i="4" s="1"/>
  <c r="H4" i="6" s="1"/>
  <c r="O149" i="1"/>
  <c r="F4" i="4" s="1"/>
  <c r="G4" i="6" s="1"/>
  <c r="N149" i="1"/>
  <c r="E4" i="4" s="1"/>
  <c r="F4" i="6" s="1"/>
  <c r="M149" i="1"/>
  <c r="D4" i="4" s="1"/>
  <c r="E4" i="6" s="1"/>
  <c r="L149" i="1"/>
  <c r="C4" i="4" s="1"/>
  <c r="D4" i="6" s="1"/>
  <c r="K149" i="1"/>
  <c r="B4" i="4" s="1"/>
  <c r="C4" i="6" s="1"/>
  <c r="AE113" i="1"/>
  <c r="V2" i="4" s="1"/>
  <c r="AD113" i="1"/>
  <c r="U2" i="4" s="1"/>
  <c r="V2" i="6" s="1"/>
  <c r="AC113" i="1"/>
  <c r="T2" i="4" s="1"/>
  <c r="U2" i="6" s="1"/>
  <c r="AB113" i="1"/>
  <c r="S2" i="4" s="1"/>
  <c r="T2" i="6" s="1"/>
  <c r="AA113" i="1"/>
  <c r="R2" i="4" s="1"/>
  <c r="S2" i="6" s="1"/>
  <c r="Z113" i="1"/>
  <c r="Q2" i="4" s="1"/>
  <c r="R2" i="6" s="1"/>
  <c r="Y113" i="1"/>
  <c r="P2" i="4" s="1"/>
  <c r="Q2" i="6" s="1"/>
  <c r="X113" i="1"/>
  <c r="O2" i="4" s="1"/>
  <c r="P2" i="6" s="1"/>
  <c r="W113" i="1"/>
  <c r="N2" i="4" s="1"/>
  <c r="O2" i="6" s="1"/>
  <c r="V113" i="1"/>
  <c r="M2" i="4" s="1"/>
  <c r="N2" i="6" s="1"/>
  <c r="U113" i="1"/>
  <c r="L2" i="4" s="1"/>
  <c r="M2" i="6" s="1"/>
  <c r="T113" i="1"/>
  <c r="K2" i="4" s="1"/>
  <c r="L2" i="6" s="1"/>
  <c r="S113" i="1"/>
  <c r="J2" i="4" s="1"/>
  <c r="K2" i="6" s="1"/>
  <c r="R113" i="1"/>
  <c r="I2" i="4" s="1"/>
  <c r="J2" i="6" s="1"/>
  <c r="Q113" i="1"/>
  <c r="H2" i="4" s="1"/>
  <c r="I2" i="6" s="1"/>
  <c r="P113" i="1"/>
  <c r="G2" i="4" s="1"/>
  <c r="H2" i="6" s="1"/>
  <c r="O113" i="1"/>
  <c r="F2" i="4" s="1"/>
  <c r="G2" i="6" s="1"/>
  <c r="N113" i="1"/>
  <c r="E2" i="4" s="1"/>
  <c r="F2" i="6" s="1"/>
  <c r="M113" i="1"/>
  <c r="D2" i="4" s="1"/>
  <c r="E2" i="6" s="1"/>
  <c r="L113" i="1"/>
  <c r="C2" i="4" s="1"/>
  <c r="D2" i="6" s="1"/>
  <c r="K113" i="1"/>
  <c r="B2" i="4" s="1"/>
  <c r="C2" i="6" s="1"/>
  <c r="AF638" i="1"/>
  <c r="W14" i="3" s="1"/>
  <c r="AE638" i="1"/>
  <c r="V14" i="3" s="1"/>
  <c r="AD638" i="1"/>
  <c r="U14" i="3" s="1"/>
  <c r="AC638" i="1"/>
  <c r="T14" i="3" s="1"/>
  <c r="AB638" i="1"/>
  <c r="S14" i="3" s="1"/>
  <c r="AA638" i="1"/>
  <c r="R14" i="3" s="1"/>
  <c r="Z638" i="1"/>
  <c r="Q14" i="3" s="1"/>
  <c r="Y638" i="1"/>
  <c r="P14" i="3" s="1"/>
  <c r="X638" i="1"/>
  <c r="O14" i="3" s="1"/>
  <c r="W638" i="1"/>
  <c r="N14" i="3" s="1"/>
  <c r="V638" i="1"/>
  <c r="M14" i="3" s="1"/>
  <c r="U638" i="1"/>
  <c r="L14" i="3" s="1"/>
  <c r="T638" i="1"/>
  <c r="K14" i="3" s="1"/>
  <c r="S638" i="1"/>
  <c r="J14" i="3" s="1"/>
  <c r="R638" i="1"/>
  <c r="I14" i="3" s="1"/>
  <c r="Q638" i="1"/>
  <c r="H14" i="3" s="1"/>
  <c r="P638" i="1"/>
  <c r="G14" i="3" s="1"/>
  <c r="O638" i="1"/>
  <c r="F14" i="3" s="1"/>
  <c r="N638" i="1"/>
  <c r="E14" i="3" s="1"/>
  <c r="M638" i="1"/>
  <c r="D14" i="3" s="1"/>
  <c r="L638" i="1"/>
  <c r="C14" i="3" s="1"/>
  <c r="K638" i="1"/>
  <c r="B14" i="3" s="1"/>
  <c r="AE637" i="1"/>
  <c r="V15" i="3" s="1"/>
  <c r="AD637" i="1"/>
  <c r="U15" i="3" s="1"/>
  <c r="AC637" i="1"/>
  <c r="T15" i="3" s="1"/>
  <c r="AB637" i="1"/>
  <c r="S15" i="3" s="1"/>
  <c r="AA637" i="1"/>
  <c r="R15" i="3" s="1"/>
  <c r="Z637" i="1"/>
  <c r="Q15" i="3" s="1"/>
  <c r="Y637" i="1"/>
  <c r="P15" i="3" s="1"/>
  <c r="X637" i="1"/>
  <c r="O15" i="3" s="1"/>
  <c r="W637" i="1"/>
  <c r="N15" i="3" s="1"/>
  <c r="V637" i="1"/>
  <c r="M15" i="3" s="1"/>
  <c r="U637" i="1"/>
  <c r="L15" i="3" s="1"/>
  <c r="T637" i="1"/>
  <c r="K15" i="3" s="1"/>
  <c r="S637" i="1"/>
  <c r="J15" i="3" s="1"/>
  <c r="R637" i="1"/>
  <c r="I15" i="3" s="1"/>
  <c r="Q637" i="1"/>
  <c r="H15" i="3" s="1"/>
  <c r="P637" i="1"/>
  <c r="G15" i="3" s="1"/>
  <c r="O637" i="1"/>
  <c r="F15" i="3" s="1"/>
  <c r="N637" i="1"/>
  <c r="E15" i="3" s="1"/>
  <c r="M637" i="1"/>
  <c r="D15" i="3" s="1"/>
  <c r="L637" i="1"/>
  <c r="C15" i="3" s="1"/>
  <c r="K637" i="1"/>
  <c r="B15" i="3" s="1"/>
  <c r="W8" i="3"/>
  <c r="V8" i="3"/>
  <c r="U8" i="3"/>
  <c r="T8" i="3"/>
  <c r="S8" i="3"/>
  <c r="R8" i="3"/>
  <c r="Q8" i="3"/>
  <c r="P8" i="3"/>
  <c r="O8" i="3"/>
  <c r="N8" i="3"/>
  <c r="M8" i="3"/>
  <c r="L8" i="3"/>
  <c r="K8" i="3"/>
  <c r="J8" i="3"/>
  <c r="I8" i="3"/>
  <c r="H8" i="3"/>
  <c r="G8" i="3"/>
  <c r="F8" i="3"/>
  <c r="E8" i="3"/>
  <c r="D8" i="3"/>
  <c r="C8" i="3"/>
  <c r="B8" i="3"/>
  <c r="W9" i="3"/>
  <c r="V9" i="3"/>
  <c r="U9" i="3"/>
  <c r="T9" i="3"/>
  <c r="S9" i="3"/>
  <c r="R9" i="3"/>
  <c r="Q9" i="3"/>
  <c r="P9" i="3"/>
  <c r="O9" i="3"/>
  <c r="N9" i="3"/>
  <c r="M9" i="3"/>
  <c r="L9" i="3"/>
  <c r="K9" i="3"/>
  <c r="J9" i="3"/>
  <c r="I9" i="3"/>
  <c r="H9" i="3"/>
  <c r="G9" i="3"/>
  <c r="F9" i="3"/>
  <c r="E9" i="3"/>
  <c r="D9" i="3"/>
  <c r="C9" i="3"/>
  <c r="B9" i="3"/>
  <c r="AF362" i="1"/>
  <c r="AA7" i="3" s="1"/>
  <c r="AE362" i="1"/>
  <c r="V7" i="3" s="1"/>
  <c r="AD362" i="1"/>
  <c r="U7" i="3" s="1"/>
  <c r="AC362" i="1"/>
  <c r="T7" i="3" s="1"/>
  <c r="AB362" i="1"/>
  <c r="S7" i="3" s="1"/>
  <c r="AA362" i="1"/>
  <c r="R7" i="3" s="1"/>
  <c r="Z362" i="1"/>
  <c r="Q7" i="3" s="1"/>
  <c r="Y362" i="1"/>
  <c r="P7" i="3" s="1"/>
  <c r="X362" i="1"/>
  <c r="O7" i="3" s="1"/>
  <c r="W362" i="1"/>
  <c r="N7" i="3" s="1"/>
  <c r="V362" i="1"/>
  <c r="M7" i="3" s="1"/>
  <c r="U362" i="1"/>
  <c r="L7" i="3" s="1"/>
  <c r="T362" i="1"/>
  <c r="K7" i="3" s="1"/>
  <c r="S362" i="1"/>
  <c r="J7" i="3" s="1"/>
  <c r="R362" i="1"/>
  <c r="I7" i="3" s="1"/>
  <c r="Q362" i="1"/>
  <c r="H7" i="3" s="1"/>
  <c r="P362" i="1"/>
  <c r="G7" i="3" s="1"/>
  <c r="O362" i="1"/>
  <c r="F7" i="3" s="1"/>
  <c r="N362" i="1"/>
  <c r="E7" i="3" s="1"/>
  <c r="M362" i="1"/>
  <c r="D7" i="3" s="1"/>
  <c r="L362" i="1"/>
  <c r="C7" i="3" s="1"/>
  <c r="K362" i="1"/>
  <c r="B7" i="3" s="1"/>
  <c r="AF297" i="1"/>
  <c r="AE297" i="1"/>
  <c r="V6" i="3" s="1"/>
  <c r="AD297" i="1"/>
  <c r="U6" i="3" s="1"/>
  <c r="AC297" i="1"/>
  <c r="T6" i="3" s="1"/>
  <c r="AB297" i="1"/>
  <c r="S6" i="3" s="1"/>
  <c r="AA297" i="1"/>
  <c r="R6" i="3" s="1"/>
  <c r="Z297" i="1"/>
  <c r="Q6" i="3" s="1"/>
  <c r="Y297" i="1"/>
  <c r="P6" i="3" s="1"/>
  <c r="X297" i="1"/>
  <c r="O6" i="3" s="1"/>
  <c r="W297" i="1"/>
  <c r="N6" i="3" s="1"/>
  <c r="V297" i="1"/>
  <c r="M6" i="3" s="1"/>
  <c r="U297" i="1"/>
  <c r="L6" i="3" s="1"/>
  <c r="T297" i="1"/>
  <c r="K6" i="3" s="1"/>
  <c r="S297" i="1"/>
  <c r="J6" i="3" s="1"/>
  <c r="R297" i="1"/>
  <c r="I6" i="3" s="1"/>
  <c r="Q297" i="1"/>
  <c r="H6" i="3" s="1"/>
  <c r="P297" i="1"/>
  <c r="G6" i="3" s="1"/>
  <c r="O297" i="1"/>
  <c r="F6" i="3" s="1"/>
  <c r="N297" i="1"/>
  <c r="E6" i="3" s="1"/>
  <c r="M297" i="1"/>
  <c r="D6" i="3" s="1"/>
  <c r="L297" i="1"/>
  <c r="C6" i="3" s="1"/>
  <c r="K297" i="1"/>
  <c r="B6" i="3" s="1"/>
  <c r="AF234" i="1"/>
  <c r="W13" i="3" s="1"/>
  <c r="AE234" i="1"/>
  <c r="V13" i="3" s="1"/>
  <c r="AD234" i="1"/>
  <c r="U13" i="3" s="1"/>
  <c r="AC234" i="1"/>
  <c r="T13" i="3" s="1"/>
  <c r="AB234" i="1"/>
  <c r="S13" i="3" s="1"/>
  <c r="AA234" i="1"/>
  <c r="R13" i="3" s="1"/>
  <c r="Z234" i="1"/>
  <c r="Q13" i="3" s="1"/>
  <c r="Y234" i="1"/>
  <c r="P13" i="3" s="1"/>
  <c r="X234" i="1"/>
  <c r="O13" i="3" s="1"/>
  <c r="W234" i="1"/>
  <c r="N13" i="3" s="1"/>
  <c r="V234" i="1"/>
  <c r="M13" i="3" s="1"/>
  <c r="U234" i="1"/>
  <c r="L13" i="3" s="1"/>
  <c r="T234" i="1"/>
  <c r="K13" i="3" s="1"/>
  <c r="S234" i="1"/>
  <c r="J13" i="3" s="1"/>
  <c r="R234" i="1"/>
  <c r="I13" i="3" s="1"/>
  <c r="Q234" i="1"/>
  <c r="H13" i="3" s="1"/>
  <c r="P234" i="1"/>
  <c r="G13" i="3" s="1"/>
  <c r="O234" i="1"/>
  <c r="F13" i="3" s="1"/>
  <c r="N234" i="1"/>
  <c r="E13" i="3" s="1"/>
  <c r="M234" i="1"/>
  <c r="D13" i="3" s="1"/>
  <c r="L234" i="1"/>
  <c r="C13" i="3" s="1"/>
  <c r="K234" i="1"/>
  <c r="B13" i="3" s="1"/>
  <c r="AE103" i="1"/>
  <c r="V4" i="3" s="1"/>
  <c r="AD103" i="1"/>
  <c r="U4" i="3" s="1"/>
  <c r="AC103" i="1"/>
  <c r="T4" i="3" s="1"/>
  <c r="AB103" i="1"/>
  <c r="S4" i="3" s="1"/>
  <c r="AA103" i="1"/>
  <c r="R4" i="3" s="1"/>
  <c r="Z103" i="1"/>
  <c r="Q4" i="3" s="1"/>
  <c r="Y103" i="1"/>
  <c r="P4" i="3" s="1"/>
  <c r="X103" i="1"/>
  <c r="O4" i="3" s="1"/>
  <c r="W103" i="1"/>
  <c r="N4" i="3" s="1"/>
  <c r="V103" i="1"/>
  <c r="M4" i="3" s="1"/>
  <c r="U103" i="1"/>
  <c r="L4" i="3" s="1"/>
  <c r="T103" i="1"/>
  <c r="K4" i="3" s="1"/>
  <c r="S103" i="1"/>
  <c r="J4" i="3" s="1"/>
  <c r="R103" i="1"/>
  <c r="I4" i="3" s="1"/>
  <c r="Q103" i="1"/>
  <c r="H4" i="3" s="1"/>
  <c r="P103" i="1"/>
  <c r="G4" i="3" s="1"/>
  <c r="O103" i="1"/>
  <c r="F4" i="3" s="1"/>
  <c r="N103" i="1"/>
  <c r="E4" i="3" s="1"/>
  <c r="M103" i="1"/>
  <c r="D4" i="3" s="1"/>
  <c r="L103" i="1"/>
  <c r="C4" i="3" s="1"/>
  <c r="K103" i="1"/>
  <c r="B4" i="3" s="1"/>
  <c r="AE92" i="1"/>
  <c r="V11" i="3" s="1"/>
  <c r="AD92" i="1"/>
  <c r="U11" i="3" s="1"/>
  <c r="AC92" i="1"/>
  <c r="T11" i="3" s="1"/>
  <c r="AB92" i="1"/>
  <c r="S11" i="3" s="1"/>
  <c r="AA92" i="1"/>
  <c r="R11" i="3" s="1"/>
  <c r="Z92" i="1"/>
  <c r="Q11" i="3" s="1"/>
  <c r="Y92" i="1"/>
  <c r="P11" i="3" s="1"/>
  <c r="X92" i="1"/>
  <c r="O11" i="3" s="1"/>
  <c r="W92" i="1"/>
  <c r="N11" i="3" s="1"/>
  <c r="V92" i="1"/>
  <c r="M11" i="3" s="1"/>
  <c r="U92" i="1"/>
  <c r="L11" i="3" s="1"/>
  <c r="T92" i="1"/>
  <c r="K11" i="3" s="1"/>
  <c r="S92" i="1"/>
  <c r="J11" i="3" s="1"/>
  <c r="R92" i="1"/>
  <c r="I11" i="3" s="1"/>
  <c r="Q92" i="1"/>
  <c r="H11" i="3" s="1"/>
  <c r="P92" i="1"/>
  <c r="G11" i="3" s="1"/>
  <c r="O92" i="1"/>
  <c r="F11" i="3" s="1"/>
  <c r="N92" i="1"/>
  <c r="E11" i="3" s="1"/>
  <c r="M92" i="1"/>
  <c r="D11" i="3" s="1"/>
  <c r="L92" i="1"/>
  <c r="C11" i="3" s="1"/>
  <c r="K92" i="1"/>
  <c r="B11" i="3" s="1"/>
  <c r="AE90" i="1"/>
  <c r="V12" i="3" s="1"/>
  <c r="AD90" i="1"/>
  <c r="U12" i="3" s="1"/>
  <c r="AC90" i="1"/>
  <c r="T12" i="3" s="1"/>
  <c r="AB90" i="1"/>
  <c r="S12" i="3" s="1"/>
  <c r="AA90" i="1"/>
  <c r="R12" i="3" s="1"/>
  <c r="Z90" i="1"/>
  <c r="Q12" i="3" s="1"/>
  <c r="Y90" i="1"/>
  <c r="P12" i="3" s="1"/>
  <c r="X90" i="1"/>
  <c r="O12" i="3" s="1"/>
  <c r="W90" i="1"/>
  <c r="N12" i="3" s="1"/>
  <c r="V90" i="1"/>
  <c r="M12" i="3" s="1"/>
  <c r="U90" i="1"/>
  <c r="L12" i="3" s="1"/>
  <c r="T90" i="1"/>
  <c r="K12" i="3" s="1"/>
  <c r="S90" i="1"/>
  <c r="J12" i="3" s="1"/>
  <c r="R90" i="1"/>
  <c r="I12" i="3" s="1"/>
  <c r="Q90" i="1"/>
  <c r="H12" i="3" s="1"/>
  <c r="P90" i="1"/>
  <c r="G12" i="3" s="1"/>
  <c r="O90" i="1"/>
  <c r="F12" i="3" s="1"/>
  <c r="N90" i="1"/>
  <c r="E12" i="3" s="1"/>
  <c r="M90" i="1"/>
  <c r="D12" i="3" s="1"/>
  <c r="L90" i="1"/>
  <c r="C12" i="3" s="1"/>
  <c r="K90" i="1"/>
  <c r="B12" i="3" s="1"/>
  <c r="AF76" i="1"/>
  <c r="W3" i="3" s="1"/>
  <c r="AE76" i="1"/>
  <c r="V3" i="3" s="1"/>
  <c r="AD76" i="1"/>
  <c r="U3" i="3" s="1"/>
  <c r="AC76" i="1"/>
  <c r="T3" i="3" s="1"/>
  <c r="AB76" i="1"/>
  <c r="S3" i="3" s="1"/>
  <c r="AA76" i="1"/>
  <c r="R3" i="3" s="1"/>
  <c r="Z76" i="1"/>
  <c r="Q3" i="3" s="1"/>
  <c r="Y76" i="1"/>
  <c r="P3" i="3" s="1"/>
  <c r="X76" i="1"/>
  <c r="O3" i="3" s="1"/>
  <c r="W76" i="1"/>
  <c r="N3" i="3" s="1"/>
  <c r="V76" i="1"/>
  <c r="M3" i="3" s="1"/>
  <c r="U76" i="1"/>
  <c r="L3" i="3" s="1"/>
  <c r="T76" i="1"/>
  <c r="K3" i="3" s="1"/>
  <c r="S76" i="1"/>
  <c r="J3" i="3" s="1"/>
  <c r="R76" i="1"/>
  <c r="I3" i="3" s="1"/>
  <c r="Q76" i="1"/>
  <c r="H3" i="3" s="1"/>
  <c r="P76" i="1"/>
  <c r="G3" i="3" s="1"/>
  <c r="O76" i="1"/>
  <c r="F3" i="3" s="1"/>
  <c r="N76" i="1"/>
  <c r="E3" i="3" s="1"/>
  <c r="M76" i="1"/>
  <c r="D3" i="3" s="1"/>
  <c r="L76" i="1"/>
  <c r="C3" i="3" s="1"/>
  <c r="K76" i="1"/>
  <c r="B3" i="3" s="1"/>
  <c r="AF36" i="1"/>
  <c r="W2" i="3" s="1"/>
  <c r="AE36" i="1"/>
  <c r="V2" i="3" s="1"/>
  <c r="AD36" i="1"/>
  <c r="U2" i="3" s="1"/>
  <c r="AC36" i="1"/>
  <c r="T2" i="3" s="1"/>
  <c r="AB36" i="1"/>
  <c r="S2" i="3" s="1"/>
  <c r="AA36" i="1"/>
  <c r="R2" i="3" s="1"/>
  <c r="Z36" i="1"/>
  <c r="Q2" i="3" s="1"/>
  <c r="Y36" i="1"/>
  <c r="P2" i="3" s="1"/>
  <c r="X36" i="1"/>
  <c r="O2" i="3" s="1"/>
  <c r="W36" i="1"/>
  <c r="N2" i="3" s="1"/>
  <c r="V36" i="1"/>
  <c r="M2" i="3" s="1"/>
  <c r="U36" i="1"/>
  <c r="L2" i="3" s="1"/>
  <c r="T36" i="1"/>
  <c r="K2" i="3" s="1"/>
  <c r="S36" i="1"/>
  <c r="J2" i="3" s="1"/>
  <c r="R36" i="1"/>
  <c r="I2" i="3" s="1"/>
  <c r="Q36" i="1"/>
  <c r="H2" i="3" s="1"/>
  <c r="P36" i="1"/>
  <c r="G2" i="3" s="1"/>
  <c r="O36" i="1"/>
  <c r="F2" i="3" s="1"/>
  <c r="N36" i="1"/>
  <c r="E2" i="3" s="1"/>
  <c r="M36" i="1"/>
  <c r="D2" i="3" s="1"/>
  <c r="L36" i="1"/>
  <c r="C2" i="3" s="1"/>
  <c r="K36" i="1"/>
  <c r="B2" i="3" s="1"/>
  <c r="B10" i="3"/>
  <c r="C10" i="3"/>
  <c r="D10" i="3"/>
  <c r="E10" i="3"/>
  <c r="F10" i="3"/>
  <c r="G10" i="3"/>
  <c r="H10" i="3"/>
  <c r="I10" i="3"/>
  <c r="J10" i="3"/>
  <c r="K10" i="3"/>
  <c r="L10" i="3"/>
  <c r="M10" i="3"/>
  <c r="N10" i="3"/>
  <c r="O10" i="3"/>
  <c r="P10" i="3"/>
  <c r="Q10" i="3"/>
  <c r="R10" i="3"/>
  <c r="S10" i="3"/>
  <c r="T10" i="3"/>
  <c r="U10" i="3"/>
  <c r="V10" i="3"/>
  <c r="W10" i="3"/>
  <c r="Z7" i="3" l="1"/>
  <c r="G26" i="6"/>
  <c r="O25" i="6"/>
  <c r="P25" i="6"/>
  <c r="I26" i="6"/>
  <c r="T26" i="6"/>
  <c r="H26" i="6"/>
  <c r="B2" i="6"/>
  <c r="B5" i="6"/>
  <c r="R26" i="6"/>
  <c r="J26" i="6"/>
  <c r="R25" i="6"/>
  <c r="B13" i="6"/>
  <c r="M26" i="6"/>
  <c r="E26" i="6"/>
  <c r="N26" i="6"/>
  <c r="B19" i="6"/>
  <c r="B3" i="6"/>
  <c r="AF7" i="3"/>
  <c r="Y7" i="3"/>
  <c r="AE7" i="3"/>
  <c r="F26" i="6"/>
  <c r="Q26" i="6"/>
  <c r="AG7" i="3"/>
  <c r="U26" i="6"/>
  <c r="AD7" i="3"/>
  <c r="B8" i="6"/>
  <c r="B6" i="6"/>
  <c r="K26" i="6"/>
  <c r="B14" i="6"/>
  <c r="Q25" i="6"/>
  <c r="AC7" i="3"/>
  <c r="B11" i="6"/>
  <c r="V26" i="6"/>
  <c r="AB7" i="3"/>
  <c r="W7" i="3"/>
  <c r="B10" i="6"/>
  <c r="S25" i="6"/>
  <c r="B15" i="6"/>
  <c r="B23" i="6" s="1"/>
  <c r="L26" i="6"/>
  <c r="B9" i="6"/>
  <c r="B18" i="6"/>
  <c r="B17" i="6"/>
  <c r="C26" i="6"/>
  <c r="B7" i="6"/>
  <c r="B4" i="6"/>
  <c r="B12" i="6"/>
  <c r="B24" i="6"/>
  <c r="B16" i="6"/>
  <c r="T25" i="6"/>
  <c r="O26" i="6"/>
  <c r="M25" i="6"/>
  <c r="U25" i="6"/>
  <c r="P26" i="6"/>
  <c r="N25" i="6"/>
  <c r="V25" i="6"/>
  <c r="S26" i="6"/>
  <c r="D26" i="6"/>
  <c r="B26" i="6" l="1"/>
  <c r="B25" i="6"/>
</calcChain>
</file>

<file path=xl/sharedStrings.xml><?xml version="1.0" encoding="utf-8"?>
<sst xmlns="http://schemas.openxmlformats.org/spreadsheetml/2006/main" count="4858" uniqueCount="1987">
  <si>
    <t>SPREADSHEET SUMMARY</t>
  </si>
  <si>
    <t xml:space="preserve">This spreadsheet contains values and source information for all constants and time series data used in the Opioid Systems Model, as well as descriptions and assumptions for other auxiliaries and feedback effects where explanation is required. 
There are two Vensim-facing sheets with time series data, in the 'inputtimeseries' and 'validationtimeseries' tabs. Source information, explanations of background calculations, comments, etc. for all values are on the 'Variables' sheet in the "Source" column. Where further calculation and explanation are needed, see the workbook that the value or time series is linked to. </t>
  </si>
  <si>
    <t>IMPORTANT: To ensure all values remain correct and up to date, be sure to keep this Excel file in the same directory as the other linked Excel file (Combined Modeling Files)!</t>
  </si>
  <si>
    <t>Tab Organization</t>
  </si>
  <si>
    <r>
      <t xml:space="preserve">Calibration Weights - </t>
    </r>
    <r>
      <rPr>
        <sz val="11"/>
        <color theme="1"/>
        <rFont val="Calibri"/>
        <family val="2"/>
        <scheme val="minor"/>
      </rPr>
      <t xml:space="preserve">This tab contains the weights used to calibrate the model. </t>
    </r>
  </si>
  <si>
    <t xml:space="preserve">Variables - This tab contains all model variables as well as their equation, units, type, and source information etc. This tab is formatted as a table and can be sorted by the types listed below. There are a number of "Groups" for ease of access - these appear as plus or minus signs across the top of the sheet above the column letters. They can be clicked to expand or minimize groups of qualitative info, or time series values etc. </t>
  </si>
  <si>
    <r>
      <t xml:space="preserve">     Validation Time Series - </t>
    </r>
    <r>
      <rPr>
        <sz val="11"/>
        <color theme="1"/>
        <rFont val="Calibri"/>
        <family val="2"/>
        <scheme val="minor"/>
      </rPr>
      <t>These variables are used for model validation.</t>
    </r>
  </si>
  <si>
    <r>
      <t xml:space="preserve">     Input Time Series - </t>
    </r>
    <r>
      <rPr>
        <sz val="11"/>
        <color theme="1"/>
        <rFont val="Calibri"/>
        <family val="2"/>
        <scheme val="minor"/>
      </rPr>
      <t>These are time-series data used as exogenous input into the model.</t>
    </r>
  </si>
  <si>
    <t xml:space="preserve">     Constants - These variables are model parameters or constants. Many of these are sourced from literature or expert opinion, or are calibrated. The value used in the model is in the equation column. The Estimate column links to any literature review or external data source where necessary.</t>
  </si>
  <si>
    <r>
      <t xml:space="preserve">     </t>
    </r>
    <r>
      <rPr>
        <i/>
        <sz val="11"/>
        <color theme="1"/>
        <rFont val="Calibri"/>
        <family val="2"/>
        <scheme val="minor"/>
      </rPr>
      <t xml:space="preserve">Constants - Feedback Effects </t>
    </r>
    <r>
      <rPr>
        <sz val="11"/>
        <color theme="1"/>
        <rFont val="Calibri"/>
        <family val="2"/>
        <scheme val="minor"/>
      </rPr>
      <t>- These variables are expressed in the form of elasticities or sensitivities, used to express the strength of various feedback processes. These are all estimated through automated calibration.</t>
    </r>
  </si>
  <si>
    <r>
      <t xml:space="preserve">     Stocks and Flows - </t>
    </r>
    <r>
      <rPr>
        <sz val="11"/>
        <color theme="1"/>
        <rFont val="Calibri"/>
        <family val="2"/>
        <scheme val="minor"/>
      </rPr>
      <t xml:space="preserve">These are all stocks and flows included in the model; these are reported mostly for convenience and includes only equations and occasional definitions where not self explanatory. Many Stocks and Flows appear in either Input or Validation time series - these are only ones that are not captured in either of those time series. </t>
    </r>
  </si>
  <si>
    <r>
      <t xml:space="preserve">     </t>
    </r>
    <r>
      <rPr>
        <i/>
        <sz val="11"/>
        <color theme="1"/>
        <rFont val="Calibri"/>
        <family val="2"/>
        <scheme val="minor"/>
      </rPr>
      <t xml:space="preserve">Initial Values - </t>
    </r>
    <r>
      <rPr>
        <sz val="11"/>
        <color theme="1"/>
        <rFont val="Calibri"/>
        <family val="2"/>
        <scheme val="minor"/>
      </rPr>
      <t>These variables are initial values either for stocks or other reference mode variables.</t>
    </r>
  </si>
  <si>
    <r>
      <t xml:space="preserve">     </t>
    </r>
    <r>
      <rPr>
        <i/>
        <sz val="11"/>
        <color theme="1"/>
        <rFont val="Calibri"/>
        <family val="2"/>
        <scheme val="minor"/>
      </rPr>
      <t xml:space="preserve">Projections - </t>
    </r>
    <r>
      <rPr>
        <sz val="11"/>
        <color theme="1"/>
        <rFont val="Calibri"/>
        <family val="2"/>
        <scheme val="minor"/>
      </rPr>
      <t>These variables are used to project exogenous time-series inputs into the future (default/recommended is to 2030).</t>
    </r>
  </si>
  <si>
    <t xml:space="preserve">     Policies - These variables reflect changes in the model meant to represent policies and other interventions. All "net" variables are policy related. See base variable for explanation of variable itself; generally "Base Parameter / Input + Policy Input = Net Parameter."  For further detail see the Equations column. </t>
  </si>
  <si>
    <r>
      <t xml:space="preserve">     </t>
    </r>
    <r>
      <rPr>
        <i/>
        <sz val="11"/>
        <color theme="1"/>
        <rFont val="Calibri"/>
        <family val="2"/>
        <scheme val="minor"/>
      </rPr>
      <t xml:space="preserve">Model Variables - </t>
    </r>
    <r>
      <rPr>
        <sz val="11"/>
        <color theme="1"/>
        <rFont val="Calibri"/>
        <family val="2"/>
        <scheme val="minor"/>
      </rPr>
      <t xml:space="preserve">These variables are things like Initial Time, One Year, Time Step etc, and other variables that are intermediary variables defined and/or used only by Vensim. </t>
    </r>
  </si>
  <si>
    <t>ASM: Assumed Value, MCAL: Manual Calibration, ACAL: Auto-calibration, EXP: Expert Judgement, LIT: From Literature, DATA: From publicly available datasets</t>
  </si>
  <si>
    <r>
      <rPr>
        <i/>
        <sz val="11"/>
        <color theme="1"/>
        <rFont val="Calibri"/>
        <family val="2"/>
        <scheme val="minor"/>
      </rPr>
      <t xml:space="preserve">inputtimeseries - </t>
    </r>
    <r>
      <rPr>
        <sz val="11"/>
        <color theme="1"/>
        <rFont val="Calibri"/>
        <family val="2"/>
        <scheme val="minor"/>
      </rPr>
      <t xml:space="preserve">This is the Vensim facing tab containing input time series data. Do not change formatting - vensim specific. </t>
    </r>
  </si>
  <si>
    <r>
      <rPr>
        <i/>
        <sz val="11"/>
        <color theme="1"/>
        <rFont val="Calibri"/>
        <family val="2"/>
        <scheme val="minor"/>
      </rPr>
      <t xml:space="preserve">validationtimeseries - </t>
    </r>
    <r>
      <rPr>
        <sz val="11"/>
        <color theme="1"/>
        <rFont val="Calibri"/>
        <family val="2"/>
        <scheme val="minor"/>
      </rPr>
      <t xml:space="preserve">This is the vensim facing tab containing validation time series data. Do not change formatting - vensim specific. </t>
    </r>
  </si>
  <si>
    <t xml:space="preserve">Data Analysis Background - This tab contains information on variables used to calculate different model variables for ease of reproducibility and maintenance. </t>
  </si>
  <si>
    <t>INTEGRATION WITH VENSIM</t>
  </si>
  <si>
    <r>
      <t xml:space="preserve">The Vensim model does </t>
    </r>
    <r>
      <rPr>
        <i/>
        <sz val="11"/>
        <color theme="1"/>
        <rFont val="Calibri"/>
        <family val="2"/>
        <scheme val="minor"/>
      </rPr>
      <t>not</t>
    </r>
    <r>
      <rPr>
        <sz val="11"/>
        <color theme="1"/>
        <rFont val="Calibri"/>
        <family val="2"/>
        <scheme val="minor"/>
      </rPr>
      <t xml:space="preserve"> integrate directly with this spreadsheet. Constant values here are hardcoded into the current model version; however, for time series data, you will have to ensure that you have the following files in the same directory as the .mdl file in order to run the model. Use the .vdf extension for Vensim v.7.x and earlier, and .vdfx for Vensim v.8.x.</t>
    </r>
  </si>
  <si>
    <t>1) inputtimeseries.vdf / .vdfx</t>
  </si>
  <si>
    <t>2) validationtimeseries.vdf / .vdfx</t>
  </si>
  <si>
    <t>Acronyms and Abbreviations</t>
  </si>
  <si>
    <t>ADF: Abuse Deterrent Formulation</t>
  </si>
  <si>
    <t>Benzo: Benzodiazepine</t>
  </si>
  <si>
    <t>Bup: Buprenorphine</t>
  </si>
  <si>
    <t>CDC: Centers for Disease Control &amp; Prevention</t>
  </si>
  <si>
    <t>CMR: Crude Mortality Rate</t>
  </si>
  <si>
    <t>Data Types</t>
  </si>
  <si>
    <t>DEA: Drug Enforcement Administration</t>
  </si>
  <si>
    <t xml:space="preserve">There are 10 individual data types in this model, of which each variable is at least one, and in some cases two. This data type is automatically assigned by SDM Doc and as it does not always correspond with how we use the data, this column (B) has been hidden on the variables tab. Feel free to unhide if you are curious. </t>
  </si>
  <si>
    <t>DME: Diazepam Milligram Equivalent</t>
  </si>
  <si>
    <t>L: Level</t>
  </si>
  <si>
    <t> Level </t>
  </si>
  <si>
    <t>Fent: Fentanyl</t>
  </si>
  <si>
    <t>C: Constant</t>
  </si>
  <si>
    <t> Constant</t>
  </si>
  <si>
    <t>H OD: Heroin Overdose</t>
  </si>
  <si>
    <t>SM: Smooth</t>
  </si>
  <si>
    <t> Smooth </t>
  </si>
  <si>
    <t>HRC: Harm Reduction Coalition</t>
  </si>
  <si>
    <t>F: Flow</t>
  </si>
  <si>
    <t> Flow</t>
  </si>
  <si>
    <t>HUD: Heroin Use Disorder</t>
  </si>
  <si>
    <t>T: Table/Lookup Function</t>
  </si>
  <si>
    <t> Lookup </t>
  </si>
  <si>
    <t>LEO/LEA: Law Enforcement Officer/Agency</t>
  </si>
  <si>
    <t>DE: Delay</t>
  </si>
  <si>
    <t> Delay </t>
  </si>
  <si>
    <t>MAT: Medication-Assisted Treatment</t>
  </si>
  <si>
    <t>A: Auxiliary</t>
  </si>
  <si>
    <t> Auxiliary</t>
  </si>
  <si>
    <t>MME: Morphine Milligram Equivalents</t>
  </si>
  <si>
    <t>LI: Level Initial</t>
  </si>
  <si>
    <t> Level Initial</t>
  </si>
  <si>
    <t>MMT: Methadone Maintenance Treatment</t>
  </si>
  <si>
    <t>Sub: Subscripts</t>
  </si>
  <si>
    <t> Subscripts</t>
  </si>
  <si>
    <t>MMTCap: Methadone Maintenance Treatment Capacity</t>
  </si>
  <si>
    <t>I: Initial</t>
  </si>
  <si>
    <t>Initial</t>
  </si>
  <si>
    <t>MOUD: Medication for Opioid Use Disorder</t>
  </si>
  <si>
    <t>D: Data</t>
  </si>
  <si>
    <t>Data</t>
  </si>
  <si>
    <t>MU: Medical User</t>
  </si>
  <si>
    <t>NCHRC: North Carolina Harm Reduction Coalition</t>
  </si>
  <si>
    <t>NDHU: Non-Disordered Heroin Use/ Users</t>
  </si>
  <si>
    <t>NESARC: The National Epidemiologic Survey on Alcohol and Related Conditions</t>
  </si>
  <si>
    <t>NFLIS: National Forensic Laboratory Information System</t>
  </si>
  <si>
    <t>NFOD: Non-fatal Overdose</t>
  </si>
  <si>
    <t>NIDA: National Institute on Drug Abuse</t>
  </si>
  <si>
    <t>NMPOU: Non-medical prescription opioid use</t>
  </si>
  <si>
    <t>NMUPO: Non-medical Use of Prescription Opioids</t>
  </si>
  <si>
    <t>NPA: National Prescription Audit (IQVIA)</t>
  </si>
  <si>
    <t>NSDUH: National Survey on Drug Use and Health</t>
  </si>
  <si>
    <t>NSP: National Sales Perspective (IQVIA)</t>
  </si>
  <si>
    <t>N-SSATS: National Survey of Substance Abuse Treatment Services</t>
  </si>
  <si>
    <t>Nx: Naloxone</t>
  </si>
  <si>
    <t>NxLEO: Naloxone administration by law enforcement officers</t>
  </si>
  <si>
    <t>OD: Overdose</t>
  </si>
  <si>
    <t>OTP: Opioid Treatment Program</t>
  </si>
  <si>
    <t>OUD: Opioid Use Disorder</t>
  </si>
  <si>
    <t>PPY: Prior to Past Year</t>
  </si>
  <si>
    <t>PWUO: People/Persons who use opioids</t>
  </si>
  <si>
    <t>PY: Past Year</t>
  </si>
  <si>
    <t>RAND: RAND Corporation</t>
  </si>
  <si>
    <t>RDAS: Restricted Data Analysis Service (SAMHSA)</t>
  </si>
  <si>
    <t>Rx OUD: Prescription Opioid Use Disorder</t>
  </si>
  <si>
    <t>Rx: Prescription</t>
  </si>
  <si>
    <t>SAMHSA: Substance Abuse and Mental Health Services Administration</t>
  </si>
  <si>
    <t>SH: Symphony Health</t>
  </si>
  <si>
    <t>SI: Social Influence</t>
  </si>
  <si>
    <t>Synth: Synthetic Opioids</t>
  </si>
  <si>
    <t>TPT: Total Patient Tracker (IQVIA)</t>
  </si>
  <si>
    <t>Tx: Treatment</t>
  </si>
  <si>
    <t>Group</t>
  </si>
  <si>
    <t>Variable</t>
  </si>
  <si>
    <t>SDM Type</t>
  </si>
  <si>
    <t>Type</t>
  </si>
  <si>
    <t>Units</t>
  </si>
  <si>
    <t>Equation or constant value</t>
  </si>
  <si>
    <t>Constant Type</t>
  </si>
  <si>
    <t>Description</t>
  </si>
  <si>
    <t>Concise source</t>
  </si>
  <si>
    <t>Source</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</si>
  <si>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</si>
  <si>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</si>
  <si>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</si>
  <si>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</si>
  <si>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</si>
  <si>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</si>
  <si>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</si>
  <si>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</si>
  <si>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</si>
  <si>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</si>
  <si>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</si>
  <si>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</si>
  <si>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</si>
  <si>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</si>
  <si>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</si>
  <si>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</si>
  <si>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</si>
  <si>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</si>
  <si>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</si>
  <si>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</si>
  <si>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</si>
  <si>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</si>
  <si>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</si>
  <si>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</si>
  <si>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</si>
  <si>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</si>
  <si>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</si>
  <si>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</si>
  <si>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</si>
  <si>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</si>
  <si>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</si>
  <si>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</si>
  <si>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OSM_Master_CURRENT</t>
  </si>
  <si>
    <t>Relapse rate HUD net</t>
  </si>
  <si>
    <t>A</t>
  </si>
  <si>
    <t>Auxiliaries</t>
  </si>
  <si>
    <t>1/year</t>
  </si>
  <si>
    <t>Relapse rate HUD*(1+RAMP(Policy change relapse rate/Policy rampup duration,Policy activation time,Policy activation time+Policy rampup duration))</t>
  </si>
  <si>
    <t>Rate at which individuals with HUD or Rx OUD (+/- heroin use) relapse back to disorder, after accounting for policy changes. Referred to elsewhere as return to OUD.</t>
  </si>
  <si>
    <t>ADF effect coeff initiating heroin with Rx OUD</t>
  </si>
  <si>
    <t>dmnl</t>
  </si>
  <si>
    <t>EXP(ADF fraction of Rx street supply net*(-ADF effect strength initiating heroin with Rx OUD))</t>
  </si>
  <si>
    <t>The multiplier effect of abuse-deterrent formulation (ADF) opioids on the base risk of initiating heroin among people with Rx OUD. This effect allows for the possibility (as yet unproven) that a greater number of people whose Rx OUD involves ADFs are less likely to transition to non-oral use, and thus less likely to transition to heroin.</t>
  </si>
  <si>
    <t>ADF effect strength initiating heroin with Rx OUD</t>
  </si>
  <si>
    <t>C</t>
  </si>
  <si>
    <t>Sensitivities and Coefficients incl Feedback</t>
  </si>
  <si>
    <t xml:space="preserve">dmnl </t>
  </si>
  <si>
    <t>ACAL</t>
  </si>
  <si>
    <t xml:space="preserve"> Sensitivity of heroin initiation in individuals with an Rx OUD to effects of changing presence of abuse-deterrent formulations (ADFs) in the street market, as a result of changes in ADF prescribing. Included to allow for the theoretical possibility that as ADFs become more prevalent, non-oral prescription opioid use could decline, which could then decrease the transition to heroin. However, it has consistently formally calibrated to be, in effect, a non-existent dynamic. </t>
  </si>
  <si>
    <t>.input</t>
  </si>
  <si>
    <t>ADF fraction of prescribed Rx opioids</t>
  </si>
  <si>
    <t>Projection output data[ADF]+RAMP(IF THEN ELSE(Policy change ADF fraction of prescribed Rx opioids&gt;=0,Policy change ADF fraction of prescribed Rx opioids*(1-Projection output data[ADF]),Policy change ADF fraction of prescribed Rx opioids*Projection output data[ADF])/(Policy rampup duration),Policy activation time,Policy activation time+(Policy rampup duration))</t>
  </si>
  <si>
    <t>The fraction of prescribed opioids that are FDA-approved abuse-deterrent formulations (ADF), after accounting for policy changes.</t>
  </si>
  <si>
    <t>ADF fraction of prescribed Rx opioids base</t>
  </si>
  <si>
    <t>C,D</t>
  </si>
  <si>
    <t>Input Time Series</t>
  </si>
  <si>
    <t>EXTERNAL_DATA(ADF fraction of prescribed Rx opioids base)</t>
  </si>
  <si>
    <t xml:space="preserve">The fraction of prescribed opioids that are FDA-approved abuse-deterrent formulations (ADF). </t>
  </si>
  <si>
    <t xml:space="preserve"> IQVIA NPA</t>
  </si>
  <si>
    <t>ADF fraction of Rx street supply base</t>
  </si>
  <si>
    <t>ADF fraction of prescribed Rx opioids^ADF substitutability factor</t>
  </si>
  <si>
    <t xml:space="preserve">The fraction of all prescription opioids sold on the street that are ADF, before accounting for fentanyl's penetration into the street supply. </t>
  </si>
  <si>
    <t xml:space="preserve"> StreetRx 2010-2018</t>
  </si>
  <si>
    <t>ADF fraction of Rx street supply net</t>
  </si>
  <si>
    <t>Policies</t>
  </si>
  <si>
    <t>(1-Counterfeit penetration Rx supply)*ADF fraction of Rx street supply base</t>
  </si>
  <si>
    <t>The fraction of all prescription opioids sold on the street that are ADF, after accounting for fentanyl's penetration into the street supply (i.e., the more fentanyl has penetrated, the larger the overall market and thus the lower the fraction of street opioids that are ADFs). This fraction only effects heroin initiation, and not price, because price increases are the result of a supply disruption, not ADFs per se.</t>
  </si>
  <si>
    <t xml:space="preserve">See base variable for explanation of variable itself.All net variables are associated with a policy change; generally "Base Parameter / Input + Policy Input = Net Parameter."  For further detail see the Equations column. </t>
  </si>
  <si>
    <t>ADF relative desirability</t>
  </si>
  <si>
    <t>Constants</t>
  </si>
  <si>
    <t>ASM</t>
  </si>
  <si>
    <t>% price average ADFs vs. non-ADFs. This is a placeholder value that should be kept at 1 to deactivate until ADF impacts on availability are fully formulated.</t>
  </si>
  <si>
    <t>ADF substitutability factor</t>
  </si>
  <si>
    <t>ASM, DATA</t>
  </si>
  <si>
    <t xml:space="preserve"> Indicates degree of nonlinearity between ADF presence in the prescribed supply and in diversion - higher values indicate higher substitutability, such that ADF presence in diversion will be less than in the prescribed supply (up until 100% ADFs); values &lt; 1 indicate ADF replacement of Rx that are hard to shift away from. The substitutability factor should not be adjusted without strong evidence, and if it is, it should not go below 1 as that indicates ADFs are disproportionately popular on the street relative to their prescribing fraction.  StreetRx is a source insofar as the average price of ADFs is cheaper than the average price of non-ADFs, possibly indicating lower desirability/high substitutability. </t>
  </si>
  <si>
    <t>The ADF substitutability factor is manually calibrated so that the resultant ADF fraction of rx Street supply base roughly approximates that in StreetRx.</t>
  </si>
  <si>
    <t>Average MME per opioid Rx</t>
  </si>
  <si>
    <t>Projections</t>
  </si>
  <si>
    <t>MME/Rx</t>
  </si>
  <si>
    <t>Projection output data[MME]*(1+RAMP(Policy change average MME per Rx/Policy rampup duration,Policy activation time,Policy activation time+Policy rampup duration))</t>
  </si>
  <si>
    <t>The average strength (in MMEs) of opioid prescriptions, after accounting for policy changes.</t>
  </si>
  <si>
    <t>Average MME per opioid Rx reference</t>
  </si>
  <si>
    <t>I</t>
  </si>
  <si>
    <t>Initial Values</t>
  </si>
  <si>
    <t>INITIAL(Average MME per opioid Rx)</t>
  </si>
  <si>
    <t>The initial value of the average strength (in MMEs) of opioid prescriptions.</t>
  </si>
  <si>
    <t>Average MME per opioid Rx relative</t>
  </si>
  <si>
    <t>Average MME per opioid Rx/Average MME per opioid Rx reference</t>
  </si>
  <si>
    <t>The average strength (in MMEs) of opioid prescriptions, relative to the reference (1999) value. This value is used to impact the relative supply available for diversion.</t>
  </si>
  <si>
    <t>Average prescription duration</t>
  </si>
  <si>
    <t>person*Years/Rx</t>
  </si>
  <si>
    <t>DATA</t>
  </si>
  <si>
    <t xml:space="preserve">Average person-years of use or exposure per opioid prescription. Numerically equivalent to the average prescription length (in years). </t>
  </si>
  <si>
    <t>IQVIA combined with Symphony Health</t>
  </si>
  <si>
    <t>Average prescription duration net</t>
  </si>
  <si>
    <t>Average prescription duration*(1+RAMP(Policy change average prescription duration/Policy rampup duration,Policy activation time,Policy activation time+Policy rampup duration))</t>
  </si>
  <si>
    <t># Average length in years of a single opioid prescription, after accounting for policy changes.</t>
  </si>
  <si>
    <t>Average total duration with active prescription</t>
  </si>
  <si>
    <t>person * Years / person</t>
  </si>
  <si>
    <t>Prescriptions per person*Average prescription duration net</t>
  </si>
  <si>
    <t>The average duration in a given year that people are prescribed opioids.</t>
  </si>
  <si>
    <t>Avg MME per opioid Rx IQVIA</t>
  </si>
  <si>
    <t>Total Rx MME prescribed IQVIA/Total prescription opioid Rx IQVIA</t>
  </si>
  <si>
    <t xml:space="preserve">The average strength (in MMEs) of opioid prescriptions over time. </t>
  </si>
  <si>
    <t xml:space="preserve"> IQVIA NSP and NPA</t>
  </si>
  <si>
    <t>Base survival probability fentanyl OD</t>
  </si>
  <si>
    <t>INITIAL(Base survival probability H OD*Fentanyl effect on base survival max relative to H)</t>
  </si>
  <si>
    <t>Conceptually, the base survival probability of a fentanyl overdose</t>
  </si>
  <si>
    <t>Base survival probability H OD</t>
  </si>
  <si>
    <t>INITIAL(Base survival probability H OD relative to Rx*Base survival probability Rx OD)</t>
  </si>
  <si>
    <t>The base probability of surviving a heroin opioid overdose without intervention.</t>
  </si>
  <si>
    <t>This is calculated based on calibration of Base survival probability Rx OD and the relative rate of H to Rx. Our model estimates are higher than those of other modelers, who estimate around 90% probability of surviving a heroin OD without naloxone.</t>
  </si>
  <si>
    <t>Base survival probability H OD relative to Rx</t>
  </si>
  <si>
    <t>ACAL, ASM, LIT</t>
  </si>
  <si>
    <t>The base probability of surviving a heroin overdose without life-saving intervention expressed as a fraction of the base probability of surviving an Rx Opioid overdose without life-saving intervention. We use other model-derived estimates for heroin ODs as a guide for the relative rate, and assume the base probability of surviving a heroin OD is no higher than that of an Rx OD, which is separately calibrated.</t>
  </si>
  <si>
    <t>Cipriano and Zaric 2018; Coffin andSullivan 2013</t>
  </si>
  <si>
    <t>Base survival probability net H OD</t>
  </si>
  <si>
    <t>Max(0,Base survival probability H OD+(Base survival probability fentanyl OD-Base survival probability H OD)*Fentanyl penetration curve)</t>
  </si>
  <si>
    <t>Base survival probability for heroin-related overdoses, taking into account the increased average lethality of overdoses due to increasing exposure to synthetics post-2013.</t>
  </si>
  <si>
    <t>Base survival probability Rx OD</t>
  </si>
  <si>
    <t>ACAL, LIT</t>
  </si>
  <si>
    <t>The base probability of surviving an Rx opioid overdose without life-saving intervention. The only estimates we identified in the literature are also model-estimated and are for heroin, so they are referenced as a guide but not as a definitive value.</t>
  </si>
  <si>
    <t xml:space="preserve"> Cipriano and Zaric 2018; Coffin andSullivan 2013</t>
  </si>
  <si>
    <t>.calibration</t>
  </si>
  <si>
    <t>BaseErr</t>
  </si>
  <si>
    <t>Model Variable</t>
  </si>
  <si>
    <t>BaseErr[Normal,Elm] = PEType[Normal]*IF THEN ELSE(DataVar[Elm]=NAREPLACEMENT,0,-((SimVar[Elm]-DataVar[Elm])*Weights[Normal,Elm])^2)</t>
  </si>
  <si>
    <t>BaseErr[Gaussian,Elm] = PEType[Gaussian]*IF THEN ELSE(DataVar[Elm]=NAREPLACEMENT,0,-(SimVar[Elm]-DataVar[Elm])^2/Weights[Gaussian,Elm]^2/2-ln(Weights[Gaussian,Elm]))</t>
  </si>
  <si>
    <t>Bup capacity effective</t>
  </si>
  <si>
    <t>person</t>
  </si>
  <si>
    <t>Bup providers*Bup effective capacity per provider net</t>
  </si>
  <si>
    <t>The actual capacity (in numbers of people) of the system to treat people with buprenorphine, which is less than the total (theoretical) capacity.</t>
  </si>
  <si>
    <t>Bup demand fulfilment ratio prior</t>
  </si>
  <si>
    <t>IF THEN ELSE(Time=2018,0.587,NAREPLACEMENT)</t>
  </si>
  <si>
    <t>LIT, PRIOR</t>
  </si>
  <si>
    <t xml:space="preserve"> The fraction of demand (after accounting for non-access barriers) that is met, thereby reflecting access barriers. This value is used as a prior for 2018 to calibrate the model. .</t>
  </si>
  <si>
    <t xml:space="preserve"> Beetham 2019</t>
  </si>
  <si>
    <t>Bup effective capacity decay constant</t>
  </si>
  <si>
    <t xml:space="preserve">1/person </t>
  </si>
  <si>
    <t>PMC, LIT, DATA</t>
  </si>
  <si>
    <t xml:space="preserve">The rate of decay in the number of patients treated per marginal waivered provider as more providers become waivered and 'theoretical capacity' grows. It is calibrated in a partial model to match the empirically observed average number of patients [IQVIA TPT] per provider as a function of total waivered providers [see sources], which can be closely approximated with an exponential function. It captures the idea of diminishing marginal returns to capacity. Each marginal unit of capacity added will on average be less utilized than existing capacity. </t>
  </si>
  <si>
    <t>IQVIA TPT for patient estimates; Kissin 2006, Fiellin 2007, SAMHSA 2014, Knudsen 2015, Jones 2015,  Stein 2015, HHS 2016, CRS 2018, SAMHSA 2020 for provider estimates</t>
  </si>
  <si>
    <t>Bup effective capacity decay constant net</t>
  </si>
  <si>
    <t>Bup effective capacity decay constant*(1+RAMP(Policy change Bup effective capacity decay constant/Policy rampup duration,Policy activation time,Policy activation time+Policy rampup duration))</t>
  </si>
  <si>
    <t>#The rate of decay in the number of patients treated per waivered provider as more providers become waivered, after accounting for any policy changes.</t>
  </si>
  <si>
    <t>Bup effective capacity per provider base</t>
  </si>
  <si>
    <t xml:space="preserve"> The number of patients that can be treated per provider when total number of waivered providers is at its minimum/low. It is calibrated in a partial model to match the empirically observed average number of patients [IQVIA TPT] per provider as a function of total waivered providers [see sources], which can be closely approximated with an exponential function.</t>
  </si>
  <si>
    <t>Bup effective capacity per provider indicated</t>
  </si>
  <si>
    <t>zidz((zidz(Bup effective capacity per provider base*EXP(-Bup effective capacity decay constant net*Bup providers),-Bup effective capacity decay constant net)+zidz(Bup effective capacity per provider base,Bup effective capacity decay constant net)),Bup providers)</t>
  </si>
  <si>
    <t>The overall average number of Bup patients that can be treated per provider, given the number of waivered providers. Formulation assumes diminishing marginal returns to additional providers, with each provider adding (BECpPB * EXP(-BECDC * providers)) to capacity. Capacity per provider is therefore the integral of marginal capacity added per provider, divided by number of providers.</t>
  </si>
  <si>
    <t>Bup effective capacity per provider net</t>
  </si>
  <si>
    <t>Bup effective capacity per provider indicated*Bup effective capacity rampup fraction</t>
  </si>
  <si>
    <t># Net effective capacity per provider, adjusting from 0-100% of the indicated capacity per provider over time reflecting gradual ramping up of capacity and lifting of policy limits.</t>
  </si>
  <si>
    <t>Bup effective capacity rampup fraction</t>
  </si>
  <si>
    <t>SM,A</t>
  </si>
  <si>
    <t>SMOOTH(STEP(1,Bup rampup start year),Bup effective capacity rampup time)</t>
  </si>
  <si>
    <t>Fraction of indicated bup capacity that is active. This construct captures the lower exogenous limitations on bup capacity due to initial policy barriers that limited group practices to only 30 patients total, rather than per provider, until early 2005, as well as subsequent limits of 30 patients per provider until early 2007 and the 2016 increase in max waiver limit to 275. The gradual relaxing of these restrictions is abstracted in the form of this delay function.</t>
  </si>
  <si>
    <t>Bup effective capacity rampup time</t>
  </si>
  <si>
    <t>Years</t>
  </si>
  <si>
    <t>PMC</t>
  </si>
  <si>
    <t xml:space="preserve"> Time delay for bup treatment capacity to ramp up to indicated level, calibrated to patients-per-provider data</t>
  </si>
  <si>
    <t>Bup patients per provider</t>
  </si>
  <si>
    <t>zidz(Total by MOUD[Bup],Bup providers)</t>
  </si>
  <si>
    <t>:SUPPLEMENTARY</t>
  </si>
  <si>
    <t>Bup patients per provider DATA</t>
  </si>
  <si>
    <t>zidz(Tx point patients Bup DATA,Bup providers)</t>
  </si>
  <si>
    <t>Bup providers</t>
  </si>
  <si>
    <t>people</t>
  </si>
  <si>
    <t>Projection output data[BMDCap]*(1+RAMP(Policy change Bup providers/Policy rampup duration,Policy activation time,Policy activation time+Policy rampup duration))</t>
  </si>
  <si>
    <t># Number of buprenorphine-waivered providers, after accounting for any policy changes.</t>
  </si>
  <si>
    <t>Bup providers DATA</t>
  </si>
  <si>
    <t>EXTERNAL_DATA(2.0)</t>
  </si>
  <si>
    <t>DATA, LIT</t>
  </si>
  <si>
    <t xml:space="preserve"> The total number of buprenorphine-waivered providers, as derived from published studies and SAMHSA website.</t>
  </si>
  <si>
    <t>Bup rampup start year</t>
  </si>
  <si>
    <t>year</t>
  </si>
  <si>
    <t xml:space="preserve"> Year in which buprenorphine first approved (adjusted from integer year for purposes of fitting rampup curve)</t>
  </si>
  <si>
    <t>Counterfeit penetration Rx supply</t>
  </si>
  <si>
    <t>NOTE: This is a placeholder variable; keep at 0 unless / until reliable data on counterfeit Rx are available.</t>
  </si>
  <si>
    <t>Counterfeit supply relative</t>
  </si>
  <si>
    <t>Counterfeit penetration Rx supply/(1-Counterfeit penetration Rx supply)*Rx supply relative net</t>
  </si>
  <si>
    <t>Prevalence of counterfeit relative to Rx supply, based on estimated fentanyl penetration % and current Rx supply</t>
  </si>
  <si>
    <t>Counterfeit supply weight</t>
  </si>
  <si>
    <t xml:space="preserve"> Relative weighting of counterfeits in effective Rx supply, considering that counterfeit presence in street supply is of necessity significantly higher than presence in the overall Rx supply</t>
  </si>
  <si>
    <t>Cumulative nonfatal overdoses</t>
  </si>
  <si>
    <t>L</t>
  </si>
  <si>
    <t>Stocks and Flows</t>
  </si>
  <si>
    <t>Total nonfatal overdoses0.0</t>
  </si>
  <si>
    <t>Cumulative Nx utilization deaths averted</t>
  </si>
  <si>
    <t>Nx utilization deaths averted H user+Nx utilization deaths averted Rx user0.0</t>
  </si>
  <si>
    <t>#</t>
  </si>
  <si>
    <t>Cumulative overdose deaths</t>
  </si>
  <si>
    <t>Total overdose deaths0.0</t>
  </si>
  <si>
    <t>Cumulative overdose deaths synth excess</t>
  </si>
  <si>
    <t>Total overdose deaths synth excess0.0</t>
  </si>
  <si>
    <t>Cumulative projections start time</t>
  </si>
  <si>
    <t>Cumulative UD person years</t>
  </si>
  <si>
    <t>person * Years</t>
  </si>
  <si>
    <t>Total with UD0.0</t>
  </si>
  <si>
    <t>DataPrior</t>
  </si>
  <si>
    <t>DataPrior[Elm] = IF THEN ELSE(Time&lt;=MaxDataTime,DataPriorBase[Elm],NAREPLACEMENT)</t>
  </si>
  <si>
    <t>DataPriorBase</t>
  </si>
  <si>
    <t>DataPriorBase[StElm] = NAREPLACEMENT</t>
  </si>
  <si>
    <t>Subscript</t>
  </si>
  <si>
    <t>DataVar</t>
  </si>
  <si>
    <t>DataVar[Elm] = IF THEN ELSE(Time&lt;=MaxDataTime,DataVarBase[Elm],NAREPLACEMENT)</t>
  </si>
  <si>
    <t>DataVarBase</t>
  </si>
  <si>
    <t>people/year</t>
  </si>
  <si>
    <t>DataVarBase[RMis] = Rx misuse no PY heroin NSDUH redef corrected</t>
  </si>
  <si>
    <t>Developing HUD no Rx OUD</t>
  </si>
  <si>
    <t>F,A</t>
  </si>
  <si>
    <t>Nondisordered heroin use*Developing HUD rate no Rx OUD effective</t>
  </si>
  <si>
    <t>Individuals developing HUD without first developing Rx OUD.</t>
  </si>
  <si>
    <t>Developing HUD rate no Rx OUD</t>
  </si>
  <si>
    <t>dmnl/year</t>
  </si>
  <si>
    <t xml:space="preserve"> Rate of HUD development in individuals without an Rx OUD, though they could have rx misuse with nondisordered heroin use.</t>
  </si>
  <si>
    <t>Developing HUD rate no Rx OUD effective</t>
  </si>
  <si>
    <t>Developing HUD rate no Rx OUD net*Heroin availability coeff developing HUD*Social influence coeff developing HUD</t>
  </si>
  <si>
    <t>Net per-person-year hazard rate of developing HUD without Rx OUD incorporating effects of feedbacks and other drivers</t>
  </si>
  <si>
    <t>Developing HUD rate no Rx OUD net</t>
  </si>
  <si>
    <t>Developing HUD rate no Rx OUD*(1+RAMP(Policy change HUD no Rx OUD development rate/Policy rampup duration,Policy activation time,Policy activation time+Policy rampup duration))</t>
  </si>
  <si>
    <t>The rate of developing heroin use disorder among people who have nondisordered heroin use but without Rx OUD, after accounting for policy changes.</t>
  </si>
  <si>
    <t>Developing HUD rate with Rx OUD</t>
  </si>
  <si>
    <t xml:space="preserve"> Rate of HUD development in individuals with an Rx OUD.</t>
  </si>
  <si>
    <t>Developing HUD rate with Rx OUD effective</t>
  </si>
  <si>
    <t>Developing HUD rate with Rx OUD net*Social influence coeff developing HUD*Rx vs H availability coeff developing HUD with Rx OUD</t>
  </si>
  <si>
    <t>Net per-person-year hazard rate of developing HUD with Rx OUD incorporating effects of feedbacks and other drivers</t>
  </si>
  <si>
    <t>Developing HUD rate with Rx OUD net</t>
  </si>
  <si>
    <t>Developing HUD rate with Rx OUD*(1+RAMP(Policy change HUD with Rx OUD development rate/Policy rampup duration,Policy activation time,Policy activation time+Policy rampup duration))</t>
  </si>
  <si>
    <t>The rate of developing heroin use disorder among people who have nondisordered heroin use as well as an existing Rx OUD, after accounting for policy changes.</t>
  </si>
  <si>
    <t>Developing HUD with Rx OUD</t>
  </si>
  <si>
    <t>Rx OUD with PY heroin no MOUD*Developing HUD rate with Rx OUD effective</t>
  </si>
  <si>
    <t>Developing Rx OUD</t>
  </si>
  <si>
    <t>Rx misuse no PY heroin*Developing Rx OUD rate effective</t>
  </si>
  <si>
    <t>Developing Rx OUD rate</t>
  </si>
  <si>
    <t xml:space="preserve">dmnl/year </t>
  </si>
  <si>
    <t xml:space="preserve"> Rate at which individuals using Rx opioids develop a UD. Literature does not directly estimate this transition, but is used to define lower bounds.</t>
  </si>
  <si>
    <t xml:space="preserve"> Wu 2011, Edlund 2014, Moe 2019</t>
  </si>
  <si>
    <t>The literature does not provide an estimate that is close enough to the construct here. The closest is Wu 2011, which found that 30% of all NMPOUs had abuse without dependence (22.8%) or dependence (7.2%); average age of first use was 23.1, while average age at time of survey was 37 so very roughly a 14 year observation period:[ -1/14 * LN(.7) = 0.0255]. Edlund 2014 found that 120 individuals of 10,934 who received long-term opioid therapy (chronic users) "abused" their rx opioids or developed dependence, but they don't report over what time period; Moe 2019 review of studies estimates 3% of those receiving chronic (97% &gt;= 3 months) Rx opioids develop iatrogenic OUD over 2 years = .0152 fr, but this excludes people who use diverted opioids or only ever receive an acute prescription.</t>
  </si>
  <si>
    <t>Developing Rx OUD rate effective</t>
  </si>
  <si>
    <t>Developing Rx OUD rate net*Rx availability coeff developing Rx OUD*Social influence coeff developing Rx OUD</t>
  </si>
  <si>
    <t>Net per-person-year hazard rate of developing Rx OUD incorporating effects of feedbacks and other drivers</t>
  </si>
  <si>
    <t>Developing Rx OUD rate net</t>
  </si>
  <si>
    <t>Developing Rx OUD rate*(1+RAMP(Policy change Rx OUD development rate/Policy rampup duration,Policy activation time,Policy activation time+Policy rampup duration))</t>
  </si>
  <si>
    <t>The rate of developing Rx OUD among people who misuse Rx opioids, after accounting for policy changes.</t>
  </si>
  <si>
    <t>Effect of MOUD Tx on NonOD death rate</t>
  </si>
  <si>
    <t>Effect of MOUD Tx on NonOD death rate[MMT] = 0.37</t>
  </si>
  <si>
    <t>Degenhardt 2019, Ma 2018, Sordo 2017, Kelty 2017, Kelty 2018, Morgan 2019, Bahji 2019, Larochelle 2018</t>
  </si>
  <si>
    <t>Degenhardt 2019 reviews the effect of opioid agonist treatment (buprenorphine or methadone). The crude average of the two most common non-OD causes of death (suicide and 'other' injury) is .44.  Ma 2019 found that while receiving MAT, the pooled all-cause CMRs were .92 during treatment and 4.89 out of treatment. The pooled OD CMRs were .24 during MAT and 2.43 out of treatment. Non-OD CMRs are therefore .92 - .24 = .68 during treatment and for ODs, 4.89 - 2.43 = 2.46 out of treatment. .68/2.46 = .28. Average of .44 and .28 = .36</t>
  </si>
  <si>
    <t>Effect of MOUD Tx on OD death rate</t>
  </si>
  <si>
    <t>Effect of MOUD Tx on OD death rate[MMT] = 0.295</t>
  </si>
  <si>
    <t>Sordo 2017, Degenhardt 2019, Ma 2018, Kelty 2017, Kelty 2018, Morgan 2019, Bahji 2019, Larochelle 2018</t>
  </si>
  <si>
    <t>Effect is operationalised as reduction in OD death rate, as opposed to base OD rate - this likely means NFODs for people in Tx are being overestimated somewhat as they should in principle be reduced by Tx as well. Sordo et al. 2017: pooled overdose mortality rates of 1.4 and 4.6 1.4/in and out of buprenorphine treatment. 1/3.286 = .304; pooled overdose mortality rates of 2.6 and 12.7 per 1000 person years in and out of methadone treatment (unadjusted out-to-in rate ratio 4.80, 2.90 to 7.96); 1/4.8 = .208. Degenhardt 2019: Review reports effects of OAT as .25 for OD, and no significant difference in mortality while in treatment or in the 4 weeks after cessation for bup vs methadone (but higher mortality during induction phase for MMT).Ma 2019: While receiving MAT, pooled OD cmrs were .24 during MAT and 2.43 out of treatment across all 3 meds.304 + .208 + .25 + .24 = 1.0002 / 4 = .25</t>
  </si>
  <si>
    <t>Effect of MOUD Tx on Rx consumption</t>
  </si>
  <si>
    <t>Effect of MOUD Tx on Rx consumption[TxT] = 0.7,0.66,0</t>
  </si>
  <si>
    <t>LIT, ASM</t>
  </si>
  <si>
    <t>The change in opioid consumption that is attributed to receipt of MOUD. Studies measuring this for Vivitrol are difficult to identify given use in RCTs occurs among those who have dropped out. Thus, we make assumption that while receiving Vivitrol, there is no use.</t>
  </si>
  <si>
    <t xml:space="preserve"> NIDA 2018, Degenhardt 2019, Mattick 2014, Hser 2016</t>
  </si>
  <si>
    <t>NIDA 2018: .858 (citing Mattick 2014); .67 for MMT (citing Mattick 2009); Degenhardt 2019: .48 for OAT. Mattick 2014 Cochrane review: Only bup showed a difference (SMD -1.17). Hser 2016: .75 bup, .5 for MMT. Crude average for bup: (.858 + .48 + .75)/3 = .7. The crude average for MMT: (.67 + .48 + 1 + .5)/4 = .66I. t is difficult to find estimates for abstinence during Vivitrol treatment rather than after; some people do use opioids, but presumably this has no effect. Therefore, we assume abstinence during Vivitrol treatment.</t>
  </si>
  <si>
    <t>Effective SI users heroin initiation</t>
  </si>
  <si>
    <t>HUD total+Nondisordered heroin use+Rx OUD with PY heroin total</t>
  </si>
  <si>
    <t>The total number of people who use heroin who have an influence on other people's initiation of heroin.</t>
  </si>
  <si>
    <t>Effective SI users HUD development</t>
  </si>
  <si>
    <t>HUD total</t>
  </si>
  <si>
    <t>The total number of people who use heroin who have an influence on other people's escalation to HUD.</t>
  </si>
  <si>
    <t>Effective SI users Rx misuse initiation</t>
  </si>
  <si>
    <t>Rx misuse no PY heroin+Rx OUD no PY heroin total+Rx OUD with PY heroin total+Nondisordered heroin use*Fraction of NDHU with Rx avg</t>
  </si>
  <si>
    <t>The total number of people who use Rx who have an influence on other people's initiation of Rx.</t>
  </si>
  <si>
    <t>Effective SI users Rx OUD development</t>
  </si>
  <si>
    <t>Rx OUD no PY heroin total+Rx OUD with PY heroin total</t>
  </si>
  <si>
    <t>The total number of people with Rx OUD who have an influence on other people's escalation to Rx OUD.</t>
  </si>
  <si>
    <t>eps</t>
  </si>
  <si>
    <t>Fentanyl effect on base survival max relative to H</t>
  </si>
  <si>
    <t>ACAL, ASM</t>
  </si>
  <si>
    <t xml:space="preserve"> The highest possible probability of surviving a fentanyl overdose compared to heroin overdose. We assume it is a lower probability than that of a heroin OD. Bounds in calibration are wide but could be changed with new literature.</t>
  </si>
  <si>
    <t>We assume the probability of surviving a fentanyl overdose is lower than that of a heroin overdose.</t>
  </si>
  <si>
    <t>Fentanyl effect on OD rate H max</t>
  </si>
  <si>
    <t>LIT, ACAL</t>
  </si>
  <si>
    <t xml:space="preserve"> Maximum multiplier of OD rate due to fentanyl. conceptually, how much more likely fentanyl is to cause an OD than heroin for any given incident of use. Literature is used to define the bounds. </t>
  </si>
  <si>
    <t xml:space="preserve"> Latimer et al. 2016, McGowan 2018</t>
  </si>
  <si>
    <t>We used Latimer as a minimum, which found the relative risk of an overdose from fentanyl vs. heroin was 2.21</t>
  </si>
  <si>
    <t>Fentanyl effect on OD rate H max net</t>
  </si>
  <si>
    <t>Fentanyl effect on OD rate H max*(1+RAMP(Policy change fentanyl effect on OD rate/Policy rampup duration,Policy activation time,Policy activation time+Policy rampup duration))</t>
  </si>
  <si>
    <t>Maximum multiplier of OD rate due to fentanyl, after accounting for policy changes. Conceptually, how much more likely fentanyl is to cause an OD than heroin for any given incident of use</t>
  </si>
  <si>
    <t>Fentanyl introduction time</t>
  </si>
  <si>
    <t xml:space="preserve">year </t>
  </si>
  <si>
    <t>DATA, ASM</t>
  </si>
  <si>
    <t xml:space="preserve"> The estimated year in which fentanyl penetrated the heroin market sufficiently to begin having a measurable impact on overdoses and overdose deaths. </t>
  </si>
  <si>
    <t xml:space="preserve"> NFLIS</t>
  </si>
  <si>
    <t>Fentanyl penetration curve</t>
  </si>
  <si>
    <t>Projection output data[Fent]*(1-Switch for no fentanyl)</t>
  </si>
  <si>
    <t>The proportion of opioid drugs positive for fentanyl or fentanyl analogues.</t>
  </si>
  <si>
    <t>Fentanyl penetration curve NFLIS</t>
  </si>
  <si>
    <t>EXTERNAL_DATA(Fentanyl penetration curve NFLIS)</t>
  </si>
  <si>
    <t xml:space="preserve">The proportion of opioid drugs tested in forensic settings that were positive for fentanyl or fentanyl analogues. </t>
  </si>
  <si>
    <t xml:space="preserve"> DEA National Forensic Laboratory Information System (NFLIS)</t>
  </si>
  <si>
    <t>.Control</t>
  </si>
  <si>
    <t>FINAL TIME</t>
  </si>
  <si>
    <t>The final time for the simulation.</t>
  </si>
  <si>
    <t>Fraction HUD by MOUD</t>
  </si>
  <si>
    <t>Fraction HUD by MOUD[TxT] = zidz((HUD by MOUD[TxT]+HUD in remission in MOUD Tx[TxT]),Total by MOUD[TxT])</t>
  </si>
  <si>
    <t>The proportion of all people in each MOUD treatment who have or are in remission from HUD.</t>
  </si>
  <si>
    <t>Fraction Nx kits to H users</t>
  </si>
  <si>
    <t xml:space="preserve"> The fraction of naloxone kits distributed nationally that go to heroin users. </t>
  </si>
  <si>
    <t>Fraction of all heroin users with HUD</t>
  </si>
  <si>
    <t>HUD total/Total heroin users</t>
  </si>
  <si>
    <t>.validation</t>
  </si>
  <si>
    <t>Fraction of all heroin users with HUD DATA</t>
  </si>
  <si>
    <t>HUD DATA/Total heroin users DATA</t>
  </si>
  <si>
    <t xml:space="preserve">Fraction of all heroin users with HUD, calculated from NSDUH data. </t>
  </si>
  <si>
    <t xml:space="preserve"> NSDUH</t>
  </si>
  <si>
    <t>Fraction of all Rx users excl heroin with OUD</t>
  </si>
  <si>
    <t>Rx OUD no PY heroin total/Total Rx use excl heroin</t>
  </si>
  <si>
    <t>Fraction of total Rx misuse excluding heroin that is Rx OUD.</t>
  </si>
  <si>
    <t>Fraction of all Rx users excl heroin with OUD DATA</t>
  </si>
  <si>
    <t>IF THEN ELSE(Time&lt;2019,Rx OUD no PY heroin NSDUH/Total Rx users excl heroin DATA,NAREPLACEMENT)</t>
  </si>
  <si>
    <t xml:space="preserve">Fraction of total Rx misuse excluding heroin that is Rx OUD, calculated from NSDUH data. </t>
  </si>
  <si>
    <t>Fraction of heroin initiation no Rx</t>
  </si>
  <si>
    <t>Initiating heroin no Rx/Total heroin initiation</t>
  </si>
  <si>
    <t>Fraction of all heroin initiation that comes from individuals with no prior misuse of Rx opioids, ie the fraction that initiated heroin use directly.</t>
  </si>
  <si>
    <t>Fraction of heroin initiation no Rx DATA</t>
  </si>
  <si>
    <t>Initiating heroin no Rx DATA/Total heroin initiation DATA</t>
  </si>
  <si>
    <t xml:space="preserve">Fraction of individuals initiating heroin use with no prior Rx opioid misuse, calculated from NSDUH. </t>
  </si>
  <si>
    <t>Fraction of heroin initiation with Rx misuse</t>
  </si>
  <si>
    <t>Initiating heroin with Rx misuse/Total heroin initiation</t>
  </si>
  <si>
    <t>Fraction of heroin initiation occurring among people with past year Rx opioid misuse. This is an output variable used to compare to NSDUH estimates.</t>
  </si>
  <si>
    <t>SAMHSA NSDUH Report: 48.2% of heroin initiates had prior use but no past year disorder - however, report doesn't note whether they had past year use ; 20.5% of heroin initiates had no prior use of nmp (i.e,. direct heroin initiation); See Lit review on point estimates of initiating heroin among rx misusers</t>
  </si>
  <si>
    <t>Fraction of heroin initiation with Rx misuse DATA</t>
  </si>
  <si>
    <t>Initiating heroin with Rx misuse DATA/Total heroin initiation DATA</t>
  </si>
  <si>
    <t xml:space="preserve">Fraction of heroin initiation occurring among people who misuse Rx opioids, calculated from NSDUH. </t>
  </si>
  <si>
    <t>Fraction of heroin initiation with Rx OUD</t>
  </si>
  <si>
    <t>Initiating heroin with Rx OUD/Total heroin initiation</t>
  </si>
  <si>
    <t>Fraction of heroin initiation occurring among people with an Rx OUD. This is an output variable used to compare to NSDUH estimates.</t>
  </si>
  <si>
    <t>Fraction of heroin initiation with Rx OUD DATA</t>
  </si>
  <si>
    <t>Initiating heroin with Rx OUD DATA/Total heroin initiation DATA</t>
  </si>
  <si>
    <t>Fraction of individuals initiating heroin use who have an Rx OUD, calculated from NSDUH data.</t>
  </si>
  <si>
    <t>Fraction of HUD who use Rx NSDUH</t>
  </si>
  <si>
    <t>EXTERNAL_DATA(Fraction of HUD who use Rx NSDUH)</t>
  </si>
  <si>
    <t>This exogenous data is used to estimate the total number of prescription opioid users as an output variable, which cannot be done directly in our model due to not differentiating Rx use among heroin users.</t>
  </si>
  <si>
    <t>Fraction of HUD with Rx OUD or misuse avg</t>
  </si>
  <si>
    <t>GET DATA MEAN(Fraction of HUD who use Rx NSDUH,INITIAL TIME,MaxDataTime)</t>
  </si>
  <si>
    <t xml:space="preserve">Fraction of individuals with HUD that also use Rx opioids, whether misuse or UD. </t>
  </si>
  <si>
    <t>Fraction of NDHU who use Rx NSDUH</t>
  </si>
  <si>
    <t>EXTERNAL_DATA(Fraction of NDHU who use Rx NSDUH)</t>
  </si>
  <si>
    <t xml:space="preserve">This exogenous data is used to estimate the total number of prescription opioid users as an output variable, which cannot be done directly in our model due to not differentiating Rx use among heroin users. </t>
  </si>
  <si>
    <t xml:space="preserve"> IQVIA</t>
  </si>
  <si>
    <t>Fraction of NDHU with Rx avg</t>
  </si>
  <si>
    <t>GET DATA MEAN(Fraction of NDHU who use Rx NSDUH,INITIAL TIME,MaxDataTime)</t>
  </si>
  <si>
    <t xml:space="preserve">Fraction of NDHU users that also use Rx opioids. </t>
  </si>
  <si>
    <t>Fraction Rx OUD by MOUD</t>
  </si>
  <si>
    <t>Fraction Rx OUD by MOUD[TxT] = zidz((Rx OUD by MOUD[TxT]+Rx OUD no PY heroin in remission in MOUD Tx[TxT]+Rx OUD with PY heroin in remission in MOUD Tx[TxT]),Total by MOUD[TxT])</t>
  </si>
  <si>
    <t>Heroin availability coeff developing HUD</t>
  </si>
  <si>
    <t>Heroin availability index^Heroin availability strength developing HUD</t>
  </si>
  <si>
    <t>The sensitivity of the rate of HUD development to the price of heroin.Sign is negative because lower heroin price index results in higher initiation, but for consistency, heroin price strength is expressed as positive</t>
  </si>
  <si>
    <t>Sign is negative because lower heroin price index results in higher initiation, but for consistency, heroin price strength is expressed as positive</t>
  </si>
  <si>
    <t>Heroin availability coeff initiating NDHU no Rx</t>
  </si>
  <si>
    <t>Heroin availability index^Heroin availability strength initiating NDHU no Rx</t>
  </si>
  <si>
    <t>The sensitivity of the rate of heroin initiation in individuals with no prior Rx use to the price of heroin.Sign is negative because lower heroin price index results in higher initiation, but for consistency, heroin price strength is expressed as positive</t>
  </si>
  <si>
    <t>Heroin availability coeff net quit NDHU</t>
  </si>
  <si>
    <t>Heroin availability index^-Heroin availability strength net quit NDHU</t>
  </si>
  <si>
    <t>The sensitivity of the rate of quitting heroin to the price of heroin.Sign is negative because lower heroin price index results in higher initiation, but for consistency, heroin price strength is expressed as positive.</t>
  </si>
  <si>
    <t>Heroin availability index</t>
  </si>
  <si>
    <t>1/Heroin price index</t>
  </si>
  <si>
    <t>Heroin availability strength developing HUD</t>
  </si>
  <si>
    <t>Sensitivity of HUD development to heroin availability, using the inverse of price data as a proxy for availability.</t>
  </si>
  <si>
    <t>Heroin availability strength initiating NDHU no Rx</t>
  </si>
  <si>
    <t>Sensitivity of heroin initiation, among those who do not have Rx OUD, to heroin availability</t>
  </si>
  <si>
    <t>Heroin availability strength net quit NDHU</t>
  </si>
  <si>
    <t xml:space="preserve"> Sensitivity of NDHU quitting to heroin price</t>
  </si>
  <si>
    <t>Heroin price index</t>
  </si>
  <si>
    <t>Projection output data[HPI]</t>
  </si>
  <si>
    <t>Price of heroin relative to model initiation, plus projections into future.</t>
  </si>
  <si>
    <t>Heroin price index DATA</t>
  </si>
  <si>
    <t>EXTERNAL_DATA(Heroin price index DATA)</t>
  </si>
  <si>
    <t>Price of heroin relative to model initiation.</t>
  </si>
  <si>
    <t xml:space="preserve"> UNODC, Homer and Wakeland 2020, using Unick et al 2014 and STRIDE</t>
  </si>
  <si>
    <t xml:space="preserve">Retail price is per pure mg of heroin, based on Jack Homer's analysis of Unick et al. 2014 and STRIDE (Homer &amp; Wakeland 2020), and wholesale price is in inflation-adjusted 2017 US$ per kilogram, from UNODC. Synthesis of retail price and wholesale price time series in the United States (average taken when both are available), normalized to 2007 and re-indexed to 2002. </t>
  </si>
  <si>
    <t>HUD by MOUD</t>
  </si>
  <si>
    <t>HUD by MOUD[TxT] = (((Tx engagement HUD[TxT]-Tx exit in remission HUD[TxT])-Tx exit with UD HUD[TxT])-NonOD death HUD in MOUD Tx[TxT])-Overdose death HUD in MOUD Tx[TxT]Initial HUD in MOUD Tx[TxT]</t>
  </si>
  <si>
    <t>Individuals with HUD in MOUD treatment.</t>
  </si>
  <si>
    <t>HUD DATA</t>
  </si>
  <si>
    <t>Validation Time Series</t>
  </si>
  <si>
    <t>(1-Switch for alternative HUD data)*HUD NSDUH RAND+Switch for alternative HUD data*HUD NSDUH RAND alternative</t>
  </si>
  <si>
    <t xml:space="preserve">Individuals with HUD, calculated from data. </t>
  </si>
  <si>
    <t xml:space="preserve"> NSDUH adjusted with RAND ratio</t>
  </si>
  <si>
    <t>HUD in early or Tx remission</t>
  </si>
  <si>
    <t>HUD in remission+SUM(HUD in remission in MOUD Tx[TxT])</t>
  </si>
  <si>
    <t>HUD in remission</t>
  </si>
  <si>
    <t>((((SUM(Tx exit in remission HUD[TxT]))-NonOD death HUD in remission)-Relapsing to HUD)+Remitting HUD no MOUD Tx)-Stabilizing remission HUDInitial HUD in remission</t>
  </si>
  <si>
    <t>Individuals with HUD in remission.</t>
  </si>
  <si>
    <t>HUD in remission in MOUD Tx</t>
  </si>
  <si>
    <t>HUD in remission in MOUD Tx[TxT] = HUD by MOUD[TxT]*Remission fraction in Tx[TxT]</t>
  </si>
  <si>
    <t>People who are receiving a given medication and are in remission from HUD.</t>
  </si>
  <si>
    <t>HUD in remission total prior</t>
  </si>
  <si>
    <t>IF THEN ELSE(Time=2013,596174,NAREPLACEMENT)</t>
  </si>
  <si>
    <t xml:space="preserve"> Number of people in remission (&gt;=1 but &lt;5 years) from HUD in 2012-13. </t>
  </si>
  <si>
    <t xml:space="preserve"> Martins 2017, Hoffman 2019</t>
  </si>
  <si>
    <t>HUD in stable remission</t>
  </si>
  <si>
    <t>Stabilizing remission HUD-NonOD death HUD in stable remissionInitial HUD in stable remission</t>
  </si>
  <si>
    <t>HUD in stable remission total prior</t>
  </si>
  <si>
    <t>IF THEN ELSE(Time=2013,345649,NAREPLACEMENT)</t>
  </si>
  <si>
    <t xml:space="preserve"> Number of people in stable (5+ years) remission from HUD in 2012-13. </t>
  </si>
  <si>
    <t>HUD no MOUD</t>
  </si>
  <si>
    <t xml:space="preserve">people </t>
  </si>
  <si>
    <t>(((((Developing HUD no Rx OUD+Developing HUD with Rx OUD)-Remitting HUD no MOUD Tx)-NonOD death HUD)-Overdose death HUD)+Relapsing to HUD)+(SUM((Tx exit with UD HUD[TxT]-Tx engagement HUD[TxT])))Initial HUD</t>
  </si>
  <si>
    <t>Individuals with HUD not in MOUD treatment.</t>
  </si>
  <si>
    <t>HUD NSDUH RAND</t>
  </si>
  <si>
    <t>EXTERNAL_DATA(HUD NSDUH RAND)</t>
  </si>
  <si>
    <t xml:space="preserve">Individuals with HUD. </t>
  </si>
  <si>
    <t xml:space="preserve"> NSDUH adjusted with RAND</t>
  </si>
  <si>
    <t>Estimates from NSDUH for HUD multiplied by the average ratio of RAND estimates to NSDUH estimates.</t>
  </si>
  <si>
    <t>HUD NSDUH RAND alternative</t>
  </si>
  <si>
    <t>HUD no MOUD+SUM((1-Remission fraction in Tx[TxT])*HUD by MOUD[TxT])</t>
  </si>
  <si>
    <t>Total number of people with heroin use disorder, including those in and out of treatment.</t>
  </si>
  <si>
    <t>Increased risk of nonOD death among medical opioid users</t>
  </si>
  <si>
    <t>LIT</t>
  </si>
  <si>
    <t xml:space="preserve"> Increase in risk of death from causes other than opioid overdose for individuals who have an opioid prescription. </t>
  </si>
  <si>
    <t xml:space="preserve"> Ekholm et al. 2014</t>
  </si>
  <si>
    <t>Adjusted hazard ratio for long-term opioid users with chronic pain is 1.72 for non-OD mortality (vs. patients with no chronic pain)</t>
  </si>
  <si>
    <t>Initial fraction lifetime Rx users with lifetime H use NESARC</t>
  </si>
  <si>
    <t xml:space="preserve"> Fraction of all individuals with lifetime Rx use who had also used heroin </t>
  </si>
  <si>
    <t xml:space="preserve"> Wu 2011</t>
  </si>
  <si>
    <t xml:space="preserve">This is an unweighted fraction. </t>
  </si>
  <si>
    <t>Initial HUD</t>
  </si>
  <si>
    <t>LI,I</t>
  </si>
  <si>
    <t>INITIAL(Initial HUD total-SUM((1-Remission fraction in Tx[TxT])*Initial HUD in MOUD Tx[TxT]))</t>
  </si>
  <si>
    <t>Number of individuals with HUD at model initiation.</t>
  </si>
  <si>
    <t>Initial HUD in MOUD Tx</t>
  </si>
  <si>
    <t>Initial HUD in MOUD Tx[Bup] = INITIAL(Initial stock base values[HUB]*Initial stock correction[HUB])</t>
  </si>
  <si>
    <t>Initial HUD in remission</t>
  </si>
  <si>
    <t>INITIAL(Initial stock base values[HUR]*Initial stock correction[HUR])</t>
  </si>
  <si>
    <t>Individuals with HUD in remission at model initiation</t>
  </si>
  <si>
    <t>See Lit Reviews tab of combined modeling file.</t>
  </si>
  <si>
    <t>Initial HUD in remission NESARC</t>
  </si>
  <si>
    <t xml:space="preserve"> Number of people in remission from HUD at model initiation (INITIAL TIME), with RAND adjustment. Martins 2017 was used to estimate the total number of people in remission, while Hoffman 2019 was used to estimate which fraction were in stable (5+ year) vs 1-5 year remission. </t>
  </si>
  <si>
    <t>Martins 2017, Hoffman 2019</t>
  </si>
  <si>
    <t>Initial HUD in stable remission</t>
  </si>
  <si>
    <t>INITIAL(Initial stock base values[HUS]*Initial stock correction[HUS])</t>
  </si>
  <si>
    <t>Initial HUD in stable remission NESARC</t>
  </si>
  <si>
    <t xml:space="preserve">Number of people in stable remission from HUD at model initiation (INITIAL TIME), with RAND adjustment.  Martins 2017 was used to estimate the total number of people in remission, while Hoffman 2019 was used to estimate which fraction were in stable (5+ year) vs 1-5 year remission. </t>
  </si>
  <si>
    <t>Initial HUD total</t>
  </si>
  <si>
    <t>INITIAL(Initial stock base values[HUT]*Initial stock correction[HUT])</t>
  </si>
  <si>
    <t>Individuals with HUD in or out of treatment at model initiation, adjusted with the calibrated initial stock correction.</t>
  </si>
  <si>
    <t>Initial MMT fraction with HUD</t>
  </si>
  <si>
    <t xml:space="preserve">TEDS analysis of 1999 data reporting fraction of all planned MAT episodes where heroin was primary or only drug named as "substance of abuse." We assumed MMT was the only MOUD being planned as buprenorphine and Vivitrol hadn’t been approved yet for OUD. </t>
  </si>
  <si>
    <t xml:space="preserve"> TEDSA 1999</t>
  </si>
  <si>
    <t>TEDS Variables used: ADMYR, METHUSE, SUB1, SUB2</t>
  </si>
  <si>
    <t>Initial MMT fraction with Rx OUD with H</t>
  </si>
  <si>
    <t xml:space="preserve"> TEDS analysis of 1999 data (Fraction of all planned MAT episodes for a primary substance of heroin, rx opioids or non Rx methadone where Rx opioids were the primary drug named as "substance of abuse" and heroin was the secondary - assumed MMT was only MAT being planned </t>
  </si>
  <si>
    <t>8% of all MAT episodes had Rx as first drug, and 7% of those had Heroin as second drug. TEDS Variables used: ADMYR, METHUSE, SUB1, SUB2</t>
  </si>
  <si>
    <t>Initial NDHU</t>
  </si>
  <si>
    <t>INITIAL(Initial stock base values[NDH]*Initial stock correction[NDH])</t>
  </si>
  <si>
    <t xml:space="preserve">Individuals with nondisordered heroin use at model initiation, adjusted with the calibrated initial stock correction. </t>
  </si>
  <si>
    <t>Initial Rx misuse no H</t>
  </si>
  <si>
    <t>INITIAL(Initial stock base values[RXM]*Initial stock correction[RXM])</t>
  </si>
  <si>
    <t xml:space="preserve">Individuals with Rx misuse and no heroin use in at model initiation, adjusted with the calibrated initial stock correction </t>
  </si>
  <si>
    <t>Initial Rx OUD in remission NESARC</t>
  </si>
  <si>
    <t xml:space="preserve"> Number of people at model initiation (INITIAL TIME) who were in remission from Rx OUD, with or without heroin use history. </t>
  </si>
  <si>
    <t xml:space="preserve"> Compton 2007, Grella 2009, Hoffman 2019</t>
  </si>
  <si>
    <t>An estimated 1.4% of US adult population had lifetime Rx OUD 2001-02 (Huang 2006), and .4% had PY Rx OUD (Compton 2007); however, this includes people who also had HUD. Of all who had Rx OUD or HUD (1.75%) an estimated 86% had ONLY Rx OUD (Grella 2009). NSDUH 12+ population in 2002 = 235143245</t>
  </si>
  <si>
    <t>Initial Rx OUD in stable remission NESARC</t>
  </si>
  <si>
    <t xml:space="preserve"> Number of people in at model initiation (INITIAL TIME) who were in stable remission from Rx OUD, with or without heroin use history. </t>
  </si>
  <si>
    <t>Initial Rx OUD no H</t>
  </si>
  <si>
    <t>INITIAL(Initial Rx OUD no H total-SUM((1-Remission fraction in Tx[TxT])*Initial Rx OUD no H in Tx[TxT]))</t>
  </si>
  <si>
    <t xml:space="preserve">Individuals with Rx OUD and no heroin use at model initiation </t>
  </si>
  <si>
    <t>Initial Rx OUD no H in remission</t>
  </si>
  <si>
    <t>INITIAL(Initial stock base values[OUR]*Initial stock correction[OUR])</t>
  </si>
  <si>
    <t>Individuals with Rx OUD and no heroin use in remission in at model initiation, adjusted with the calibrated initial stock correction.</t>
  </si>
  <si>
    <t>Initial Rx OUD no H in stable remission</t>
  </si>
  <si>
    <t>INITIAL(Initial stock base values[OUS]*Initial stock correction[OUS])</t>
  </si>
  <si>
    <t>Initial Rx OUD no H in Tx</t>
  </si>
  <si>
    <t>LI,A</t>
  </si>
  <si>
    <t>Initial Rx OUD no H in Tx[Bup] = INITIAL(Initial stock base values[OUB]*Initial stock correction[OUB])</t>
  </si>
  <si>
    <t>Initial Rx OUD no H total</t>
  </si>
  <si>
    <t>INITIAL(Initial stock base values[OUT]*Initial stock correction[OUT])</t>
  </si>
  <si>
    <t>Individuals with Rx OUD and no heroin use in or out of treatment at model initiation, adjusted with the calibrated initial stock correction.</t>
  </si>
  <si>
    <t>Initial Rx OUD with H</t>
  </si>
  <si>
    <t>INITIAL(Initial Rx OUD with H total-SUM((1-Remission fraction in Tx[TxT])*Initial Rx OUD with H in Tx[TxT]))</t>
  </si>
  <si>
    <t xml:space="preserve">Individuals with Rx OUD and past year nondisordered heroin use at model initiation, adjusted with the calibrated initial stock correction. </t>
  </si>
  <si>
    <t>Initial Rx OUD with H in remission</t>
  </si>
  <si>
    <t>INITIAL(Initial stock base values[OHR]*Initial stock correction[OHR])</t>
  </si>
  <si>
    <t>Individuals with Rx OUD and heroin use in remission at model initiation, adjusted with the calibrated initial stock correction.</t>
  </si>
  <si>
    <t>Initial Rx OUD with H in stable remission</t>
  </si>
  <si>
    <t>INITIAL(Initial stock base values[OHS]*Initial stock correction[OHS])</t>
  </si>
  <si>
    <t>Initial Rx OUD with H in Tx</t>
  </si>
  <si>
    <t>Initial Rx OUD with H in Tx[Bup] = INITIAL(Initial stock base values[OHB]*Initial stock correction[OHB])</t>
  </si>
  <si>
    <t>Initial Rx OUD with H total</t>
  </si>
  <si>
    <t>INITIAL(Initial stock base values[OHT]*Initial stock correction[OHT])</t>
  </si>
  <si>
    <t>Total number of people, in or out of treatment, with Rx OUD who had used heroin in the past year in at model initiation, adjusted with the calibrated initial stock correction.</t>
  </si>
  <si>
    <t>Initial stock base values</t>
  </si>
  <si>
    <t>Initial stock base values[RXM] = INITIAL(Rx misuse no PY heroin NSDUH redef corrected)</t>
  </si>
  <si>
    <t>Initial stock correction</t>
  </si>
  <si>
    <t>Initial stock correction[Initials] = 1.01799,1.02517,1.05762,1.2,1.09558,0.869523,1.0535,1,1.16412,0.8,0.937737,0.8,0.8,1,0.841935,1.03489,0.82041,0.8,0.8,1</t>
  </si>
  <si>
    <t xml:space="preserve"> Multiplier for initial values of stocks to account for noise/error in initial data point</t>
  </si>
  <si>
    <t>INITIAL TIME</t>
  </si>
  <si>
    <t>The initial time for the simulation.</t>
  </si>
  <si>
    <t>Initial total in Tx by type</t>
  </si>
  <si>
    <t>Initial total in Tx by type[TxT] = INITIAL(Initial HUD in MOUD Tx[TxT]+Initial Rx OUD no H in Tx[TxT]+Initial Rx OUD with H in Tx[TxT])</t>
  </si>
  <si>
    <t>Initiating heroin no Rx</t>
  </si>
  <si>
    <t>Initiating heroin no Rx net*Heroin availability coeff initiating NDHU no Rx*Perceived risk coeff initiating NDHU no Rx*Social influence coeff initiating NDHU no Rx</t>
  </si>
  <si>
    <t xml:space="preserve">Individuals initiating NDHU without first using Rx opioids, ie initiation of heroin use directly. </t>
  </si>
  <si>
    <t xml:space="preserve"> SAMHSA</t>
  </si>
  <si>
    <t>Initiating heroin no Rx base</t>
  </si>
  <si>
    <t xml:space="preserve">people/year </t>
  </si>
  <si>
    <t>ACAL, DATA</t>
  </si>
  <si>
    <t>Number of individuals initiating NDHU with no past year Rx Misuse or OUD at model initiation. Data are used to define bounds.</t>
  </si>
  <si>
    <t xml:space="preserve"> NSDUH RDAS</t>
  </si>
  <si>
    <t>We are calibrating this parameter so as not to overprivilege this data point when we know the data are noisy.  Note the bounds are defined based on 2002 values (40,000 was the NSDUH estimate, which was the lower bound for calibration; 124k was the RAND-adjusted estimate; 160k was the upper bound for calibration because it was close to the highest estimated number of people initiating around that time (163k in 2001). We are calibrating number of people and not a rate because a rate would need to be out of the whole U.S. adult population and thus would be incredibly small.</t>
  </si>
  <si>
    <t>Initiating heroin no Rx DATA</t>
  </si>
  <si>
    <t>Initiating heroin no Rx NSDUH RDAS RAND</t>
  </si>
  <si>
    <t>Initiating heroin no Rx net</t>
  </si>
  <si>
    <t>Initiating heroin no Rx base*(1+RAMP(Policy change initiating NDHU no Rx/Policy rampup duration,Policy activation time,Policy activation time+Policy rampup duration))</t>
  </si>
  <si>
    <t>Number of individuals initiating NDHU with no prior prescription opioid misuse or use disorder, as of model start, after accounting for policy changes starting in 2018. Conceptually, this figure represents the 'base rate' of initiation, similar to base fractional rates in other parts of the model, which is why policy changes for 2018 onwards directly affect it.</t>
  </si>
  <si>
    <t xml:space="preserve">See base variable for explanation of variable itself. All net variables are associated with a policy change; generally "Base Parameter / Input + Policy Input = Net Parameter."  For further detail see the Equations column. </t>
  </si>
  <si>
    <t>EXTERNAL_DATA(Initiating heroin no Rx NSDUH RDAS RAND)</t>
  </si>
  <si>
    <t xml:space="preserve"> NSDUH RDAS adjusted with RAND</t>
  </si>
  <si>
    <t>Initiating heroin with Rx misuse</t>
  </si>
  <si>
    <t>person/Years</t>
  </si>
  <si>
    <t>Rx misuse no PY heroin*Initiation rate heroin with Rx misuse effective</t>
  </si>
  <si>
    <t>Initiating heroin with Rx misuse DATA</t>
  </si>
  <si>
    <t>Initiating heroin with Rx misuse NSDUH RDAS RAND</t>
  </si>
  <si>
    <t>EXTERNAL_DATA(Initiating heroin with Rx misuse NSDUH RDAS RAND)</t>
  </si>
  <si>
    <t xml:space="preserve">Individuals initiating heroin use who already misuse Rx opioids. </t>
  </si>
  <si>
    <t>Initiating heroin with Rx OUD</t>
  </si>
  <si>
    <t>Rx OUD no PY heroin no MOUD*Initiation rate heroin with Rx OUD effective</t>
  </si>
  <si>
    <t>Initiating heroin with Rx OUD DATA</t>
  </si>
  <si>
    <t>Switches</t>
  </si>
  <si>
    <t>Initiating heroin with Rx OUD NSDUH RDAS RAND</t>
  </si>
  <si>
    <t>EXTERNAL_DATA(Initiating heroin with Rx OUD NSDUH RDAS RAND)</t>
  </si>
  <si>
    <t xml:space="preserve">Individuals initiating heroin use who already have an Rx OUD. </t>
  </si>
  <si>
    <t xml:space="preserve">Estimates of initiation of heroin among people with Rx OUD from RDAS adjusted with RAND ratio. </t>
  </si>
  <si>
    <t>Initiating Rx misuse diverted</t>
  </si>
  <si>
    <t>Initiating Rx misuse diverted net*Perceived risk coeff initiating Rx misuse diverted*Rx availability coeff initiating Rx misuse*Social influence coeff initiating Rx misuse</t>
  </si>
  <si>
    <t>Initiating Rx misuse diverted base</t>
  </si>
  <si>
    <t xml:space="preserve">Number of individuals initiating Rx misuse with diverted opioids at model initiation. Similar to initiating heroin no Rx base, NSDUH data were loosely used to define bounds. </t>
  </si>
  <si>
    <t>Initiating Rx misuse diverted net</t>
  </si>
  <si>
    <t>Initiating Rx misuse diverted base*(1+RAMP(Policy change initiating Rx misuse diverted/Policy rampup duration,Policy activation time,Policy activation time+Policy rampup duration))</t>
  </si>
  <si>
    <t>Number of individuals initiating Rx misuse with diverted opioids at model start, accounting for policy changes going forward after the MaxDataTime. Conceptually, this figure represents the 'base rate' of initiation, similar to base fractional rates.</t>
  </si>
  <si>
    <t>Initiating Rx misuse diverted RDAS SAMHSA</t>
  </si>
  <si>
    <t>EXTERNAL_DATA(Initiating Rx misuse diverted RDAS SAMHSA)</t>
  </si>
  <si>
    <t xml:space="preserve">Individuals initiating Rx Misuse with prescription opioids (potentially including counterfeits) that come from the street supply). </t>
  </si>
  <si>
    <t xml:space="preserve"> NSDUH RDAS, SAMHSA</t>
  </si>
  <si>
    <t xml:space="preserve">We estimated the proportion of Rx misuse initiates whose first use was of a diverted prescription by subtracting the estimates of medical use initiates from total initiates. </t>
  </si>
  <si>
    <t>Initiating Rx misuse own Rx</t>
  </si>
  <si>
    <t>Patients with current opioid Rx*Initiation rate Rx misuse own Rx effective</t>
  </si>
  <si>
    <t>Initiating Rx misuse own Rx RDAS SAMHSA</t>
  </si>
  <si>
    <t>EXTERNAL_DATA(Initiating Rx misuse own Rx RDAS SAMHSA)</t>
  </si>
  <si>
    <t>Initiating Rx misuse own Rx RDAS SAMHSA redef correction</t>
  </si>
  <si>
    <t>Total Rx misuse initiation SAMHSA redef corrected-Initiating Rx misuse diverted RDAS SAMHSA</t>
  </si>
  <si>
    <t>Estimated number of people initiating prescription opioid misuse with their own prescription after accounting for model-estimated correction due to NSDUH 2015 rewording, which significantly increased number of people reporting misuse.</t>
  </si>
  <si>
    <t>Initiation rate heroin with Rx misuse</t>
  </si>
  <si>
    <t xml:space="preserve">Rate of heroin initiation in individuals who misuse Rx opioids. Literature (Kelley-Quon 2019) reporting this transition with data collected from 2013-17 shows rates in line with model-calibrated values during same time frame. </t>
  </si>
  <si>
    <t xml:space="preserve"> Kelley-Quon 2019</t>
  </si>
  <si>
    <t xml:space="preserve">Kelley-Quon 2019 found that among LA high schoolers 2013-2017, 1.7% with no prior NMPOU in past 6 months and 10.7% with NMPOU in past 6 months initiated heroin by 42-month follow-up = -1/3.5 * LN(.983) AND -1/3.5 * LN(.893) = .00489 to 0.03233 average = 0.01861]. We assume these groups' transition rates (i.e., those who were not current users, which was reported separately) are closest to Rx misuse rather than OUD. However, using .01861 in the model significantly overestimates heroin initiation among Rx misusers in early years but is quite accurate from 2010 or so on. We believe this is due to Kelley-Quon's data collection period of 2013-2017, when the reinforcing social influence feedback loop and heroin availability were both peaking in strength. Hence, we rely on model calibration here but note that the calibrated base value, when combined with feedback strengths, aligns well with the literature's initiation rates in the mid-2010s.  </t>
  </si>
  <si>
    <t>Initiation rate heroin with Rx misuse effective</t>
  </si>
  <si>
    <t>Initiation rate heroin with Rx misuse net*Rx vs H availability coeff initiating NDHU with Rx*Perceived risk coeff initiating NDHU with Rx*Social influence coeff initiating NDHU with Rx</t>
  </si>
  <si>
    <t>Net per-person-year hazard rate of initiating heroin use with Rx misuse incorporating effects of feedbacks and other drivers</t>
  </si>
  <si>
    <t>Initiation rate heroin with Rx misuse net</t>
  </si>
  <si>
    <t>1/Years</t>
  </si>
  <si>
    <t>Initiation rate heroin with Rx misuse*(1+RAMP(Policy change initiation rate heroin with Rx misuse/Policy rampup duration,Policy activation time,Policy activation time+Policy rampup duration))</t>
  </si>
  <si>
    <t>The rate of heroin initiation among people who misuse Rx opioids, after accounting for policy changes.</t>
  </si>
  <si>
    <t>Initiation rate heroin with Rx OUD</t>
  </si>
  <si>
    <t>INITIAL(Initiation rate heroin with Rx misuse*Initiation rate heroin with Rx OUD relative to Rx misuse)</t>
  </si>
  <si>
    <t xml:space="preserve">Rate of initiation of heroin in individuals that already have Rx OUD. </t>
  </si>
  <si>
    <t xml:space="preserve"> Goldman-Hasbun 2019, Kelley-Quon 2019, Banerjee 2016</t>
  </si>
  <si>
    <t>Goldman-Hasbun 2019 found that the median time to non-injected heroin initiation among cohort of street-involved youth was 17.47 months between 2005 and 2017 i.e. 9.02 per 100 person years; Kelley-Quon 2019 found that among current (past month) NMPOU high schoolers in LA, 13.1% transitioned to heroin by 42 month follow-up (2013-17) giving a rate of initiation of .0408 [-1/3.5 * LN(.867)]; Banerjee et al. 2016 found that Veterans followed between 2002 and 2012 had crude incidence rate of heroin initation of 4.82 among NMUPO giving a rate of initiation of .0482; Calculated rates for misuse are 0.01861 based on Kelley-Quon et al. 2019. In that specific study, the ratio was .0408/.01861 = 2.19. Applying a crude average across all 3 studies for the numerator and using the Kelley-Quon input for the denominator gives 3.35 [((.0982 + .0408 + .0482) / 3) / .01861]</t>
  </si>
  <si>
    <t>Initiation rate heroin with Rx OUD effective</t>
  </si>
  <si>
    <t>Initiation rate heroin with Rx OUD*Rx vs H availability coeff initiating heroin with Rx OUD*Perceived risk coeff initiating heroin with Rx OUD*Social influence coeff initiating heroin with Rx OUD*ADF effect coeff initiating heroin with Rx OUD</t>
  </si>
  <si>
    <t>Net per-person-year hazard rate of initiating heroin use with Rx OUD incorporating effects of feedbacks and other drivers</t>
  </si>
  <si>
    <t>Initiation rate heroin with Rx OUD relative to Rx misuse</t>
  </si>
  <si>
    <t>Rate of initiation of heroin use in individuals with Rx OUD relative to this rate in individuals with Rx misuse. Literature is used to define the bounds (2 to 5).</t>
  </si>
  <si>
    <t>Initiation rate Rx misuse own Rx</t>
  </si>
  <si>
    <t>Rate of initiation of misuse of Rx by individuals who have their own opioid prescription. Edlund 2014, who report a probability but not a rate, is used to defined the lower bounds for calibration (.001 dmnl/year).</t>
  </si>
  <si>
    <t xml:space="preserve"> Edlund 2014</t>
  </si>
  <si>
    <t>Edlund 2014 found that 120 individuals of 10,934 who received long-term opioid therapy (chronic users) "abused" their rx opioids or developed dependence, but they don't report over what time period. We consider this a minimum.</t>
  </si>
  <si>
    <t>Initiation rate Rx misuse own Rx effective</t>
  </si>
  <si>
    <t>Initiation rate Rx misuse own Rx net*Perceived risk coeff initiating Rx misuse own Rx</t>
  </si>
  <si>
    <t>Net per-person-year hazard rate of initiating Rx misuse with own Rx incorporating effects of feedbacks and other drivers</t>
  </si>
  <si>
    <t>Initiation rate Rx misuse own Rx net</t>
  </si>
  <si>
    <t>Initiation rate Rx misuse own Rx*(1+RAMP(Policy change initiation rate Rx misuse own Rx/Policy rampup duration,Policy activation time,Policy activation time+Policy rampup duration))</t>
  </si>
  <si>
    <t>IsYear</t>
  </si>
  <si>
    <t>IsYear[Year] = EXTERNAL_DATA(2.0)</t>
  </si>
  <si>
    <t>.policy</t>
  </si>
  <si>
    <t>Logistic growth curve</t>
  </si>
  <si>
    <t>Logistic growth curve[Proj] = IF THEN ELSE(Projection curve end value[Proj]&gt;Projection last data value[Proj],MIN(Projection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value[Proj])/0.5)),Max(Projection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t>
  </si>
  <si>
    <t>MaxDataTime</t>
  </si>
  <si>
    <t>MMT capacity estimated</t>
  </si>
  <si>
    <t>Projection output data[MMTCap]*(1+RAMP(Policy change MMT capacity/Policy rampup duration,Policy activation time,Policy activation time+Policy rampup duration))</t>
  </si>
  <si>
    <t>Estimated capacity in Methadone treatment, ie, max number of people that could theoretically be in Methadone treatment at a given time.</t>
  </si>
  <si>
    <t>MMT capacity estimated DATA</t>
  </si>
  <si>
    <t>Tx point patients OTP MMT NSSATS/MMT OTP capacity utilization NSSATS</t>
  </si>
  <si>
    <t>MMT OTP capacity utilization NSSATS</t>
  </si>
  <si>
    <t xml:space="preserve"> The fraction of total capacity in OTPs that is utilized. </t>
  </si>
  <si>
    <t xml:space="preserve"> N-SSATS 2012, 2013, and 2016</t>
  </si>
  <si>
    <t>The fraction of total capacity utilized by Opioid Treatment Programs (OTPs), which are the only facilities that can offer methadone maintenance treatment (MMT), was derived from N-SSATS. Further detail can be found on the Methadone Capacity tab of the combined modeling file.</t>
  </si>
  <si>
    <t>Net quit rate heroin with Rx misuse</t>
  </si>
  <si>
    <t xml:space="preserve"> The rate at which individuals with Rx misuse who also use heroin, quit use of heroin.</t>
  </si>
  <si>
    <t>Net quit rate heroin with Rx OUD</t>
  </si>
  <si>
    <t xml:space="preserve"> The rate at which individuals with Rx OUD who also use heroin, quit use of heroin.</t>
  </si>
  <si>
    <t>Net quit rate NDHU</t>
  </si>
  <si>
    <t>Net rate at which individuals with NDHU quit use of heroin. The concept measured in Compton 2013 is too dissimilar to use its value directly (calculated as .204 dmnl/year, but inclusive of other ‘highly addictive drugs’ besides heroin), but is used as a guide to validate model-calibrated value (i.e., we would not expect it to be vastly different).</t>
  </si>
  <si>
    <t xml:space="preserve"> Compton et al. 2013</t>
  </si>
  <si>
    <t>Compton et al. 2013: 51% of asymptomatic users of "highly addictive" drugs" (incl heroin but not opiates) transitioned to nonuse over ~3.4 years (the avg follow-up time in NESARC reported elsewhere). 51% is close enough to half-life to use here.
Fractional rate = 1/time constant = 1/(half-life/ln(2)) = 1/4.91 = .204</t>
  </si>
  <si>
    <t>Net quit rate Rx misuse</t>
  </si>
  <si>
    <t xml:space="preserve">Net rate at which individuals misusing Rx opioids quit use of Rx opioids. The concept measured in Compton 2013 is too dissimilar to use its value directly (calculated as .285 dmnl/year, but inclusive of other ‘more addictive drugs’ besides Rx opioids), but is used as a guide to validate model-calibrated value (i.e., we would not expect it to be vastly different). </t>
  </si>
  <si>
    <t>Compton 2013 found that 62% of asymptomatic users of "more addictive drugs", including opiates, transitioned to nonuse over 3.4 years (the avg follow-up time in NESARC reported elsewhere) [-1/(reported time) * LN(survival fraction) = -1/3.4 * LN(0.38) = .2845].</t>
  </si>
  <si>
    <t>Net quitting heroin with Rx misuse</t>
  </si>
  <si>
    <t>Nondisordered heroin use*Net quit rate heroin with Rx misuse*Perceived risk coeff net quit NDHU with Rx</t>
  </si>
  <si>
    <t>Individuals with NDHU and Rx misuse who quit heroin use, net of resumptions.</t>
  </si>
  <si>
    <t>We're assuming that resumption is generally not large compared to quits (i.e. anything short of 'most people who quit for a year will resume'); we're ignoring the social influence and availability effects on resumption, which do exist, but we're saying their magnitude given the magnitude of resumption flow overall is not significant even though it is important to the process.</t>
  </si>
  <si>
    <t>Net quitting heroin with Rx OUD</t>
  </si>
  <si>
    <t>Rx OUD with PY heroin no MOUD*Net quit rate heroin with Rx OUD*Perceived risk coeff net quit heroin with Rx OUD</t>
  </si>
  <si>
    <t>Individuals with Rx OUD and heroin use who quit use of heroin, net of resumptions.</t>
  </si>
  <si>
    <t>Net quitting NDHU</t>
  </si>
  <si>
    <t>Nondisordered heroin use*Net quit rate NDHU*Perceived risk coeff net quit NDHU*Heroin availability coeff net quit NDHU</t>
  </si>
  <si>
    <t>Compton et al. 2013 analysis of NESARC I (2001-02) and II (2004-05): 51% of asymptomatic users of "highly addictive" drugs" (incl heroin but not opiates) transitioned to nonuse over ~3.4 years 
Fractional rate = 1/time constant = 1/(half-life/ln(2)) = 1/4.905 = .2039. The total number of people quitting NDHU (including back to misuse or Rx OUD) should be compared relative to their source stocks.</t>
  </si>
  <si>
    <t>Net quitting Rx misuse</t>
  </si>
  <si>
    <t>Rx misuse no PY heroin*Net quit rate Rx misuse*Perceived risk coeff net quit Rx misuse*Rx availability coeff net quit Rx misuse</t>
  </si>
  <si>
    <t>Individuals with Rx misuse who quit that use. Stock and initiation flows are grounded in data, so this lets us better estimate net resumptoin-quit rates (applies to misuse to NP heroin) and to Rx OUD with vs without PY heroin</t>
  </si>
  <si>
    <t>Stock and initiation flows are grounded in data, so this lets us better estimate net resumptoin-quit rates (applies to misuse to NP heroin) and to Rx OUD with vs without PY heroin</t>
  </si>
  <si>
    <t>NoiseStartTime</t>
  </si>
  <si>
    <t>Nondisordered heroin use</t>
  </si>
  <si>
    <t>(((((Initiating heroin no Rx+Initiating heroin with Rx misuse)-Developing HUD no Rx OUD)-Net quitting heroin with Rx misuse)-Net quitting NDHU)-NonOD death NDHU)-Overdose death NDHUInitial NDHU</t>
  </si>
  <si>
    <t>Individuals with Non-Disordered Heroin Use</t>
  </si>
  <si>
    <t>Nondisordered heroin use DATA</t>
  </si>
  <si>
    <t>Nondisordered heroin use NSDUH RAND</t>
  </si>
  <si>
    <t>EXTERNAL_DATA(Nondisordered heroin use NSDUH RAND)</t>
  </si>
  <si>
    <t xml:space="preserve">Individuals with Non-Disordered Heroin Use </t>
  </si>
  <si>
    <t>Estimates from NSDUH for NDHU multiplied by the average ratio between NSDUH NDHU and RAND estimates</t>
  </si>
  <si>
    <t>Nonfatal OD ratio heroin</t>
  </si>
  <si>
    <t>Total nonfatal overdoses heroin/Total overdose deaths heroin</t>
  </si>
  <si>
    <t>Ratio of nonfatal to fatal overdoses (X : 1) for heroin</t>
  </si>
  <si>
    <t>Nonfatal OD ratio heroin prior</t>
  </si>
  <si>
    <t>IF THEN ELSE(Time&lt;Fentanyl introduction time,30,NAREPLACEMENT)</t>
  </si>
  <si>
    <t xml:space="preserve"> The ratio of nonfatal to fatal overdoses involving heroin at model initiation. </t>
  </si>
  <si>
    <t xml:space="preserve"> Darke 2003, Neale 2003</t>
  </si>
  <si>
    <t>Nonfatal OD ratio HUD</t>
  </si>
  <si>
    <t>Overdose rate net HUD/Overdose death rate HUD-1</t>
  </si>
  <si>
    <t>Ratio of nonfatal to fatal overdoses (X : 1) for HUD</t>
  </si>
  <si>
    <t>Nonfatal OD ratio NDHU</t>
  </si>
  <si>
    <t>Overdose rate net NDHU/Overdose death rate NDHU-1</t>
  </si>
  <si>
    <t>Ratio of nonfatal to fatal overdoses (X : 1) for NDHU</t>
  </si>
  <si>
    <t>Nonfatal OD ratio Rx</t>
  </si>
  <si>
    <t>Total nonfatal overdoses Rx/Total overdose deaths Rx</t>
  </si>
  <si>
    <t>Nonfatal OD ratio Rx misuse</t>
  </si>
  <si>
    <t>Overdose rate base Rx misuse/Overdose death rate Rx misuse-1</t>
  </si>
  <si>
    <t>Ratio of nonfatal to fatal overdoses (X : 1) for Rx misuse</t>
  </si>
  <si>
    <t>Nonfatal OD ratio Rx OUD no H</t>
  </si>
  <si>
    <t>Overdose rate total Rx OUD no H/Overdose death rate Rx OUD no H-1</t>
  </si>
  <si>
    <t>Ratio of nonfatal to fatal overdoses (X : 1) for Rx OUD no H</t>
  </si>
  <si>
    <t>Nonfatal OD ratio Rx OUD with H</t>
  </si>
  <si>
    <t>Overdose rate base Rx OUD/Overdose death rate Rx OUD with H-1</t>
  </si>
  <si>
    <t>Ratio of nonfatal to fatal overdoses (X : 1) for Rx OUD with H</t>
  </si>
  <si>
    <t>Nonfatal OD ratio Rx prior</t>
  </si>
  <si>
    <t>IF THEN ELSE(Time&lt;Fentanyl introduction time,35,NAREPLACEMENT)</t>
  </si>
  <si>
    <t>ASM, LIT, PRIOR</t>
  </si>
  <si>
    <t xml:space="preserve"> Assumed larger than nonfatal OD ratio for heroin.</t>
  </si>
  <si>
    <t>Nonfatal OD ratio total</t>
  </si>
  <si>
    <t>XIDZ(Total nonfatal overdoses,Total overdose deaths,1)</t>
  </si>
  <si>
    <t>Nonfatal ODs HUD</t>
  </si>
  <si>
    <t>Total overdose deaths HUD*Nonfatal OD ratio HUD</t>
  </si>
  <si>
    <t>Nonfatal ODs NDHU</t>
  </si>
  <si>
    <t>Overdose death NDHU*Nonfatal OD ratio NDHU</t>
  </si>
  <si>
    <t>Nonfatal ODs Rx misuse</t>
  </si>
  <si>
    <t>Overdose death Rx misuse*Nonfatal OD ratio Rx misuse</t>
  </si>
  <si>
    <t>Nonfatal ODs Rx OUD no H</t>
  </si>
  <si>
    <t>Total overdose deaths Rx OUD no H*Nonfatal OD ratio Rx OUD no H</t>
  </si>
  <si>
    <t>Nonfatal ODs Rx OUD with H</t>
  </si>
  <si>
    <t>Total overdose deaths Rx OUD with H*Nonfatal OD ratio Rx OUD with H</t>
  </si>
  <si>
    <t>NonOD death HUD</t>
  </si>
  <si>
    <t>HUD no MOUD*NonOD death rate HUD or OUD</t>
  </si>
  <si>
    <t>NonOD death HUD in MOUD Tx</t>
  </si>
  <si>
    <t>NonOD death HUD in MOUD Tx[TxT] = HUD by MOUD[TxT]*NonOD death rate HUD or OUD in Tx[TxT]</t>
  </si>
  <si>
    <t>NonOD death HUD in remission</t>
  </si>
  <si>
    <t>HUD in remission*NonOD death rate nonuser</t>
  </si>
  <si>
    <t>NonOD death HUD in stable remission</t>
  </si>
  <si>
    <t>HUD in stable remission*NonOD death rate nonuser</t>
  </si>
  <si>
    <t>NonOD death in Tx total</t>
  </si>
  <si>
    <t>NonOD death in Tx total[TxT] = NonOD death HUD in MOUD Tx[TxT]+NonOD death Rx OUD no H in Tx[TxT]+NonOD death Rx OUD with H in Tx[TxT]</t>
  </si>
  <si>
    <t>#Number of people who die from causes other than overdose while in treatment, totaled across use disorder and each MOUD.</t>
  </si>
  <si>
    <t>NonOD death misuse</t>
  </si>
  <si>
    <t>Rx misuse no PY heroin*NonOD death rate misuse</t>
  </si>
  <si>
    <t>NonOD death NDHU</t>
  </si>
  <si>
    <t>Nondisordered heroin use*NonOD death rate NDHU</t>
  </si>
  <si>
    <t>NonOD death rate HUD or OUD</t>
  </si>
  <si>
    <t xml:space="preserve"> Mortality rate for individuals with HUD or OUD where cause of death is not an opioid overdose, including only studies that specify a nonOD mortality rate for untreated individuals. </t>
  </si>
  <si>
    <t xml:space="preserve"> Degenhardt 2011, Ma 2019, Sordo 2017, Kelty 2017, Kelty 2019, Bahji 2019</t>
  </si>
  <si>
    <t>Degenhardt 2011 pooled all-cause mortality rate among 'regular or dependent users' of heroin and other opioids is 2.09 per 100 person-years, of which 0.65 is OD mortality, giving [1.44 / 100PY = 0.0144 non-OD CMR]. Larney et al. 2019 report 1.6 all-cause mortality.</t>
  </si>
  <si>
    <t>NonOD death rate HUD or OUD in Tx</t>
  </si>
  <si>
    <t>NonOD death rate HUD or OUD in Tx[TxT] = (1-Remission fraction in Tx[TxT])*NonOD death rate HUD or OUD*Effect of MOUD Tx on NonOD death rate[TxT]+Remission fraction in Tx[TxT]*NonOD death rate nonuser</t>
  </si>
  <si>
    <t>NonOD death rate misuse</t>
  </si>
  <si>
    <t>(NonOD death rate nonuser+(Increased risk of nonOD death among medical opioid users*NonOD death rate nonuser))/2</t>
  </si>
  <si>
    <t>DATA, LIT, ASM</t>
  </si>
  <si>
    <t xml:space="preserve"> Mortality rate of individuals who misuse Rx opioids where cause of death is not an opioid overdose. We assume this is intermediate between nonusers and chronc opioid users. </t>
  </si>
  <si>
    <t xml:space="preserve"> Ekholm et al. 2014, CDC </t>
  </si>
  <si>
    <t>Ekholm 2014 finds a non-OD mortality overall adjusted hazard ratio of 1.72 for long-term opioid users with chronic pain compared to patients with no chronic pain. This HR is multiplied by the US all-cause base mortality rate for 2017 at 863.8 per 100k, of which 842 per 100k is non-OD = [0.00842 * 1.72 HR = 0.0145]. We assume misusers generally are not as sick as long-term users with chronic pain, but many misusers do have chronic pain and are misusing their own Rx or others' for long periods without developing an Rx OUD. Thus, we take the average of the general pop rate of .00842 and the heightened risk of medical users of .0145 = 0.01146</t>
  </si>
  <si>
    <t>NonOD death rate NDHU</t>
  </si>
  <si>
    <t>(NonOD death rate HUD or OUD+NonOD death rate misuse)/2</t>
  </si>
  <si>
    <t xml:space="preserve"> </t>
  </si>
  <si>
    <t xml:space="preserve"> Eklund 2014, CDC WONDER, Degenhardt 2011 and Larney 2019</t>
  </si>
  <si>
    <t>We assume that NDHUs' nonOD mortality risk is intermediate between that of Rx misusers and those with HUD or OUD.</t>
  </si>
  <si>
    <t>NonOD death rate nonuser</t>
  </si>
  <si>
    <t>All-cause mortality rate excluding overdoses. We use this to estimate a 'base' mortality rate for individuals who do not use prescription opioids or heroin, though this is not measurable in the CDC WONDER data.</t>
  </si>
  <si>
    <t xml:space="preserve"> CDC WONDER</t>
  </si>
  <si>
    <t xml:space="preserve">This variable is  multiplied by 'increased risk of nonOD death among medical opioid users.' From this, we calculate the estimated NonOD death rate among Rx misusers, which we assume is intermediate between the general population rate and the medical opioid users rate (using a simple average of the two).The US all-cause base mortality rate  for 2017 was 863.8 per 100k, of which 842 per 100k is non-OD = 0.00842. </t>
  </si>
  <si>
    <t>NonOD death Rx OUD no H</t>
  </si>
  <si>
    <t>Rx OUD no PY heroin no MOUD*NonOD death rate HUD or OUD</t>
  </si>
  <si>
    <t>NonOD death Rx OUD no H in remission</t>
  </si>
  <si>
    <t>Rx OUD no heroin in remission*NonOD death rate nonuser</t>
  </si>
  <si>
    <t>NonOD death Rx OUD no H in stable remission</t>
  </si>
  <si>
    <t>Rx OUD no heroin in stable remission*NonOD death rate nonuser</t>
  </si>
  <si>
    <t>NonOD death Rx OUD no H in Tx</t>
  </si>
  <si>
    <t>NonOD death Rx OUD no H in Tx[TxT] = Rx OUD no heroin by MOUD[TxT]*NonOD death rate HUD or OUD in Tx[TxT]</t>
  </si>
  <si>
    <t>NonOD death Rx OUD with H</t>
  </si>
  <si>
    <t>Rx OUD with PY heroin no MOUD*NonOD death rate HUD or OUD</t>
  </si>
  <si>
    <t>NonOD death Rx OUD with H in remission</t>
  </si>
  <si>
    <t>Rx OUD with heroin in remission*NonOD death rate nonuser</t>
  </si>
  <si>
    <t>NonOD death Rx OUD with H in stable remission</t>
  </si>
  <si>
    <t>Rx OUD with heroin in stable remission*NonOD death rate nonuser</t>
  </si>
  <si>
    <t>NonOD death Rx OUD with H in Tx</t>
  </si>
  <si>
    <t>NonOD death Rx OUD with H in Tx[TxT] = Rx OUD with heroin by MOUD[TxT]*NonOD death rate HUD or OUD in Tx[TxT]</t>
  </si>
  <si>
    <t>NormErr</t>
  </si>
  <si>
    <t>NormErr[TSElm] = IF THEN ELSE(DataVar[TSElm]=NAREPLACEMENT,NAREPLACEMENT,zidz((DataVar[TSElm]-SimVar[TSElm]),SimVar[TSElm]))</t>
  </si>
  <si>
    <t>NSDUH misuse redefinition effect</t>
  </si>
  <si>
    <t>1-RAMP(NSDUH misuse redefinition fixed effect/(1+NSDUH misuse redefinition fixed effect)/OneYear,NSDUH misuse redefinition time,(NSDUH misuse redefinition time+OneYear))</t>
  </si>
  <si>
    <t>The magnitude (based on redefinition fixed effect) and timing (redefinition time) of the reduced estimate of misusers due to NSDUH's rewording in 2015.</t>
  </si>
  <si>
    <t>NSDUH misuse redefinition fixed effect</t>
  </si>
  <si>
    <t>A fixed effect adjusting for the rewording of Rx opioid misuse in NSDUH in 2015. Interpret as "2015 redefinition resulted in a X% increase in NSDUH reporting of misuse."</t>
  </si>
  <si>
    <t>NSDUH 1999-2019</t>
  </si>
  <si>
    <t>NSDUH misuse redefinition time</t>
  </si>
  <si>
    <t>The last year the old definition of misuse was used in NSDUH.</t>
  </si>
  <si>
    <t>Nx kit distribution efficiency</t>
  </si>
  <si>
    <t xml:space="preserve">person/kit </t>
  </si>
  <si>
    <t>The efficiency with which naloxone is distributed to the right people and places. The larger this value, the faster saturation is reached (i.e. probability of bystander naloxone availability --&gt; 100%). An increase in this value means fewer kits are needed to reach a given probability of naloxone use per witnessed OD.</t>
  </si>
  <si>
    <t>Nx kit distribution efficiency net</t>
  </si>
  <si>
    <t>Nx kit distribution efficiency*(1+RAMP(Policy change Nx kit distribution efficiency/Policy rampup duration,Policy activation time,Policy activation time+Policy rampup duration))</t>
  </si>
  <si>
    <t>#The efficiency with which naloxone is distributed to the right people and places, after accounting for any policy changes.</t>
  </si>
  <si>
    <t>Nx kit utilization fraction H user</t>
  </si>
  <si>
    <t>Nx utilization events H user*Nx kits per utilization event/Nx kits distributed H user</t>
  </si>
  <si>
    <t xml:space="preserve">The value of this should match estimates from literature for fraction of kits utilized, which ranges from 5.7% (Wheeler 2015) to a weighted average of 12.9%. Note this is 6% when Wheeler 2015 is also used to calculate the weighted average. </t>
  </si>
  <si>
    <t xml:space="preserve"> Galea 2006, Katzman 2020, Doe-Simkins 2009, Enteen 2010, Tobin 2009, Leece 2013, Tzemis 2014, Strang 2008, Yokell 2011, Lopez-Gaston 2009, Wheeler 2015</t>
  </si>
  <si>
    <t>Nx kit utilization fraction Rx user</t>
  </si>
  <si>
    <t>Nx utilization events Rx user*Nx kits per utilization event/Nx kits distributed Rx user</t>
  </si>
  <si>
    <t>Nx kits distributed H user</t>
  </si>
  <si>
    <t>kits</t>
  </si>
  <si>
    <t>Nx kits distributed net*Fraction Nx kits to H users</t>
  </si>
  <si>
    <t xml:space="preserve">The estimated number of naloxone kits distributed by harm reduction programs and through mail and retail channels (IQVIA) to heroin users. </t>
  </si>
  <si>
    <t xml:space="preserve"> IQVIA, Wheeler 2015</t>
  </si>
  <si>
    <t>Nx kits distributed HR IQVIA</t>
  </si>
  <si>
    <t>EXTERNAL_DATA(Nx kits distributed HR IQVIA)</t>
  </si>
  <si>
    <t xml:space="preserve">The estimated number of kits distributed by harm reduction programs and through mail and retail channels. </t>
  </si>
  <si>
    <t>Nx kits distributed net</t>
  </si>
  <si>
    <t>Projection output data[NxKD]*(1+RAMP(Policy change Nx kits distributed/Policy rampup duration,Policy activation time,Policy activation time+Policy rampup duration))</t>
  </si>
  <si>
    <t>Nx kits distributed Rx user</t>
  </si>
  <si>
    <t>Nx kits distributed net*(1-Fraction Nx kits to H users)</t>
  </si>
  <si>
    <t>The estimated number of naloxone kits distributed by harm reduction programs and through mail and retail channels (IQVIA) to prescription opioid users.</t>
  </si>
  <si>
    <t>Nx kits per 100k population H user</t>
  </si>
  <si>
    <t>kits/person</t>
  </si>
  <si>
    <t>Nx kits distributed H user/Population*100000</t>
  </si>
  <si>
    <t>#The number of naloxone kits (measured either in kits or in Rx, from IQVIA) per 100k population to people who are likely to reverse overdoses among heroin users (e.g. heroin users themselves, family and community members thereof, etc.).</t>
  </si>
  <si>
    <t>Nx kits per 100k population Rx user</t>
  </si>
  <si>
    <t>Nx kits distributed Rx user/Population*100000</t>
  </si>
  <si>
    <t>#The number of naloxone kits (measured either in kits or in Rx, from IQVIA) per 100k population to people who are likely to reverse overdoses among Rx opioid users (e.g. Rx opioid users themselves, family and community members thereof, etc.).</t>
  </si>
  <si>
    <t>Nx kits per utilization event</t>
  </si>
  <si>
    <t>kits/(person/year)</t>
  </si>
  <si>
    <t>NOTE: PLACEHOLDER VALUE - we do not have the data to disambiguate this from distribution efficiency effects. Naloxone kits used in the event of an overdose reversed through bystander naloxone administration.</t>
  </si>
  <si>
    <t>Nx utilization deaths averted H user</t>
  </si>
  <si>
    <t>Nx utilization events H user*(1-Base survival probability net H OD)*(1-Probability of calling emergency services net)</t>
  </si>
  <si>
    <t>Deaths averted by use of naloxone in overdoses experienced by heroin users</t>
  </si>
  <si>
    <t>Nx utilization deaths averted Rx user</t>
  </si>
  <si>
    <t>Nx utilization events Rx user*(Total overdoses Rx synth baseline fraction*(1-Base survival probability fentanyl OD)+(1-Total overdoses Rx synth baseline fraction)*(1-Base survival probability Rx OD))*(1-Probability of calling emergency services net)</t>
  </si>
  <si>
    <t>Deaths averted by use of naloxone in overdoses experienced by Rx opioid users</t>
  </si>
  <si>
    <t>Nx utilization events H user</t>
  </si>
  <si>
    <t>Total overdoses heroin*Probability OD witnessed net*Probability Nx bystander heroin</t>
  </si>
  <si>
    <t>The annual number of times naloxone is used to reverse a heroin overdose.</t>
  </si>
  <si>
    <t>Nx utilization events H user fraction</t>
  </si>
  <si>
    <t>zidz(Nx utilization events H user,Nx utilization events total)</t>
  </si>
  <si>
    <t>Fraction of total overdose events where naloxone is utilized that are in heroin users (and not Rx opioid users)</t>
  </si>
  <si>
    <t>Nx utilization events H user fraction prior</t>
  </si>
  <si>
    <t>IF THEN ELSE(Time=2013,0.86,NAREPLACEMENT)</t>
  </si>
  <si>
    <t xml:space="preserve"> The fraction of all overdose reversals reported to harm reduction programs that were reported to be used for non-prescription opioid opioid (i.e., heroin) overdoses. Used as a prior to calibrate the estimated fraction of all kits distributed to heroin users. </t>
  </si>
  <si>
    <t xml:space="preserve"> Wheeler 2015</t>
  </si>
  <si>
    <t>Nx utilization events Rx user</t>
  </si>
  <si>
    <t>Total overdoses Rx*Probability OD witnessed net*Probability Nx bystander Rx</t>
  </si>
  <si>
    <t>The annual number of times naloxone is used to reverse a prescription opioid overdose.</t>
  </si>
  <si>
    <t>Nx utilization events total</t>
  </si>
  <si>
    <t>Nx utilization events H user+Nx utilization events Rx user</t>
  </si>
  <si>
    <t>OD death fraction base HUD</t>
  </si>
  <si>
    <t>Overdose death rate base HUD/Overdose death rate HUD</t>
  </si>
  <si>
    <t>The fraction of all heroin, non-synthetic-involved overdoses that are fatal among people with HUD.</t>
  </si>
  <si>
    <t>OD death fraction base NDHU</t>
  </si>
  <si>
    <t>Overdose death rate base NDHU/Overdose death rate NDHU</t>
  </si>
  <si>
    <t>The fraction of all heroin, non-synthetic-involved overdoses that are fatal among people with NDHU.</t>
  </si>
  <si>
    <t>OD death fraction base Rx OUD no H</t>
  </si>
  <si>
    <t>Overdose death rate base Rx OUD/Overdose death rate Rx OUD no H</t>
  </si>
  <si>
    <t>The fraction of all prescription opioid, non-synthetic-involved overdoses that are fatal among people who have Rx OUD and no past year heroin use.</t>
  </si>
  <si>
    <t>OD death fraction synth baseline Rx OUD no H</t>
  </si>
  <si>
    <t>Overdose death rate synth baseline/Overdose death rate Rx OUD no H</t>
  </si>
  <si>
    <t>The fraction of all prescription synthetic (i.e., pre-2013) overdoses that are fatal among people who have Rx OUD and no past year heroin use.</t>
  </si>
  <si>
    <t>OD death fraction synth HUD</t>
  </si>
  <si>
    <t>Overdose death rate synth HUD/Overdose death rate HUD</t>
  </si>
  <si>
    <t>The fraction of all illicitly-manufactured synthetics (i.e., post-2013) overdoses that are fatal among people who have HUD.</t>
  </si>
  <si>
    <t>OD death fraction synth NDHU</t>
  </si>
  <si>
    <t>Overdose death rate synth NDHU/Overdose death rate NDHU</t>
  </si>
  <si>
    <t>The fraction of all illicitly-manufactured synthetics (i.e., post-2013) overdoses that are fatal among people with NDHU.</t>
  </si>
  <si>
    <t>OD death rate HUD in MOUD Tx</t>
  </si>
  <si>
    <t>OD death rate HUD in MOUD Tx[TxT] = (1-Remission fraction in Tx[TxT])*Overdose death rate HUD*Effect of MOUD Tx on OD death rate[TxT]</t>
  </si>
  <si>
    <t>OD death rate Rx OUD no H in Tx</t>
  </si>
  <si>
    <t>OD death rate Rx OUD no H in Tx[TxT] = (1-Remission fraction in Tx[TxT])*Overdose death rate Rx OUD no H*Effect of MOUD Tx on OD death rate[TxT]</t>
  </si>
  <si>
    <t>OD death rate Rx OUD with H in Tx</t>
  </si>
  <si>
    <t>OD death rate Rx OUD with H in Tx[TxT] = (1-Remission fraction in Tx[TxT])*Overdose death rate Rx OUD with H*Effect of MOUD Tx on OD death rate[TxT]</t>
  </si>
  <si>
    <t>OD deaths synth baseline estimated</t>
  </si>
  <si>
    <t>IF THEN ELSE(Time&lt;Fentanyl introduction time,Total overdose deaths synth no H NVSS,NAREPLACEMENT)</t>
  </si>
  <si>
    <t>Estimate of synthetic-involved overdose deaths attributable to baseline (pre-2013) penetration or use of synthetics, as opposed to the post-2013 increase in synthetic penetration.</t>
  </si>
  <si>
    <t>OD deaths synth excess estimated</t>
  </si>
  <si>
    <t>Max(0,Total overdose deaths synth heroin NVSS+IF THEN ELSE(Time&lt;Fentanyl introduction time,NAREPLACEMENT,IF THEN ELSE(Time&gt;Total overdose data last time,NAREPLACEMENT,Total overdose deaths synth no H NVSS-Total overdose deaths synth base)))</t>
  </si>
  <si>
    <t>The estimated number of overdose deaths occurring after 2013 that involved synthetic opioids that are in excess of those attributable to baseline (pre-2013) use of synthetics. This is an attempt to measure the effect of illicitly-manufactured fentanyl and its analogs on opioid overdose deaths.</t>
  </si>
  <si>
    <t>OneYear</t>
  </si>
  <si>
    <t>Time constant reflecting one year.</t>
  </si>
  <si>
    <t>Overdose death HUD</t>
  </si>
  <si>
    <t>HUD no MOUD*Overdose death rate HUD</t>
  </si>
  <si>
    <t>Overdose death HUD in MOUD Tx</t>
  </si>
  <si>
    <t>Overdose death HUD in MOUD Tx[TxT] = HUD by MOUD[TxT]*OD death rate HUD in MOUD Tx[TxT]</t>
  </si>
  <si>
    <t>Overdose death in Tx total</t>
  </si>
  <si>
    <t>Overdose death in Tx total[TxT] = Overdose death HUD in MOUD Tx[TxT]+Overdose death Rx OUD no H in Tx[TxT]+Overdose death Rx OUD with H in Tx[TxT]</t>
  </si>
  <si>
    <t>Overdose death MU</t>
  </si>
  <si>
    <t>Patients with current opioid Rx*Overdose death rate base MU</t>
  </si>
  <si>
    <t>Overdose death NDHU</t>
  </si>
  <si>
    <t>Nondisordered heroin use*Overdose death rate NDHU</t>
  </si>
  <si>
    <t>Overdose death rate base HUD</t>
  </si>
  <si>
    <t>Overdose rate base HUD*(1-Base survival probability H OD)*Probability OD death not averted heroin user*(1-Fentanyl penetration curve)</t>
  </si>
  <si>
    <t>The rate of heroin overdose death for people with HUD from non-synthetic-involved overdoses (i.e. heroin only), taking into account pre-2013 overdose lethality and probabilities of intervention.</t>
  </si>
  <si>
    <t>Overdose death rate base HUD no synth counterfactual</t>
  </si>
  <si>
    <t>Overdose rate base HUD*(1-Base survival probability H OD)*Probability OD death not averted heroin user</t>
  </si>
  <si>
    <t>Expected overdose death rate for individuals with HUD in counterfactual scenario with no illicit synthetics</t>
  </si>
  <si>
    <t>Overdose death rate base MU</t>
  </si>
  <si>
    <t xml:space="preserve">Overdose death rate among people who have been prescribed opioids. </t>
  </si>
  <si>
    <t xml:space="preserve"> Dunn 2010</t>
  </si>
  <si>
    <t xml:space="preserve">Dunn 2010 analyzed 9940 persons who received 3 or more prescriptions within 90 days for chronic noncancer pain between 1997 and 2005. The annual rate of overdose for the total sample was 148 per 100,000 person-years and fatal overdose rate was 17 per 100,000 person-years. </t>
  </si>
  <si>
    <t>Overdose death rate base NDHU</t>
  </si>
  <si>
    <t>Overdose rate base NDHU*(1-Base survival probability H OD)*Probability OD death not averted heroin user*(1-Fentanyl penetration curve)</t>
  </si>
  <si>
    <t>The rate of heroin overdose death for people with NDHU from non-synthetic-involved overdoses (i.e. heroin only), taking into account pre-2013 overdose lethality and probabilities of intervention.</t>
  </si>
  <si>
    <t>Overdose death rate base Rx OUD</t>
  </si>
  <si>
    <t>Overdose rate base Rx OUD*(1-Base survival probability Rx OD)*Probability OD death not averted Rx user</t>
  </si>
  <si>
    <t>Overdose death rate HUD</t>
  </si>
  <si>
    <t>Overdose rate net HUD*(1-Base survival probability net H OD)*Probability OD death not averted heroin user</t>
  </si>
  <si>
    <t>Overall rate of overdose death for people with HUD, taking into account the effects of benzodiazepines and synthetics on overdose rates, overdose lethality, and probabilities of intervention.</t>
  </si>
  <si>
    <t>Overdose death rate HUD no Nx counterfactual</t>
  </si>
  <si>
    <t>Overdose rate net HUD*(1-Base survival probability net H OD)*(1-Probability OD witnessed net*Probability of calling emergency services net)</t>
  </si>
  <si>
    <t>Expected overdose death rate for individuals with HUD in counterfactual scenario with no naloxone</t>
  </si>
  <si>
    <t>Overdose death rate NDHU</t>
  </si>
  <si>
    <t>Overdose rate net NDHU*(1-Base survival probability net H OD)*Probability OD death not averted heroin user</t>
  </si>
  <si>
    <t>Overall rate of overdose death for people with NDHU, taking into account the effects of benzodiazepines and synthetics on overdose rates, overdose lethality, and probabilities of intervention.</t>
  </si>
  <si>
    <t>Overdose death rate Rx misuse</t>
  </si>
  <si>
    <t>Overdose rate base Rx misuse*(1-Base survival probability Rx OD)*Probability OD death not averted Rx user</t>
  </si>
  <si>
    <t>Overall rate of overdose death for people with Rx misuse, taking into account the effects of benzodiazepines on overdose rates, overdose lethality, and probabilities of intervention.</t>
  </si>
  <si>
    <t>Overdose death rate Rx OUD no H</t>
  </si>
  <si>
    <t>Overdose death rate base Rx OUD+Overdose death rate synth baseline</t>
  </si>
  <si>
    <t>Overall rate of overdose death for people with Rx OUD who have not used heroin in the past year.</t>
  </si>
  <si>
    <t>Overdose death rate Rx OUD with H</t>
  </si>
  <si>
    <t>Overall rate of overdose death for people with Rx OUD who have used heroin in the past year.</t>
  </si>
  <si>
    <t>Overdose death rate synth baseline</t>
  </si>
  <si>
    <t>Overdose rate synth baseline*(1-Base survival probability fentanyl OD)*Probability OD death not averted Rx user</t>
  </si>
  <si>
    <t>The baseline (pre-2013) rate of prescription synthetic-involved overdose death for people with Rx OUD, taking into account pre-2013 overdose lethality and probabilities of intervention.</t>
  </si>
  <si>
    <t>Overdose death rate synth HUD</t>
  </si>
  <si>
    <t>Max(0,Overdose death rate HUD-Overdose death rate base HUD)</t>
  </si>
  <si>
    <t>The rate of synthetic-involved overdose death for people with HUD.</t>
  </si>
  <si>
    <t>Overdose death rate synth NDHU</t>
  </si>
  <si>
    <t>Max(0,Overdose death rate NDHU-Overdose death rate base NDHU)</t>
  </si>
  <si>
    <t>The rate of synthetic-involved overdose death for people with NDHU.</t>
  </si>
  <si>
    <t>Overdose death Rx misuse</t>
  </si>
  <si>
    <t>Rx misuse no PY heroin*Overdose death rate Rx misuse</t>
  </si>
  <si>
    <t>Overdose death Rx OUD no H</t>
  </si>
  <si>
    <t>Rx OUD no PY heroin no MOUD*Overdose death rate Rx OUD no H</t>
  </si>
  <si>
    <t>Overdose death Rx OUD no H in Tx</t>
  </si>
  <si>
    <t>Overdose death Rx OUD no H in Tx[TxT] = Rx OUD no heroin by MOUD[TxT]*OD death rate Rx OUD no H in Tx[TxT]</t>
  </si>
  <si>
    <t>Overdose death Rx OUD with H</t>
  </si>
  <si>
    <t>Rx OUD with PY heroin no MOUD*Overdose death rate Rx OUD with H</t>
  </si>
  <si>
    <t>Overdose death Rx OUD with H in Tx</t>
  </si>
  <si>
    <t>Overdose death Rx OUD with H in Tx[TxT] = Rx OUD with heroin by MOUD[TxT]*OD death rate Rx OUD with H in Tx[TxT]</t>
  </si>
  <si>
    <t>Overdose rate base HUD</t>
  </si>
  <si>
    <t xml:space="preserve"> The baseline overdose rate for people with HUD, not accounting for effects of synthetics. Literature is used to define bounds. </t>
  </si>
  <si>
    <t xml:space="preserve"> Townsend 2020; Uyei 2017; Darke 1996</t>
  </si>
  <si>
    <t>We used existing literature to define ranges allowed in calibration.</t>
  </si>
  <si>
    <t>Overdose rate base NDHU</t>
  </si>
  <si>
    <t>INITIAL(Overdose rate base HUD*Overdose rate NDHU relative to HUD)</t>
  </si>
  <si>
    <t>The baseline overdose rate for people with NDHU, not accounting for effects of benzodiazepines or synthetics.</t>
  </si>
  <si>
    <t xml:space="preserve"> Darke et al 1996</t>
  </si>
  <si>
    <t>Overdose rate base Rx misuse</t>
  </si>
  <si>
    <t xml:space="preserve"> The baseline overdose rate for people with Rx misuse, not accounting for effects of synthetics.</t>
  </si>
  <si>
    <t>Overdose rate base Rx OUD</t>
  </si>
  <si>
    <t xml:space="preserve"> The baseline overdose rate for people with Rx OUD, whether or not they have used heroin in the past year, not accounting for effects of synthetics.</t>
  </si>
  <si>
    <t xml:space="preserve">Note that the OD rate base for Rx OUD is larger than for HUD. We believe this is occurring because of the adjustment we made for HUD data with RAND. </t>
  </si>
  <si>
    <t>Overdose rate NDHU relative to HUD</t>
  </si>
  <si>
    <t xml:space="preserve"> The baseline overdose rate for people with NDHU, not accounting for effects of synthetics. We assume that the overdose rate for people with NDHU is no greater than that for people with HUD.</t>
  </si>
  <si>
    <t>Overdose rate net HUD</t>
  </si>
  <si>
    <t>Overdose rate base HUD*(1+Fentanyl penetration curve*(Fentanyl effect on OD rate H max net-1))</t>
  </si>
  <si>
    <t>The overdose rate for people with HUD, accounting for effects of fentanyl.</t>
  </si>
  <si>
    <t>Overdose rate net NDHU</t>
  </si>
  <si>
    <t>Overdose rate base NDHU*(1+Fentanyl penetration curve*(Fentanyl effect on OD rate H max net-1))</t>
  </si>
  <si>
    <t>The overdose rate for people with NDHU, after accounting for effects of fentanyl.</t>
  </si>
  <si>
    <t>Overdose rate synth baseline</t>
  </si>
  <si>
    <t xml:space="preserve">1/year </t>
  </si>
  <si>
    <t>The opioid prescription synthetic overdose rate for people with Rx OUD. We assume synthetic opioid-involved overdoses prior to 2013 involved prescriptions rather than illicitly manufactured synthetics such as fentanyl.</t>
  </si>
  <si>
    <t>Overdose rate total Rx OUD no H</t>
  </si>
  <si>
    <t>Overdose rate base Rx OUD+Overdose rate synth baseline</t>
  </si>
  <si>
    <t>The overall overdose rate involving prescription opioids or synthetic prescription opioids for people with Rx OUD who have not used heroin in the past year.</t>
  </si>
  <si>
    <t>OxyContin withdrawal lag</t>
  </si>
  <si>
    <t>Amount of time for the withdrawal of Oxycontin to fully impact the street market for prescription opioids. The withdrawal was immediate, but some people who use and/or sell opioids at the time would have still had some leftover OxyContin for up to 3 months.</t>
  </si>
  <si>
    <t xml:space="preserve"> StreetRx</t>
  </si>
  <si>
    <t>OxyContin withdrawal magnitude</t>
  </si>
  <si>
    <r>
      <t xml:space="preserve"> The estimated supply shock effect that withdrawing the original formulation of OxyContin had on the street supply, based on the fraction of all transactions in late 2010 that were OxyContin from StreetRx, </t>
    </r>
    <r>
      <rPr>
        <sz val="11"/>
        <color rgb="FFFF0000"/>
        <rFont val="Calibri"/>
        <family val="2"/>
        <scheme val="minor"/>
      </rPr>
      <t xml:space="preserve">when no outliers are excluded (the value is lower, around .36, when outliers are excluded). </t>
    </r>
  </si>
  <si>
    <t>As a proxy, we use the fraction of OxyContin (original formulation) purchases reported on Bluelight and StreetRx in 2010.</t>
  </si>
  <si>
    <t>OxyContin withdrawal supply impact</t>
  </si>
  <si>
    <t>PULSE(OxyContin withdrawal time,OxyContin withdrawal lag)*OxyContin withdrawal magnitude/OxyContin withdrawal lag</t>
  </si>
  <si>
    <t>Impact on the street supply of Rx opioids of OxyContin in its original, crushable form, being removed from the market.</t>
  </si>
  <si>
    <t>OxyContin withdrawal time</t>
  </si>
  <si>
    <t>The year and month when OxyContin was officially withdrawn from the market and replaced with an ADF formulation.</t>
  </si>
  <si>
    <t>Patients receiving opioid prescription</t>
  </si>
  <si>
    <t>Projection output data[PtRx]*(1+RAMP(Policy change patients with opioid prescription/Policy rampup duration,Policy activation time,Policy activation time+Policy rampup duration))</t>
  </si>
  <si>
    <t>Annual number of individuals who been prescribed an opioid as derived from IQVIA and Symphony Health, after accounting for policy effects.</t>
  </si>
  <si>
    <t>Patients receiving opioid prescription IQVIA SH</t>
  </si>
  <si>
    <t>EXTERNAL_DATA(Patients receiving opioid prescription IQVIA SH)</t>
  </si>
  <si>
    <t xml:space="preserve">Annual number of individuals who receive at least one prescription for an opioid, based on an analysis of the distribution of number of prescriptions among people who receive a prescription (Symphony Health) and the total number of prescriptions dispensed (IQVIA). </t>
  </si>
  <si>
    <t xml:space="preserve"> IQVIA and Symphony Health combined</t>
  </si>
  <si>
    <t>Patients receiving opioid prescription reference</t>
  </si>
  <si>
    <t>INITIAL(Patients receiving opioid prescription)</t>
  </si>
  <si>
    <t xml:space="preserve">The number of patients with an active opioid prescription at model initiation. </t>
  </si>
  <si>
    <t>Patients receiving opioid prescription relative</t>
  </si>
  <si>
    <t>Patients receiving opioid prescription/Patients receiving opioid prescription reference</t>
  </si>
  <si>
    <t>The current number of patients with active opioid prescriptions relative to model initiation.</t>
  </si>
  <si>
    <t>Patients with current opioid Rx</t>
  </si>
  <si>
    <t>Patients receiving opioid prescription*Average total duration with active prescription</t>
  </si>
  <si>
    <t>The number of individuals with a current/active rx opioid prescription.</t>
  </si>
  <si>
    <t>Perceived risk coeff initiating heroin with Rx OUD</t>
  </si>
  <si>
    <t>Perceived risk heroin use relative^-Perceived risk strength initiating heroin with Rx use</t>
  </si>
  <si>
    <t>The multiplier effect of the perceived risk of heroin use (relative to model start (INITIAL TIME)) on initiating heroin among people with Rx OUD.</t>
  </si>
  <si>
    <t>Perceived risk coeff initiating NDHU no Rx</t>
  </si>
  <si>
    <t>Perceived risk heroin use relative^-Perceived risk strength initiating NDHU no Rx</t>
  </si>
  <si>
    <t>The multiplier effect of the perceived risk of heroin use (relative to model start (INITIAL TIME)) on initiating heroin among people who do not misuse Rx opioids.</t>
  </si>
  <si>
    <t>Perceived risk coeff initiating NDHU with Rx</t>
  </si>
  <si>
    <t>The multiplier effect of the perceived risk of heroin use (relative to model start (INITIAL TIME)) on initiating heroin among people who misuse Rx opioids.</t>
  </si>
  <si>
    <t>Perceived risk coeff initiating Rx misuse diverted</t>
  </si>
  <si>
    <t>Perceived risk Rx use relative^-Perceived risk strength initiating Rx misuse diverted</t>
  </si>
  <si>
    <t>The multiplier effect of the perceived risk of prescription opioid misuse (relative to model start (INITIAL TIME)) on initiating misuse of diverted Rx opioids.</t>
  </si>
  <si>
    <t>Perceived risk coeff initiating Rx misuse own Rx</t>
  </si>
  <si>
    <t>Perceived risk Rx use relative^-Perceived risk strength initiating Rx misuse own Rx</t>
  </si>
  <si>
    <t>The multiplier effect of the perceived risk of prescription opioid misuse (relative to model start (INITIAL TIME)) on initiating misuse of own prescription opioids.</t>
  </si>
  <si>
    <t>Perceived risk coeff net quit heroin with Rx OUD</t>
  </si>
  <si>
    <t>Perceived risk heroin use relative^Perceived risk strength net quit heroin with Rx OUD</t>
  </si>
  <si>
    <t>The multiplier effect of the perceived risk of heroin use (relative to model start (INITIAL TIME)) on quitting heroin among people with an Rx OUD.</t>
  </si>
  <si>
    <t>Perceived risk coeff net quit NDHU</t>
  </si>
  <si>
    <t>Perceived risk heroin use relative^Perceived risk strength net quit NDHU</t>
  </si>
  <si>
    <t>The multiplier effect of the perceived risk of heroin use (relative to model start (INITIAL TIME)) on quitting heroin among people with NDHU.</t>
  </si>
  <si>
    <t>Perceived risk coeff net quit NDHU with Rx</t>
  </si>
  <si>
    <t>Perceived risk heroin use relative^Perceived risk strength net quit NDHU with Rx</t>
  </si>
  <si>
    <t>The multiplier effect of the perceived risk of heroin use (relative to model start (INITIAL TIME)) on quitting heroin and returning to Rx misuse alone among people with NDHU.</t>
  </si>
  <si>
    <t>Perceived risk coeff net quit Rx misuse</t>
  </si>
  <si>
    <t>Perceived risk Rx use relative^Perceived risk strength net quit Rx misuse</t>
  </si>
  <si>
    <t>The multiplier effect of the perceived risk of prescription opioid misuse (relative to model start (INITIAL TIME)) on quitting misuse.</t>
  </si>
  <si>
    <t>Perceived risk decrease time</t>
  </si>
  <si>
    <t>PMC, LIT, ASM</t>
  </si>
  <si>
    <t>Amount of time it takes the population's perception of risk to change after a decrease in overdoses. This is based in the idea that there's a generational effect realted to risk perception (Musto 1999), hence our decision to use 20 years. . In a partial model calibration, we adjusted the value from this starting point and found the baseline model results insensitive to its value.</t>
  </si>
  <si>
    <t xml:space="preserve"> Musto 1999</t>
  </si>
  <si>
    <t>The risk perception feedback is based on the theory of generational forgetting (Musto 1999). Hence, we estimate the span of a generation - 20 years - is how long it takes people at risk of initiating drugs to  "forget" the risks of a given drug, after the height of the main driver of those perceived risks (e.g., overdoses) is reached.</t>
  </si>
  <si>
    <t>Perceived risk heroin use current</t>
  </si>
  <si>
    <t>SMOOTHI(Perceived risk heroin use indicated,IF THEN ELSE(Perceived risk heroin use current&lt;Perceived risk heroin use indicated,Perceived risk increase time,Perceived risk decrease time),Perceived risk heroin use reference)</t>
  </si>
  <si>
    <t>The current ("right now") perceived risk of using heroin among those who have not yet initiated, after accounting for perception delays (the time it takes perceived risk to rise and fall).</t>
  </si>
  <si>
    <t>Perceived risk heroin use indicated</t>
  </si>
  <si>
    <t>Total overdose deaths heroin+Total nonfatal overdoses heroin*Perceived risk weight NFOD</t>
  </si>
  <si>
    <t>The perceived risk of using heroin among those who have not already initiated, as driven by the total number of overdoses, with nonfatal overdoses potentially weighted less dependent on the assigned risk weight.</t>
  </si>
  <si>
    <t>Perceived risk heroin use reference</t>
  </si>
  <si>
    <t>INITIAL(Perceived risk heroin use indicated)</t>
  </si>
  <si>
    <t>The initial (model start (INITIAL TIME)) perceived risk of using heroin (initial value of 'perceived risk heroin use indicated') among those who have not yet initiated.</t>
  </si>
  <si>
    <t>Perceived risk heroin use relative</t>
  </si>
  <si>
    <t>ACTIVE INITIAL(Perceived risk heroin use current/Perceived risk heroin use reference,1)</t>
  </si>
  <si>
    <t>The relative (compared to model start (INITIAL TIME)) perceived risk of using heroin among those who have not yet initiated heroin. This is the variable that actually drives initiation (in combination with the strength of the effect).</t>
  </si>
  <si>
    <t>Perceived risk increase time</t>
  </si>
  <si>
    <t>PMC, ASM</t>
  </si>
  <si>
    <t>Amount of time it takes the population's perception of risk to change after an increase in overdoses. Assumption is this happens much more quickly than the decrease, and the value was calibrated in a partial model to initiation data.</t>
  </si>
  <si>
    <t>Perceived risk Rx use current</t>
  </si>
  <si>
    <t>SMOOTHI(Perceived risk Rx use indicated,IF THEN ELSE(Perceived risk Rx use current&lt;Perceived risk Rx use indicated,Perceived risk increase time,Perceived risk decrease time),Perceived risk Rx use reference)</t>
  </si>
  <si>
    <t>The current ("right now") perceived risk of using Rx opioids among those who have not yet initiated, after accounting for perception delays (the time it takes perceived risk to rise and fall).</t>
  </si>
  <si>
    <t>Perceived risk Rx use indicated</t>
  </si>
  <si>
    <t>Total overdose deaths Rx+Perceived risk weight NFOD*Total nonfatal overdoses Rx</t>
  </si>
  <si>
    <t>The perceived risk of using Rx opioids among those who have not already initiated, as driven by the total number of overdoses, with nonfatal overdoses potentially weighted less dependent on the assigned risk weight.</t>
  </si>
  <si>
    <t>Perceived risk Rx use reference</t>
  </si>
  <si>
    <t>INITIAL(Perceived risk Rx use indicated)</t>
  </si>
  <si>
    <t>The initial (model start (INITIAL TIME)) perceived risk of using Rx opioids (initial value of 'perceived risk rx use indicated') among those who have not yet initiated.</t>
  </si>
  <si>
    <t>Perceived risk Rx use relative</t>
  </si>
  <si>
    <t>ACTIVE INITIAL(XIDZ(Perceived risk Rx use current,Perceived risk Rx use reference,1),1)</t>
  </si>
  <si>
    <t>The relative (compared to model start (INITIAL TIME)) perceived risk of using Rx opioids among those who have not yet initiated heroin. This is the variable that actually drives initiation (in combination with the strength of the effect).</t>
  </si>
  <si>
    <t>Perceived risk strength initiating heroin with Rx use</t>
  </si>
  <si>
    <t xml:space="preserve"> Sensitivity of heroin initiation in individuals with Rx OUD or Rx misuse to perceived risk of heroin. To reduce calibrated parameters, we assumed risk perception was more similar between those with Rx misuse or Rx OUD than with those who had no past year Rx misuse.</t>
  </si>
  <si>
    <t>Perceived risk strength initiating NDHU no Rx</t>
  </si>
  <si>
    <t xml:space="preserve"> Sensitivity of heroin initiation to perceived risk of heroin use in individuals with no past year Rx misuse.</t>
  </si>
  <si>
    <t>Perceived risk strength initiating Rx misuse diverted</t>
  </si>
  <si>
    <t xml:space="preserve"> Sensitivity of Rx opioid misuse initiation to perceived risk of diverted prescription opioid misuse.</t>
  </si>
  <si>
    <t>Perceived risk strength initiating Rx misuse own Rx</t>
  </si>
  <si>
    <t xml:space="preserve"> Sensitivity of Rx opioid misuse initiation to perceived risk of misuse of own prescription opioids.</t>
  </si>
  <si>
    <t>Perceived risk strength net quit heroin with Rx OUD</t>
  </si>
  <si>
    <t xml:space="preserve"> Sensitivity of quitting heroin among people with Rx OUD to perceived risk of heroin use.</t>
  </si>
  <si>
    <t>Perceived risk strength net quit NDHU</t>
  </si>
  <si>
    <t xml:space="preserve"> Sensitivity of quitting heroin among people with NDHU to perceived risk of heroin use.</t>
  </si>
  <si>
    <t>Perceived risk strength net quit NDHU with Rx</t>
  </si>
  <si>
    <t xml:space="preserve"> Sensitivity of quitting heroin and returning to Rx misuse to perceived risk of heroin use.</t>
  </si>
  <si>
    <t>Perceived risk strength net quit Rx misuse</t>
  </si>
  <si>
    <t xml:space="preserve"> Sensitivity of quitting Rx misuse to perceived risk of Rx opioid misuse.</t>
  </si>
  <si>
    <t>Perceived risk weight NFOD</t>
  </si>
  <si>
    <t>ASM, PMC</t>
  </si>
  <si>
    <t xml:space="preserve"> The relative weight that nonfatal overdose events carry in terms of their influence on the perceived risks of drug use (compared to fatal overdose events). 0 --&gt; only fatal overdoses matter, &lt;1 --&gt; fatal overdoses matter more, 1 --&gt; fatal and nonfatal overdoses affect risk perception equally, &gt;1 --&gt; nonfatal overdoses matter more. Model is sensitive at values below</t>
  </si>
  <si>
    <t>PEType</t>
  </si>
  <si>
    <t>PEType[PET] = 0,0,1,0,0</t>
  </si>
  <si>
    <t>Policy activation time</t>
  </si>
  <si>
    <t>Assumed start time for all policy changes</t>
  </si>
  <si>
    <t>Policy change ADF fraction of prescribed Rx opioids</t>
  </si>
  <si>
    <t>Policy change average MME per Rx</t>
  </si>
  <si>
    <t>Policy change average prescription duration</t>
  </si>
  <si>
    <t>Policy change Bup effective capacity decay constant</t>
  </si>
  <si>
    <t>Policy change Bup providers</t>
  </si>
  <si>
    <t>Policy change fentanyl effect on OD rate</t>
  </si>
  <si>
    <t>Policy change HUD no Rx OUD development rate</t>
  </si>
  <si>
    <t>Policy change HUD with Rx OUD development rate</t>
  </si>
  <si>
    <t>Policy change initiating NDHU no Rx</t>
  </si>
  <si>
    <t>Policy change initiating Rx misuse diverted</t>
  </si>
  <si>
    <t>Policy change initiation rate heroin with Rx misuse</t>
  </si>
  <si>
    <t>Policy change initiation rate Rx misuse own Rx</t>
  </si>
  <si>
    <t>Policy change MMT capacity</t>
  </si>
  <si>
    <t>Policy change Nx kit distribution efficiency</t>
  </si>
  <si>
    <t>Policy change Nx kits distributed</t>
  </si>
  <si>
    <t>Policy change patients with opioid prescription</t>
  </si>
  <si>
    <t>Policy change prescriptions per person</t>
  </si>
  <si>
    <t>Policy change probability OD witnessed</t>
  </si>
  <si>
    <t>Policy change probability of calling emergency services</t>
  </si>
  <si>
    <t>Policy change relapse rate</t>
  </si>
  <si>
    <t>Policy change Rx OUD development rate</t>
  </si>
  <si>
    <t>Policy change Rx street supply shocks</t>
  </si>
  <si>
    <t>Policy change Rx supply relative</t>
  </si>
  <si>
    <t>Policy change social influence strength relapse</t>
  </si>
  <si>
    <t>NOTE - functions as direct input to the SI strength rather than % change since SI strength is at zero by default! .19 achieves a 20% decrease in the relapse rate relative to baseline by 2024, commensurate with other policy changes at 20% in desired direction.</t>
  </si>
  <si>
    <t>Policy change Tx average duration</t>
  </si>
  <si>
    <t>Adjusts each Tx type (Bup, MMT, Viv) by the same amount. To adjust separately, create a subscript [TxT] and enter three values separated with commas; if a single value, will be applied to all types (however, a single value adjusted with lever will only adjust Bup avg duration).</t>
  </si>
  <si>
    <t>Policy change Tx intake delay</t>
  </si>
  <si>
    <t>Policy change Tx intake delay[TxT] = 0</t>
  </si>
  <si>
    <t>Policy change Tx seeking affordability loss fraction</t>
  </si>
  <si>
    <t>Policy change Tx seeking nonaffordability loss fraction</t>
  </si>
  <si>
    <t>Policy change Tx seeking rate Rx OUD no H total</t>
  </si>
  <si>
    <t xml:space="preserve"> Only 7.6% of people with HUD (after RAND adjustmnet) and 5.5% of people with Rx OUD perceived a need and didn't seek it, on average from NSDUH 2015-18. Therefore, this is a reasonable upper limit on increasing treatment-seeking.</t>
  </si>
  <si>
    <t>Policy change Viv capacity</t>
  </si>
  <si>
    <t>Policy rampup duration</t>
  </si>
  <si>
    <t>Population</t>
  </si>
  <si>
    <t>EXTERNAL_DATA(Population)</t>
  </si>
  <si>
    <t xml:space="preserve">Total population in US ages 12 and older, using NSDUH's population count. Population is used in the model to standardize the effect of social influence relative to the size of the current 'at risk' population. We limit to persons 12 and older because we assume children under 12 are not at great risk of initiating opioid misuse. </t>
  </si>
  <si>
    <t xml:space="preserve">Population is used in the model to standardize the effect of social influence relative to the size of the current 'at risk' population. We limit to persons 12 and older because we assume children under 12 are not at great risk of initiating opioid misuse. </t>
  </si>
  <si>
    <t>Prescriptions per person</t>
  </si>
  <si>
    <t>Rx/person</t>
  </si>
  <si>
    <t>Projection output data[RxPP]*(1+RAMP(Policy change prescriptions per person/Policy rampup duration,Policy activation time,Policy activation time+Policy rampup duration))</t>
  </si>
  <si>
    <t>Prescriptions per person reference</t>
  </si>
  <si>
    <t>INITIAL(Prescriptions per person)</t>
  </si>
  <si>
    <t>Prescriptions per person relative</t>
  </si>
  <si>
    <t>Prescriptions per person/Prescriptions per person reference</t>
  </si>
  <si>
    <t>Prescriptions per person SH</t>
  </si>
  <si>
    <t>Total prescription opioid Rx IQVIA/Patients receiving opioid prescription IQVIA SH</t>
  </si>
  <si>
    <t>PriorErr</t>
  </si>
  <si>
    <t>PriorErr[Elm] = IF THEN ELSE(DataPrior[Elm]=NAREPLACEMENT:OR:SimPrior[Elm]=NAREPLACEMENT,0,-((SimPrior[Elm]-DataPrior[Elm])*Weights[Normal,Elm])^2/2)</t>
  </si>
  <si>
    <t>Probability Nx bystander heroin</t>
  </si>
  <si>
    <t>1-EXP(-Nx kit distribution efficiency net*Nx kits per 100k population H user)</t>
  </si>
  <si>
    <t>The likelihood that a bystander will administer naloxone in the event of a witnessed heroin overdose, after accounting for any policy changes. Estimated weighted average of 34% in 2017 (assumed for heroin overdoses). See 'Estimated Nx distribution efficiency based on Irvine...Green 2020'</t>
  </si>
  <si>
    <t>Probability Nx bystander heroin prior</t>
  </si>
  <si>
    <t>IF THEN ELSE(Time=2019,0.2,NAREPLACEMENT)</t>
  </si>
  <si>
    <t>EXP, PRIOR</t>
  </si>
  <si>
    <t xml:space="preserve"> Probability of naloxone administration by a witness. </t>
  </si>
  <si>
    <t>Expert estimates</t>
  </si>
  <si>
    <t>Probability Nx bystander Rx</t>
  </si>
  <si>
    <t>1-EXP(-Nx kit distribution efficiency net*Nx kits per 100k population Rx user)</t>
  </si>
  <si>
    <t>The likelihood that a bystander will administer naloxone in the event of a witnessed prescription opioid overdose, after accounting for any policy changes.</t>
  </si>
  <si>
    <t>Probability OD death not averted heroin user</t>
  </si>
  <si>
    <t>1-Probability OD witnessed net*(1-(1-Probability Nx bystander heroin)*(1-Probability of calling emergency services net))</t>
  </si>
  <si>
    <t>Probability death not averted is the joint probability of (not averted) by each possible means, i.e. Not Averted[Bystander] AND Not Averted[LEO] AND Not Averted[EMS]</t>
  </si>
  <si>
    <t>Probability OD death not averted Rx user</t>
  </si>
  <si>
    <t>1-Probability OD witnessed net*(1-(1-Probability Nx bystander Rx)*(1-Probability of calling emergency services net))</t>
  </si>
  <si>
    <t>Probability OD witnessed</t>
  </si>
  <si>
    <t xml:space="preserve"> The percentage of overdoses that are witnessed by another person. </t>
  </si>
  <si>
    <t xml:space="preserve"> Darke 1996, McGregor 1998, Strang 1999, Sergeev 2003, Tobin 2005, Bohnert 2012</t>
  </si>
  <si>
    <t>Probability OD witnessed net</t>
  </si>
  <si>
    <t>Probability OD witnessed+RAMP(IF THEN ELSE(Policy change probability OD witnessed&gt;=0,Policy change probability OD witnessed*(1-Probability OD witnessed),Policy change probability OD witnessed*Probability OD witnessed)/Policy rampup duration,Policy activation time,Policy activation time+Policy rampup duration)</t>
  </si>
  <si>
    <t>The percentage of overdoses that are witnessed by another person, after accounting for policy changes.</t>
  </si>
  <si>
    <t>Probability of calling emergency services</t>
  </si>
  <si>
    <t xml:space="preserve"> The likelihood of calling emergency services in the event of a witnessed overdose, which is the weighted average probability of calling 911/EMS across events reported by people who use drugs (most studies) and/or loved ones; many studies include events in which naloxone was also used. </t>
  </si>
  <si>
    <t xml:space="preserve"> Davidson 2002, Seal 2003, Sergeey 2003, Seal 2005, Bohnert 2012, Tracy 2005, Bohnert 2009, Tobin 2005, Pollini 2006, Sherman 2008, Galea 2006, Tobin 2009, Walley 2013, Enteen 2010, Bennett 2011, Doe-Simkins 2009, Best 2009, Wagner 2010, Doe-Simkins 2014, Lim 2019, Lankenau 2013, Rowe 2015, Dwyer 2015, Leece 2016, Levy 2016, Wagner 2015, Schiavon 2018, Ataiants 2020, Schwartz 2020, Banjo 2014, Lopez-Gaston 2008</t>
  </si>
  <si>
    <t>Probability of calling emergency services net</t>
  </si>
  <si>
    <t>Probability of calling emergency services+RAMP(IF THEN ELSE(Policy change probability of calling emergency services&gt;=0,Policy change probability of calling emergency services*(1-Probability of calling emergency services),Policy change probability of calling emergency services*Probability of calling emergency services)/Policy rampup duration,Policy activation time,Policy activation time+Policy rampup duration)</t>
  </si>
  <si>
    <t xml:space="preserve"> The likelihood of calling emergency services in the event of a witnessed overdose, after accounting for policy changes. </t>
  </si>
  <si>
    <t xml:space="preserve"> Best 2009, Davidson 2002, Doe-Simkins 2014, Enteen 2010, Seal 2003, Tracy 2005, Walley 2013</t>
  </si>
  <si>
    <t>Projected cumulative overdose deaths</t>
  </si>
  <si>
    <t>Projected total overdose deaths0.0</t>
  </si>
  <si>
    <t>Projected cumulative UD person years</t>
  </si>
  <si>
    <t>Projected total with UD0.0</t>
  </si>
  <si>
    <t>Projected total overdose deaths</t>
  </si>
  <si>
    <t>IF THEN ELSE(Time&lt;Cumulative projections start time,0,Total overdose deaths)</t>
  </si>
  <si>
    <t>Projected total with UD</t>
  </si>
  <si>
    <t>IF THEN ELSE(Time&lt;Cumulative projections start time,0,Total with UD)</t>
  </si>
  <si>
    <t>Projection curve end time</t>
  </si>
  <si>
    <t>Projection curve end time[Fent] = INITIAL(Projection curve end time fentanyl penetration)</t>
  </si>
  <si>
    <t>Projection curve end time ADF fraction of prescribed Rx opioids</t>
  </si>
  <si>
    <t>The time at which the user expects the ADF fraction of prescribed Rx opioids to approach its limit.</t>
  </si>
  <si>
    <t>Projection curve end time avg MME per Rx</t>
  </si>
  <si>
    <t>The time at which the user expects avg MME per Rx to approach its limit.</t>
  </si>
  <si>
    <t>Projection curve end time Bup providers</t>
  </si>
  <si>
    <t>The time at which the user expects Bup total theoretical capacity to approach its limit.</t>
  </si>
  <si>
    <t>Projection curve end time fentanyl penetration</t>
  </si>
  <si>
    <t>The time at which the user expects fentanyl penetration of the market to approach its limit.</t>
  </si>
  <si>
    <t>Projection curve end time heroin price index</t>
  </si>
  <si>
    <t>The time at which the user expects the heroin price index to approach its limit.</t>
  </si>
  <si>
    <t>Projection curve end time MMT capacity</t>
  </si>
  <si>
    <t>The time at which the user expects MMT capacity to approach its limit.</t>
  </si>
  <si>
    <t>Projection curve end time Nx kits distributed</t>
  </si>
  <si>
    <t>The time at which the user expects the probability of Naloxone administration by a bystander to a heroin OD to approach its limit.</t>
  </si>
  <si>
    <t>Projection curve end time patients with opioid prescription</t>
  </si>
  <si>
    <t>The time at which the user expects patients with opioid prescriptions to approach its limit.</t>
  </si>
  <si>
    <t>Projection curve end time prescriptions per person</t>
  </si>
  <si>
    <t>The time at which the user expects prescriptions per person to approach its limit.</t>
  </si>
  <si>
    <t>Projection curve end time Viv capacity</t>
  </si>
  <si>
    <t>The time at which the user expects Viv capacity to approach its limit.</t>
  </si>
  <si>
    <t>Projection curve end value</t>
  </si>
  <si>
    <t>Projection curve end value[Fent] = INITIAL(Projection curve end value fentanyl penetration)</t>
  </si>
  <si>
    <t>Projection curve end value ADF fraction of prescribed Rx opioids</t>
  </si>
  <si>
    <t># The limit the user expects the ADF fraction of prescribed opioids to approach. Calculated in Excel using years of data that fit a logarithmic curve (2018-20), and applied the resulting logarithmic equation to years 2021-2031. Value for 2031 is used here.</t>
  </si>
  <si>
    <t>Projection curve end value avg MME per Rx</t>
  </si>
  <si>
    <t xml:space="preserve">MME/Rx </t>
  </si>
  <si>
    <t>The limit the user expects avg MME per Rx to approach. Calculated in Excel using the two input sources of data used in model - total number of opioid prescriptions, and total number of MMEs prescribed. For total Rx, data from 2017-20 fit a logarithmic curve. For total MME, data for 2017-20 best fit a logarithmic curve. The resulting logarithmic equations were both extended out to 2031, and the value for 2031 was then calculated (MME/prescriptions).</t>
  </si>
  <si>
    <t>Projection curve end value Bup providers</t>
  </si>
  <si>
    <t>The limit the user expects the total number of buprenorphine-waivered providers to approach. Calculated in Excel using years of data that fit a logarithmic curve(2019-20), and applied the resulting logarithmic equation to years 2021-2031. Value for 2031 is used here.</t>
  </si>
  <si>
    <t>Projection curve end value fentanyl penetration</t>
  </si>
  <si>
    <t># The limit the user expects fentanyl penetration of the illicit opioid (not Rx opioids) market to approach. Calculated in Excel using years of data that best fit a logarithmic curve (2016-20), and applied the resulting logarithmic equation to years 2021-2031. Value for 2031 is used here.</t>
  </si>
  <si>
    <t>Projection curve end value heroin price index</t>
  </si>
  <si>
    <t># The limit the user expects the heroin price index to approach. This is the price in 2018; given it was relatively stable from 2016-18, we assumed no further change without additional data even in plausible scenario.</t>
  </si>
  <si>
    <t>Projection curve end value MMT capacity</t>
  </si>
  <si>
    <t># The limit the user expects MMT capacity to approach. Calculated in Excel using a projected linear function with years 2011-19, as utilization has been rising linearly since at least 1999. The 2031 value was then divided by 86.6%, the utliization fraction used in the model to estimate capacity. The resultant value for 2060 entered was 750,000, which results in a value in 2031 of approximately 655k, close to the 644285 estimated in Excel.</t>
  </si>
  <si>
    <t>Projection curve end value Nx kits distributed</t>
  </si>
  <si>
    <t>The limit the user expects the number of naloxone kits distributed to heroin users to approach. Calculated in Excel using years of data that fit a logarithmic curve (2017-2019), and applied the resulting logarithmic equation to years 2020-2031. Value for 2031 is used here.</t>
  </si>
  <si>
    <t>Projection curve end value patients with opioid prescription</t>
  </si>
  <si>
    <t># The limit the user expects the number of patients with opioid prescriptions to approach. Calculated in Excel using years of data for which logarithmic function fit the data's curve (2017-2020). Value for 2031 is used here.</t>
  </si>
  <si>
    <t>Projection curve end value prescriptions per person</t>
  </si>
  <si>
    <t>The limit the user expects the number of prescriptions per person receiving an opioid prescription to approach. Calculated in Excel using the two input sources of data used in model - total number of opioid prescriptions, and total number of unique patients receiving an opioid prescription (per year). For patients receiving Rx, data from 2017-19 fit a logarithmic curve. For total Rx, data for 2017-20 best fit a logarithmic curve. The resulting logarithmic equations were both extended out to 2031, and the value for 2031 was then calculated (prescriptions/people).</t>
  </si>
  <si>
    <t>Projection curve end value Viv capacity</t>
  </si>
  <si>
    <t>The limit the user expects Vivitrol capacity to approach. Calculated in Excel using years of data that fit a logarithmic curve (2017-2019), and applied the resulting logarithmic equation to years 2020-2031. Divided by average capacity utilization of 88%, which is figure used to estimate capacity in base model. Resulting value for 2031 is used here.</t>
  </si>
  <si>
    <t>Projection input data</t>
  </si>
  <si>
    <t>Projection input data[Fent] = Fentanyl penetration curve NFLIS</t>
  </si>
  <si>
    <t>Projection last data time</t>
  </si>
  <si>
    <t>Projection last data time[Proj] = INITIAL(GET DATA LAST TIME(Projection input data[Proj]))</t>
  </si>
  <si>
    <t>Projection last data value</t>
  </si>
  <si>
    <t>Projection last data value[Proj] = INITIAL(GET DATA AT TIME(Projection input data[Proj],Projection last data time[Proj]))</t>
  </si>
  <si>
    <t>Projection output data</t>
  </si>
  <si>
    <t>Projection output data[Proj] = IF THEN ELSE(Time&lt;=Projection last data time[Proj],Projection input data[Proj],Switch for constant projections[Proj]*Projection input data[Proj]+(1-Switch for constant projections[Proj])*Logistic growth curve[Proj])</t>
  </si>
  <si>
    <t>Trend projections to extend the input (exogenous) time series data used to drive the base model.</t>
  </si>
  <si>
    <t>Relapse rate HUD</t>
  </si>
  <si>
    <t xml:space="preserve">Rate at which individuals with HUD return to use disorder. Two studies with similar definitions of remission but very different populations - and thus quite different estimates of return to use disorder rates - are used as a comparison to model-calibrated estimate. </t>
  </si>
  <si>
    <t xml:space="preserve"> Wu 2011, Galai 2003</t>
  </si>
  <si>
    <t>Relapse rate Rx OUD relative to HUD</t>
  </si>
  <si>
    <t>Rate at which individuals with Rx OUD relapse relative to that rate in individuals with HUD. We assume it is no faster than the return to UD rate for HUD.</t>
  </si>
  <si>
    <t>Relapsing from remission total</t>
  </si>
  <si>
    <t>Relapsing to Rx OUD no H+Relapsing to Rx OUD with H+Relapsing to HUD</t>
  </si>
  <si>
    <t>Total number of people relapsing from remission, to all three disorder states.</t>
  </si>
  <si>
    <t>Relapsing to HUD</t>
  </si>
  <si>
    <t>HUD in remission*Relapse rate HUD net*Social influence coefficient relapse</t>
  </si>
  <si>
    <t>Relapsing to HUD total</t>
  </si>
  <si>
    <t>Relapsing to HUD+SUM(Tx exit with UD HUD[TxT])</t>
  </si>
  <si>
    <t>The total number of people who have relapsed to HUD, including those who have exited treatment prematurely and those who relapsed from remission.</t>
  </si>
  <si>
    <t>Relapsing to Rx OUD no H</t>
  </si>
  <si>
    <t>Rx OUD no heroin in remission*Relapse rate HUD net*Relapse rate Rx OUD relative to HUD*Social influence coefficient relapse</t>
  </si>
  <si>
    <t>Relapsing to Rx OUD no H total</t>
  </si>
  <si>
    <t>Relapsing to Rx OUD no H+SUM(Tx exit with UD Rx OUD no H[TxT])</t>
  </si>
  <si>
    <t>The total number of people who have relapsed to Rx OUD without past year heroin use, including those who have exited treatment prematurely and those who relapsed from remission.</t>
  </si>
  <si>
    <t>Relapsing to Rx OUD with H</t>
  </si>
  <si>
    <t>Rx OUD with heroin in remission*Relapse rate HUD net*Relapse rate Rx OUD relative to HUD*Social influence coefficient relapse</t>
  </si>
  <si>
    <t>Relapsing to Rx OUD with H total</t>
  </si>
  <si>
    <t>Relapsing to Rx OUD with H+SUM(Tx exit with UD Rx OUD with H[TxT])</t>
  </si>
  <si>
    <t>The total number of people who have relapsed to Rx OUD with past year heroin use, including those who have exited treatment prematurely and those who relapsed from remission.</t>
  </si>
  <si>
    <t>Remission fraction in Tx</t>
  </si>
  <si>
    <t>Remission fraction in Tx[Bup] = Remission fraction in Tx Bup</t>
  </si>
  <si>
    <t>Remission fraction in Tx Bup</t>
  </si>
  <si>
    <t>Tx success fraction[Bup]</t>
  </si>
  <si>
    <t>EXP</t>
  </si>
  <si>
    <t xml:space="preserve"> Fraction of individuals in buprenorphine treatment who are in remission, set equal to the fraction who exit in remission at given average duration x. </t>
  </si>
  <si>
    <t xml:space="preserve"> Drs. Katherine McHugh, Keith Humphreys, Ben Bearnot, John Kelly, personal communication, 7/31/20</t>
  </si>
  <si>
    <t>Expert call resulted in estimated fractions between 15 and 50%.</t>
  </si>
  <si>
    <t>Remission fraction in Tx MMT</t>
  </si>
  <si>
    <t>Tx success fraction[MMT]</t>
  </si>
  <si>
    <t xml:space="preserve"> Fraction of individuals in methadone maintenance treatment who are in remission, set equal to the fraction who exit in remission at given average duration x.</t>
  </si>
  <si>
    <t>Remission fraction in Tx Viv</t>
  </si>
  <si>
    <t>Tx success fraction[Viv]</t>
  </si>
  <si>
    <t xml:space="preserve"> Fraction of individuals in Vivitrol treatment who are in remission, set equal to the fraction who exit in remission at given average duration x. </t>
  </si>
  <si>
    <t>Expert call resulted in estimated fractions between 15 and 40%. For simplicity, we chose to set this equal to buprenorphine's fraction.</t>
  </si>
  <si>
    <t>Remission rate HUD no MOUD Tx</t>
  </si>
  <si>
    <t>Rate at which individuals with HUD not in MOUD treatment go into remission. We use literature to define the bounds in calibration (.06-.2).</t>
  </si>
  <si>
    <t>Calabria 2010; Fleury 2016; Galai 2003; Hser 2015; Hwer 2001; Grella 2011; Mintzer 2007; Sheehan 1993;  Soeffing 2009; Weiss 2019; Darke 2007; Saloner 2017</t>
  </si>
  <si>
    <t xml:space="preserve">Our review of studies with observation periods of at least one year found an average fractional remission rate of .136. This is compared to Calabria 2010's estimate that 10-20% of those dependent on heroin may remit from active drug dependence in a year. Model calibrations consistently estimated this at closer to the low end of literature estimates, e.g., Fleury 2016's conservative estimate for all SUDs of 6.8% (while the standard estimate was 9.3%). </t>
  </si>
  <si>
    <t>Remission rate Rx OUD no H no MOUD Tx</t>
  </si>
  <si>
    <t>INITIAL(Remission rate HUD no MOUD Tx*Remission rate Rx OUD relative to HUD)</t>
  </si>
  <si>
    <t>The rate at which individuals with Rx OUD and no heroin use not receiving MOUD treatment go into remission.</t>
  </si>
  <si>
    <t>Remission rate Rx OUD relative to HUD</t>
  </si>
  <si>
    <t xml:space="preserve"> The rate at which individuals with Rx OUD go into remission without receiving MOUD treatment relative to those with HUD. We assume this is no slower than that for HUD.</t>
  </si>
  <si>
    <t>We did not identify estimates of remission specifically for Rx OUD, so we allow the model to calibrate the relative rate for Rx OUD compared to HUD, assuming it is not slower given the increased severity of HUD relative to Rx OUD.</t>
  </si>
  <si>
    <t>Remission rate Rx OUD with H no MOUD Tx</t>
  </si>
  <si>
    <t>The rate at which individuals with Rx OUD and past year heroin use not receiving MOUD treatment go into remission.</t>
  </si>
  <si>
    <t>Remission relative to disorder</t>
  </si>
  <si>
    <t>Total in Remission/Total with UD</t>
  </si>
  <si>
    <t>The number of people who are in reimssion relative to active disorder, which can serve as a useful outcome measure for policy changes rather than remission or disorder alone.</t>
  </si>
  <si>
    <t>Remitting HUD no MOUD Tx</t>
  </si>
  <si>
    <t>HUD no MOUD*Remission rate HUD no MOUD Tx</t>
  </si>
  <si>
    <t>Remitting Rx OUD no H no MOUD Tx</t>
  </si>
  <si>
    <t>Rx OUD no PY heroin no MOUD*Remission rate Rx OUD no H no MOUD Tx</t>
  </si>
  <si>
    <t>Remitting Rx OUD with H no MOUD Tx</t>
  </si>
  <si>
    <t>Rx OUD with PY heroin no MOUD*Remission rate Rx OUD with H no MOUD Tx</t>
  </si>
  <si>
    <t>RepErr</t>
  </si>
  <si>
    <t>RepErr[TSElm] = IF THEN ELSE(Switch for historical noise=1,SUM(RepErrRaw[TSElm,Year]*IsYear[Year]),IF THEN ELSE(NormErr[TSElm]=NAREPLACEMENT,SUM(RepErrRaw[TSElm,Year]*IsYear[Year]),NormErr[TSElm]))</t>
  </si>
  <si>
    <t>RepErrRaw</t>
  </si>
  <si>
    <t>RepErrRaw[TSElm,Year] = 0</t>
  </si>
  <si>
    <t>RepVar</t>
  </si>
  <si>
    <t>RepVar[TSElm] = SimVar[TSElm]*(1+RAMP(1,NoiseStartTime,NoiseStartTime+1)*RepErr[TSElm])</t>
  </si>
  <si>
    <t>Rx availability coeff developing Rx OUD</t>
  </si>
  <si>
    <t>Rx availability for misuse relative^Rx availability strength developing Rx OUD</t>
  </si>
  <si>
    <t>The multiplier effect of Rx availability on the development of Rx OUD.</t>
  </si>
  <si>
    <t>Rx availability coeff initiating Rx misuse</t>
  </si>
  <si>
    <t>Rx availability for misuse relative^Rx availability strength initiating Rx misuse</t>
  </si>
  <si>
    <t>The multiplier effect of Rx availability on initiating Rx opioid misuse.</t>
  </si>
  <si>
    <t>Rx availability coeff net quit Rx misuse</t>
  </si>
  <si>
    <t>Rx availability for misuse relative^-Rx availability strength net quit Rx misuse</t>
  </si>
  <si>
    <t>Rx availability for misuse relative</t>
  </si>
  <si>
    <t>(Rx supply relative net+Counterfeit supply relative*Counterfeit supply weight)/Rx demand for misuse relative</t>
  </si>
  <si>
    <t>The availability of prescription opioids for potential misuse, relative to model start (INITIAL TIME), reflecting the balance of supply and demand. (Supply may include counterfeit supply, when data become available.)</t>
  </si>
  <si>
    <t>Rx availability for UD endogenous</t>
  </si>
  <si>
    <t>Rx availability for UD relative*((1-ADF fraction of Rx street supply net)+ADF fraction of Rx street supply net*ADF relative desirability)</t>
  </si>
  <si>
    <t># NEED TO RESOLVE THIS</t>
  </si>
  <si>
    <t>Rx availability for UD relative</t>
  </si>
  <si>
    <t>Rx availability for misuse relative*Max((1-Rx street supply disruption),0.01)</t>
  </si>
  <si>
    <t>Rx availability strength developing Rx OUD</t>
  </si>
  <si>
    <t xml:space="preserve"> The sensitivity of Rx OUD development to availability of Rx opioids.</t>
  </si>
  <si>
    <t>We include an effect of availability (and price, for HUD) on developing an HUD because, for several substances, including alcohol, cannabis (Chou 2015), and heroin (Martins 2017), as a drug becomes more widely available/used by more people, the proportion of users with a UD decreases, presumably because more casual/low risk users are using. In NESARC I compared to III, the proportion of lifetime heroin users who had a HUD dropped from almost 2/3 to less than 1/2 (42.69%) from 2001-02 to 2012-13 (Martins 2017). However, Saha et al. 2016 do not find this trend in NESARC I vs III Rx opioid users (18.6% of lifetime users had OUD in 2012-13 compared to 30% in 2001-02, a period over which Rx opioids availability rose and then declined). NSDUH data show a slightly increasing proportion of past year misusers with PY UD from 2002-18, which would be consistent with availability having an inverse relationship to likelihood of UD development.</t>
  </si>
  <si>
    <t>Rx availability strength initiating Rx misuse</t>
  </si>
  <si>
    <t>The sensitivity of Rx misuse initiation to availability of Rx opioids</t>
  </si>
  <si>
    <t>Rx availability strength net quit Rx misuse</t>
  </si>
  <si>
    <t xml:space="preserve"> The sensitivity of Rx misuse quitting to availability of Rx opioids.</t>
  </si>
  <si>
    <t>Rx demand for misuse</t>
  </si>
  <si>
    <t>MME/year</t>
  </si>
  <si>
    <t>(Rx misuse no PY heroin*Rx demand Rx misuse)+(Nondisordered heroin use*Fraction of NDHU with Rx avg*Rx demand NDHU)+(Rx OUD no PY heroin no MOUD*Rx demand Rx OUD no H)+(Rx OUD with PY heroin no MOUD*Rx demand Rx OUD with H)+(HUD no MOUD*Fraction of HUD with Rx OUD or misuse avg*Rx demand HUD with Rx OUD or misuse)+SUM((Rx OUD no heroin by MOUD[TxT]*Rx demand Rx OUD no H*Effect of MOUD Tx on Rx consumption[TxT])+(Rx OUD with heroin by MOUD[TxT]*Rx demand Rx OUD with H*Effect of MOUD Tx on Rx consumption[TxT])+(HUD by MOUD[TxT]*Fraction of HUD with Rx OUD or misuse avg*Rx demand HUD with Rx OUD or misuse*Effect of MOUD Tx on Rx consumption[TxT]))</t>
  </si>
  <si>
    <t>Total MMEs consumed annually by opioid users that is diverted from the medical supply. This includes those who misuse their own Rx and is reduced by the fraction of UDs in treatment.</t>
  </si>
  <si>
    <t>Rx demand for misuse reference</t>
  </si>
  <si>
    <t>MME/Years</t>
  </si>
  <si>
    <t>INITIAL(Rx demand for misuse)</t>
  </si>
  <si>
    <t>Total MMEs consumed annually by opioid users that is diverted from the medical supply at model start (INITIAL TIME). This includes those who misuse their own Rx and is reduced by the fraction of UDs in treatment.</t>
  </si>
  <si>
    <t>Rx demand for misuse relative</t>
  </si>
  <si>
    <t>Rx demand for misuse/Rx demand for misuse reference</t>
  </si>
  <si>
    <t>Total MMEs consumed annually by opioid users that is diverted from the medical supply, relative to model initiation. This includes those who misuse their own Rx and is reduced by the fraction of UDs in treatment.</t>
  </si>
  <si>
    <t>Rx demand HUD with Rx OUD or misuse</t>
  </si>
  <si>
    <t>MME/person/year</t>
  </si>
  <si>
    <t xml:space="preserve"> Demand for Rx opioids by individuals with HUD + Rx use. We use frequency data from NSDUH combined with assumed MMEs consumed per day of use. </t>
  </si>
  <si>
    <t xml:space="preserve"> NSDUH 2010-18</t>
  </si>
  <si>
    <t>100 days of use is the average of 2010-2018 from NSDUH rounded to next 10 - due to increasing frequency of use in later years - multiplied by 100 mme per day of use</t>
  </si>
  <si>
    <t>Rx demand NDHU</t>
  </si>
  <si>
    <t xml:space="preserve"> Demand for Rx opioids by individuals with NDHU + Rx use. We use frequency data from NSDUH combined with assumed MMEs consumed per day of use. </t>
  </si>
  <si>
    <t xml:space="preserve"> 105 average frequency of 2010-2018 from NSDUH rounded to next 10 (110) - due to increasing frequency of use in later years * 40 mme per day of use </t>
  </si>
  <si>
    <t>Rx demand Rx misuse</t>
  </si>
  <si>
    <t xml:space="preserve">MME/person/year </t>
  </si>
  <si>
    <t xml:space="preserve"> Demand for Rx opioids by individuals with Rx misuse. We use frequency data from NSDUH combined with assumed MMEs consumed per day of use. </t>
  </si>
  <si>
    <t>50 days of use average of 2010-2018 from NSDUH rounded to next 10 - due to increasing frequency of use in later years multiplied by 20-40 mme per use = 1000-2000.</t>
  </si>
  <si>
    <t>Rx demand Rx OUD no H</t>
  </si>
  <si>
    <t xml:space="preserve"> Demand for Rx opioids by individuals with Rx OUD and no heroin use. We use frequency data from NSDUH combined with assumed MMEs consumed per day of use. </t>
  </si>
  <si>
    <t>110 days average frequency of 2010-2018 from NSDUH rounded to next 10 - due to increasing frequency of use in later years * 100 mme per day of use</t>
  </si>
  <si>
    <t>Rx demand Rx OUD with H</t>
  </si>
  <si>
    <t xml:space="preserve"> Demand for Rx opioids by individuals with Rx OUD + heroin use. We use frequency data from NSDUH combined with assumed MMEs consumed per day of use. </t>
  </si>
  <si>
    <t>180 days of use - average of 2010-2018 from NSDUH rounded to next 10 - due to increasing frequency of use in later years * 100 mme per day of use</t>
  </si>
  <si>
    <t>Rx misuse no PY heroin</t>
  </si>
  <si>
    <t>((((((Initiating Rx misuse diverted+Initiating Rx misuse own Rx)-Developing Rx OUD)-Initiating heroin with Rx misuse)-Net quitting Rx misuse)+Net quitting heroin with Rx misuse)-NonOD death misuse)-Overdose death Rx misuseInitial Rx misuse no H</t>
  </si>
  <si>
    <t>Rx misuse no PY heroin NSDUH</t>
  </si>
  <si>
    <t>EXTERNAL_DATA(Rx misuse no PY heroin NSDUH)</t>
  </si>
  <si>
    <t xml:space="preserve">We opted for allowing lifetime heroin use because the bigger risk is for people who have used recently. </t>
  </si>
  <si>
    <t>Rx misuse no PY heroin NSDUH redef corrected</t>
  </si>
  <si>
    <t>IF THEN ELSE(Time&lt;2019,NSDUH misuse redefinition effect*Rx misuse no PY heroin NSDUH,NAREPLACEMENT)</t>
  </si>
  <si>
    <t>Rx OUD all total</t>
  </si>
  <si>
    <t>Rx OUD all total DATA</t>
  </si>
  <si>
    <t>X IF MISSING(Rx OUD no PY heroin NSDUH+Rx OUD with PY heroin DATA,NAREPLACEMENT)</t>
  </si>
  <si>
    <t>Rx OUD by MOUD</t>
  </si>
  <si>
    <t>Rx OUD by MOUD[TxT] = Rx OUD no heroin by MOUD[TxT]+Rx OUD with heroin by MOUD[TxT]</t>
  </si>
  <si>
    <t>Number of people with Rx OUD, with or without past year heroin use, in each MOUD treatment.</t>
  </si>
  <si>
    <t>Rx OUD in early or Tx remission</t>
  </si>
  <si>
    <t>Rx OUD no heroin in remission+Rx OUD with heroin in remission+SUM(Rx OUD no PY heroin in remission in MOUD Tx[TxT]+Rx OUD with PY heroin in remission in MOUD Tx[TxT])</t>
  </si>
  <si>
    <t>Rx OUD in remission total prior</t>
  </si>
  <si>
    <t>IF THEN ELSE(Time=2013,1.52192e+06,NAREPLACEMENT)</t>
  </si>
  <si>
    <t xml:space="preserve"> Number of people in remission (&gt;=1 but &lt;5 years) from Rx OUD in 2012-13. </t>
  </si>
  <si>
    <t xml:space="preserve"> Saha 2016, Hoffman 2019</t>
  </si>
  <si>
    <t>Rx OUD in stable remission total prior</t>
  </si>
  <si>
    <t>IF THEN ELSE(Time=2013,882376,NAREPLACEMENT)</t>
  </si>
  <si>
    <t xml:space="preserve"> Number of people in stable (5+ years) remission from Rx OUD in 2012-13. </t>
  </si>
  <si>
    <t>Rx OUD no heroin by MOUD</t>
  </si>
  <si>
    <t>Rx OUD no heroin by MOUD[TxT] = (((Tx engagement Rx OUD no H[TxT]-Tx exit in remission Rx OUD no H[TxT])-Tx exit with UD Rx OUD no H[TxT])-NonOD death Rx OUD no H in Tx[TxT])-Overdose death Rx OUD no H in Tx[TxT]Initial Rx OUD no H in Tx[TxT]</t>
  </si>
  <si>
    <t>Rx OUD no heroin in remission</t>
  </si>
  <si>
    <t>((((SUM(Tx exit in remission Rx OUD no H[TxT]))-NonOD death Rx OUD no H in remission)-Relapsing to Rx OUD no H)+Remitting Rx OUD no H no MOUD Tx)-Stabilizing remission Rx OUD no HInitial Rx OUD no H in remission</t>
  </si>
  <si>
    <t>Rx OUD no heroin in stable remission</t>
  </si>
  <si>
    <t>Stabilizing remission Rx OUD no H-NonOD death Rx OUD no H in stable remissionInitial Rx OUD no H in stable remission</t>
  </si>
  <si>
    <t>Individuals with OUD and no heroin use who are in stable remission, ie, have been in remission for greater than 5 years</t>
  </si>
  <si>
    <t>Rx OUD no PY heroin in remission in MOUD Tx</t>
  </si>
  <si>
    <t>Rx OUD no PY heroin in remission in MOUD Tx[TxT] = Remission fraction in Tx[TxT]*Rx OUD no heroin by MOUD[TxT]</t>
  </si>
  <si>
    <t>People who are receiving a given medication and are in remission from Rx OUD without past year heroin use.</t>
  </si>
  <si>
    <t>Rx OUD no PY heroin no MOUD</t>
  </si>
  <si>
    <t>((((((Developing Rx OUD+Net quitting heroin with Rx OUD)-Initiating heroin with Rx OUD)-Remitting Rx OUD no H no MOUD Tx)-NonOD death Rx OUD no H)-Overdose death Rx OUD no H)+Relapsing to Rx OUD no H)+(SUM((Tx exit with UD Rx OUD no H[TxT]-Tx engagement Rx OUD no H[TxT])))Initial Rx OUD no H</t>
  </si>
  <si>
    <t>Rx OUD no PY heroin NSDUH</t>
  </si>
  <si>
    <t>EXTERNAL_DATA(Rx OUD no PY heroin NSDUH)</t>
  </si>
  <si>
    <t xml:space="preserve">Individuals with Rx OUD and no past year heroin use. </t>
  </si>
  <si>
    <t xml:space="preserve">Lifetime but not past year heroin use is possible in this group. </t>
  </si>
  <si>
    <t>Rx OUD no PY heroin total</t>
  </si>
  <si>
    <t>Rx OUD no PY heroin no MOUD+SUM((1-Remission fraction in Tx[TxT])*Rx OUD no heroin by MOUD[TxT])</t>
  </si>
  <si>
    <t>Individuals with Rx OUD but no past year heroin use.</t>
  </si>
  <si>
    <t>Rx OUD with heroin by MOUD</t>
  </si>
  <si>
    <t>Rx OUD with heroin by MOUD[TxT] = (((Tx engagement Rx OUD with H[TxT]-Tx exit in remission Rx OUD with H[TxT])-Tx exit with UD Rx OUD with H[TxT])-NonOD death Rx OUD with H in Tx[TxT])-Overdose death Rx OUD with H in Tx[TxT]Initial Rx OUD with H in Tx[TxT]</t>
  </si>
  <si>
    <t>Rx OUD with heroin in remission</t>
  </si>
  <si>
    <t>((((SUM(Tx exit in remission Rx OUD with H[TxT]))-NonOD death Rx OUD with H in remission)-Relapsing to Rx OUD with H)+Remitting Rx OUD with H no MOUD Tx)-Stabilizing remission Rx OUD with HInitial Rx OUD with H in remission</t>
  </si>
  <si>
    <t>Rx OUD with heroin in stable remission</t>
  </si>
  <si>
    <t>Stabilizing remission Rx OUD with H-NonOD death Rx OUD with H in stable remissionInitial Rx OUD with H in stable remission</t>
  </si>
  <si>
    <t>Individuals with OUD and NDHU use who are in stable remission, ie, have been in remission for greater than 5 years</t>
  </si>
  <si>
    <t>Rx OUD with PY heroin DATA</t>
  </si>
  <si>
    <t>Rx OUD with PY heroin NSDUH RAND</t>
  </si>
  <si>
    <t>Rx OUD with PY heroin in remission in MOUD Tx</t>
  </si>
  <si>
    <t>Rx OUD with PY heroin in remission in MOUD Tx[TxT] = Rx OUD with heroin by MOUD[TxT]*Remission fraction in Tx[TxT]</t>
  </si>
  <si>
    <t>People who are receiving a given medication and are in remission from Rx OUD with past year heroin use.</t>
  </si>
  <si>
    <t>Rx OUD with PY heroin no MOUD</t>
  </si>
  <si>
    <t>((((((Initiating heroin with Rx OUD-Developing HUD with Rx OUD)-Net quitting heroin with Rx OUD)-Remitting Rx OUD with H no MOUD Tx)-NonOD death Rx OUD with H)-Overdose death Rx OUD with H)+Relapsing to Rx OUD with H)+(SUM((Tx exit with UD Rx OUD with H[TxT]-Tx engagement Rx OUD with H[TxT])))Initial Rx OUD with H</t>
  </si>
  <si>
    <t>EXTERNAL_DATA(Rx OUD with PY heroin NSDUH RAND)</t>
  </si>
  <si>
    <t>Estimates from NSDUH for Rx OUD + H multiplied by the average ratio (=1.99) between NSDUH Rx OUD + H and RAND estimates</t>
  </si>
  <si>
    <t>Rx OUD with PY heroin total</t>
  </si>
  <si>
    <t>Rx OUD with PY heroin no MOUD+SUM((1-Remission fraction in Tx[TxT])*Rx OUD with heroin by MOUD[TxT])</t>
  </si>
  <si>
    <t>Rx price StreetRx</t>
  </si>
  <si>
    <t>$/MME</t>
  </si>
  <si>
    <t>EXTERNAL_DATA(Rx price StreetRx)</t>
  </si>
  <si>
    <t xml:space="preserve">Street price of Rx Opioids. </t>
  </si>
  <si>
    <t xml:space="preserve"> StreetRx, Harocopos et al 2016</t>
  </si>
  <si>
    <t>Rx street supply disruption</t>
  </si>
  <si>
    <t>Rx street supply shocks-Rx street supply readjustment0.0</t>
  </si>
  <si>
    <t>Abstract stock representing temporary disruptions to the street / diverted Rx supply, such as withdrawal of a preferred drug from the market. Street supply eventually readjusts to meet demand with whatever opioids are available, but temporary disruptions will have a short- to medium-term impact on street Rx prices.</t>
  </si>
  <si>
    <t>Rx street supply impact policy</t>
  </si>
  <si>
    <t>PULSE(Policy activation time,Policy rampup duration)*Policy change Rx street supply shocks</t>
  </si>
  <si>
    <t>Rx street supply readjustment</t>
  </si>
  <si>
    <t>Rx street supply disruption/Time to readjust Rx street supply</t>
  </si>
  <si>
    <t>Represents the process of gradual readjustment of street supply to prevailing conditions in response to disruptions</t>
  </si>
  <si>
    <t>Rx street supply shocks</t>
  </si>
  <si>
    <t>OxyContin withdrawal supply impact+Rx street supply impact policy</t>
  </si>
  <si>
    <t>Rx supply relative</t>
  </si>
  <si>
    <t>Average MME per opioid Rx relative^(3*Sensitivity of Rx supply to MME per Rx/(Sensitivity of Rx supply to MME per Rx+Sensitivity of Rx supply to patients receiving prescription+Sensitivity of Rx supply to Rx per person))*Patients receiving opioid prescription relative^(3*Sensitivity of Rx supply to patients receiving prescription/(Sensitivity of Rx supply to MME per Rx+Sensitivity of Rx supply to patients receiving prescription+Sensitivity of Rx supply to Rx per person))*Prescriptions per person relative^(3*Sensitivity of Rx supply to Rx per person/(Sensitivity of Rx supply to MME per Rx+Sensitivity of Rx supply to patients receiving prescription+Sensitivity of Rx supply to Rx per person))</t>
  </si>
  <si>
    <t>Supply of prescription opioids available for potential misuse, indexed to model start. Can be thought of as 'excess' pills not used as prescribed within the time period of the prescription, which therefore present potential opportunities for misuse.</t>
  </si>
  <si>
    <t>Rx supply relative net</t>
  </si>
  <si>
    <t>Rx supply relative*(1+RAMP(Policy change Rx supply relative/Policy rampup duration,Policy activation time,Policy activation time+Policy rampup duration))</t>
  </si>
  <si>
    <t>Supply of prescription opioids available for potential misuse, indexed to model initiation, after accounting for policy changes.</t>
  </si>
  <si>
    <t>Rx vs H availability coeff developing HUD with Rx OUD</t>
  </si>
  <si>
    <t>Rx vs heroin availability index^(-Rx vs H availability strength developing HUD with Rx OUD)</t>
  </si>
  <si>
    <t>The multiplier effect of the relative price of Rx opioids compared to heroin (relative to their respective prices at model initiation) on developing an HUD among people who have an Rx OUD.</t>
  </si>
  <si>
    <t>Rx vs H availability coeff initiating heroin with Rx OUD</t>
  </si>
  <si>
    <t>Rx vs heroin availability index^(-Rx vs H availability strength initiating heroin with Rx OUD)</t>
  </si>
  <si>
    <t>The multiplier effect of the relative price of Rx opioids compared to heroin (relative to their respective prices at model initiation) on initiating nondisordered heroin use among people who have an Rx OUD.</t>
  </si>
  <si>
    <t>Rx vs H availability coeff initiating NDHU with Rx</t>
  </si>
  <si>
    <t>Rx vs heroin availability index misuse^(-Rx vs H availability strength initiating NDHU with Rx)</t>
  </si>
  <si>
    <t>The multiplier effect of the relative price of Rx opioids compared to heroin (relative to their respective prices at model initiation) on initiating nondisordered heroin use among people who are misusing Rx opioids.</t>
  </si>
  <si>
    <t>Rx vs H availability strength developing HUD with Rx OUD</t>
  </si>
  <si>
    <t xml:space="preserve"> Sensitivity of development of HUD in individuals who have an Rx OUD to the relative availability of Rx vs Heroin (relative to their respective availabilities at model initiation).</t>
  </si>
  <si>
    <t>Rx vs H availability strength initiating heroin with Rx OUD</t>
  </si>
  <si>
    <t xml:space="preserve"> Sensitivity of initiation of heroin use in individuals who have Rx OUD to the relative availability of Rx vs Heroin (relative to their respective availabilities at model initiation).</t>
  </si>
  <si>
    <t>Rx vs H availability strength initiating NDHU with Rx</t>
  </si>
  <si>
    <t xml:space="preserve"> Sensitivity of initiation of heroin use in individuals who misuse Rx opioids to the relative availability of Rx vs Heroin (relative to their respective availabilities at model initiation).</t>
  </si>
  <si>
    <t>Rx vs heroin availability index</t>
  </si>
  <si>
    <t>XIDZ(Rx availability for UD endogenous,Heroin availability index,1)</t>
  </si>
  <si>
    <t># UPDATE THIS The relative price of Rx opioids compared to heroin, each compared to their prices at model start (INITIAL TIME).</t>
  </si>
  <si>
    <t>Rx vs heroin availability index misuse</t>
  </si>
  <si>
    <t>XIDZ(Rx availability for misuse relative,Heroin availability index,1)</t>
  </si>
  <si>
    <t>SAVEPER</t>
  </si>
  <si>
    <t>TIME STEP</t>
  </si>
  <si>
    <t>The frequency with which output is stored.</t>
  </si>
  <si>
    <t>Sensitivity of Rx supply to MME per Rx</t>
  </si>
  <si>
    <t xml:space="preserve"> Weight parameter determining the relative importance of prescription strengths (MME/Rx) vs. number of people with opioid prescriptions in affecting the supply of 'excess' Rx available for misuse. A value of 1 is neutral, giving equal importance to size &amp; number. A values less than 1 indicates that diversion is driven more by the number of people with a prescription, while a value greater than 1 indicates diversion is driven more by the strength of presriptions.</t>
  </si>
  <si>
    <t>Sensitivity of Rx supply to patients receiving prescription</t>
  </si>
  <si>
    <t xml:space="preserve"> Sensitivity of Rx opioid street supply to patients receiving prescription opioids.</t>
  </si>
  <si>
    <t>Sensitivity of Rx supply to Rx per person</t>
  </si>
  <si>
    <t xml:space="preserve"> Sensitivity of Rx opioid street supply to number of Rxs to patients receiving prescription opioids.</t>
  </si>
  <si>
    <t>SI on developing HUD current</t>
  </si>
  <si>
    <t>Effective SI users HUD development/Population</t>
  </si>
  <si>
    <t>Current Social Influence impact on the development of HUD.</t>
  </si>
  <si>
    <t>SI on developing HUD reference</t>
  </si>
  <si>
    <t>INITIAL(SI on developing HUD current)</t>
  </si>
  <si>
    <t>Social Influence impact on the development of HUD at model initiation (INITIAL TIME).</t>
  </si>
  <si>
    <t>SI on developing HUD relative</t>
  </si>
  <si>
    <t>SI on developing HUD current/SI on developing HUD reference</t>
  </si>
  <si>
    <t>Current Social Influence impact on the development of HUD relative to model initiation (INITIAL TIME).</t>
  </si>
  <si>
    <t>SI on developing Rx OUD current</t>
  </si>
  <si>
    <t>Effective SI users Rx OUD development/Population</t>
  </si>
  <si>
    <t>Current Social Influence impact on the development of Rx OUD.</t>
  </si>
  <si>
    <t>SI on developing Rx OUD reference</t>
  </si>
  <si>
    <t>INITIAL(SI on developing Rx OUD current)</t>
  </si>
  <si>
    <t>Social Influence impact on the development of Rx OUD at model initiation (INITIAL TIME).</t>
  </si>
  <si>
    <t>SI on developing Rx OUD relative</t>
  </si>
  <si>
    <t>XIDZ(SI on developing Rx OUD current,SI on developing Rx OUD reference,1)</t>
  </si>
  <si>
    <t>Current Social Influence impact on the development of Rx OUD relative to model initiation (INITIAL TIME).</t>
  </si>
  <si>
    <t>SI on initiating heroin current</t>
  </si>
  <si>
    <t>Effective SI users heroin initiation/Population</t>
  </si>
  <si>
    <t>Current Social Influence impact on the initiation of heroin.</t>
  </si>
  <si>
    <t>SI on initiating heroin reference</t>
  </si>
  <si>
    <t>INITIAL(SI on initiating heroin current)</t>
  </si>
  <si>
    <t>Social Influence impact on the initiation of heroin use at model initiation (INITIAL TIME).</t>
  </si>
  <si>
    <t>SI on initiating heroin relative</t>
  </si>
  <si>
    <t>SI on initiating heroin current/SI on initiating heroin reference</t>
  </si>
  <si>
    <t>Social Influence impact on the initiation of heroin use relative to model initiation (INITIAL TIME).</t>
  </si>
  <si>
    <t>SI on initiating Rx misuse current</t>
  </si>
  <si>
    <t>Effective SI users Rx misuse initiation/Population</t>
  </si>
  <si>
    <t>Current Social Influence impact on the initiation of Rx misuse.</t>
  </si>
  <si>
    <t>SI on initiating Rx misuse reference</t>
  </si>
  <si>
    <t>INITIAL(SI on initiating Rx misuse current)</t>
  </si>
  <si>
    <t>Social Influence impact on the initiation of Rx misuse at model initiation (INITIAL TIME).</t>
  </si>
  <si>
    <t>SI on initiating Rx misuse relative</t>
  </si>
  <si>
    <t>SI on initiating Rx misuse current/SI on initiating Rx misuse reference</t>
  </si>
  <si>
    <t>Social Influence impact on the initiation of Rx misuse relative to model initiation (INITIAL TIME).</t>
  </si>
  <si>
    <t>SI on remission current</t>
  </si>
  <si>
    <t>Total in Remission/Population</t>
  </si>
  <si>
    <t>SI on remission reference</t>
  </si>
  <si>
    <t>INITIAL(SI on remission current)</t>
  </si>
  <si>
    <t>SI on remission relative</t>
  </si>
  <si>
    <t>SI on remission current/SI on remission reference</t>
  </si>
  <si>
    <t>SimPrior</t>
  </si>
  <si>
    <t>SimPrior[StElm] = NAREPLACEMENT</t>
  </si>
  <si>
    <t>SimVar</t>
  </si>
  <si>
    <t>SimVar[RMis] = Rx misuse no PY heroin</t>
  </si>
  <si>
    <t>Social influence coeff developing HUD</t>
  </si>
  <si>
    <t>SI on developing HUD relative^Social influence strength developing HUD</t>
  </si>
  <si>
    <t>The multiplier effect of social influence on developing HUD.</t>
  </si>
  <si>
    <t>Social influence coeff developing Rx OUD</t>
  </si>
  <si>
    <t>SI on developing Rx OUD relative^Social influence strength developing Rx OUD</t>
  </si>
  <si>
    <t>The multiplier effect of social influence on developing Rx OUD.</t>
  </si>
  <si>
    <t>Social influence coeff initiating heroin with Rx OUD</t>
  </si>
  <si>
    <t>SI on initiating heroin relative^Social influence strength initiating heroin with Rx OUD</t>
  </si>
  <si>
    <t>The multiplier effect of social influence on initiating heroin with Rx OUD.</t>
  </si>
  <si>
    <t>Social influence coeff initiating NDHU no Rx</t>
  </si>
  <si>
    <t>SI on initiating heroin relative^Social influence strength initiating NDHU no Rx</t>
  </si>
  <si>
    <t>The multiplier effect of social influence on initiating heroin without Rx misuse or OUD.</t>
  </si>
  <si>
    <t>Social influence coeff initiating NDHU with Rx</t>
  </si>
  <si>
    <t>SI on initiating heroin relative^Social influence strength initiating NDHU with Rx</t>
  </si>
  <si>
    <t>The multiplier effect of social influence on initiating heroin with Rx misuse.</t>
  </si>
  <si>
    <t>Social influence coeff initiating Rx misuse</t>
  </si>
  <si>
    <t>SI on initiating Rx misuse relative^Social influence strength initiating Rx misuse</t>
  </si>
  <si>
    <t>The multiplier effect of social influence on initiating Rx opioid misuse.</t>
  </si>
  <si>
    <t>Social influence coefficient relapse</t>
  </si>
  <si>
    <t>SI on remission relative^-Social influence strength relapse net</t>
  </si>
  <si>
    <t>Social influence coefficient remission</t>
  </si>
  <si>
    <t>SI on remission relative^Social influence strength remission</t>
  </si>
  <si>
    <t>Social influence strength developing HUD</t>
  </si>
  <si>
    <t xml:space="preserve"> Sensitivity of HUD development to Social Influence.</t>
  </si>
  <si>
    <t>Social influence strength developing Rx OUD</t>
  </si>
  <si>
    <t xml:space="preserve"> Sensitivity of Rx OUD development to Social Influence</t>
  </si>
  <si>
    <t>Social influence strength initiating heroin with Rx OUD</t>
  </si>
  <si>
    <t xml:space="preserve"> Sensitivity of heroin initiation in individuals with Rx OUD to Social Influence</t>
  </si>
  <si>
    <t>Social influence strength initiating NDHU no Rx</t>
  </si>
  <si>
    <t xml:space="preserve"> Sensitivity of heroin initiation in individuals with no Rx misuse to Social Influence</t>
  </si>
  <si>
    <t>Social influence strength initiating NDHU with Rx</t>
  </si>
  <si>
    <t xml:space="preserve"> Sensitivity of heroin initiation in individuals with misuse Rx to Social Influence</t>
  </si>
  <si>
    <t>Social influence strength initiating Rx misuse</t>
  </si>
  <si>
    <t xml:space="preserve"> Sensitivity of initiation of Rx misuse to Social Influence</t>
  </si>
  <si>
    <t>Social influence strength relapse</t>
  </si>
  <si>
    <t>#KEEP THIS AT ZERO by default</t>
  </si>
  <si>
    <t>Social influence strength relapse net</t>
  </si>
  <si>
    <t>Social influence strength relapse+RAMP(Policy change social influence strength relapse/Policy rampup duration,Policy activation time,Policy activation time+Policy rampup duration)</t>
  </si>
  <si>
    <t>KEEP THIS AT ZERO by default</t>
  </si>
  <si>
    <t>Social influence strength remission</t>
  </si>
  <si>
    <t>Stabilizing remission HUD</t>
  </si>
  <si>
    <t>HUD in remission/Time to stabilize remission</t>
  </si>
  <si>
    <t>Stabilizing remission Rx OUD no H</t>
  </si>
  <si>
    <t>Rx OUD no heroin in remission/Time to stabilize remission</t>
  </si>
  <si>
    <t>Stabilizing remission Rx OUD with H</t>
  </si>
  <si>
    <t>Rx OUD with heroin in remission/Time to stabilize remission</t>
  </si>
  <si>
    <t>StDev</t>
  </si>
  <si>
    <t>StDev[Elm] = 1</t>
  </si>
  <si>
    <t>Switch for alternative HUD data</t>
  </si>
  <si>
    <t>Switch for constant projections</t>
  </si>
  <si>
    <t>Switch for constant projections[Proj] = 0</t>
  </si>
  <si>
    <t>Switch values correspond to elements of [Proj] subscript, in order (see Subscripts &gt; Proj - elements). 0 = best-guess projection, 1 = constant-value projection.In order: Fent,HPI,MME,BMDCap,MMTCap,VivCap,NxKD,PtRx,ADF,RxPP</t>
  </si>
  <si>
    <t>Switch for historical noise</t>
  </si>
  <si>
    <t>If set to 0, recovers DataVar as RepVar; if set to 1, generates RepVar with new noise stream</t>
  </si>
  <si>
    <t>Switch for no fentanyl</t>
  </si>
  <si>
    <t>SynVar</t>
  </si>
  <si>
    <t>SynVar[Elm] = IF THEN ELSE(DataVar[Elm]=NAREPLACEMENT,NAREPLACEMENT,RepVar[Elm])</t>
  </si>
  <si>
    <t>The time step for the simulation.</t>
  </si>
  <si>
    <t>Time to readjust Rx street supply</t>
  </si>
  <si>
    <t xml:space="preserve">Years </t>
  </si>
  <si>
    <t xml:space="preserve"> How quickly the Rx street supply adapts to short-term disruptions, based on the OxyContin experience. We estimated this based on the estimated time it took people who transitioned from OxyContin to heroin to do so,  assuming similar adjustment periods to transition to other drugs </t>
  </si>
  <si>
    <t>Cicero &amp; Ellis 2015</t>
  </si>
  <si>
    <t xml:space="preserve"> Cicero &amp; Ellis report most of the transition observed from 2011-14 occurred in 2011, which is 17 months after the old version of OxyContin was replaced with its ADF version.</t>
  </si>
  <si>
    <t>Time to stabilize remission</t>
  </si>
  <si>
    <t xml:space="preserve"> The point at which the risk of relapse/return to use disorder becomes similar to the risk of use disorder development among the general population. Literature estimates are that it takes about 5 years of remission from disorder before it stabilizes.This is equal to four years because individuals already have one year of remission when they get to the remission stock. </t>
  </si>
  <si>
    <t>Y.-I. Hser et al. 2015; DuPont, Compton, and McLellan 2015</t>
  </si>
  <si>
    <t>Total annual Tx receipt by MOUD</t>
  </si>
  <si>
    <t>Total annual Tx receipt by MOUD[TxT] = Total by MOUD[TxT]/Tx average duration net[TxT]</t>
  </si>
  <si>
    <t>Total by MOUD</t>
  </si>
  <si>
    <t>Total by MOUD[TxT] = HUD by MOUD[TxT]+Rx OUD no heroin by MOUD[TxT]+Rx OUD with heroin by MOUD[TxT]+HUD in remission in MOUD Tx[TxT]+Rx OUD no PY heroin in remission in MOUD Tx[TxT]+Rx OUD with PY heroin in remission in MOUD Tx[TxT]</t>
  </si>
  <si>
    <t># Number of people in each type of MOUD treatment, totaled across use disorders.</t>
  </si>
  <si>
    <t>Total heroin initiation</t>
  </si>
  <si>
    <t>Initiating heroin no Rx+Initiating heroin with Rx misuse+Initiating heroin with Rx OUD</t>
  </si>
  <si>
    <t>Total heroin initiation DATA</t>
  </si>
  <si>
    <t>Total heroin initiation SAMHSA RAND</t>
  </si>
  <si>
    <t>EXTERNAL_DATA(Total heroin initiation SAMHSA RAND)</t>
  </si>
  <si>
    <t xml:space="preserve">Individuals initiating heroin use. </t>
  </si>
  <si>
    <t xml:space="preserve"> SAMHSA adjusted with RAND</t>
  </si>
  <si>
    <t>Total heroin users</t>
  </si>
  <si>
    <t>Nondisordered heroin use+Rx OUD with PY heroin total+HUD total</t>
  </si>
  <si>
    <t>Total heroin users DATA</t>
  </si>
  <si>
    <t>X IF MISSING(HUD DATA+Rx OUD with PY heroin DATA+Nondisordered heroin use DATA,NAREPLACEMENT)</t>
  </si>
  <si>
    <t>Total HUD in remission</t>
  </si>
  <si>
    <t>Total HUD in remission not in tx+SUM(HUD in remission in MOUD Tx[TxT])</t>
  </si>
  <si>
    <t>Total HUD in remission not in tx</t>
  </si>
  <si>
    <t>HUD in remission+HUD in stable remission</t>
  </si>
  <si>
    <t>Total in Remission</t>
  </si>
  <si>
    <t>Total HUD in remission+Total in Rx OUD Remission</t>
  </si>
  <si>
    <t># The number of people in remission, totaled across those in treatment and out of treatment.</t>
  </si>
  <si>
    <t>Total in Remission by MOUD</t>
  </si>
  <si>
    <t>Total in Remission by MOUD[TxT] = HUD in remission in MOUD Tx[TxT]+Rx OUD no PY heroin in remission in MOUD Tx[TxT]+Rx OUD with PY heroin in remission in MOUD Tx[TxT]</t>
  </si>
  <si>
    <t># The number of people in remission in each MOUD treatment, totaled across use disorders.</t>
  </si>
  <si>
    <t>Total in Remission in Treatment</t>
  </si>
  <si>
    <t>SUM(Total in Remission by MOUD[TxT])</t>
  </si>
  <si>
    <t>Total in Rx OUD Remission</t>
  </si>
  <si>
    <t>SUM(Rx OUD no PY heroin in remission in MOUD Tx[TxT])+SUM(Rx OUD with PY heroin in remission in MOUD Tx[TxT])+Total Rx OUD in Remission not in Tx</t>
  </si>
  <si>
    <t>Total nondisordered heroin users</t>
  </si>
  <si>
    <t>Nondisordered heroin use+Rx OUD with PY heroin total</t>
  </si>
  <si>
    <t>Total nondisordered heroin users DATA</t>
  </si>
  <si>
    <t>X IF MISSING(Nondisordered heroin use DATA+Rx OUD with PY heroin DATA,NAREPLACEMENT)</t>
  </si>
  <si>
    <t>Total nonfatal overdoses</t>
  </si>
  <si>
    <t>Nonfatal ODs Rx OUD no H+Nonfatal ODs HUD+Nonfatal ODs NDHU+Nonfatal ODs Rx OUD with H+Nonfatal ODs Rx misuse</t>
  </si>
  <si>
    <t>Total nonfatal overdoses heroin</t>
  </si>
  <si>
    <t>Nonfatal ODs HUD+Nonfatal ODs NDHU</t>
  </si>
  <si>
    <t>Total nonfatal overdoses Rx</t>
  </si>
  <si>
    <t>Nonfatal ODs Rx OUD no H+Nonfatal ODs Rx misuse+Nonfatal ODs Rx OUD with H</t>
  </si>
  <si>
    <t>Total overdose data last time</t>
  </si>
  <si>
    <t>INITIAL(GET DATA LAST TIME(Total overdose deaths synth no H NVSS))</t>
  </si>
  <si>
    <t>Total overdose deaths</t>
  </si>
  <si>
    <t>Overdose death Rx misuse+Overdose death NDHU+Overdose death MU+Total overdose deaths Rx OUD no H+Total overdose deaths Rx OUD with H+Total overdose deaths HUD</t>
  </si>
  <si>
    <t>Total overdose deaths base heroin</t>
  </si>
  <si>
    <t>Overdose death NDHU*OD death fraction base NDHU+Total overdose deaths HUD*OD death fraction base HUD</t>
  </si>
  <si>
    <t>Total overdose deaths base heroin NVSS</t>
  </si>
  <si>
    <t>EXTERNAL_DATA(Total overdose deaths base heroin NVSS)</t>
  </si>
  <si>
    <t>Total overdose deaths base Rx</t>
  </si>
  <si>
    <t>Overdose death MU+Overdose death Rx misuse+Total overdose deaths Rx OUD no H*OD death fraction base Rx OUD no H+Total overdose deaths Rx OUD with H</t>
  </si>
  <si>
    <t>Total overdose deaths base Rx NVSS</t>
  </si>
  <si>
    <t>EXTERNAL_DATA(Total overdose deaths base Rx NVSS)</t>
  </si>
  <si>
    <t>Total overdose deaths heroin</t>
  </si>
  <si>
    <t>Overdose death NDHU+Total overdose deaths HUD</t>
  </si>
  <si>
    <t>Total overdose deaths heroin and excess estimated</t>
  </si>
  <si>
    <t>IF THEN ELSE(Time&gt;2018,NAREPLACEMENT,Total overdose deaths base heroin NVSS+OD deaths synth excess estimated)</t>
  </si>
  <si>
    <t>Total overdose deaths HUD</t>
  </si>
  <si>
    <t>Overdose death HUD+SUM(Overdose death HUD in MOUD Tx[TxT])</t>
  </si>
  <si>
    <t>Total overdose deaths NVSS</t>
  </si>
  <si>
    <t>X IF MISSING(Total overdose deaths base Rx NVSS+Total overdose deaths base heroin NVSS+Total overdose deaths synth no H NVSS+Total overdose deaths synth heroin NVSS,NAREPLACEMENT)</t>
  </si>
  <si>
    <t>Total overdose deaths Rx</t>
  </si>
  <si>
    <t>Overdose death MU+Overdose death Rx misuse+Total overdose deaths Rx OUD no H+Total overdose deaths Rx OUD with H</t>
  </si>
  <si>
    <t>Total overdose deaths Rx OUD no H</t>
  </si>
  <si>
    <t>Overdose death Rx OUD no H+SUM(Overdose death Rx OUD no H in Tx[TxT])</t>
  </si>
  <si>
    <t>Total overdose deaths Rx OUD with H</t>
  </si>
  <si>
    <t>Overdose death Rx OUD with H+SUM(Overdose death Rx OUD with H in Tx[TxT])</t>
  </si>
  <si>
    <t>Total overdose deaths synth</t>
  </si>
  <si>
    <t>Total overdose deaths synth base+Total overdose deaths synth excess</t>
  </si>
  <si>
    <t>Total overdose deaths synth base</t>
  </si>
  <si>
    <t>Total overdose deaths Rx OUD no H*OD death fraction synth baseline Rx OUD no H</t>
  </si>
  <si>
    <t>Total overdose deaths synth excess</t>
  </si>
  <si>
    <t>Overdose death NDHU*OD death fraction synth NDHU+Total overdose deaths HUD*OD death fraction synth HUD</t>
  </si>
  <si>
    <t>Total synthetic-involved overdose deaths among heroin users, including both those due to baseline levels of synthetic use / exposure and to heightened synthetic exposure post-2013.</t>
  </si>
  <si>
    <t>Total overdose deaths synth heroin NVSS</t>
  </si>
  <si>
    <t>EXTERNAL_DATA(Total overdose deaths synth heroin NVSS)</t>
  </si>
  <si>
    <t xml:space="preserve"> NVSS</t>
  </si>
  <si>
    <t>Total overdose deaths synth no H NVSS</t>
  </si>
  <si>
    <t>EXTERNAL_DATA(Total overdose deaths synth no H NVSS)</t>
  </si>
  <si>
    <t>Total overdoses heroin</t>
  </si>
  <si>
    <t>Total nonfatal overdoses heroin+Total overdose deaths heroin</t>
  </si>
  <si>
    <t>Total overdoses Rx</t>
  </si>
  <si>
    <t>Total nonfatal overdoses Rx+Total overdose deaths Rx</t>
  </si>
  <si>
    <t>Total overdoses Rx synth baseline fraction</t>
  </si>
  <si>
    <t>Total overdoses synth baseline/Total overdoses Rx</t>
  </si>
  <si>
    <t>Total overdoses synth baseline</t>
  </si>
  <si>
    <t>Overdose rate synth baseline*Rx OUD no PY heroin no MOUD</t>
  </si>
  <si>
    <t>Total prescription opioid Rx</t>
  </si>
  <si>
    <t>Rx/year</t>
  </si>
  <si>
    <t>Patients receiving opioid prescription*Prescriptions per person</t>
  </si>
  <si>
    <t>Total prescription opioid Rx IQVIA</t>
  </si>
  <si>
    <t>EXTERNAL_DATA(Total prescription opioid Rx IQVIA)</t>
  </si>
  <si>
    <t xml:space="preserve">Estimated annual number of opioid analgesic prescriptions dispensed from U.S. outpatient pharmacies including retail and mail order pharmacies. </t>
  </si>
  <si>
    <t>Total Rx misuse initiation</t>
  </si>
  <si>
    <t>Initiating Rx misuse diverted+Initiating Rx misuse own Rx</t>
  </si>
  <si>
    <t>Total number of people who initiate Rx opioid misuse, regardless of the source of their opioids.</t>
  </si>
  <si>
    <t>Total Rx misuse initiation SAMHSA</t>
  </si>
  <si>
    <t>EXTERNAL_DATA(Total Rx misuse initiation SAMHSA)</t>
  </si>
  <si>
    <t xml:space="preserve">Individuals initiating Rx Misuse from any source. </t>
  </si>
  <si>
    <t>Total Rx misuse initiation SAMHSA redef corrected</t>
  </si>
  <si>
    <t>IF THEN ELSE(Time&lt;2019,Total Rx misuse initiation SAMHSA*NSDUH misuse redefinition effect,NAREPLACEMENT)</t>
  </si>
  <si>
    <t xml:space="preserve"> Total number of people who initiate Rx opioid misuse, based on SAMHSA report, after correcting for rewording in NSDUH 2015 which created a trend break. </t>
  </si>
  <si>
    <t>Total Rx MME prescribed</t>
  </si>
  <si>
    <t>Patients receiving opioid prescription*Prescriptions per person*Average MME per opioid Rx</t>
  </si>
  <si>
    <t>Total Rx MME prescribed IQVIA</t>
  </si>
  <si>
    <t>EXTERNAL_DATA(Total Rx MME prescribed IQVIA)</t>
  </si>
  <si>
    <t xml:space="preserve">Total prescription opioids prescribed in units of morphine milligram equivalents (MMEs), a standardized way of comparing opioid medications according to their relative potency. </t>
  </si>
  <si>
    <t>Total Rx OUD in Remission not in Tx</t>
  </si>
  <si>
    <t>Rx OUD no heroin in remission+Rx OUD with heroin in remission+Rx OUD no heroin in stable remission+Rx OUD with heroin in stable remission</t>
  </si>
  <si>
    <t>Total Rx use excl heroin</t>
  </si>
  <si>
    <t>Rx misuse no PY heroin+Rx OUD no PY heroin total</t>
  </si>
  <si>
    <t>Sum of individuals who misuse Rx opioids (both street and own supply) but do not use heroin.</t>
  </si>
  <si>
    <t>Total Rx users</t>
  </si>
  <si>
    <t>Rx misuse no PY heroin+Rx OUD all total+HUD total*Fraction of HUD who use Rx NSDUH+Fraction of NDHU who use Rx NSDUH*Nondisordered heroin use</t>
  </si>
  <si>
    <t>Total Rx Users corrected DATA</t>
  </si>
  <si>
    <t>IF THEN ELSE(Time&lt;2019,Rx misuse no PY heroin NSDUH redef corrected+Rx OUD all total DATA+(HUD DATA*Fraction of HUD who use Rx NSDUH)+(Total nondisordered heroin users DATA*Fraction of NDHU who use Rx NSDUH),NAREPLACEMENT)</t>
  </si>
  <si>
    <t xml:space="preserve">Total number of people who misuse Rx opioids, including heroin users, based on NSDUH, after correcting for rewording in NSDUH 2015 which introduced a trend break. </t>
  </si>
  <si>
    <t>Total Rx users excl heroin DATA</t>
  </si>
  <si>
    <t>Rx misuse no PY heroin NSDUH redef corrected+Rx OUD no PY heroin NSDUH</t>
  </si>
  <si>
    <t>Total Tx engagement rate HUD</t>
  </si>
  <si>
    <t>SUM(Tx engagement rate actual HUD[TxT])</t>
  </si>
  <si>
    <t>The rate of any MOUD treatment engagement among people with HUD.</t>
  </si>
  <si>
    <t>Total Tx engagement rate Rx OUD no H</t>
  </si>
  <si>
    <t>SUM(Tx engagement rate actual Rx OUD no H[TxT])</t>
  </si>
  <si>
    <t>The rate of any MOUD treatment engagement among people with Rx OUD without past year heroin use.</t>
  </si>
  <si>
    <t>Total Tx engagement rate Rx OUD with H</t>
  </si>
  <si>
    <t>SUM(Tx engagement rate actual Rx OUD with H[TxT])</t>
  </si>
  <si>
    <t>The rate of any MOUD treatment engagement among people with Rx OUD with past year heroin use.</t>
  </si>
  <si>
    <t>Total with UD</t>
  </si>
  <si>
    <t>HUD total+Rx OUD all total</t>
  </si>
  <si>
    <t>The total numer of people with OUD or HUD, regardless of treatment status.</t>
  </si>
  <si>
    <t>Total with UD DATA</t>
  </si>
  <si>
    <t>HUD DATA+Rx OUD all total DATA</t>
  </si>
  <si>
    <t>Treatment gap HUD</t>
  </si>
  <si>
    <t>(1-zidz(SUM(Tx engagement HUD[TxT]),HUD no MOUD*SUM(Tx seeking rate HUD[TxT])))</t>
  </si>
  <si>
    <t>The fraction of people with HUD who are seeking treatment who are not able to engage in it, across all MOUD types.</t>
  </si>
  <si>
    <t>Treatment gap Rx OUD</t>
  </si>
  <si>
    <t>(1-zidz(SUM(Tx engagement Rx OUD no H[TxT]+Tx engagement Rx OUD with H[TxT]),SUM(Rx OUD no PY heroin no MOUD*Tx seeking rate Rx OUD no H[TxT]+Rx OUD with PY heroin no MOUD*Tx seeking rate Rx OUD with H[TxT])))</t>
  </si>
  <si>
    <t># The fraction of people with Rx OUD who are seeking treatment who actually engage in it, across all MOUD types.</t>
  </si>
  <si>
    <t>Tx annual patients Bup IQVIA TPT</t>
  </si>
  <si>
    <t>EXTERNAL_DATA(Tx annual patients Bup IQVIA TPT)</t>
  </si>
  <si>
    <t xml:space="preserve">Number of people per year who were prescribed buprenorphine. </t>
  </si>
  <si>
    <t xml:space="preserve"> IQVIA TPT</t>
  </si>
  <si>
    <t>IQVIA does not include the indications for buprenorphine prescriptions. We assume all prescriptions are for people with OUD/HUD, though  buprenorphine is occasionally prescribed for pain without co-occurring UD.</t>
  </si>
  <si>
    <t>Tx average duration</t>
  </si>
  <si>
    <t>Tx average duration[Bup] = INITIAL(Tx average duration Bup)</t>
  </si>
  <si>
    <t>Tx average duration Bup</t>
  </si>
  <si>
    <t xml:space="preserve"> Average duration in years per episode of Buprenorphine treatment. The buprenorphine average is used to calculate annual number of patients. Estimates of monthly patient counts from Duncan 2020 for 2017-19 suggest similar total numbers as we have calculated. </t>
  </si>
  <si>
    <t xml:space="preserve"> Proctor 2014, Mintzer 2007, Khemiri 2014, Clay 2014, Tierney 2018, Lee 2018, Clark 2015, Lo-Ciagnic 2015, Hadland 2015, Manhapra 2017, Bell 2006, Bell 2009, Hickman 2018, Saloner 2019, Hser 2016, Bhatraju 2017, Gryczynski 2013, Robertson 2019, Samples 2018, Shcherbakova 2018, Morgan 2017, Duncan 2020</t>
  </si>
  <si>
    <t>See Lit Reviews tab of Combined Modeling File</t>
  </si>
  <si>
    <t>Tx average duration MMT</t>
  </si>
  <si>
    <t xml:space="preserve"> Average duration in years per episode of MMT. </t>
  </si>
  <si>
    <t xml:space="preserve"> Clark 2015, proctor 2014, Hadland 2018, Bell 2006, Bell 2009, Amiri 2018, Hickman 2018, Kelly 2011, Hser 2016, Reisinger 2009, Nosyk 2009, Robertson 2019, Strain 1999</t>
  </si>
  <si>
    <t>Tx average duration net</t>
  </si>
  <si>
    <t>Tx average duration net[TxT] = Tx average duration[TxT]*(1+RAMP(Policy change Tx average duration/Policy rampup duration,Policy activation time,Policy activation time+Policy rampup duration))</t>
  </si>
  <si>
    <t>Average duration in years per episode for each type of MOUD treatment, after accounting for policy changes.</t>
  </si>
  <si>
    <t>Tx average duration Viv</t>
  </si>
  <si>
    <t xml:space="preserve"> Average duration in years per episode of Vivitrol treatment. </t>
  </si>
  <si>
    <t xml:space="preserve"> Saxon 2018, Krupitsky 2013, Chang 2018, Lee 2018, Morgan 2017</t>
  </si>
  <si>
    <t>Saxon 2018 patients on average received 5 injections and Morgan 2018 estimated 2.5 injections on average (for calculation of total per year)</t>
  </si>
  <si>
    <t>Tx capacity effective</t>
  </si>
  <si>
    <t>Tx capacity effective[Bup] = Bup capacity effective*Tx effective capacity fraction[Bup]</t>
  </si>
  <si>
    <t>Tx capacity effective utilization</t>
  </si>
  <si>
    <t>Tx capacity effective utilization[TxT] = zidz(Total by MOUD[TxT],Tx capacity effective[TxT])</t>
  </si>
  <si>
    <t>The fraction of total effective capacity (i.e., after accounting for provider-level barriers) that is being utilized.</t>
  </si>
  <si>
    <t>Tx capacity relative to demand</t>
  </si>
  <si>
    <t>Tx capacity relative to demand[TxT] = zidz(Tx intake capacity[TxT],Tx demand Rx OUD no H[TxT]+Tx demand Rx OUD with H[TxT]+Tx demand HUD[TxT])</t>
  </si>
  <si>
    <t>The amount of people who can be served by the system (after accounting for provider- and patient-level barriers, but before accounting for matching inefficiences) relative to the number of people who are seeking treatment.</t>
  </si>
  <si>
    <t>Tx demand fulfilment ratio</t>
  </si>
  <si>
    <t>Tx demand fulfilment ratio[TxT] = MIN(Tx capacity relative to demand[TxT],1)</t>
  </si>
  <si>
    <t># Proportion of demand for treatment that can be met at any given time based on Tx capacity, which is reduced by access-related barriers. Demand as defined here has already accounted for people lost due to affordability, stigma,or other non-access barriers.</t>
  </si>
  <si>
    <t xml:space="preserve"> There are inherent inefficiences in matching demand to capacity, so that even when there is enough capacity, demand is still not completely met. On a national level, this most obviously arises due to geographical disparities in location of providers relative to need (e.g., Jones 2018, Flavin 2020).  Based on standard demand fulfilment fuzzy max nonlinear function, operationalised as a logistic growth function with demand fulfilment ratio as a function of the ratio of capacity to demand; see Business Dynamics S18.1.1; </t>
  </si>
  <si>
    <t>Tx demand HUD</t>
  </si>
  <si>
    <t>Tx demand HUD[TxT] = HUD no MOUD*Tx seeking rate HUD[TxT]*(1-Tx seeking barrier loss fraction)</t>
  </si>
  <si>
    <t>Tx demand Rx OUD no H</t>
  </si>
  <si>
    <t>Tx demand Rx OUD no H[TxT] = Rx OUD no PY heroin no MOUD*Tx seeking rate Rx OUD no H[TxT]*(1-Tx seeking barrier loss fraction)</t>
  </si>
  <si>
    <t>Tx demand Rx OUD with H</t>
  </si>
  <si>
    <t>Tx demand Rx OUD with H[TxT] = Rx OUD with PY heroin no MOUD*Tx seeking rate Rx OUD with H[TxT]*(1-Tx seeking barrier loss fraction)</t>
  </si>
  <si>
    <t>Tx demand total by type</t>
  </si>
  <si>
    <t>Tx demand total by type[TxT] = Tx demand HUD[TxT]+Tx demand Rx OUD no H[TxT]+Tx demand Rx OUD with H[TxT]</t>
  </si>
  <si>
    <t>The total number of people, across all UDs, seeking each type of MOUD treatment.</t>
  </si>
  <si>
    <t>Tx effective capacity fraction</t>
  </si>
  <si>
    <t>Tx effective capacity fraction[Bup] = 1</t>
  </si>
  <si>
    <t>Tx engagement HUD</t>
  </si>
  <si>
    <t>Tx engagement HUD[TxT] = Tx demand HUD[TxT]*Tx demand fulfilment ratio[TxT]</t>
  </si>
  <si>
    <t>Tx engagement rate actual HUD</t>
  </si>
  <si>
    <t>Tx engagement rate actual HUD[TxT] = Tx engagement HUD[TxT]/HUD total</t>
  </si>
  <si>
    <t>Tx engagement rate actual Rx OUD no H</t>
  </si>
  <si>
    <t>Tx engagement rate actual Rx OUD no H[TxT] = Tx engagement Rx OUD no H[TxT]/Rx OUD no PY heroin total</t>
  </si>
  <si>
    <t>Tx engagement rate actual Rx OUD with H</t>
  </si>
  <si>
    <t>Tx engagement rate actual Rx OUD with H[TxT] = Tx engagement Rx OUD with H[TxT]/Rx OUD with PY heroin total</t>
  </si>
  <si>
    <t>Tx engagement Rx OUD no H</t>
  </si>
  <si>
    <t>Tx engagement Rx OUD no H[TxT] = Tx demand Rx OUD no H[TxT]*Tx demand fulfilment ratio[TxT]</t>
  </si>
  <si>
    <t>Tx engagement Rx OUD with H</t>
  </si>
  <si>
    <t>Tx engagement Rx OUD with H[TxT] = Tx demand Rx OUD with H[TxT]*Tx demand fulfilment ratio[TxT]</t>
  </si>
  <si>
    <t>Tx engagement total</t>
  </si>
  <si>
    <t>Tx engagement total[TxT] = Tx engagement HUD[TxT]+Tx engagement Rx OUD no H[TxT]+Tx engagement Rx OUD with H[TxT]</t>
  </si>
  <si>
    <t>The rate of treatment engagement across all people with OUD or HUD in each of the MOUD treatments.</t>
  </si>
  <si>
    <t>Tx exit in remission HUD</t>
  </si>
  <si>
    <t>Tx exit in remission HUD[TxT] = HUD by MOUD[TxT]*Tx exit in remission rate HUD[TxT]</t>
  </si>
  <si>
    <t>Tx exit in remission rate HUD</t>
  </si>
  <si>
    <t>Tx exit in remission rate HUD[TxT] = 1/Tx average duration net[TxT]*Tx success fraction[TxT]</t>
  </si>
  <si>
    <t>The rate at which people with HUD exit treatment in remission, based on the average duration of treatment for each MOUD, which determines the likelihood of success in treatment.</t>
  </si>
  <si>
    <t>Tx exit in remission rate Rx OUD no H</t>
  </si>
  <si>
    <t>Tx exit in remission rate Rx OUD no H[TxT] = 1/Tx average duration net[TxT]*Tx success fraction[TxT]</t>
  </si>
  <si>
    <t>The rate at which people with Rx OUD and no past year heroin use exit treatment in remission, based on the average duration of treatment for each MOUD, which determines the likelihood of success in treatment.</t>
  </si>
  <si>
    <t>Tx exit in remission rate Rx OUD with H</t>
  </si>
  <si>
    <t>Tx exit in remission rate Rx OUD with H[TxT] = 1/Tx average duration net[TxT]*Tx success fraction[TxT]</t>
  </si>
  <si>
    <t>The rate at which people with Rx OUD and past year heroin use exit treatment in remission, based on the average duration of treatment for each MOUD, which determines the likelihood of success in treatment.</t>
  </si>
  <si>
    <t>Tx exit in remission Rx OUD no H</t>
  </si>
  <si>
    <t>Tx exit in remission Rx OUD no H[TxT] = Rx OUD no heroin by MOUD[TxT]*Tx exit in remission rate Rx OUD no H[TxT]</t>
  </si>
  <si>
    <t>Tx exit in remission Rx OUD with H</t>
  </si>
  <si>
    <t>Tx exit in remission Rx OUD with H[TxT] = Rx OUD with heroin by MOUD[TxT]*Tx exit in remission rate Rx OUD with H[TxT]</t>
  </si>
  <si>
    <t>Tx exit in remission total</t>
  </si>
  <si>
    <t>Tx exit in remission total[TxT] = Tx exit in remission HUD[TxT]+Tx exit in remission Rx OUD no H[TxT]+Tx exit in remission Rx OUD with H[TxT]</t>
  </si>
  <si>
    <t>Tx exit total</t>
  </si>
  <si>
    <t>Tx exit total[TxT] = Tx exit in remission total[TxT]+Tx exit with UD total[TxT]+NonOD death in Tx total[TxT]+Overdose death in Tx total[TxT]</t>
  </si>
  <si>
    <t>The total number of people who exit treatment per year, including due to death, leaving before remission, or leaving in remission.</t>
  </si>
  <si>
    <t>Tx exit with UD HUD</t>
  </si>
  <si>
    <t>Tx exit with UD HUD[TxT] = HUD by MOUD[TxT]*Tx exit with UD rate HUD[TxT]</t>
  </si>
  <si>
    <t>Tx exit with UD rate HUD</t>
  </si>
  <si>
    <t>Tx exit with UD rate HUD[TxT] = 1/Tx average duration net[TxT]*(1-Tx success fraction[TxT])</t>
  </si>
  <si>
    <t>The rate at which people with HUD exit treatment before remitting (i.e., "drop out"), based on the average duration of treatment for each MOUD, which determines the likelihood of success in treatment.</t>
  </si>
  <si>
    <t>Tx exit with UD rate Rx OUD no H</t>
  </si>
  <si>
    <t>Tx exit with UD rate Rx OUD no H[TxT] = 1/Tx average duration net[TxT]*(1-Tx success fraction[TxT])</t>
  </si>
  <si>
    <t>The rate at which people with Rx OUD without past year heroin use exit treatment before remitting (i.e., "drop out"), based on the average duration of treatment for each MOUD, which determines the likelihood of success in treatment.</t>
  </si>
  <si>
    <t>Tx exit with UD rate Rx OUD with H</t>
  </si>
  <si>
    <t>Tx exit with UD rate Rx OUD with H[TxT] = 1/Tx average duration net[TxT]*(1-Tx success fraction[TxT])</t>
  </si>
  <si>
    <t>The rate at which people with Rx OUD and past year heroin use exit treatment before remitting (i.e., "drop out"), based on the average duration of treatment for each MOUD, which determines the likelihood of success in treatment.</t>
  </si>
  <si>
    <t>Tx exit with UD Rx OUD no H</t>
  </si>
  <si>
    <t>Tx exit with UD Rx OUD no H[TxT] = Rx OUD no heroin by MOUD[TxT]*Tx exit with UD rate Rx OUD no H[TxT]</t>
  </si>
  <si>
    <t>Tx exit with UD Rx OUD with H</t>
  </si>
  <si>
    <t>Tx exit with UD Rx OUD with H[TxT] = Rx OUD with heroin by MOUD[TxT]*Tx exit with UD rate Rx OUD with H[TxT]</t>
  </si>
  <si>
    <t>Tx exit with UD total</t>
  </si>
  <si>
    <t>Tx exit with UD total[TxT] = Tx exit with UD HUD[TxT]+Tx exit with UD Rx OUD no H[TxT]+Tx exit with UD Rx OUD with H[TxT]</t>
  </si>
  <si>
    <t>Tx intake capacity</t>
  </si>
  <si>
    <t>DE,A</t>
  </si>
  <si>
    <t>Tx intake capacity[TxT] = Max(0,DELAY1(Tx exit total[TxT],Tx intake delay net[TxT])+(Tx capacity effective[TxT]-Total by MOUD[TxT])/Tx intake delay net[TxT])</t>
  </si>
  <si>
    <t>How many people can be intaken to each treatment type at any given point in time, which increases with effective (not simply theoretical) capacity, and is limited both by people currently in treatment and intake delays.</t>
  </si>
  <si>
    <t>Tx intake delay</t>
  </si>
  <si>
    <t>Delay between contacting and entering treatment, among those who receive treatment.  Delay roughly same for all.</t>
  </si>
  <si>
    <t xml:space="preserve"> Flavin 2020, Beetham 2019, Lucas 2010, Kawasaki 2020, Madden 2018, Gryczynski 2009 for bup; Madden 2018, Gryczynski 2009, Lucas 2010 for MMT</t>
  </si>
  <si>
    <t>Average across studies was 15.5 days for buprenorphine: Flavin (16.8); Beetham (10.7); Lucas (19) and 33 days for methadone: Madden (21.3), Gryczynski (58.5), and Lucas (19). No studies identified for Vivitrol. However, it generally takes at least two weeks before a currently-using client can be inducted onto Vivitrol.The model is insensitive to this value, and to improve computational efficiency, it is rounded up to 1 month for all MOUD. Further info can be found in combined modeling files.</t>
  </si>
  <si>
    <t>Tx intake delay net</t>
  </si>
  <si>
    <t>Tx intake delay net[TxT] = Tx intake delay*(1+RAMP(Policy change Tx intake delay[TxT]/Policy rampup duration,Policy activation time,Policy activation time+Policy rampup duration))</t>
  </si>
  <si>
    <t>Delay between contacting and entering treatment, after accounting for policy changes. WARNING: Check for integration error if reducing Tx intake delay!</t>
  </si>
  <si>
    <t>Tx point patients Bup DATA</t>
  </si>
  <si>
    <t>Tx annual patients Bup IQVIA TPT*Tx average duration Bup</t>
  </si>
  <si>
    <t>Tx point patients OTP MMT NSSATS</t>
  </si>
  <si>
    <t>EXTERNAL_DATA(Tx point patients OTP MMT NSSATS)</t>
  </si>
  <si>
    <t xml:space="preserve">Point in time count of patients in Methadone treatment at an OTP. </t>
  </si>
  <si>
    <t xml:space="preserve"> NSSATS</t>
  </si>
  <si>
    <t>This is used to calculate total capacity of NSSATS facilities to prescribe methadone, by dividing this number by the average of 87%, which is estimate from 2012-13 of all capacity being utilized according to NSSATS surveys (The only years these data points were queried).</t>
  </si>
  <si>
    <t>Tx point patients Viv IQVIA</t>
  </si>
  <si>
    <t>EXTERNAL_DATA(Tx point patients Viv IQVIA)</t>
  </si>
  <si>
    <t xml:space="preserve">Point in time count of patients in Vivitrol treatment. </t>
  </si>
  <si>
    <t xml:space="preserve"> IQVIA NSP</t>
  </si>
  <si>
    <t>Arrived at by dividing total units distributed by 12.</t>
  </si>
  <si>
    <t>Tx seeking affordability loss fraction</t>
  </si>
  <si>
    <t xml:space="preserve">The fraction of all people (not limited to OUD) who sought treatment (and did or did not receive it) who reported ANY affordability barriers as reason for not receiving (more) treatment.  Adjusting this assumes that if they also experienced non-affordability barriers, those were no longer impediments to receipt of treatment. </t>
  </si>
  <si>
    <t xml:space="preserve"> NSDUH 2015-19</t>
  </si>
  <si>
    <t>Tx seeking affordability loss fraction net</t>
  </si>
  <si>
    <t>Tx seeking affordability loss fraction+RAMP(IF THEN ELSE(Policy change Tx seeking affordability loss fraction&gt;=0,Policy change Tx seeking affordability loss fraction*(1-Tx seeking affordability loss fraction),Policy change Tx seeking affordability loss fraction*Tx seeking affordability loss fraction)/Policy rampup duration,Policy activation time,Policy activation time+Policy rampup duration)</t>
  </si>
  <si>
    <t>Tx seeking barrier loss fraction</t>
  </si>
  <si>
    <t>MIN(1,Tx seeking affordability loss fraction net+Tx seeking nonaffordability loss fraction net)</t>
  </si>
  <si>
    <t xml:space="preserve"> The estimated fraction of people who seek treatment who are not able to engage in it because of affordability, stigma, or acceptability (e.g., not ready to quit, did not think treatment would help) barriers. </t>
  </si>
  <si>
    <t xml:space="preserve"> NSDUH 2015 - 2019</t>
  </si>
  <si>
    <t>The average proportion of all Uds who sought treatment and didn't receive it because of affordability barriers was 38.5% from 2002-2018. HUDs experienced this barrier at a higher rate, and it's one of only many barriers. Thus, we round up to 50%.</t>
  </si>
  <si>
    <t>Tx seeking fraction Bup HUD</t>
  </si>
  <si>
    <t xml:space="preserve">Fraction of all HUDs seeking treatment who are seeking and/or receive buprenorphine. </t>
  </si>
  <si>
    <t xml:space="preserve"> Dr. Alex Walley, personal communication, 7/1/20, Dr. Ben Bearnot, personal communication 7/1/20</t>
  </si>
  <si>
    <t>Alex Walley estimated 50% of MOUD-seekers are interested in buprenorphine. Ben Bearnot said of those interested in OAT whom he sees, about 50% are interested in buprenorphine. We calibrate from here for best fit to the data.</t>
  </si>
  <si>
    <t>Tx seeking fraction Bup Rx OUD</t>
  </si>
  <si>
    <t>Fraction of all Rx OUDs seeking MOUD treatment who are seeking and/or receive buprenorphine.</t>
  </si>
  <si>
    <t xml:space="preserve"> Dr. Alex Walley, personal communication 7/1/20</t>
  </si>
  <si>
    <t>Alex Walley estimated that about 62.5% (5/8) rx ouds seek bup, 1/8 seek methadone, and 2/8 seek vivitrol. We also draw on the estimates for HUD, which suggest 50% interest. We calibrate from here for best fit to the data.</t>
  </si>
  <si>
    <t>Tx seeking fraction by med HUD</t>
  </si>
  <si>
    <t>Tx seeking fraction by med HUD[Bup] = Tx seeking fraction Bup HUD</t>
  </si>
  <si>
    <t xml:space="preserve">Alex Walley estimated 10% of HUDs seeking MOUD are interested in Vivitrol. Ben Bearnot estimated about 14% of those interested in MOUD are interested in Vivitrol (75% interest in OAT, 12.5% interest in Vivitrol). </t>
  </si>
  <si>
    <t>Tx seeking fraction by med Rx OUD</t>
  </si>
  <si>
    <t>Tx seeking fraction by med Rx OUD[Bup] = Tx seeking fraction Bup Rx OUD</t>
  </si>
  <si>
    <t>Subscripted variable - Equation for first instance included for reference at left. Further equations and detail can be found in model.</t>
  </si>
  <si>
    <t>Tx seeking fraction MMT HUD</t>
  </si>
  <si>
    <t>INITIAL((1-Tx seeking fraction Bup HUD)*Tx seeking fraction MMT HUD relative)</t>
  </si>
  <si>
    <t>The proportion of all HUDs seeking MOUD treatment who are seeking methadone specifically.</t>
  </si>
  <si>
    <t>Tx seeking fraction MMT HUD relative</t>
  </si>
  <si>
    <t xml:space="preserve"> Fraction of HUDs not seeking Bup nor Vivitrol, scaled to 0-1. </t>
  </si>
  <si>
    <t xml:space="preserve">Ben Bearnot said of those interested in OAT whom he sees, about 50% are interested in methadone. Alex Walley estimated 40% of MOUD-seeking heroin users are interested in methadone (i.e., 80% of those seeking bup). </t>
  </si>
  <si>
    <t>Tx seeking fraction MMT Rx OUD</t>
  </si>
  <si>
    <t>INITIAL((1-Tx seeking fraction Bup Rx OUD)*Tx seeking fraction MMT Rx OUD relative)</t>
  </si>
  <si>
    <t xml:space="preserve"> The proportion of all Rx OUDs seeking MOUD treatment who are seeking methadone specifically. </t>
  </si>
  <si>
    <t xml:space="preserve"> Alex Walley, Personal Communication 7/1/20</t>
  </si>
  <si>
    <t>Alex Walley estimated that about 62.5% (5/8) rx ouds seek buprenorphine, 1/8 seek methadone, and 2/8 seek vivitrol.</t>
  </si>
  <si>
    <t>EXP, PMC</t>
  </si>
  <si>
    <t xml:space="preserve"> Fraction of Rx OUDs not seeking Bup nor Vivitrol, scaled to 0-1. Fraction of all people in methadone with Rx OUD vs HUD is highly sensitive to this value so it was calibrated to ensure that Rx OUD patients were the minority, as consistent with TEDS admissions. </t>
  </si>
  <si>
    <t xml:space="preserve"> Dr. Alex Walley, personal communication 7/1/20, TEDS 2002</t>
  </si>
  <si>
    <t>Fraction for not seeking Bup nor Vivitrol, scaled to 0-1. Alex Walley estimated that about 62.5% (5/8) rx ouds seek bup, 1/8 seek methadone, and 2/8 seek vivitrol. .125/.625 = .2. Dr. Ben Bearnot does not see people seeking tx for Rx OUD. Drs. Keith Humphreys and Kate McHugh thought no MMT receipt might be a fair assumption/simplification. However, prior to bup's approval in late 2002, 15-20% of non-heroin tx episodes were planned for MAT. This could not have been for either Buprenorphine nor Vivitrol, which were not yet approved for OUD treatment. TEDS Variables Used: ADMYR, METHUSE, SUB1</t>
  </si>
  <si>
    <t>Tx seeking nonaffordability loss fraction</t>
  </si>
  <si>
    <t xml:space="preserve">The fraction of all who sought treatment (and did or did not receive it) who reported ANY non-affordability barriers (e.g., not ready to quit, didn't think treatment would help), but NO affordability barriers as reason for not receiving (more) treatment. </t>
  </si>
  <si>
    <t>Tx seeking nonaffordability loss fraction net</t>
  </si>
  <si>
    <t>Tx seeking nonaffordability loss fraction+RAMP(IF THEN ELSE(Policy change Tx seeking nonaffordability loss fraction&gt;=0,Policy change Tx seeking nonaffordability loss fraction*(1-Tx seeking nonaffordability loss fraction),Policy change Tx seeking nonaffordability loss fraction*Tx seeking nonaffordability loss fraction)/Policy rampup duration,Policy activation time,Policy activation time+Policy rampup duration)</t>
  </si>
  <si>
    <t>Tx seeking rate HUD</t>
  </si>
  <si>
    <t>Tx seeking rate HUD[TxT] = Tx seeking rate Rx OUD no H total net*Tx seeking rate HUD relative to Rx OUD no H*Tx seeking fraction by med HUD[TxT]</t>
  </si>
  <si>
    <t>The rate at which individuals with HUD seek MOUD treatment.</t>
  </si>
  <si>
    <t>Tx seeking rate HUD relative to Rx OUD no H</t>
  </si>
  <si>
    <t xml:space="preserve"> Rate at which individuals with HUD seek MOUD treatment relative to that rate in individuals with Rx OUD. This is based on estimates from NSDUH 2019 of the fraction of people with Rx OUD or HUD in MOUD treatment, which for individuals with HUD is 4.84 times that of Rx OUD. This is consistent with both TEDS and prior NSDUH data that show significantly higher rates of treatment engagement from individuals with HUD vs OUD. Because that data is based on receipt rather than seeking, this assumes that the barriers faced by Rx OUD vs HUD do not differ in their relative magnitude or effect. This assumption is also made in the barrier variables in the model. </t>
  </si>
  <si>
    <t xml:space="preserve"> NSDUH 2019</t>
  </si>
  <si>
    <t>NSDUH estimates 55% of HUDs seek treatment in a given year, which is 4.58x greater than Rx OUDs without PY heroin use. We assume this is a minimum ratio given systematic sampling bias toward those not in treatment and less severely addicted. TEDS also shows a higher fraction of those in treatment are heroin users (as high as 90% in some years); given their smaller numbers, we therefore assume they seek treatment at a significantly higher rate than Rx OUDs. Dr. Bearnot reports rarely, if ever, seeing Rx OUDs in his clinic. TEDS Variables Used - ADMYR, SUB1</t>
  </si>
  <si>
    <t>Tx seeking rate Rx OUD no H</t>
  </si>
  <si>
    <t>Tx seeking rate Rx OUD no H[TxT] = Tx seeking rate Rx OUD no H total net*Tx seeking fraction by med Rx OUD[TxT]</t>
  </si>
  <si>
    <t xml:space="preserve"> The rate at which individuals with Rx opioid use disorder and no heroin use seek MOUD treatment.</t>
  </si>
  <si>
    <t>Tx seeking rate Rx OUD no H total</t>
  </si>
  <si>
    <t>Tx seeking rate Rx OUD no H total net</t>
  </si>
  <si>
    <t>Tx seeking rate Rx OUD no H total*(1+RAMP(Policy change Tx seeking rate Rx OUD no H total/Policy rampup duration,Policy activation time,Policy activation time+Policy rampup duration))</t>
  </si>
  <si>
    <t>The rate at which individuals with Rx opioid use disorder and no heroin use seek MOUD treatment, after accounting for policy changes.</t>
  </si>
  <si>
    <t>Tx seeking rate Rx OUD with H</t>
  </si>
  <si>
    <t>Tx seeking rate Rx OUD with H[TxT] = Tx seeking rate Rx OUD no H[TxT]</t>
  </si>
  <si>
    <t>The rate at which individuals with Rx opioid use disorder and heroin use seek MOUD treatment.</t>
  </si>
  <si>
    <t>Tx success fraction</t>
  </si>
  <si>
    <t>Tx success fraction[TxT] = IF THEN ELSE(Tx average duration net[TxT]&lt;=Tx success fraction inflection,zidz(Tx success fraction kappa^2,1+Tx success fraction kappa^2)*EXP((Tx success fraction lambda/Tx success fraction kappa)*(Tx average duration net[TxT]-Tx success fraction inflection)),1-zidz(1,1+Tx success fraction kappa^2)*EXP(-Tx success fraction lambda*Tx success fraction kappa*(Tx average duration net[TxT]-Tx success fraction inflection)))*Tx success fraction max</t>
  </si>
  <si>
    <t>Fraction of people leaving Tx who leave 'successfully', i.e. in remission rather than returning to UD, based on the average duration of treatment for each MOUD.</t>
  </si>
  <si>
    <t>Based on expert input, it is assumed to follow an asymmetric Laplace distribution function based on duration in treatment. Gamma, K, and inflection point (M) are shape parameters of the distribution; max is the maximum success fraction possible.</t>
  </si>
  <si>
    <t>Tx success fraction inflection</t>
  </si>
  <si>
    <t>EXP, LIT, PMC</t>
  </si>
  <si>
    <t xml:space="preserve"> Inflection point (M) value calibrated to match distribution based on expert estimates</t>
  </si>
  <si>
    <t xml:space="preserve"> Drs. Ben Bearnot, Keith Humphreys, John Kelly, and Kate McHugh; Eastwood 2017; Potter 2015</t>
  </si>
  <si>
    <t>Tx success fraction kappa</t>
  </si>
  <si>
    <t xml:space="preserve"> Kappa value calibrated to match distribution based on expert estimates</t>
  </si>
  <si>
    <t>Tx success fraction lambda</t>
  </si>
  <si>
    <t xml:space="preserve"> Lambda value calibrated to match distribution based on expert estimates. </t>
  </si>
  <si>
    <t>Tx success fraction max</t>
  </si>
  <si>
    <t xml:space="preserve"> Max possible fraction of treatment that ends "successfully" ie into remission rather than back into UD.</t>
  </si>
  <si>
    <t>Viv capacity estimated</t>
  </si>
  <si>
    <t>Projection output data[VivCap]*(1+RAMP(Policy change Viv capacity/Policy rampup duration,Policy activation time,Policy activation time+Policy rampup duration))</t>
  </si>
  <si>
    <t>Viv capacity estimated DATA</t>
  </si>
  <si>
    <t>Tx point patients Viv IQVIA/Viv capacity utilization NSSATS</t>
  </si>
  <si>
    <t>National Vivitrol treatment capacity.</t>
  </si>
  <si>
    <t xml:space="preserve">National Vivitrol treatment capacity. There is no institutional or regulatory limit on Vivitrol capacity. However, limits to prescribing do exist, most likely due to a combination of lack of knowledge and lack of demand. In lieu of any estimates of total providers actively prescribing Vivitrol, and their own self-reported estimated capacity, we utilized the fraction of capacity utilized by all facilities reporting that they offered Vivitrol in N-SSATS. </t>
  </si>
  <si>
    <t>Viv capacity utilization NSSATS</t>
  </si>
  <si>
    <t xml:space="preserve">The fraction of capacity utilized by all facilities reporting that they offered Vivitrol in N-SSATS. </t>
  </si>
  <si>
    <t>N-SSATS 2012, 2013, and 2016</t>
  </si>
  <si>
    <t>WeightMod</t>
  </si>
  <si>
    <t>WeightMod[Elm] = 1</t>
  </si>
  <si>
    <t>WeightModManual</t>
  </si>
  <si>
    <t>WeightModManual[Elm] = 1</t>
  </si>
  <si>
    <t>Weights</t>
  </si>
  <si>
    <t>Weights[Normal,Elm] = INITIAL(1/StDev[Elm]*WeightModManual[Elm])</t>
  </si>
  <si>
    <t>Weights[MAPE,Elm] = INITIAL(1*WeightModManual[Elm])</t>
  </si>
  <si>
    <t>Patients receiving opioid prescription IQVIA</t>
  </si>
  <si>
    <t>IQVIA TPT for 2006-2019, 1999-2005 calculated by dividing NPA total opioid prescriptions by the number of opioid Rx per person (NPA/TPT) from 2006.</t>
  </si>
  <si>
    <t>Time</t>
  </si>
  <si>
    <t>Rx Price StreetRx</t>
  </si>
  <si>
    <t>Y99</t>
  </si>
  <si>
    <t>Y00</t>
  </si>
  <si>
    <t>Y01</t>
  </si>
  <si>
    <t>Y02</t>
  </si>
  <si>
    <t>Y03</t>
  </si>
  <si>
    <t>Y04</t>
  </si>
  <si>
    <t>Y05</t>
  </si>
  <si>
    <t>Y06</t>
  </si>
  <si>
    <t>Y07</t>
  </si>
  <si>
    <t>Y08</t>
  </si>
  <si>
    <t>Y09</t>
  </si>
  <si>
    <t>Y10</t>
  </si>
  <si>
    <t>Y11</t>
  </si>
  <si>
    <t>Y12</t>
  </si>
  <si>
    <t>Y13</t>
  </si>
  <si>
    <t>Y14</t>
  </si>
  <si>
    <t>Y15</t>
  </si>
  <si>
    <t>Y16</t>
  </si>
  <si>
    <t>Y17</t>
  </si>
  <si>
    <t>Y18</t>
  </si>
  <si>
    <t>Y19</t>
  </si>
  <si>
    <t>Y20</t>
  </si>
  <si>
    <t>Y21</t>
  </si>
  <si>
    <t>Y22</t>
  </si>
  <si>
    <t>Y23</t>
  </si>
  <si>
    <t>Y24</t>
  </si>
  <si>
    <t>Y25</t>
  </si>
  <si>
    <t>Y26</t>
  </si>
  <si>
    <t>Y27</t>
  </si>
  <si>
    <t>Y28</t>
  </si>
  <si>
    <t>Y29</t>
  </si>
  <si>
    <t>Y30</t>
  </si>
  <si>
    <t>Y31</t>
  </si>
  <si>
    <t>CalWts</t>
  </si>
  <si>
    <t>Total overdose deaths synth Rx NVSS</t>
  </si>
  <si>
    <t>Total overdose deaths heroin combined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</si>
</sst>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0.0000"/>
    <numFmt numFmtId="166" formatCode="_(* #,##0_);_(* \(#,##0\);_(* &quot;-&quot;??_);_(@_)"/>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8"/>
      <color theme="1"/>
      <name val="Calibri"/>
      <family val="2"/>
      <scheme val="minor"/>
    </font>
    <font>
      <i/>
      <sz val="11"/>
      <color theme="1"/>
      <name val="Calibri"/>
      <family val="2"/>
      <scheme val="minor"/>
    </font>
    <font>
      <sz val="11"/>
      <color rgb="FF212121"/>
      <name val="Calibri"/>
      <family val="2"/>
      <scheme val="minor"/>
    </font>
    <font>
      <sz val="11"/>
      <color rgb="FF000000"/>
      <name val="Calibri"/>
      <family val="2"/>
      <scheme val="minor"/>
    </font>
    <font>
      <sz val="11"/>
      <color rgb="FF000000"/>
      <name val="Arial"/>
      <family val="2"/>
    </font>
    <font>
      <sz val="10"/>
      <color rgb="FF00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0" fillId="0" borderId="0" xfId="0" applyAlignment="1">
      <alignment wrapText="1"/>
    </xf>
    <xf numFmtId="11" fontId="0" fillId="0" borderId="0" xfId="0" applyNumberFormat="1" applyAlignment="1">
      <alignment wrapText="1"/>
    </xf>
    <xf numFmtId="0" fontId="0" fillId="0" borderId="0" xfId="0" applyNumberFormat="1" applyAlignment="1">
      <alignment wrapText="1"/>
    </xf>
    <xf numFmtId="0" fontId="16" fillId="0" borderId="10" xfId="0" applyFont="1" applyBorder="1" applyAlignment="1">
      <alignment wrapText="1"/>
    </xf>
    <xf numFmtId="164" fontId="0" fillId="33" borderId="0" xfId="0" applyNumberFormat="1" applyFill="1" applyAlignment="1">
      <alignment wrapText="1"/>
    </xf>
    <xf numFmtId="1" fontId="0" fillId="33" borderId="0" xfId="0" applyNumberFormat="1" applyFill="1" applyAlignment="1">
      <alignment wrapText="1"/>
    </xf>
    <xf numFmtId="165" fontId="0" fillId="0" borderId="0" xfId="0" applyNumberFormat="1" applyAlignment="1">
      <alignment wrapText="1"/>
    </xf>
    <xf numFmtId="1" fontId="0" fillId="0" borderId="0" xfId="0" applyNumberFormat="1"/>
    <xf numFmtId="165" fontId="0" fillId="33" borderId="0" xfId="0" applyNumberFormat="1" applyFill="1" applyAlignment="1">
      <alignment wrapText="1"/>
    </xf>
    <xf numFmtId="1" fontId="0" fillId="0" borderId="0" xfId="0" applyNumberFormat="1" applyAlignment="1">
      <alignment wrapText="1"/>
    </xf>
    <xf numFmtId="1" fontId="0" fillId="33" borderId="0" xfId="1" applyNumberFormat="1" applyFont="1" applyFill="1" applyAlignment="1">
      <alignment wrapText="1"/>
    </xf>
    <xf numFmtId="0" fontId="0" fillId="33" borderId="0" xfId="0" applyFill="1" applyAlignment="1">
      <alignment wrapText="1"/>
    </xf>
    <xf numFmtId="3" fontId="0" fillId="33" borderId="0" xfId="0" applyNumberFormat="1" applyFill="1" applyAlignment="1">
      <alignment wrapText="1"/>
    </xf>
    <xf numFmtId="1" fontId="0" fillId="33" borderId="0" xfId="0" applyNumberFormat="1" applyFill="1"/>
    <xf numFmtId="0" fontId="19" fillId="0" borderId="0" xfId="0" applyFont="1" applyAlignment="1">
      <alignment wrapText="1"/>
    </xf>
    <xf numFmtId="0" fontId="14" fillId="0" borderId="0" xfId="0" applyFont="1" applyAlignment="1">
      <alignment wrapText="1"/>
    </xf>
    <xf numFmtId="0" fontId="16"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21" fillId="0" borderId="0" xfId="0" applyFont="1" applyAlignment="1">
      <alignment vertical="center" wrapText="1"/>
    </xf>
    <xf numFmtId="0" fontId="16" fillId="0" borderId="0" xfId="0" applyFont="1" applyAlignment="1">
      <alignment vertical="top"/>
    </xf>
    <xf numFmtId="0" fontId="22" fillId="0" borderId="0" xfId="0" applyFont="1" applyAlignment="1">
      <alignment wrapText="1"/>
    </xf>
    <xf numFmtId="0" fontId="23" fillId="0" borderId="0" xfId="0" applyFont="1" applyAlignment="1">
      <alignment horizontal="left" vertical="center" indent="1"/>
    </xf>
    <xf numFmtId="0" fontId="0" fillId="0" borderId="11" xfId="0" applyBorder="1"/>
    <xf numFmtId="0" fontId="0" fillId="0" borderId="12" xfId="0" applyBorder="1"/>
    <xf numFmtId="0" fontId="0" fillId="0" borderId="13" xfId="0" applyBorder="1"/>
    <xf numFmtId="2" fontId="0" fillId="0" borderId="0" xfId="0" applyNumberFormat="1"/>
    <xf numFmtId="166" fontId="0" fillId="0" borderId="0" xfId="1" applyNumberFormat="1" applyFont="1"/>
    <xf numFmtId="43" fontId="0" fillId="0" borderId="0" xfId="1" applyNumberFormat="1" applyFont="1"/>
    <xf numFmtId="0" fontId="0" fillId="0" borderId="0" xfId="0" applyFill="1" applyAlignment="1">
      <alignment wrapText="1"/>
    </xf>
    <xf numFmtId="11" fontId="24" fillId="0" borderId="0" xfId="0" applyNumberFormat="1" applyFont="1"/>
    <xf numFmtId="0" fontId="24" fillId="0" borderId="0" xfId="0" applyFont="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bined%20Modeling%20Fi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ory"/>
      <sheetName val="Heroin and Rx Price"/>
      <sheetName val="Buprenorphine IQVIA"/>
      <sheetName val="Buprenorphine Capacity"/>
      <sheetName val="Methadone NSSATS"/>
      <sheetName val="Vivitrol IQVIA"/>
      <sheetName val="Nx kits HR + IQVIA"/>
      <sheetName val="Fentanyl NFLIS"/>
      <sheetName val="Opioid Rx Data IQVIA SH"/>
      <sheetName val="Opioid Fatal ODs NVSS"/>
      <sheetName val="Initiation Data"/>
      <sheetName val="NSDUH OUD HUD estimates"/>
      <sheetName val="RAND Adjusted Estimates"/>
      <sheetName val="Projections using 2020"/>
      <sheetName val="Projections using 2019"/>
    </sheetNames>
    <sheetDataSet>
      <sheetData sheetId="0" refreshError="1"/>
      <sheetData sheetId="1">
        <row r="2">
          <cell r="B2">
            <v>1.1166666666666667</v>
          </cell>
          <cell r="C2">
            <v>1.1378691983122362</v>
          </cell>
          <cell r="D2">
            <v>1.130801687763713</v>
          </cell>
          <cell r="E2">
            <v>0.94704641350210972</v>
          </cell>
          <cell r="F2">
            <v>1.0177215189873416</v>
          </cell>
          <cell r="G2">
            <v>0.9753164556962024</v>
          </cell>
          <cell r="H2">
            <v>0.81983122362869199</v>
          </cell>
          <cell r="I2">
            <v>0.89050632911392402</v>
          </cell>
          <cell r="J2">
            <v>0.84810126582278478</v>
          </cell>
          <cell r="K2">
            <v>0.75384316237189009</v>
          </cell>
          <cell r="L2">
            <v>0.71368850500333314</v>
          </cell>
          <cell r="M2">
            <v>0.76106533480047445</v>
          </cell>
          <cell r="N2">
            <v>0.62318032241313726</v>
          </cell>
          <cell r="O2">
            <v>0.65617947485189854</v>
          </cell>
          <cell r="P2">
            <v>0.6908647104684591</v>
          </cell>
          <cell r="Q2">
            <v>0.71288547231011723</v>
          </cell>
          <cell r="R2">
            <v>0.59976676400988693</v>
          </cell>
          <cell r="S2">
            <v>0.54882297113524636</v>
          </cell>
          <cell r="T2">
            <v>0.53736690874896442</v>
          </cell>
          <cell r="U2">
            <v>0.54408739565454922</v>
          </cell>
          <cell r="V2">
            <v>0.54408739565454922</v>
          </cell>
        </row>
        <row r="3">
          <cell r="M3">
            <v>0.74272494700000002</v>
          </cell>
          <cell r="N3">
            <v>0.73415333699999996</v>
          </cell>
          <cell r="O3">
            <v>0.830865674</v>
          </cell>
          <cell r="P3">
            <v>0.82803807399999996</v>
          </cell>
          <cell r="Q3">
            <v>0.77878078799999995</v>
          </cell>
          <cell r="R3">
            <v>0.77209737700000003</v>
          </cell>
          <cell r="S3">
            <v>0.76544734000000003</v>
          </cell>
          <cell r="T3">
            <v>0.74997359900000005</v>
          </cell>
          <cell r="U3">
            <v>0.76687717099999997</v>
          </cell>
          <cell r="V3">
            <v>0.76687717099999997</v>
          </cell>
        </row>
      </sheetData>
      <sheetData sheetId="2">
        <row r="3">
          <cell r="B3">
            <v>0</v>
          </cell>
          <cell r="C3">
            <v>0</v>
          </cell>
          <cell r="D3">
            <v>0</v>
          </cell>
          <cell r="E3">
            <v>0</v>
          </cell>
          <cell r="F3">
            <v>19026</v>
          </cell>
          <cell r="G3">
            <v>63174</v>
          </cell>
          <cell r="H3">
            <v>108325</v>
          </cell>
          <cell r="I3">
            <v>170005</v>
          </cell>
          <cell r="J3">
            <v>288677</v>
          </cell>
          <cell r="K3">
            <v>436904</v>
          </cell>
          <cell r="L3">
            <v>517292</v>
          </cell>
          <cell r="M3">
            <v>603494</v>
          </cell>
          <cell r="N3">
            <v>710244</v>
          </cell>
          <cell r="O3">
            <v>730890</v>
          </cell>
          <cell r="P3">
            <v>774276</v>
          </cell>
          <cell r="Q3">
            <v>861312</v>
          </cell>
          <cell r="R3">
            <v>914792</v>
          </cell>
          <cell r="S3">
            <v>1003521</v>
          </cell>
          <cell r="T3">
            <v>1113512</v>
          </cell>
          <cell r="U3">
            <v>1186830</v>
          </cell>
          <cell r="V3">
            <v>1295524</v>
          </cell>
        </row>
      </sheetData>
      <sheetData sheetId="3">
        <row r="5">
          <cell r="B5">
            <v>0</v>
          </cell>
          <cell r="C5">
            <v>0</v>
          </cell>
          <cell r="D5">
            <v>0</v>
          </cell>
          <cell r="E5">
            <v>0</v>
          </cell>
          <cell r="F5">
            <v>1893</v>
          </cell>
          <cell r="G5">
            <v>3256</v>
          </cell>
          <cell r="H5">
            <v>5484</v>
          </cell>
          <cell r="I5">
            <v>8555.5</v>
          </cell>
          <cell r="J5">
            <v>10637</v>
          </cell>
          <cell r="K5">
            <v>14365.333333333332</v>
          </cell>
          <cell r="L5">
            <v>15817.5</v>
          </cell>
          <cell r="M5">
            <v>18023.5</v>
          </cell>
          <cell r="N5">
            <v>20148</v>
          </cell>
          <cell r="O5">
            <v>22198</v>
          </cell>
          <cell r="P5">
            <v>23629</v>
          </cell>
          <cell r="Q5">
            <v>25738</v>
          </cell>
          <cell r="R5">
            <v>28930.5</v>
          </cell>
          <cell r="S5">
            <v>32122.999999999996</v>
          </cell>
          <cell r="T5">
            <v>42037</v>
          </cell>
          <cell r="U5">
            <v>57426.5</v>
          </cell>
          <cell r="V5">
            <v>66800</v>
          </cell>
          <cell r="W5">
            <v>94223</v>
          </cell>
        </row>
      </sheetData>
      <sheetData sheetId="4">
        <row r="3">
          <cell r="B3">
            <v>159053.5</v>
          </cell>
          <cell r="C3">
            <v>172497</v>
          </cell>
          <cell r="D3">
            <v>198998.5</v>
          </cell>
          <cell r="E3">
            <v>225500</v>
          </cell>
          <cell r="F3">
            <v>227003</v>
          </cell>
          <cell r="G3">
            <v>240961</v>
          </cell>
          <cell r="H3">
            <v>235836</v>
          </cell>
          <cell r="I3">
            <v>258752</v>
          </cell>
          <cell r="J3">
            <v>262684</v>
          </cell>
          <cell r="K3">
            <v>268071</v>
          </cell>
          <cell r="L3">
            <v>283177</v>
          </cell>
          <cell r="M3">
            <v>299643</v>
          </cell>
          <cell r="N3">
            <v>306440</v>
          </cell>
          <cell r="O3">
            <v>311718</v>
          </cell>
          <cell r="P3">
            <v>330308</v>
          </cell>
          <cell r="Q3">
            <v>343576</v>
          </cell>
          <cell r="R3">
            <v>356843</v>
          </cell>
          <cell r="S3">
            <v>345443</v>
          </cell>
          <cell r="T3">
            <v>382867</v>
          </cell>
          <cell r="U3">
            <v>395708.5</v>
          </cell>
          <cell r="V3">
            <v>408550</v>
          </cell>
          <cell r="W3">
            <v>311531</v>
          </cell>
        </row>
      </sheetData>
      <sheetData sheetId="5">
        <row r="2">
          <cell r="B2">
            <v>0</v>
          </cell>
          <cell r="C2">
            <v>0</v>
          </cell>
          <cell r="D2">
            <v>0</v>
          </cell>
          <cell r="E2">
            <v>0</v>
          </cell>
          <cell r="F2">
            <v>0</v>
          </cell>
          <cell r="G2">
            <v>0</v>
          </cell>
          <cell r="H2">
            <v>0</v>
          </cell>
          <cell r="I2">
            <v>0</v>
          </cell>
          <cell r="J2">
            <v>0</v>
          </cell>
          <cell r="K2">
            <v>0</v>
          </cell>
          <cell r="L2">
            <v>0</v>
          </cell>
          <cell r="M2">
            <v>434.77083333333331</v>
          </cell>
          <cell r="N2">
            <v>1543.5208333333333</v>
          </cell>
          <cell r="O2">
            <v>2990.2708333333335</v>
          </cell>
          <cell r="P2">
            <v>4705.6875</v>
          </cell>
          <cell r="Q2">
            <v>6685.270833333333</v>
          </cell>
          <cell r="R2">
            <v>10849.4375</v>
          </cell>
          <cell r="S2">
            <v>19529.104166666668</v>
          </cell>
          <cell r="T2">
            <v>26956.604166666668</v>
          </cell>
          <cell r="U2">
            <v>30646.604166666668</v>
          </cell>
          <cell r="V2">
            <v>32227.1875</v>
          </cell>
          <cell r="W2">
            <v>28917.104166666668</v>
          </cell>
        </row>
      </sheetData>
      <sheetData sheetId="6">
        <row r="2">
          <cell r="U2">
            <v>1103.5</v>
          </cell>
          <cell r="V2">
            <v>3310.5</v>
          </cell>
          <cell r="W2">
            <v>4414</v>
          </cell>
          <cell r="X2">
            <v>5517.5</v>
          </cell>
          <cell r="Y2">
            <v>9350.5</v>
          </cell>
          <cell r="Z2">
            <v>13113.5</v>
          </cell>
          <cell r="AA2">
            <v>14940.499999999998</v>
          </cell>
          <cell r="AB2">
            <v>24726.499999999996</v>
          </cell>
          <cell r="AC2">
            <v>26676.499999999996</v>
          </cell>
          <cell r="AD2">
            <v>35490.999999999993</v>
          </cell>
          <cell r="AE2">
            <v>39442</v>
          </cell>
          <cell r="AF2">
            <v>47435</v>
          </cell>
          <cell r="AG2">
            <v>49586</v>
          </cell>
          <cell r="AH2">
            <v>69053</v>
          </cell>
          <cell r="AI2">
            <v>141502</v>
          </cell>
          <cell r="AJ2">
            <v>211278.68817204301</v>
          </cell>
          <cell r="AK2">
            <v>325817.17840212741</v>
          </cell>
          <cell r="AL2">
            <v>573797.06734074547</v>
          </cell>
          <cell r="AM2">
            <v>916335.75439076754</v>
          </cell>
          <cell r="AN2">
            <v>1500485.9526574665</v>
          </cell>
          <cell r="AO2">
            <v>1931149</v>
          </cell>
          <cell r="AP2">
            <v>2303624</v>
          </cell>
        </row>
      </sheetData>
      <sheetData sheetId="7">
        <row r="2">
          <cell r="B2">
            <v>0</v>
          </cell>
          <cell r="C2">
            <v>0</v>
          </cell>
          <cell r="D2">
            <v>0</v>
          </cell>
          <cell r="E2">
            <v>0</v>
          </cell>
          <cell r="F2">
            <v>0</v>
          </cell>
          <cell r="G2">
            <v>0</v>
          </cell>
          <cell r="H2">
            <v>0</v>
          </cell>
          <cell r="I2">
            <v>0</v>
          </cell>
          <cell r="J2">
            <v>1.0755202244563947E-2</v>
          </cell>
          <cell r="K2">
            <v>5.6314948870589696E-3</v>
          </cell>
          <cell r="L2">
            <v>5.7798856433668722E-3</v>
          </cell>
          <cell r="M2">
            <v>6.1042036175059195E-3</v>
          </cell>
          <cell r="N2">
            <v>5.3814787439894363E-3</v>
          </cell>
          <cell r="O2">
            <v>0</v>
          </cell>
          <cell r="P2">
            <v>6.4060575890166902E-3</v>
          </cell>
          <cell r="Q2">
            <v>2.7908994218554105E-2</v>
          </cell>
          <cell r="R2">
            <v>8.2317311449785074E-2</v>
          </cell>
          <cell r="S2">
            <v>0.18473601770824541</v>
          </cell>
          <cell r="T2">
            <v>0.32210083779712445</v>
          </cell>
          <cell r="U2">
            <v>0.40610436550278561</v>
          </cell>
          <cell r="V2">
            <v>0.47271690770965785</v>
          </cell>
          <cell r="W2">
            <v>0.53636894162713789</v>
          </cell>
        </row>
      </sheetData>
      <sheetData sheetId="8">
        <row r="2">
          <cell r="B2">
            <v>50615800.308805212</v>
          </cell>
          <cell r="C2">
            <v>55268292.708259083</v>
          </cell>
          <cell r="D2">
            <v>61600655.974125087</v>
          </cell>
          <cell r="E2">
            <v>64144383.982784502</v>
          </cell>
          <cell r="F2">
            <v>67962522.71045579</v>
          </cell>
          <cell r="G2">
            <v>72565755.505764052</v>
          </cell>
          <cell r="H2">
            <v>76938987.677525371</v>
          </cell>
          <cell r="I2">
            <v>83200866.264006272</v>
          </cell>
          <cell r="J2">
            <v>89963829.540194139</v>
          </cell>
          <cell r="K2">
            <v>95576169.900532424</v>
          </cell>
          <cell r="L2">
            <v>100503576.55517608</v>
          </cell>
          <cell r="M2">
            <v>109073194.77822027</v>
          </cell>
          <cell r="N2">
            <v>109066341.52647889</v>
          </cell>
          <cell r="O2">
            <v>114059108.02698019</v>
          </cell>
          <cell r="P2">
            <v>109256435.34644848</v>
          </cell>
          <cell r="Q2">
            <v>112819821.18383473</v>
          </cell>
          <cell r="R2">
            <v>108159505.44816807</v>
          </cell>
          <cell r="S2">
            <v>105696730.38438496</v>
          </cell>
          <cell r="T2">
            <v>99733895.461657792</v>
          </cell>
          <cell r="U2">
            <v>88986086.68498829</v>
          </cell>
          <cell r="V2">
            <v>78456550.964611903</v>
          </cell>
        </row>
        <row r="4">
          <cell r="B4">
            <v>156716600</v>
          </cell>
          <cell r="C4">
            <v>167976040</v>
          </cell>
          <cell r="D4">
            <v>183715880</v>
          </cell>
          <cell r="E4">
            <v>187651428</v>
          </cell>
          <cell r="F4">
            <v>194953119</v>
          </cell>
          <cell r="G4">
            <v>204027579</v>
          </cell>
          <cell r="H4">
            <v>211944467</v>
          </cell>
          <cell r="I4">
            <v>224458726</v>
          </cell>
          <cell r="J4">
            <v>237583497</v>
          </cell>
          <cell r="K4">
            <v>246965271</v>
          </cell>
          <cell r="L4">
            <v>253048448</v>
          </cell>
          <cell r="M4">
            <v>259934115</v>
          </cell>
          <cell r="N4">
            <v>260625937</v>
          </cell>
          <cell r="O4">
            <v>263067911</v>
          </cell>
          <cell r="P4">
            <v>253919348</v>
          </cell>
          <cell r="Q4">
            <v>246326325</v>
          </cell>
          <cell r="R4">
            <v>229140550</v>
          </cell>
          <cell r="S4">
            <v>217313967</v>
          </cell>
          <cell r="T4">
            <v>193782638</v>
          </cell>
          <cell r="U4">
            <v>169863949</v>
          </cell>
          <cell r="V4">
            <v>154658303</v>
          </cell>
          <cell r="W4">
            <v>144174733</v>
          </cell>
        </row>
        <row r="5">
          <cell r="B5">
            <v>83860335346.247116</v>
          </cell>
          <cell r="C5">
            <v>88243037645.415298</v>
          </cell>
          <cell r="D5">
            <v>104432410000.00002</v>
          </cell>
          <cell r="E5">
            <v>113914397673</v>
          </cell>
          <cell r="F5">
            <v>128182380208</v>
          </cell>
          <cell r="G5">
            <v>141266597589</v>
          </cell>
          <cell r="H5">
            <v>152741116253</v>
          </cell>
          <cell r="I5">
            <v>172377484435</v>
          </cell>
          <cell r="J5">
            <v>194816933897</v>
          </cell>
          <cell r="K5">
            <v>214803554568</v>
          </cell>
          <cell r="L5">
            <v>227757668789</v>
          </cell>
          <cell r="M5">
            <v>245404960604</v>
          </cell>
          <cell r="N5">
            <v>246463188398</v>
          </cell>
          <cell r="O5">
            <v>239867616739</v>
          </cell>
          <cell r="P5">
            <v>228965844787</v>
          </cell>
          <cell r="Q5">
            <v>221271525079</v>
          </cell>
          <cell r="R5">
            <v>209409702158</v>
          </cell>
          <cell r="S5">
            <v>197124327717</v>
          </cell>
          <cell r="T5">
            <v>170285611746</v>
          </cell>
          <cell r="U5">
            <v>141100706124</v>
          </cell>
          <cell r="V5">
            <v>120407890118</v>
          </cell>
          <cell r="W5">
            <v>110314545203</v>
          </cell>
        </row>
        <row r="6">
          <cell r="B6">
            <v>0</v>
          </cell>
          <cell r="C6">
            <v>0</v>
          </cell>
          <cell r="D6">
            <v>0</v>
          </cell>
          <cell r="E6">
            <v>0</v>
          </cell>
          <cell r="F6">
            <v>0</v>
          </cell>
          <cell r="G6">
            <v>0</v>
          </cell>
          <cell r="H6">
            <v>0</v>
          </cell>
          <cell r="I6">
            <v>0</v>
          </cell>
          <cell r="J6">
            <v>0</v>
          </cell>
          <cell r="K6">
            <v>0</v>
          </cell>
          <cell r="L6">
            <v>1.2868150677794213E-4</v>
          </cell>
          <cell r="M6">
            <v>3.0440046129983321E-2</v>
          </cell>
          <cell r="N6">
            <v>0.10357235362782942</v>
          </cell>
          <cell r="O6">
            <v>9.0387600251146713E-2</v>
          </cell>
          <cell r="P6">
            <v>8.5121503878147764E-2</v>
          </cell>
          <cell r="Q6">
            <v>7.9822156563950336E-2</v>
          </cell>
          <cell r="R6">
            <v>7.5699132306866743E-2</v>
          </cell>
          <cell r="S6">
            <v>7.0648063363307451E-2</v>
          </cell>
          <cell r="T6">
            <v>6.5304469508482815E-2</v>
          </cell>
          <cell r="U6">
            <v>6.2178924571006849E-2</v>
          </cell>
          <cell r="V6">
            <v>5.5745186078936089E-2</v>
          </cell>
          <cell r="W6">
            <v>4.9272336100354815E-2</v>
          </cell>
        </row>
        <row r="7">
          <cell r="B7">
            <v>50608436.274199456</v>
          </cell>
          <cell r="C7">
            <v>54244443.255739212</v>
          </cell>
          <cell r="D7">
            <v>59327304.226472974</v>
          </cell>
          <cell r="E7">
            <v>60598209.351788692</v>
          </cell>
          <cell r="F7">
            <v>62956141.84692575</v>
          </cell>
          <cell r="G7">
            <v>65886554.008960731</v>
          </cell>
          <cell r="H7">
            <v>68443151.853975073</v>
          </cell>
          <cell r="I7">
            <v>72484377.091890693</v>
          </cell>
          <cell r="J7">
            <v>71731564.967042297</v>
          </cell>
          <cell r="K7">
            <v>71966640.718910307</v>
          </cell>
          <cell r="L7">
            <v>70242672.282253996</v>
          </cell>
          <cell r="M7">
            <v>72196826.934210598</v>
          </cell>
          <cell r="N7">
            <v>72354218.425861493</v>
          </cell>
          <cell r="O7">
            <v>72620520.514616698</v>
          </cell>
          <cell r="P7">
            <v>69782268.831006601</v>
          </cell>
          <cell r="Q7">
            <v>68451960.146435499</v>
          </cell>
          <cell r="R7">
            <v>67098851.729051702</v>
          </cell>
          <cell r="S7">
            <v>64662029.880932502</v>
          </cell>
          <cell r="T7">
            <v>57543442.3193608</v>
          </cell>
          <cell r="U7">
            <v>50847486.582352601</v>
          </cell>
          <cell r="V7">
            <v>45900215</v>
          </cell>
        </row>
      </sheetData>
      <sheetData sheetId="9">
        <row r="2">
          <cell r="B2">
            <v>2870.7596401028277</v>
          </cell>
          <cell r="C2">
            <v>2618.6778214102783</v>
          </cell>
          <cell r="D2">
            <v>2394.2800057496047</v>
          </cell>
          <cell r="E2">
            <v>2679.8392935019624</v>
          </cell>
          <cell r="F2">
            <v>2606.3050053663774</v>
          </cell>
          <cell r="G2">
            <v>2237.1267765280322</v>
          </cell>
          <cell r="H2">
            <v>2330.7795319317729</v>
          </cell>
          <cell r="I2">
            <v>2263.1599739668077</v>
          </cell>
          <cell r="J2">
            <v>2697.3812016801608</v>
          </cell>
          <cell r="K2">
            <v>3433.6430381204655</v>
          </cell>
          <cell r="L2">
            <v>3615.2430710590797</v>
          </cell>
          <cell r="M2">
            <v>3294.4584440623207</v>
          </cell>
          <cell r="N2">
            <v>4814.9048011239765</v>
          </cell>
          <cell r="O2">
            <v>6441.6934894968945</v>
          </cell>
          <cell r="P2">
            <v>8691.5731087368604</v>
          </cell>
          <cell r="Q2">
            <v>10045.523392673238</v>
          </cell>
          <cell r="R2">
            <v>10780.562671806376</v>
          </cell>
          <cell r="S2">
            <v>10031.407789036748</v>
          </cell>
          <cell r="T2">
            <v>7603.2975937948622</v>
          </cell>
          <cell r="U2">
            <v>6055.7969314665343</v>
          </cell>
          <cell r="V2">
            <v>5344.9308817282599</v>
          </cell>
        </row>
        <row r="3">
          <cell r="B3">
            <v>4098.1241278002208</v>
          </cell>
          <cell r="C3">
            <v>4665.3283250811</v>
          </cell>
          <cell r="D3">
            <v>5784.2417708782523</v>
          </cell>
          <cell r="E3">
            <v>7542.8179241168773</v>
          </cell>
          <cell r="F3">
            <v>8574.2373890135623</v>
          </cell>
          <cell r="G3">
            <v>9535.136803557416</v>
          </cell>
          <cell r="H3">
            <v>10534.791193970646</v>
          </cell>
          <cell r="I3">
            <v>12213.27959648552</v>
          </cell>
          <cell r="J3">
            <v>13350.172399099045</v>
          </cell>
          <cell r="K3">
            <v>13585.234135667397</v>
          </cell>
          <cell r="L3">
            <v>13542.390634358835</v>
          </cell>
          <cell r="M3">
            <v>14509.050440310562</v>
          </cell>
          <cell r="N3">
            <v>15049.067971513008</v>
          </cell>
          <cell r="O3">
            <v>13854.762198302433</v>
          </cell>
          <cell r="P3">
            <v>13006.523134585559</v>
          </cell>
          <cell r="Q3">
            <v>12728.554877151684</v>
          </cell>
          <cell r="R3">
            <v>12254.54968561408</v>
          </cell>
          <cell r="S3">
            <v>12132.595043340252</v>
          </cell>
          <cell r="T3">
            <v>10843.240084849263</v>
          </cell>
          <cell r="U3">
            <v>8871.7119300599425</v>
          </cell>
          <cell r="V3">
            <v>7633.7305661751316</v>
          </cell>
        </row>
        <row r="4">
          <cell r="B4">
            <v>1058.5833639368343</v>
          </cell>
          <cell r="C4">
            <v>1098.062489329008</v>
          </cell>
          <cell r="D4">
            <v>1286.6011211729194</v>
          </cell>
          <cell r="E4">
            <v>1664.3349324029655</v>
          </cell>
          <cell r="F4">
            <v>1751.0321006927504</v>
          </cell>
          <cell r="G4">
            <v>1987.0878890923359</v>
          </cell>
          <cell r="H4">
            <v>2029.3447044823483</v>
          </cell>
          <cell r="I4">
            <v>2971.7568499837294</v>
          </cell>
          <cell r="J4">
            <v>2487.195653497291</v>
          </cell>
          <cell r="K4">
            <v>2582.8688817229067</v>
          </cell>
          <cell r="L4">
            <v>3256.2827661312276</v>
          </cell>
          <cell r="M4">
            <v>3265.8301287061645</v>
          </cell>
          <cell r="N4">
            <v>2905.5460006782619</v>
          </cell>
          <cell r="O4">
            <v>2822.7150647256863</v>
          </cell>
          <cell r="P4">
            <v>3137.7520248147512</v>
          </cell>
          <cell r="Q4">
            <v>4784.0352729145216</v>
          </cell>
          <cell r="R4">
            <v>7256.6321526746497</v>
          </cell>
          <cell r="S4">
            <v>14188.194408497131</v>
          </cell>
          <cell r="T4">
            <v>21041.159135223159</v>
          </cell>
          <cell r="U4">
            <v>22833.065374045142</v>
          </cell>
          <cell r="V4">
            <v>28216.687905819526</v>
          </cell>
        </row>
        <row r="5">
          <cell r="B5">
            <v>35.532868160117516</v>
          </cell>
          <cell r="C5">
            <v>35.931364179614135</v>
          </cell>
          <cell r="D5">
            <v>36.877102199223806</v>
          </cell>
          <cell r="E5">
            <v>39.007849978194507</v>
          </cell>
          <cell r="F5">
            <v>35.42550492730998</v>
          </cell>
          <cell r="G5">
            <v>27.648530822216408</v>
          </cell>
          <cell r="H5">
            <v>64.084569615232056</v>
          </cell>
          <cell r="I5">
            <v>140.80357956394403</v>
          </cell>
          <cell r="J5">
            <v>28.250745723503986</v>
          </cell>
          <cell r="K5">
            <v>45.253944489231834</v>
          </cell>
          <cell r="L5">
            <v>59.083528450857607</v>
          </cell>
          <cell r="M5">
            <v>61.660986920952531</v>
          </cell>
          <cell r="N5">
            <v>77.481226684753651</v>
          </cell>
          <cell r="O5">
            <v>106.82924747498696</v>
          </cell>
          <cell r="P5">
            <v>279.15173186282959</v>
          </cell>
          <cell r="Q5">
            <v>1160.8864572605562</v>
          </cell>
          <cell r="R5">
            <v>2911.2554899048941</v>
          </cell>
          <cell r="S5">
            <v>6080.8027591258697</v>
          </cell>
          <cell r="T5">
            <v>8394.3031861327163</v>
          </cell>
          <cell r="U5">
            <v>9335.4257644283825</v>
          </cell>
          <cell r="V5">
            <v>8982.6506462770794</v>
          </cell>
        </row>
      </sheetData>
      <sheetData sheetId="10">
        <row r="2">
          <cell r="B2">
            <v>1910000</v>
          </cell>
          <cell r="C2">
            <v>2462000</v>
          </cell>
          <cell r="D2">
            <v>2394500</v>
          </cell>
          <cell r="E2">
            <v>2320000</v>
          </cell>
          <cell r="F2">
            <v>2456000</v>
          </cell>
          <cell r="G2">
            <v>2422000</v>
          </cell>
          <cell r="H2">
            <v>2193000</v>
          </cell>
          <cell r="I2">
            <v>2155000</v>
          </cell>
          <cell r="J2">
            <v>2159000</v>
          </cell>
          <cell r="K2">
            <v>2189000</v>
          </cell>
          <cell r="L2">
            <v>2193000</v>
          </cell>
          <cell r="M2">
            <v>2013000</v>
          </cell>
          <cell r="N2">
            <v>1888000</v>
          </cell>
          <cell r="O2">
            <v>1880000</v>
          </cell>
          <cell r="P2">
            <v>1539000</v>
          </cell>
          <cell r="Q2">
            <v>1425000</v>
          </cell>
          <cell r="R2">
            <v>2126000</v>
          </cell>
          <cell r="S2">
            <v>2139000</v>
          </cell>
          <cell r="T2">
            <v>2010000</v>
          </cell>
          <cell r="U2">
            <v>1908000</v>
          </cell>
          <cell r="V2">
            <v>1607000</v>
          </cell>
        </row>
        <row r="3">
          <cell r="B3">
            <v>1622960.8532816693</v>
          </cell>
          <cell r="C3">
            <v>2092005.0370573141</v>
          </cell>
          <cell r="D3">
            <v>2034649.0906717053</v>
          </cell>
          <cell r="E3">
            <v>1971345.1202164779</v>
          </cell>
          <cell r="F3">
            <v>2086906.7307119267</v>
          </cell>
          <cell r="G3">
            <v>2058016.3280880644</v>
          </cell>
          <cell r="H3">
            <v>1863430.9692391104</v>
          </cell>
          <cell r="I3">
            <v>1831141.6957183233</v>
          </cell>
          <cell r="J3">
            <v>1834540.5666152481</v>
          </cell>
          <cell r="K3">
            <v>1860032.0983421854</v>
          </cell>
          <cell r="L3">
            <v>1863430.9692391104</v>
          </cell>
          <cell r="M3">
            <v>1710481.7788774869</v>
          </cell>
          <cell r="N3">
            <v>1604267.063348582</v>
          </cell>
          <cell r="O3">
            <v>1597469.321554732</v>
          </cell>
          <cell r="P3">
            <v>1307715.5775918791</v>
          </cell>
          <cell r="Q3">
            <v>1210847.7570295176</v>
          </cell>
          <cell r="R3">
            <v>1163513.1208599422</v>
          </cell>
          <cell r="S3">
            <v>1170627.7354277594</v>
          </cell>
          <cell r="T3">
            <v>1100028.8677932662</v>
          </cell>
          <cell r="U3">
            <v>1044206.5073380854</v>
          </cell>
          <cell r="V3">
            <v>879475.81619093462</v>
          </cell>
        </row>
        <row r="4">
          <cell r="B4">
            <v>287039.14671833068</v>
          </cell>
          <cell r="C4">
            <v>369994.96294268593</v>
          </cell>
          <cell r="D4">
            <v>359850.90932829469</v>
          </cell>
          <cell r="E4">
            <v>348654.8797835221</v>
          </cell>
          <cell r="F4">
            <v>369093.26928807341</v>
          </cell>
          <cell r="G4">
            <v>363983.67191193555</v>
          </cell>
          <cell r="H4">
            <v>329569.03076088964</v>
          </cell>
          <cell r="I4">
            <v>323858.30428167677</v>
          </cell>
          <cell r="J4">
            <v>324459.43338475178</v>
          </cell>
          <cell r="K4">
            <v>328967.90165781457</v>
          </cell>
          <cell r="L4">
            <v>329569.03076088964</v>
          </cell>
          <cell r="M4">
            <v>302518.22112251294</v>
          </cell>
          <cell r="N4">
            <v>283732.93665141799</v>
          </cell>
          <cell r="O4">
            <v>282530.6784452679</v>
          </cell>
          <cell r="P4">
            <v>231284.42240812091</v>
          </cell>
          <cell r="Q4">
            <v>214152.24297048233</v>
          </cell>
          <cell r="R4">
            <v>962486.87914005783</v>
          </cell>
          <cell r="S4">
            <v>968372.26457224065</v>
          </cell>
          <cell r="T4">
            <v>909971.13220673392</v>
          </cell>
          <cell r="U4">
            <v>863793.49266191456</v>
          </cell>
          <cell r="V4">
            <v>727524.18380906538</v>
          </cell>
        </row>
      </sheetData>
      <sheetData sheetId="11">
        <row r="2">
          <cell r="B2">
            <v>770417.1</v>
          </cell>
          <cell r="C2">
            <v>757479.11</v>
          </cell>
          <cell r="D2">
            <v>1109094.96</v>
          </cell>
          <cell r="E2">
            <v>1665919</v>
          </cell>
          <cell r="F2">
            <v>1578238</v>
          </cell>
          <cell r="G2">
            <v>1806262</v>
          </cell>
          <cell r="H2">
            <v>1754593</v>
          </cell>
          <cell r="I2">
            <v>1768853</v>
          </cell>
          <cell r="J2">
            <v>1967314</v>
          </cell>
          <cell r="K2">
            <v>1912898</v>
          </cell>
          <cell r="L2">
            <v>2039042</v>
          </cell>
          <cell r="M2">
            <v>2140500</v>
          </cell>
          <cell r="N2">
            <v>1898575</v>
          </cell>
          <cell r="O2">
            <v>2301337</v>
          </cell>
          <cell r="P2">
            <v>1935811</v>
          </cell>
          <cell r="Q2">
            <v>2015605</v>
          </cell>
          <cell r="R2">
            <v>2181670</v>
          </cell>
          <cell r="S2">
            <v>2178982</v>
          </cell>
          <cell r="T2">
            <v>1804716</v>
          </cell>
          <cell r="U2">
            <v>1782701</v>
          </cell>
          <cell r="V2">
            <v>1581223</v>
          </cell>
        </row>
        <row r="5">
          <cell r="B5">
            <v>5590140.5</v>
          </cell>
          <cell r="C5">
            <v>5586577.2699999996</v>
          </cell>
          <cell r="D5">
            <v>6933347.4800000004</v>
          </cell>
          <cell r="E5">
            <v>9225312</v>
          </cell>
          <cell r="F5">
            <v>10003110</v>
          </cell>
          <cell r="G5">
            <v>9389311</v>
          </cell>
          <cell r="H5">
            <v>9709431</v>
          </cell>
          <cell r="I5">
            <v>10191551</v>
          </cell>
          <cell r="J5">
            <v>10292408</v>
          </cell>
          <cell r="K5">
            <v>9795118</v>
          </cell>
          <cell r="L5">
            <v>9965813</v>
          </cell>
          <cell r="M5">
            <v>9823494</v>
          </cell>
          <cell r="N5">
            <v>8794760</v>
          </cell>
          <cell r="O5">
            <v>9898266</v>
          </cell>
          <cell r="P5">
            <v>8543367</v>
          </cell>
          <cell r="Q5">
            <v>7654608</v>
          </cell>
          <cell r="R5">
            <v>9631764</v>
          </cell>
          <cell r="S5">
            <v>8783829</v>
          </cell>
          <cell r="T5">
            <v>8379498</v>
          </cell>
          <cell r="U5">
            <v>7663420</v>
          </cell>
          <cell r="V5">
            <v>7798728</v>
          </cell>
        </row>
        <row r="7">
          <cell r="B7">
            <v>221122575</v>
          </cell>
          <cell r="C7">
            <v>223279598</v>
          </cell>
          <cell r="D7">
            <v>225635789</v>
          </cell>
          <cell r="E7">
            <v>235143245</v>
          </cell>
          <cell r="F7">
            <v>237682009</v>
          </cell>
          <cell r="G7">
            <v>240514815</v>
          </cell>
          <cell r="H7">
            <v>243220283</v>
          </cell>
          <cell r="I7">
            <v>246021656</v>
          </cell>
          <cell r="J7">
            <v>247845207</v>
          </cell>
          <cell r="K7">
            <v>249815089</v>
          </cell>
          <cell r="L7">
            <v>251815533</v>
          </cell>
          <cell r="M7">
            <v>253619107</v>
          </cell>
          <cell r="N7">
            <v>257598944</v>
          </cell>
          <cell r="O7">
            <v>260057325</v>
          </cell>
          <cell r="P7">
            <v>262391455</v>
          </cell>
          <cell r="Q7">
            <v>265122864</v>
          </cell>
          <cell r="R7">
            <v>267694489</v>
          </cell>
          <cell r="S7">
            <v>269430135</v>
          </cell>
          <cell r="T7">
            <v>272103335</v>
          </cell>
          <cell r="U7">
            <v>273753043</v>
          </cell>
          <cell r="V7">
            <v>275221248</v>
          </cell>
          <cell r="W7">
            <v>277196227.0557394</v>
          </cell>
          <cell r="X7">
            <v>279162039.54202181</v>
          </cell>
          <cell r="Y7">
            <v>281115352.1608628</v>
          </cell>
          <cell r="Z7">
            <v>283051164.9652859</v>
          </cell>
          <cell r="AA7">
            <v>284966144.65730661</v>
          </cell>
          <cell r="AB7">
            <v>286858624.58793288</v>
          </cell>
          <cell r="AC7">
            <v>288731104.73065287</v>
          </cell>
          <cell r="AD7">
            <v>290576085.16500187</v>
          </cell>
          <cell r="AE7">
            <v>292390232.59299541</v>
          </cell>
          <cell r="AF7">
            <v>294170213.71664917</v>
          </cell>
          <cell r="AG7">
            <v>295914361.88697094</v>
          </cell>
        </row>
        <row r="8">
          <cell r="B8">
            <v>0.43750800000000001</v>
          </cell>
          <cell r="C8">
            <v>0.37236187999999998</v>
          </cell>
          <cell r="D8">
            <v>0.425927</v>
          </cell>
          <cell r="E8">
            <v>0.54781630921420243</v>
          </cell>
          <cell r="F8">
            <v>0.37322058915059531</v>
          </cell>
          <cell r="G8">
            <v>0.39139012189107308</v>
          </cell>
          <cell r="H8">
            <v>0.4877997957950449</v>
          </cell>
          <cell r="I8">
            <v>0.57803937794552485</v>
          </cell>
          <cell r="J8">
            <v>0.72162230278590955</v>
          </cell>
          <cell r="K8">
            <v>0.42434660061496415</v>
          </cell>
          <cell r="L8">
            <v>0.67685122298409983</v>
          </cell>
          <cell r="M8">
            <v>0.47542778169279082</v>
          </cell>
          <cell r="N8">
            <v>0.47088840431370804</v>
          </cell>
          <cell r="O8">
            <v>0.48412019742862716</v>
          </cell>
          <cell r="P8">
            <v>0.70006800322385654</v>
          </cell>
          <cell r="Q8">
            <v>0.45505317441636534</v>
          </cell>
          <cell r="R8">
            <v>0.59043335257408602</v>
          </cell>
          <cell r="S8">
            <v>0.35116056083220265</v>
          </cell>
          <cell r="T8">
            <v>0.52275756557215547</v>
          </cell>
          <cell r="U8">
            <v>0.39097376936899497</v>
          </cell>
          <cell r="V8">
            <v>0.24577347467820138</v>
          </cell>
        </row>
        <row r="9">
          <cell r="B9">
            <v>0.43670399999999998</v>
          </cell>
          <cell r="C9">
            <v>0.49432921499999999</v>
          </cell>
          <cell r="D9">
            <v>0.50452300000000005</v>
          </cell>
          <cell r="E9">
            <v>0.54729355857175399</v>
          </cell>
          <cell r="F9">
            <v>0.49471869236209659</v>
          </cell>
          <cell r="G9">
            <v>0.48028834290951389</v>
          </cell>
          <cell r="H9">
            <v>0.66885667204562727</v>
          </cell>
          <cell r="I9">
            <v>0.70146781191003083</v>
          </cell>
          <cell r="J9">
            <v>0.74580695055343416</v>
          </cell>
          <cell r="K9">
            <v>0.74834445129301319</v>
          </cell>
          <cell r="L9">
            <v>0.66145609367690361</v>
          </cell>
          <cell r="M9">
            <v>0.69965780468544359</v>
          </cell>
          <cell r="N9">
            <v>0.71452291733487705</v>
          </cell>
          <cell r="O9">
            <v>0.7760462196226775</v>
          </cell>
          <cell r="P9">
            <v>0.79410502351272672</v>
          </cell>
          <cell r="Q9">
            <v>0.66357395438209221</v>
          </cell>
          <cell r="R9">
            <v>0.73309701196862065</v>
          </cell>
          <cell r="S9">
            <v>0.7640260708441472</v>
          </cell>
          <cell r="T9">
            <v>0.63545225442936903</v>
          </cell>
          <cell r="U9">
            <v>0.70188431548236752</v>
          </cell>
          <cell r="V9">
            <v>0.63945444153182096</v>
          </cell>
        </row>
      </sheetData>
      <sheetData sheetId="12">
        <row r="2">
          <cell r="B2">
            <v>737348.72370526451</v>
          </cell>
          <cell r="C2">
            <v>670983.54912418628</v>
          </cell>
          <cell r="D2">
            <v>732226.9959257741</v>
          </cell>
          <cell r="E2">
            <v>764684.39245923271</v>
          </cell>
          <cell r="F2">
            <v>673043.85125278018</v>
          </cell>
          <cell r="G2">
            <v>882617.72652719344</v>
          </cell>
          <cell r="H2">
            <v>728787.3099795162</v>
          </cell>
          <cell r="I2">
            <v>995374.01559201255</v>
          </cell>
          <cell r="J2">
            <v>772412.62550478789</v>
          </cell>
          <cell r="K2">
            <v>1024666.0100058218</v>
          </cell>
          <cell r="L2">
            <v>1316792.5968868218</v>
          </cell>
          <cell r="M2">
            <v>1335599.830687297</v>
          </cell>
          <cell r="N2">
            <v>1590808.859871615</v>
          </cell>
          <cell r="O2">
            <v>1565981.4445320296</v>
          </cell>
          <cell r="P2">
            <v>1667232.4977665495</v>
          </cell>
          <cell r="Q2">
            <v>1936510.395643299</v>
          </cell>
          <cell r="R2">
            <v>1923866.4588087033</v>
          </cell>
          <cell r="S2">
            <v>2011537.1025247658</v>
          </cell>
          <cell r="T2">
            <v>2193782.1536960565</v>
          </cell>
          <cell r="U2">
            <v>1843790.2663262156</v>
          </cell>
          <cell r="V2">
            <v>1420678.8406968592</v>
          </cell>
        </row>
        <row r="3">
          <cell r="B3">
            <v>356879.47284337127</v>
          </cell>
          <cell r="C3">
            <v>370784.72326854634</v>
          </cell>
          <cell r="D3">
            <v>637207.65505353943</v>
          </cell>
          <cell r="E3">
            <v>451003.37782476825</v>
          </cell>
          <cell r="F3">
            <v>349907.88483673678</v>
          </cell>
          <cell r="G3">
            <v>397415.9841143646</v>
          </cell>
          <cell r="H3">
            <v>447929.5073541528</v>
          </cell>
          <cell r="I3">
            <v>616584.81539219653</v>
          </cell>
          <cell r="J3">
            <v>320958.12296520267</v>
          </cell>
          <cell r="K3">
            <v>437111.8478133335</v>
          </cell>
          <cell r="L3">
            <v>668803.27893350006</v>
          </cell>
          <cell r="M3">
            <v>454736.82374049543</v>
          </cell>
          <cell r="N3">
            <v>419471.31586152274</v>
          </cell>
          <cell r="O3">
            <v>414767.17400770652</v>
          </cell>
          <cell r="P3">
            <v>494109.12212676782</v>
          </cell>
          <cell r="Q3">
            <v>872375.63989838201</v>
          </cell>
          <cell r="R3">
            <v>571335.45089358359</v>
          </cell>
          <cell r="S3">
            <v>859859.26246590668</v>
          </cell>
          <cell r="T3">
            <v>805294.95040755463</v>
          </cell>
          <cell r="U3">
            <v>808561.71558381582</v>
          </cell>
          <cell r="V3">
            <v>832913.11656914616</v>
          </cell>
        </row>
        <row r="4">
          <cell r="B4">
            <v>37111.385763806698</v>
          </cell>
          <cell r="C4">
            <v>21928.612370368439</v>
          </cell>
          <cell r="D4">
            <v>74780.455011275131</v>
          </cell>
          <cell r="E4">
            <v>108749.05711527202</v>
          </cell>
          <cell r="F4">
            <v>55584.787275317554</v>
          </cell>
          <cell r="G4">
            <v>117961.33491232873</v>
          </cell>
          <cell r="H4">
            <v>71442.598802368579</v>
          </cell>
          <cell r="I4">
            <v>87060.847549827129</v>
          </cell>
          <cell r="J4">
            <v>150572.98498620529</v>
          </cell>
          <cell r="K4">
            <v>156782.95002603144</v>
          </cell>
          <cell r="L4">
            <v>224460.99086337516</v>
          </cell>
          <cell r="M4">
            <v>326888.07956134918</v>
          </cell>
          <cell r="N4">
            <v>147533.33776981744</v>
          </cell>
          <cell r="O4">
            <v>164063.16956169935</v>
          </cell>
          <cell r="P4">
            <v>156537.16483657941</v>
          </cell>
          <cell r="Q4">
            <v>341831.19683904713</v>
          </cell>
          <cell r="R4">
            <v>264583.08963772282</v>
          </cell>
          <cell r="S4">
            <v>165522.32467376272</v>
          </cell>
          <cell r="T4">
            <v>113888.76765925638</v>
          </cell>
          <cell r="U4">
            <v>120244.95933078184</v>
          </cell>
          <cell r="V4">
            <v>72522.186912999678</v>
          </cell>
        </row>
        <row r="5">
          <cell r="B5">
            <v>90224.942963405862</v>
          </cell>
          <cell r="C5">
            <v>98900.418248348738</v>
          </cell>
          <cell r="D5">
            <v>133602.31938812023</v>
          </cell>
          <cell r="E5">
            <v>101503.06083383159</v>
          </cell>
          <cell r="F5">
            <v>79814.372621474424</v>
          </cell>
          <cell r="G5">
            <v>96611.100450833866</v>
          </cell>
          <cell r="H5">
            <v>88423.719056695409</v>
          </cell>
          <cell r="I5">
            <v>94288.557565557843</v>
          </cell>
          <cell r="J5">
            <v>111050.9677994348</v>
          </cell>
          <cell r="K5">
            <v>108269.93155608705</v>
          </cell>
          <cell r="L5">
            <v>174538.59656024375</v>
          </cell>
          <cell r="M5">
            <v>190897.38890086298</v>
          </cell>
          <cell r="N5">
            <v>239293.91003065923</v>
          </cell>
          <cell r="O5">
            <v>232252.40236486623</v>
          </cell>
          <cell r="P5">
            <v>251606.76922860506</v>
          </cell>
          <cell r="Q5">
            <v>252320.80786155901</v>
          </cell>
          <cell r="R5">
            <v>160675.98613825691</v>
          </cell>
          <cell r="S5">
            <v>202332.72328521241</v>
          </cell>
          <cell r="T5">
            <v>88100.217645512384</v>
          </cell>
          <cell r="U5">
            <v>135611.93252714758</v>
          </cell>
          <cell r="V5">
            <v>56912.285300718584</v>
          </cell>
        </row>
        <row r="6">
          <cell r="B6">
            <v>124448.19719090464</v>
          </cell>
          <cell r="C6">
            <v>136414.36999772242</v>
          </cell>
          <cell r="D6">
            <v>184279.06122499343</v>
          </cell>
          <cell r="E6">
            <v>140004.22183976774</v>
          </cell>
          <cell r="F6">
            <v>110088.78982272335</v>
          </cell>
          <cell r="G6">
            <v>135255.54063116742</v>
          </cell>
          <cell r="H6">
            <v>123793.20667937357</v>
          </cell>
          <cell r="I6">
            <v>117146.3897026628</v>
          </cell>
          <cell r="J6">
            <v>137972.41453869175</v>
          </cell>
          <cell r="K6">
            <v>156389.90113657017</v>
          </cell>
          <cell r="L6">
            <v>252111.30614257435</v>
          </cell>
          <cell r="M6">
            <v>158172.12223214359</v>
          </cell>
          <cell r="N6">
            <v>198272.0968825462</v>
          </cell>
          <cell r="O6">
            <v>178655.69412682016</v>
          </cell>
          <cell r="P6">
            <v>193543.6686373885</v>
          </cell>
          <cell r="Q6">
            <v>243467.4461822061</v>
          </cell>
          <cell r="R6">
            <v>155038.23223866898</v>
          </cell>
          <cell r="S6">
            <v>195233.32948573129</v>
          </cell>
          <cell r="T6">
            <v>114735.16716624868</v>
          </cell>
          <cell r="U6">
            <v>124905.72732763592</v>
          </cell>
          <cell r="V6">
            <v>32250.295003740532</v>
          </cell>
        </row>
        <row r="7">
          <cell r="B7">
            <v>108892.17254204156</v>
          </cell>
          <cell r="C7">
            <v>119362.5737480071</v>
          </cell>
          <cell r="D7">
            <v>161244.17857186924</v>
          </cell>
          <cell r="E7">
            <v>122503.69410979676</v>
          </cell>
          <cell r="F7">
            <v>96327.691094882932</v>
          </cell>
          <cell r="G7">
            <v>135255.54063116742</v>
          </cell>
          <cell r="H7">
            <v>123793.20667937357</v>
          </cell>
          <cell r="I7">
            <v>68573.496411314802</v>
          </cell>
          <cell r="J7">
            <v>80764.340217770761</v>
          </cell>
          <cell r="K7">
            <v>96239.939160966256</v>
          </cell>
          <cell r="L7">
            <v>155145.41916466111</v>
          </cell>
          <cell r="M7">
            <v>92721.588894704881</v>
          </cell>
          <cell r="N7">
            <v>116228.47058632018</v>
          </cell>
          <cell r="O7">
            <v>74439.872552841727</v>
          </cell>
          <cell r="P7">
            <v>80643.195265578557</v>
          </cell>
          <cell r="Q7">
            <v>163787.19106802953</v>
          </cell>
          <cell r="R7">
            <v>104298.44714237729</v>
          </cell>
          <cell r="S7">
            <v>131338.78529040102</v>
          </cell>
          <cell r="T7">
            <v>49172.214499820861</v>
          </cell>
          <cell r="U7">
            <v>103493.31692861259</v>
          </cell>
          <cell r="V7">
            <v>66397.666184171685</v>
          </cell>
        </row>
        <row r="8">
          <cell r="B8">
            <v>323565.31269635208</v>
          </cell>
          <cell r="C8">
            <v>354677.36199407821</v>
          </cell>
          <cell r="D8">
            <v>479125.55918498285</v>
          </cell>
          <cell r="E8">
            <v>364010.97678339609</v>
          </cell>
          <cell r="F8">
            <v>286230.85353908071</v>
          </cell>
          <cell r="G8">
            <v>367122.18171316868</v>
          </cell>
          <cell r="H8">
            <v>336010.13241544255</v>
          </cell>
          <cell r="I8">
            <v>280008.44367953547</v>
          </cell>
          <cell r="J8">
            <v>329787.72255589732</v>
          </cell>
          <cell r="K8">
            <v>360899.77185362345</v>
          </cell>
          <cell r="L8">
            <v>581795.32186747924</v>
          </cell>
          <cell r="M8">
            <v>441791.10002771148</v>
          </cell>
          <cell r="N8">
            <v>553794.47749952564</v>
          </cell>
          <cell r="O8">
            <v>485347.96904452809</v>
          </cell>
          <cell r="P8">
            <v>525793.63313157216</v>
          </cell>
          <cell r="Q8">
            <v>659575.44511179463</v>
          </cell>
          <cell r="R8">
            <v>420012.66551930318</v>
          </cell>
          <cell r="S8">
            <v>528904.83806134469</v>
          </cell>
          <cell r="T8">
            <v>252007.5993115819</v>
          </cell>
          <cell r="U8">
            <v>364010.97678339609</v>
          </cell>
          <cell r="V8">
            <v>155560.2464886308</v>
          </cell>
        </row>
      </sheetData>
      <sheetData sheetId="13" refreshError="1"/>
      <sheetData sheetId="1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P669" totalsRowShown="0">
  <autoFilter ref="A1:AP669" xr:uid="{00000000-0009-0000-0100-000001000000}"/>
  <tableColumns count="42">
    <tableColumn id="1" xr3:uid="{00000000-0010-0000-0000-000001000000}" name="Group"/>
    <tableColumn id="4" xr3:uid="{00000000-0010-0000-0000-000004000000}" name="Variable" dataDxfId="38"/>
    <tableColumn id="2" xr3:uid="{00000000-0010-0000-0000-000002000000}" name="SDM Type"/>
    <tableColumn id="19" xr3:uid="{00000000-0010-0000-0000-000013000000}" name="Type" dataDxfId="37"/>
    <tableColumn id="5" xr3:uid="{00000000-0010-0000-0000-000005000000}" name="Units"/>
    <tableColumn id="6" xr3:uid="{00000000-0010-0000-0000-000006000000}" name="Equation or constant value" dataDxfId="36"/>
    <tableColumn id="20" xr3:uid="{00000000-0010-0000-0000-000014000000}" name="Constant Type" dataDxfId="35">
      <calculatedColumnFormula>LEFT(#REF!,FIND("]",#REF!)-1)</calculatedColumnFormula>
    </tableColumn>
    <tableColumn id="7" xr3:uid="{00000000-0010-0000-0000-000007000000}" name="Description" dataDxfId="34"/>
    <tableColumn id="8" xr3:uid="{00000000-0010-0000-0000-000008000000}" name="Concise source" dataDxfId="33"/>
    <tableColumn id="42" xr3:uid="{00000000-0010-0000-0000-00002A000000}" name="Source" dataDxfId="32"/>
    <tableColumn id="43" xr3:uid="{00000000-0010-0000-0000-00002B000000}" name="1999" dataDxfId="31"/>
    <tableColumn id="44" xr3:uid="{00000000-0010-0000-0000-00002C000000}" name="2000" dataDxfId="30"/>
    <tableColumn id="45" xr3:uid="{00000000-0010-0000-0000-00002D000000}" name="2001" dataDxfId="29"/>
    <tableColumn id="46" xr3:uid="{00000000-0010-0000-0000-00002E000000}" name="2002" dataDxfId="28"/>
    <tableColumn id="47" xr3:uid="{00000000-0010-0000-0000-00002F000000}" name="2003" dataDxfId="27"/>
    <tableColumn id="48" xr3:uid="{00000000-0010-0000-0000-000030000000}" name="2004" dataDxfId="26"/>
    <tableColumn id="49" xr3:uid="{00000000-0010-0000-0000-000031000000}" name="2005" dataDxfId="25"/>
    <tableColumn id="50" xr3:uid="{00000000-0010-0000-0000-000032000000}" name="2006" dataDxfId="24"/>
    <tableColumn id="51" xr3:uid="{00000000-0010-0000-0000-000033000000}" name="2007" dataDxfId="23"/>
    <tableColumn id="52" xr3:uid="{00000000-0010-0000-0000-000034000000}" name="2008" dataDxfId="22"/>
    <tableColumn id="53" xr3:uid="{00000000-0010-0000-0000-000035000000}" name="2009" dataDxfId="21"/>
    <tableColumn id="54" xr3:uid="{00000000-0010-0000-0000-000036000000}" name="2010" dataDxfId="20"/>
    <tableColumn id="55" xr3:uid="{00000000-0010-0000-0000-000037000000}" name="2011" dataDxfId="19"/>
    <tableColumn id="56" xr3:uid="{00000000-0010-0000-0000-000038000000}" name="2012" dataDxfId="18"/>
    <tableColumn id="57" xr3:uid="{00000000-0010-0000-0000-000039000000}" name="2013" dataDxfId="17"/>
    <tableColumn id="58" xr3:uid="{00000000-0010-0000-0000-00003A000000}" name="2014" dataDxfId="16"/>
    <tableColumn id="59" xr3:uid="{00000000-0010-0000-0000-00003B000000}" name="2015" dataDxfId="15"/>
    <tableColumn id="60" xr3:uid="{00000000-0010-0000-0000-00003C000000}" name="2016" dataDxfId="14"/>
    <tableColumn id="61" xr3:uid="{00000000-0010-0000-0000-00003D000000}" name="2017" dataDxfId="13"/>
    <tableColumn id="62" xr3:uid="{00000000-0010-0000-0000-00003E000000}" name="2018" dataDxfId="12"/>
    <tableColumn id="63" xr3:uid="{00000000-0010-0000-0000-00003F000000}" name="2019" dataDxfId="11"/>
    <tableColumn id="64" xr3:uid="{00000000-0010-0000-0000-000040000000}" name="2020" dataDxfId="10"/>
    <tableColumn id="65" xr3:uid="{00000000-0010-0000-0000-000041000000}" name="2021" dataDxfId="9"/>
    <tableColumn id="66" xr3:uid="{00000000-0010-0000-0000-000042000000}" name="2022" dataDxfId="8"/>
    <tableColumn id="67" xr3:uid="{00000000-0010-0000-0000-000043000000}" name="2023" dataDxfId="7"/>
    <tableColumn id="68" xr3:uid="{00000000-0010-0000-0000-000044000000}" name="2024" dataDxfId="6"/>
    <tableColumn id="69" xr3:uid="{00000000-0010-0000-0000-000045000000}" name="2025" dataDxfId="5"/>
    <tableColumn id="70" xr3:uid="{00000000-0010-0000-0000-000046000000}" name="2026" dataDxfId="4"/>
    <tableColumn id="71" xr3:uid="{00000000-0010-0000-0000-000047000000}" name="2027" dataDxfId="3"/>
    <tableColumn id="72" xr3:uid="{00000000-0010-0000-0000-000048000000}" name="2028" dataDxfId="2"/>
    <tableColumn id="73" xr3:uid="{00000000-0010-0000-0000-000049000000}" name="2029" dataDxfId="1"/>
    <tableColumn id="74" xr3:uid="{00000000-0010-0000-0000-00004A000000}" name="2030"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25F2D-F4F8-4068-B459-BD448AF6EFF1}">
  <dimension ref="A1:C185"/>
  <sheetViews>
    <sheetView workbookViewId="0">
      <selection activeCell="A2" sqref="A2"/>
    </sheetView>
  </sheetViews>
  <sheetFormatPr defaultColWidth="8.68359375" defaultRowHeight="14.4" x14ac:dyDescent="0.55000000000000004"/>
  <cols>
    <col min="1" max="1" width="117.41796875" customWidth="1"/>
    <col min="2" max="2" width="62.41796875" customWidth="1"/>
  </cols>
  <sheetData>
    <row r="1" spans="1:2" ht="23.1" x14ac:dyDescent="0.85">
      <c r="A1" s="15" t="s">
        <v>0</v>
      </c>
    </row>
    <row r="2" spans="1:2" ht="89.1" customHeight="1" x14ac:dyDescent="0.55000000000000004">
      <c r="A2" s="1" t="s">
        <v>1</v>
      </c>
      <c r="B2" s="16" t="s">
        <v>2</v>
      </c>
    </row>
    <row r="3" spans="1:2" x14ac:dyDescent="0.55000000000000004">
      <c r="A3" s="1"/>
    </row>
    <row r="4" spans="1:2" x14ac:dyDescent="0.55000000000000004">
      <c r="A4" s="17" t="s">
        <v>3</v>
      </c>
    </row>
    <row r="5" spans="1:2" x14ac:dyDescent="0.55000000000000004">
      <c r="A5" s="18" t="s">
        <v>4</v>
      </c>
    </row>
    <row r="6" spans="1:2" ht="43.2" x14ac:dyDescent="0.55000000000000004">
      <c r="A6" s="18" t="s">
        <v>5</v>
      </c>
    </row>
    <row r="7" spans="1:2" x14ac:dyDescent="0.55000000000000004">
      <c r="A7" s="18" t="s">
        <v>6</v>
      </c>
    </row>
    <row r="8" spans="1:2" x14ac:dyDescent="0.55000000000000004">
      <c r="A8" s="18" t="s">
        <v>7</v>
      </c>
      <c r="B8" s="1"/>
    </row>
    <row r="9" spans="1:2" ht="28.8" x14ac:dyDescent="0.55000000000000004">
      <c r="A9" s="1" t="s">
        <v>8</v>
      </c>
    </row>
    <row r="10" spans="1:2" ht="28.8" x14ac:dyDescent="0.55000000000000004">
      <c r="A10" s="1" t="s">
        <v>9</v>
      </c>
    </row>
    <row r="11" spans="1:2" ht="43.2" x14ac:dyDescent="0.55000000000000004">
      <c r="A11" s="18" t="s">
        <v>10</v>
      </c>
    </row>
    <row r="12" spans="1:2" x14ac:dyDescent="0.55000000000000004">
      <c r="A12" s="1" t="s">
        <v>11</v>
      </c>
    </row>
    <row r="13" spans="1:2" x14ac:dyDescent="0.55000000000000004">
      <c r="A13" s="1" t="s">
        <v>12</v>
      </c>
    </row>
    <row r="14" spans="1:2" ht="43.2" x14ac:dyDescent="0.55000000000000004">
      <c r="A14" s="1" t="s">
        <v>13</v>
      </c>
    </row>
    <row r="15" spans="1:2" ht="43.2" x14ac:dyDescent="0.55000000000000004">
      <c r="A15" s="1" t="s">
        <v>14</v>
      </c>
      <c r="B15" s="1" t="s">
        <v>15</v>
      </c>
    </row>
    <row r="16" spans="1:2" x14ac:dyDescent="0.55000000000000004">
      <c r="A16" s="1" t="s">
        <v>16</v>
      </c>
    </row>
    <row r="17" spans="1:2" x14ac:dyDescent="0.55000000000000004">
      <c r="A17" s="1" t="s">
        <v>17</v>
      </c>
    </row>
    <row r="18" spans="1:2" ht="28.8" x14ac:dyDescent="0.55000000000000004">
      <c r="A18" s="1" t="s">
        <v>18</v>
      </c>
    </row>
    <row r="19" spans="1:2" x14ac:dyDescent="0.55000000000000004">
      <c r="A19" s="1"/>
    </row>
    <row r="20" spans="1:2" x14ac:dyDescent="0.55000000000000004">
      <c r="A20" s="17" t="s">
        <v>19</v>
      </c>
    </row>
    <row r="21" spans="1:2" ht="43.2" x14ac:dyDescent="0.55000000000000004">
      <c r="A21" s="1" t="s">
        <v>20</v>
      </c>
    </row>
    <row r="22" spans="1:2" x14ac:dyDescent="0.55000000000000004">
      <c r="A22" s="1"/>
    </row>
    <row r="23" spans="1:2" x14ac:dyDescent="0.55000000000000004">
      <c r="A23" s="1" t="s">
        <v>21</v>
      </c>
    </row>
    <row r="24" spans="1:2" x14ac:dyDescent="0.55000000000000004">
      <c r="A24" s="1" t="s">
        <v>22</v>
      </c>
    </row>
    <row r="25" spans="1:2" x14ac:dyDescent="0.55000000000000004">
      <c r="A25" s="1"/>
    </row>
    <row r="26" spans="1:2" x14ac:dyDescent="0.55000000000000004">
      <c r="A26" s="17" t="s">
        <v>23</v>
      </c>
    </row>
    <row r="27" spans="1:2" x14ac:dyDescent="0.55000000000000004">
      <c r="A27" s="19"/>
    </row>
    <row r="28" spans="1:2" x14ac:dyDescent="0.55000000000000004">
      <c r="A28" s="1" t="s">
        <v>24</v>
      </c>
    </row>
    <row r="29" spans="1:2" x14ac:dyDescent="0.55000000000000004">
      <c r="A29" s="1" t="s">
        <v>25</v>
      </c>
    </row>
    <row r="30" spans="1:2" x14ac:dyDescent="0.55000000000000004">
      <c r="A30" s="20" t="s">
        <v>26</v>
      </c>
    </row>
    <row r="31" spans="1:2" x14ac:dyDescent="0.55000000000000004">
      <c r="A31" s="1" t="s">
        <v>27</v>
      </c>
      <c r="B31" s="21"/>
    </row>
    <row r="32" spans="1:2" x14ac:dyDescent="0.55000000000000004">
      <c r="A32" s="1" t="s">
        <v>28</v>
      </c>
      <c r="B32" s="17" t="s">
        <v>29</v>
      </c>
    </row>
    <row r="33" spans="1:3" ht="72" x14ac:dyDescent="0.55000000000000004">
      <c r="A33" s="1" t="s">
        <v>30</v>
      </c>
      <c r="B33" s="1" t="s">
        <v>31</v>
      </c>
    </row>
    <row r="34" spans="1:3" x14ac:dyDescent="0.55000000000000004">
      <c r="A34" s="1" t="s">
        <v>32</v>
      </c>
      <c r="B34" t="s">
        <v>33</v>
      </c>
      <c r="C34" t="s">
        <v>34</v>
      </c>
    </row>
    <row r="35" spans="1:3" x14ac:dyDescent="0.55000000000000004">
      <c r="A35" s="1" t="s">
        <v>35</v>
      </c>
      <c r="B35" t="s">
        <v>36</v>
      </c>
      <c r="C35" t="s">
        <v>37</v>
      </c>
    </row>
    <row r="36" spans="1:3" x14ac:dyDescent="0.55000000000000004">
      <c r="A36" s="1" t="s">
        <v>38</v>
      </c>
      <c r="B36" t="s">
        <v>39</v>
      </c>
      <c r="C36" t="s">
        <v>40</v>
      </c>
    </row>
    <row r="37" spans="1:3" x14ac:dyDescent="0.55000000000000004">
      <c r="A37" s="1" t="s">
        <v>41</v>
      </c>
      <c r="B37" t="s">
        <v>42</v>
      </c>
      <c r="C37" t="s">
        <v>43</v>
      </c>
    </row>
    <row r="38" spans="1:3" x14ac:dyDescent="0.55000000000000004">
      <c r="A38" s="1" t="s">
        <v>44</v>
      </c>
      <c r="B38" t="s">
        <v>45</v>
      </c>
      <c r="C38" t="s">
        <v>46</v>
      </c>
    </row>
    <row r="39" spans="1:3" x14ac:dyDescent="0.55000000000000004">
      <c r="A39" s="1" t="s">
        <v>47</v>
      </c>
      <c r="B39" t="s">
        <v>48</v>
      </c>
      <c r="C39" t="s">
        <v>49</v>
      </c>
    </row>
    <row r="40" spans="1:3" x14ac:dyDescent="0.55000000000000004">
      <c r="A40" s="1" t="s">
        <v>50</v>
      </c>
      <c r="B40" t="s">
        <v>51</v>
      </c>
      <c r="C40" t="s">
        <v>52</v>
      </c>
    </row>
    <row r="41" spans="1:3" x14ac:dyDescent="0.55000000000000004">
      <c r="A41" s="19" t="s">
        <v>53</v>
      </c>
      <c r="B41" t="s">
        <v>54</v>
      </c>
      <c r="C41" t="s">
        <v>55</v>
      </c>
    </row>
    <row r="42" spans="1:3" x14ac:dyDescent="0.55000000000000004">
      <c r="A42" s="20" t="s">
        <v>56</v>
      </c>
      <c r="B42" t="s">
        <v>57</v>
      </c>
      <c r="C42" t="s">
        <v>58</v>
      </c>
    </row>
    <row r="43" spans="1:3" x14ac:dyDescent="0.55000000000000004">
      <c r="A43" s="1" t="s">
        <v>59</v>
      </c>
      <c r="B43" t="s">
        <v>60</v>
      </c>
      <c r="C43" t="s">
        <v>61</v>
      </c>
    </row>
    <row r="44" spans="1:3" x14ac:dyDescent="0.55000000000000004">
      <c r="A44" s="1" t="s">
        <v>62</v>
      </c>
      <c r="B44" t="s">
        <v>63</v>
      </c>
      <c r="C44" t="s">
        <v>64</v>
      </c>
    </row>
    <row r="45" spans="1:3" x14ac:dyDescent="0.55000000000000004">
      <c r="A45" s="1" t="s">
        <v>65</v>
      </c>
    </row>
    <row r="46" spans="1:3" x14ac:dyDescent="0.55000000000000004">
      <c r="A46" s="1" t="s">
        <v>66</v>
      </c>
    </row>
    <row r="47" spans="1:3" x14ac:dyDescent="0.55000000000000004">
      <c r="A47" s="20" t="s">
        <v>67</v>
      </c>
    </row>
    <row r="48" spans="1:3" x14ac:dyDescent="0.55000000000000004">
      <c r="A48" s="1" t="s">
        <v>68</v>
      </c>
    </row>
    <row r="49" spans="1:1" x14ac:dyDescent="0.55000000000000004">
      <c r="A49" s="1" t="s">
        <v>69</v>
      </c>
    </row>
    <row r="50" spans="1:1" x14ac:dyDescent="0.55000000000000004">
      <c r="A50" s="1" t="s">
        <v>70</v>
      </c>
    </row>
    <row r="51" spans="1:1" x14ac:dyDescent="0.55000000000000004">
      <c r="A51" s="1" t="s">
        <v>71</v>
      </c>
    </row>
    <row r="52" spans="1:1" x14ac:dyDescent="0.55000000000000004">
      <c r="A52" s="22" t="s">
        <v>72</v>
      </c>
    </row>
    <row r="53" spans="1:1" x14ac:dyDescent="0.55000000000000004">
      <c r="A53" s="22" t="s">
        <v>73</v>
      </c>
    </row>
    <row r="54" spans="1:1" x14ac:dyDescent="0.55000000000000004">
      <c r="A54" s="1" t="s">
        <v>74</v>
      </c>
    </row>
    <row r="55" spans="1:1" x14ac:dyDescent="0.55000000000000004">
      <c r="A55" s="1" t="s">
        <v>75</v>
      </c>
    </row>
    <row r="56" spans="1:1" x14ac:dyDescent="0.55000000000000004">
      <c r="A56" s="1" t="s">
        <v>76</v>
      </c>
    </row>
    <row r="57" spans="1:1" x14ac:dyDescent="0.55000000000000004">
      <c r="A57" s="1" t="s">
        <v>77</v>
      </c>
    </row>
    <row r="58" spans="1:1" x14ac:dyDescent="0.55000000000000004">
      <c r="A58" s="1" t="s">
        <v>78</v>
      </c>
    </row>
    <row r="59" spans="1:1" x14ac:dyDescent="0.55000000000000004">
      <c r="A59" s="1" t="s">
        <v>79</v>
      </c>
    </row>
    <row r="60" spans="1:1" x14ac:dyDescent="0.55000000000000004">
      <c r="A60" s="1" t="s">
        <v>80</v>
      </c>
    </row>
    <row r="61" spans="1:1" x14ac:dyDescent="0.55000000000000004">
      <c r="A61" s="22" t="s">
        <v>81</v>
      </c>
    </row>
    <row r="62" spans="1:1" x14ac:dyDescent="0.55000000000000004">
      <c r="A62" s="1" t="s">
        <v>82</v>
      </c>
    </row>
    <row r="63" spans="1:1" x14ac:dyDescent="0.55000000000000004">
      <c r="A63" s="1" t="s">
        <v>83</v>
      </c>
    </row>
    <row r="64" spans="1:1" x14ac:dyDescent="0.55000000000000004">
      <c r="A64" s="1" t="s">
        <v>84</v>
      </c>
    </row>
    <row r="65" spans="1:1" x14ac:dyDescent="0.55000000000000004">
      <c r="A65" s="1" t="s">
        <v>85</v>
      </c>
    </row>
    <row r="66" spans="1:1" x14ac:dyDescent="0.55000000000000004">
      <c r="A66" s="1" t="s">
        <v>86</v>
      </c>
    </row>
    <row r="67" spans="1:1" x14ac:dyDescent="0.55000000000000004">
      <c r="A67" s="1" t="s">
        <v>87</v>
      </c>
    </row>
    <row r="68" spans="1:1" x14ac:dyDescent="0.55000000000000004">
      <c r="A68" s="1" t="s">
        <v>88</v>
      </c>
    </row>
    <row r="69" spans="1:1" x14ac:dyDescent="0.55000000000000004">
      <c r="A69" s="1" t="s">
        <v>89</v>
      </c>
    </row>
    <row r="70" spans="1:1" x14ac:dyDescent="0.55000000000000004">
      <c r="A70" s="1" t="s">
        <v>90</v>
      </c>
    </row>
    <row r="71" spans="1:1" x14ac:dyDescent="0.55000000000000004">
      <c r="A71" s="1" t="s">
        <v>91</v>
      </c>
    </row>
    <row r="72" spans="1:1" x14ac:dyDescent="0.55000000000000004">
      <c r="A72" s="1" t="s">
        <v>92</v>
      </c>
    </row>
    <row r="73" spans="1:1" x14ac:dyDescent="0.55000000000000004">
      <c r="A73" s="1" t="s">
        <v>93</v>
      </c>
    </row>
    <row r="74" spans="1:1" x14ac:dyDescent="0.55000000000000004">
      <c r="A74" s="1" t="s">
        <v>94</v>
      </c>
    </row>
    <row r="75" spans="1:1" x14ac:dyDescent="0.55000000000000004">
      <c r="A75" s="1" t="s">
        <v>95</v>
      </c>
    </row>
    <row r="94" spans="1:1" x14ac:dyDescent="0.55000000000000004">
      <c r="A94" s="17"/>
    </row>
    <row r="95" spans="1:1" x14ac:dyDescent="0.55000000000000004">
      <c r="A95" s="23"/>
    </row>
    <row r="96" spans="1:1" x14ac:dyDescent="0.55000000000000004">
      <c r="A96" s="23"/>
    </row>
    <row r="97" spans="1:1" x14ac:dyDescent="0.55000000000000004">
      <c r="A97" s="23"/>
    </row>
    <row r="98" spans="1:1" x14ac:dyDescent="0.55000000000000004">
      <c r="A98" s="23"/>
    </row>
    <row r="99" spans="1:1" x14ac:dyDescent="0.55000000000000004">
      <c r="A99" s="23"/>
    </row>
    <row r="100" spans="1:1" x14ac:dyDescent="0.55000000000000004">
      <c r="A100" s="23"/>
    </row>
    <row r="101" spans="1:1" x14ac:dyDescent="0.55000000000000004">
      <c r="A101" s="23"/>
    </row>
    <row r="102" spans="1:1" x14ac:dyDescent="0.55000000000000004">
      <c r="A102" s="23"/>
    </row>
    <row r="103" spans="1:1" x14ac:dyDescent="0.55000000000000004">
      <c r="A103" s="23"/>
    </row>
    <row r="104" spans="1:1" x14ac:dyDescent="0.55000000000000004">
      <c r="A104" s="23"/>
    </row>
    <row r="105" spans="1:1" x14ac:dyDescent="0.55000000000000004">
      <c r="A105" s="23"/>
    </row>
    <row r="106" spans="1:1" x14ac:dyDescent="0.55000000000000004">
      <c r="A106" s="23"/>
    </row>
    <row r="107" spans="1:1" x14ac:dyDescent="0.55000000000000004">
      <c r="A107" s="23"/>
    </row>
    <row r="108" spans="1:1" x14ac:dyDescent="0.55000000000000004">
      <c r="A108" s="23"/>
    </row>
    <row r="109" spans="1:1" x14ac:dyDescent="0.55000000000000004">
      <c r="A109" s="23"/>
    </row>
    <row r="110" spans="1:1" x14ac:dyDescent="0.55000000000000004">
      <c r="A110" s="23"/>
    </row>
    <row r="111" spans="1:1" x14ac:dyDescent="0.55000000000000004">
      <c r="A111" s="23"/>
    </row>
    <row r="112" spans="1:1" x14ac:dyDescent="0.55000000000000004">
      <c r="A112" s="23"/>
    </row>
    <row r="113" spans="1:1" x14ac:dyDescent="0.55000000000000004">
      <c r="A113" s="23"/>
    </row>
    <row r="114" spans="1:1" x14ac:dyDescent="0.55000000000000004">
      <c r="A114" s="23"/>
    </row>
    <row r="115" spans="1:1" x14ac:dyDescent="0.55000000000000004">
      <c r="A115" s="23"/>
    </row>
    <row r="116" spans="1:1" x14ac:dyDescent="0.55000000000000004">
      <c r="A116" s="23"/>
    </row>
    <row r="117" spans="1:1" x14ac:dyDescent="0.55000000000000004">
      <c r="A117" s="23"/>
    </row>
    <row r="118" spans="1:1" x14ac:dyDescent="0.55000000000000004">
      <c r="A118" s="23"/>
    </row>
    <row r="119" spans="1:1" x14ac:dyDescent="0.55000000000000004">
      <c r="A119" s="23"/>
    </row>
    <row r="120" spans="1:1" x14ac:dyDescent="0.55000000000000004">
      <c r="A120" s="23"/>
    </row>
    <row r="121" spans="1:1" x14ac:dyDescent="0.55000000000000004">
      <c r="A121" s="23"/>
    </row>
    <row r="122" spans="1:1" x14ac:dyDescent="0.55000000000000004">
      <c r="A122" s="23"/>
    </row>
    <row r="123" spans="1:1" x14ac:dyDescent="0.55000000000000004">
      <c r="A123" s="23"/>
    </row>
    <row r="124" spans="1:1" x14ac:dyDescent="0.55000000000000004">
      <c r="A124" s="23"/>
    </row>
    <row r="125" spans="1:1" x14ac:dyDescent="0.55000000000000004">
      <c r="A125" s="23"/>
    </row>
    <row r="126" spans="1:1" x14ac:dyDescent="0.55000000000000004">
      <c r="A126" s="23"/>
    </row>
    <row r="127" spans="1:1" x14ac:dyDescent="0.55000000000000004">
      <c r="A127" s="23"/>
    </row>
    <row r="128" spans="1:1" x14ac:dyDescent="0.55000000000000004">
      <c r="A128" s="23"/>
    </row>
    <row r="129" spans="1:1" x14ac:dyDescent="0.55000000000000004">
      <c r="A129" s="23"/>
    </row>
    <row r="130" spans="1:1" x14ac:dyDescent="0.55000000000000004">
      <c r="A130" s="23"/>
    </row>
    <row r="131" spans="1:1" x14ac:dyDescent="0.55000000000000004">
      <c r="A131" s="23"/>
    </row>
    <row r="132" spans="1:1" x14ac:dyDescent="0.55000000000000004">
      <c r="A132" s="23"/>
    </row>
    <row r="133" spans="1:1" x14ac:dyDescent="0.55000000000000004">
      <c r="A133" s="23"/>
    </row>
    <row r="134" spans="1:1" x14ac:dyDescent="0.55000000000000004">
      <c r="A134" s="23"/>
    </row>
    <row r="135" spans="1:1" x14ac:dyDescent="0.55000000000000004">
      <c r="A135" s="23"/>
    </row>
    <row r="136" spans="1:1" x14ac:dyDescent="0.55000000000000004">
      <c r="A136" s="23"/>
    </row>
    <row r="137" spans="1:1" x14ac:dyDescent="0.55000000000000004">
      <c r="A137" s="23"/>
    </row>
    <row r="138" spans="1:1" x14ac:dyDescent="0.55000000000000004">
      <c r="A138" s="23"/>
    </row>
    <row r="139" spans="1:1" x14ac:dyDescent="0.55000000000000004">
      <c r="A139" s="23"/>
    </row>
    <row r="140" spans="1:1" x14ac:dyDescent="0.55000000000000004">
      <c r="A140" s="23"/>
    </row>
    <row r="141" spans="1:1" x14ac:dyDescent="0.55000000000000004">
      <c r="A141" s="23"/>
    </row>
    <row r="142" spans="1:1" x14ac:dyDescent="0.55000000000000004">
      <c r="A142" s="23"/>
    </row>
    <row r="143" spans="1:1" x14ac:dyDescent="0.55000000000000004">
      <c r="A143" s="23"/>
    </row>
    <row r="144" spans="1:1" x14ac:dyDescent="0.55000000000000004">
      <c r="A144" s="23"/>
    </row>
    <row r="145" spans="1:1" x14ac:dyDescent="0.55000000000000004">
      <c r="A145" s="23"/>
    </row>
    <row r="146" spans="1:1" x14ac:dyDescent="0.55000000000000004">
      <c r="A146" s="23"/>
    </row>
    <row r="147" spans="1:1" x14ac:dyDescent="0.55000000000000004">
      <c r="A147" s="23"/>
    </row>
    <row r="148" spans="1:1" x14ac:dyDescent="0.55000000000000004">
      <c r="A148" s="23"/>
    </row>
    <row r="149" spans="1:1" x14ac:dyDescent="0.55000000000000004">
      <c r="A149" s="23"/>
    </row>
    <row r="150" spans="1:1" x14ac:dyDescent="0.55000000000000004">
      <c r="A150" s="23"/>
    </row>
    <row r="151" spans="1:1" x14ac:dyDescent="0.55000000000000004">
      <c r="A151" s="23"/>
    </row>
    <row r="152" spans="1:1" x14ac:dyDescent="0.55000000000000004">
      <c r="A152" s="23"/>
    </row>
    <row r="153" spans="1:1" x14ac:dyDescent="0.55000000000000004">
      <c r="A153" s="23"/>
    </row>
    <row r="154" spans="1:1" x14ac:dyDescent="0.55000000000000004">
      <c r="A154" s="23"/>
    </row>
    <row r="155" spans="1:1" x14ac:dyDescent="0.55000000000000004">
      <c r="A155" s="23"/>
    </row>
    <row r="156" spans="1:1" x14ac:dyDescent="0.55000000000000004">
      <c r="A156" s="23"/>
    </row>
    <row r="157" spans="1:1" x14ac:dyDescent="0.55000000000000004">
      <c r="A157" s="23"/>
    </row>
    <row r="158" spans="1:1" x14ac:dyDescent="0.55000000000000004">
      <c r="A158" s="23"/>
    </row>
    <row r="159" spans="1:1" x14ac:dyDescent="0.55000000000000004">
      <c r="A159" s="23"/>
    </row>
    <row r="160" spans="1:1" x14ac:dyDescent="0.55000000000000004">
      <c r="A160" s="23"/>
    </row>
    <row r="161" spans="1:1" x14ac:dyDescent="0.55000000000000004">
      <c r="A161" s="23"/>
    </row>
    <row r="162" spans="1:1" x14ac:dyDescent="0.55000000000000004">
      <c r="A162" s="23"/>
    </row>
    <row r="163" spans="1:1" x14ac:dyDescent="0.55000000000000004">
      <c r="A163" s="23"/>
    </row>
    <row r="164" spans="1:1" x14ac:dyDescent="0.55000000000000004">
      <c r="A164" s="23"/>
    </row>
    <row r="165" spans="1:1" x14ac:dyDescent="0.55000000000000004">
      <c r="A165" s="23"/>
    </row>
    <row r="166" spans="1:1" x14ac:dyDescent="0.55000000000000004">
      <c r="A166" s="23"/>
    </row>
    <row r="167" spans="1:1" x14ac:dyDescent="0.55000000000000004">
      <c r="A167" s="23"/>
    </row>
    <row r="168" spans="1:1" x14ac:dyDescent="0.55000000000000004">
      <c r="A168" s="23"/>
    </row>
    <row r="169" spans="1:1" x14ac:dyDescent="0.55000000000000004">
      <c r="A169" s="23"/>
    </row>
    <row r="170" spans="1:1" x14ac:dyDescent="0.55000000000000004">
      <c r="A170" s="23"/>
    </row>
    <row r="171" spans="1:1" x14ac:dyDescent="0.55000000000000004">
      <c r="A171" s="23"/>
    </row>
    <row r="172" spans="1:1" x14ac:dyDescent="0.55000000000000004">
      <c r="A172" s="23"/>
    </row>
    <row r="173" spans="1:1" x14ac:dyDescent="0.55000000000000004">
      <c r="A173" s="23"/>
    </row>
    <row r="174" spans="1:1" x14ac:dyDescent="0.55000000000000004">
      <c r="A174" s="23"/>
    </row>
    <row r="175" spans="1:1" x14ac:dyDescent="0.55000000000000004">
      <c r="A175" s="23"/>
    </row>
    <row r="176" spans="1:1" x14ac:dyDescent="0.55000000000000004">
      <c r="A176" s="23"/>
    </row>
    <row r="177" spans="1:1" x14ac:dyDescent="0.55000000000000004">
      <c r="A177" s="23"/>
    </row>
    <row r="178" spans="1:1" x14ac:dyDescent="0.55000000000000004">
      <c r="A178" s="23"/>
    </row>
    <row r="179" spans="1:1" x14ac:dyDescent="0.55000000000000004">
      <c r="A179" s="23"/>
    </row>
    <row r="180" spans="1:1" x14ac:dyDescent="0.55000000000000004">
      <c r="A180" s="23"/>
    </row>
    <row r="181" spans="1:1" x14ac:dyDescent="0.55000000000000004">
      <c r="A181" s="23"/>
    </row>
    <row r="182" spans="1:1" x14ac:dyDescent="0.55000000000000004">
      <c r="A182" s="23"/>
    </row>
    <row r="183" spans="1:1" x14ac:dyDescent="0.55000000000000004">
      <c r="A183" s="23"/>
    </row>
    <row r="184" spans="1:1" x14ac:dyDescent="0.55000000000000004">
      <c r="A184" s="23"/>
    </row>
    <row r="185" spans="1:1" x14ac:dyDescent="0.55000000000000004">
      <c r="A185" s="2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669"/>
  <sheetViews>
    <sheetView tabSelected="1" topLeftCell="G664" zoomScaleNormal="100" workbookViewId="0">
      <selection activeCell="K669" sqref="K669"/>
    </sheetView>
  </sheetViews>
  <sheetFormatPr defaultRowHeight="14.4" x14ac:dyDescent="0.55000000000000004"/>
  <cols>
    <col min="1" max="1" width="13.83984375" customWidth="1"/>
    <col min="2" max="2" width="24.68359375" style="1" customWidth="1"/>
    <col min="3" max="3" width="8.83984375" customWidth="1"/>
    <col min="4" max="4" width="8.578125" customWidth="1"/>
    <col min="5" max="5" width="8.83984375" customWidth="1"/>
    <col min="6" max="6" width="54.41796875" style="1" customWidth="1"/>
    <col min="7" max="7" width="19" style="1" customWidth="1"/>
    <col min="8" max="8" width="54.41796875" style="1" customWidth="1"/>
    <col min="9" max="9" width="21.68359375" style="1" customWidth="1"/>
    <col min="10" max="10" width="52.68359375" style="1" customWidth="1"/>
    <col min="11" max="11" width="11.68359375" style="1" bestFit="1" customWidth="1"/>
    <col min="19" max="19" width="16.20703125" bestFit="1" customWidth="1"/>
    <col min="32" max="32" width="13" bestFit="1" customWidth="1"/>
  </cols>
  <sheetData>
    <row r="1" spans="1:42" x14ac:dyDescent="0.55000000000000004">
      <c r="A1" t="s">
        <v>96</v>
      </c>
      <c r="B1" s="1" t="s">
        <v>97</v>
      </c>
      <c r="C1" t="s">
        <v>98</v>
      </c>
      <c r="D1" t="s">
        <v>99</v>
      </c>
      <c r="E1" t="s">
        <v>100</v>
      </c>
      <c r="F1" s="1" t="s">
        <v>101</v>
      </c>
      <c r="G1" s="1" t="s">
        <v>102</v>
      </c>
      <c r="H1" s="1" t="s">
        <v>103</v>
      </c>
      <c r="I1" s="1" t="s">
        <v>104</v>
      </c>
      <c r="J1" t="s">
        <v>105</v>
      </c>
      <c r="K1" s="4" t="s">
        <v>106</v>
      </c>
      <c r="L1" s="4" t="s">
        <v>107</v>
      </c>
      <c r="M1" s="4" t="s">
        <v>108</v>
      </c>
      <c r="N1" s="4" t="s">
        <v>109</v>
      </c>
      <c r="O1" s="4" t="s">
        <v>110</v>
      </c>
      <c r="P1" s="4" t="s">
        <v>111</v>
      </c>
      <c r="Q1" s="4" t="s">
        <v>112</v>
      </c>
      <c r="R1" s="4" t="s">
        <v>113</v>
      </c>
      <c r="S1" s="4" t="s">
        <v>114</v>
      </c>
      <c r="T1" s="4" t="s">
        <v>115</v>
      </c>
      <c r="U1" s="4" t="s">
        <v>116</v>
      </c>
      <c r="V1" s="4" t="s">
        <v>117</v>
      </c>
      <c r="W1" s="4" t="s">
        <v>118</v>
      </c>
      <c r="X1" s="4" t="s">
        <v>119</v>
      </c>
      <c r="Y1" s="4" t="s">
        <v>120</v>
      </c>
      <c r="Z1" s="4" t="s">
        <v>121</v>
      </c>
      <c r="AA1" s="4" t="s">
        <v>122</v>
      </c>
      <c r="AB1" s="4" t="s">
        <v>123</v>
      </c>
      <c r="AC1" s="4" t="s">
        <v>124</v>
      </c>
      <c r="AD1" s="4" t="s">
        <v>125</v>
      </c>
      <c r="AE1" s="4" t="s">
        <v>126</v>
      </c>
      <c r="AF1" s="4" t="s">
        <v>127</v>
      </c>
      <c r="AG1" s="4" t="s">
        <v>128</v>
      </c>
      <c r="AH1" s="4" t="s">
        <v>129</v>
      </c>
      <c r="AI1" s="4" t="s">
        <v>130</v>
      </c>
      <c r="AJ1" s="4" t="s">
        <v>131</v>
      </c>
      <c r="AK1" s="4" t="s">
        <v>132</v>
      </c>
      <c r="AL1" s="4" t="s">
        <v>133</v>
      </c>
      <c r="AM1" s="4" t="s">
        <v>134</v>
      </c>
      <c r="AN1" s="4" t="s">
        <v>135</v>
      </c>
      <c r="AO1" s="4" t="s">
        <v>136</v>
      </c>
      <c r="AP1" s="4" t="s">
        <v>137</v>
      </c>
    </row>
    <row r="2" spans="1:42" ht="43.2" x14ac:dyDescent="0.55000000000000004">
      <c r="A2" t="s">
        <v>138</v>
      </c>
      <c r="B2" s="1" t="s">
        <v>139</v>
      </c>
      <c r="C2" t="s">
        <v>140</v>
      </c>
      <c r="D2" t="s">
        <v>141</v>
      </c>
      <c r="E2" t="s">
        <v>142</v>
      </c>
      <c r="F2" s="1" t="s">
        <v>143</v>
      </c>
      <c r="H2" s="30" t="s">
        <v>144</v>
      </c>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86.4" x14ac:dyDescent="0.55000000000000004">
      <c r="A3" t="s">
        <v>138</v>
      </c>
      <c r="B3" s="1" t="s">
        <v>145</v>
      </c>
      <c r="C3" t="s">
        <v>140</v>
      </c>
      <c r="D3" t="s">
        <v>141</v>
      </c>
      <c r="E3" t="s">
        <v>146</v>
      </c>
      <c r="F3" s="1" t="s">
        <v>147</v>
      </c>
      <c r="H3" s="1" t="s">
        <v>148</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ht="115.2" x14ac:dyDescent="0.55000000000000004">
      <c r="A4" t="s">
        <v>138</v>
      </c>
      <c r="B4" s="1" t="s">
        <v>149</v>
      </c>
      <c r="C4" t="s">
        <v>150</v>
      </c>
      <c r="D4" t="s">
        <v>151</v>
      </c>
      <c r="E4" t="s">
        <v>152</v>
      </c>
      <c r="F4" s="1">
        <v>0.01</v>
      </c>
      <c r="G4" s="1" t="s">
        <v>153</v>
      </c>
      <c r="H4" s="1" t="s">
        <v>154</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row>
    <row r="5" spans="1:42" ht="100.8" x14ac:dyDescent="0.55000000000000004">
      <c r="A5" t="s">
        <v>155</v>
      </c>
      <c r="B5" s="1" t="s">
        <v>156</v>
      </c>
      <c r="C5" t="s">
        <v>140</v>
      </c>
      <c r="D5" t="s">
        <v>141</v>
      </c>
      <c r="E5" t="s">
        <v>152</v>
      </c>
      <c r="F5" s="1" t="s">
        <v>157</v>
      </c>
      <c r="H5" s="1" t="s">
        <v>158</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row>
    <row r="6" spans="1:42" ht="28.8" x14ac:dyDescent="0.55000000000000004">
      <c r="A6" t="s">
        <v>155</v>
      </c>
      <c r="B6" s="1" t="s">
        <v>159</v>
      </c>
      <c r="C6" t="s">
        <v>160</v>
      </c>
      <c r="D6" t="s">
        <v>161</v>
      </c>
      <c r="E6" t="s">
        <v>146</v>
      </c>
      <c r="F6" s="1" t="s">
        <v>162</v>
      </c>
      <c r="H6" s="1" t="s">
        <v>163</v>
      </c>
      <c r="I6" s="1" t="s">
        <v>164</v>
      </c>
      <c r="K6" s="5">
        <f>'[1]Opioid Rx Data IQVIA SH'!B$6</f>
        <v>0</v>
      </c>
      <c r="L6" s="5">
        <f>'[1]Opioid Rx Data IQVIA SH'!C$6</f>
        <v>0</v>
      </c>
      <c r="M6" s="5">
        <f>'[1]Opioid Rx Data IQVIA SH'!D$6</f>
        <v>0</v>
      </c>
      <c r="N6" s="5">
        <f>'[1]Opioid Rx Data IQVIA SH'!E$6</f>
        <v>0</v>
      </c>
      <c r="O6" s="5">
        <f>'[1]Opioid Rx Data IQVIA SH'!F$6</f>
        <v>0</v>
      </c>
      <c r="P6" s="5">
        <f>'[1]Opioid Rx Data IQVIA SH'!G$6</f>
        <v>0</v>
      </c>
      <c r="Q6" s="5">
        <f>'[1]Opioid Rx Data IQVIA SH'!H$6</f>
        <v>0</v>
      </c>
      <c r="R6" s="5">
        <f>'[1]Opioid Rx Data IQVIA SH'!I$6</f>
        <v>0</v>
      </c>
      <c r="S6" s="5">
        <f>'[1]Opioid Rx Data IQVIA SH'!J$6</f>
        <v>0</v>
      </c>
      <c r="T6" s="5">
        <f>'[1]Opioid Rx Data IQVIA SH'!K$6</f>
        <v>0</v>
      </c>
      <c r="U6" s="5">
        <f>'[1]Opioid Rx Data IQVIA SH'!L$6</f>
        <v>1.2868150677794213E-4</v>
      </c>
      <c r="V6" s="5">
        <f>'[1]Opioid Rx Data IQVIA SH'!M$6</f>
        <v>3.0440046129983321E-2</v>
      </c>
      <c r="W6" s="5">
        <f>'[1]Opioid Rx Data IQVIA SH'!N$6</f>
        <v>0.10357235362782942</v>
      </c>
      <c r="X6" s="5">
        <f>'[1]Opioid Rx Data IQVIA SH'!O$6</f>
        <v>9.0387600251146713E-2</v>
      </c>
      <c r="Y6" s="5">
        <f>'[1]Opioid Rx Data IQVIA SH'!P$6</f>
        <v>8.5121503878147764E-2</v>
      </c>
      <c r="Z6" s="5">
        <f>'[1]Opioid Rx Data IQVIA SH'!Q$6</f>
        <v>7.9822156563950336E-2</v>
      </c>
      <c r="AA6" s="5">
        <f>'[1]Opioid Rx Data IQVIA SH'!R$6</f>
        <v>7.5699132306866743E-2</v>
      </c>
      <c r="AB6" s="5">
        <f>'[1]Opioid Rx Data IQVIA SH'!S$6</f>
        <v>7.0648063363307451E-2</v>
      </c>
      <c r="AC6" s="5">
        <f>'[1]Opioid Rx Data IQVIA SH'!T$6</f>
        <v>6.5304469508482815E-2</v>
      </c>
      <c r="AD6" s="5">
        <f>'[1]Opioid Rx Data IQVIA SH'!U$6</f>
        <v>6.2178924571006849E-2</v>
      </c>
      <c r="AE6" s="5">
        <f>'[1]Opioid Rx Data IQVIA SH'!V$6</f>
        <v>5.5745186078936089E-2</v>
      </c>
      <c r="AF6" s="5">
        <f>'[1]Opioid Rx Data IQVIA SH'!W$6</f>
        <v>4.9272336100354815E-2</v>
      </c>
      <c r="AG6" s="1"/>
      <c r="AH6" s="1"/>
      <c r="AI6" s="1"/>
      <c r="AJ6" s="1"/>
      <c r="AK6" s="1"/>
      <c r="AL6" s="1"/>
      <c r="AM6" s="1"/>
      <c r="AN6" s="1"/>
      <c r="AO6" s="1"/>
      <c r="AP6" s="1"/>
    </row>
    <row r="7" spans="1:42" ht="43.2" x14ac:dyDescent="0.55000000000000004">
      <c r="A7" t="s">
        <v>138</v>
      </c>
      <c r="B7" s="1" t="s">
        <v>165</v>
      </c>
      <c r="C7" t="s">
        <v>140</v>
      </c>
      <c r="D7" t="s">
        <v>141</v>
      </c>
      <c r="E7" t="s">
        <v>146</v>
      </c>
      <c r="F7" s="1" t="s">
        <v>166</v>
      </c>
      <c r="H7" s="1" t="s">
        <v>167</v>
      </c>
      <c r="I7" s="1" t="s">
        <v>168</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row>
    <row r="8" spans="1:42" ht="100.8" x14ac:dyDescent="0.55000000000000004">
      <c r="A8" t="s">
        <v>138</v>
      </c>
      <c r="B8" s="1" t="s">
        <v>169</v>
      </c>
      <c r="C8" t="s">
        <v>140</v>
      </c>
      <c r="D8" t="s">
        <v>170</v>
      </c>
      <c r="E8" t="s">
        <v>146</v>
      </c>
      <c r="F8" s="1" t="s">
        <v>171</v>
      </c>
      <c r="H8" s="1" t="s">
        <v>172</v>
      </c>
      <c r="J8" s="1" t="s">
        <v>173</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row>
    <row r="9" spans="1:42" ht="43.2" x14ac:dyDescent="0.55000000000000004">
      <c r="A9" t="s">
        <v>138</v>
      </c>
      <c r="B9" s="1" t="s">
        <v>174</v>
      </c>
      <c r="C9" t="s">
        <v>150</v>
      </c>
      <c r="D9" t="s">
        <v>175</v>
      </c>
      <c r="E9" t="s">
        <v>146</v>
      </c>
      <c r="F9" s="1">
        <v>1</v>
      </c>
      <c r="G9" s="1" t="s">
        <v>176</v>
      </c>
      <c r="H9" s="1" t="s">
        <v>177</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row>
    <row r="10" spans="1:42" ht="158.4" x14ac:dyDescent="0.55000000000000004">
      <c r="A10" t="s">
        <v>138</v>
      </c>
      <c r="B10" s="1" t="s">
        <v>178</v>
      </c>
      <c r="C10" t="s">
        <v>150</v>
      </c>
      <c r="D10" t="s">
        <v>175</v>
      </c>
      <c r="E10" t="s">
        <v>152</v>
      </c>
      <c r="F10" s="1">
        <v>1</v>
      </c>
      <c r="G10" s="1" t="s">
        <v>179</v>
      </c>
      <c r="H10" s="1" t="s">
        <v>180</v>
      </c>
      <c r="I10" s="1" t="s">
        <v>168</v>
      </c>
      <c r="J10" s="1" t="s">
        <v>181</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row>
    <row r="11" spans="1:42" ht="43.2" x14ac:dyDescent="0.55000000000000004">
      <c r="A11" t="s">
        <v>155</v>
      </c>
      <c r="B11" s="1" t="s">
        <v>182</v>
      </c>
      <c r="C11" t="s">
        <v>140</v>
      </c>
      <c r="D11" t="s">
        <v>183</v>
      </c>
      <c r="E11" t="s">
        <v>184</v>
      </c>
      <c r="F11" s="1" t="s">
        <v>185</v>
      </c>
      <c r="H11" s="1" t="s">
        <v>186</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row>
    <row r="12" spans="1:42" ht="28.8" x14ac:dyDescent="0.55000000000000004">
      <c r="A12" t="s">
        <v>138</v>
      </c>
      <c r="B12" s="1" t="s">
        <v>187</v>
      </c>
      <c r="C12" t="s">
        <v>188</v>
      </c>
      <c r="D12" t="s">
        <v>189</v>
      </c>
      <c r="E12" t="s">
        <v>184</v>
      </c>
      <c r="F12" s="1" t="s">
        <v>190</v>
      </c>
      <c r="H12" s="1" t="s">
        <v>191</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row>
    <row r="13" spans="1:42" ht="43.2" x14ac:dyDescent="0.55000000000000004">
      <c r="A13" t="s">
        <v>138</v>
      </c>
      <c r="B13" s="1" t="s">
        <v>192</v>
      </c>
      <c r="C13" t="s">
        <v>140</v>
      </c>
      <c r="D13" t="s">
        <v>141</v>
      </c>
      <c r="E13" t="s">
        <v>146</v>
      </c>
      <c r="F13" s="1" t="s">
        <v>193</v>
      </c>
      <c r="H13" s="1" t="s">
        <v>194</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row>
    <row r="14" spans="1:42" ht="28.8" x14ac:dyDescent="0.55000000000000004">
      <c r="A14" t="s">
        <v>138</v>
      </c>
      <c r="B14" s="1" t="s">
        <v>195</v>
      </c>
      <c r="C14" t="s">
        <v>150</v>
      </c>
      <c r="D14" t="s">
        <v>175</v>
      </c>
      <c r="E14" t="s">
        <v>196</v>
      </c>
      <c r="F14" s="1">
        <v>5.8999999999999997E-2</v>
      </c>
      <c r="G14" s="1" t="s">
        <v>197</v>
      </c>
      <c r="H14" s="1" t="s">
        <v>198</v>
      </c>
      <c r="I14" s="1" t="s">
        <v>199</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row>
    <row r="15" spans="1:42" ht="43.2" x14ac:dyDescent="0.55000000000000004">
      <c r="A15" t="s">
        <v>138</v>
      </c>
      <c r="B15" s="1" t="s">
        <v>200</v>
      </c>
      <c r="C15" t="s">
        <v>140</v>
      </c>
      <c r="D15" t="s">
        <v>141</v>
      </c>
      <c r="E15" t="s">
        <v>196</v>
      </c>
      <c r="F15" s="1" t="s">
        <v>201</v>
      </c>
      <c r="H15" s="1" t="s">
        <v>202</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row>
    <row r="16" spans="1:42" ht="28.8" x14ac:dyDescent="0.55000000000000004">
      <c r="A16" t="s">
        <v>138</v>
      </c>
      <c r="B16" s="1" t="s">
        <v>203</v>
      </c>
      <c r="C16" t="s">
        <v>140</v>
      </c>
      <c r="D16" t="s">
        <v>141</v>
      </c>
      <c r="E16" t="s">
        <v>204</v>
      </c>
      <c r="F16" s="1" t="s">
        <v>205</v>
      </c>
      <c r="H16" s="1" t="s">
        <v>206</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7" spans="1:42" x14ac:dyDescent="0.55000000000000004">
      <c r="A17" t="s">
        <v>155</v>
      </c>
      <c r="B17" s="1" t="s">
        <v>207</v>
      </c>
      <c r="C17" t="s">
        <v>140</v>
      </c>
      <c r="D17" t="s">
        <v>141</v>
      </c>
      <c r="E17" t="s">
        <v>184</v>
      </c>
      <c r="F17" s="1" t="s">
        <v>208</v>
      </c>
      <c r="H17" s="1" t="s">
        <v>209</v>
      </c>
      <c r="I17" s="1" t="s">
        <v>210</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row>
    <row r="18" spans="1:42" ht="28.8" x14ac:dyDescent="0.55000000000000004">
      <c r="A18" t="s">
        <v>138</v>
      </c>
      <c r="B18" s="1" t="s">
        <v>211</v>
      </c>
      <c r="C18" t="s">
        <v>188</v>
      </c>
      <c r="D18" t="s">
        <v>141</v>
      </c>
      <c r="E18" t="s">
        <v>146</v>
      </c>
      <c r="F18" s="1" t="s">
        <v>212</v>
      </c>
      <c r="H18" s="1" t="s">
        <v>213</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row>
    <row r="19" spans="1:42" ht="57.6" x14ac:dyDescent="0.55000000000000004">
      <c r="A19" t="s">
        <v>138</v>
      </c>
      <c r="B19" s="1" t="s">
        <v>214</v>
      </c>
      <c r="C19" t="s">
        <v>188</v>
      </c>
      <c r="D19" t="s">
        <v>175</v>
      </c>
      <c r="E19" t="s">
        <v>146</v>
      </c>
      <c r="F19" s="1" t="s">
        <v>215</v>
      </c>
      <c r="H19" s="1" t="s">
        <v>216</v>
      </c>
      <c r="J19" s="1" t="s">
        <v>217</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row>
    <row r="20" spans="1:42" ht="100.8" x14ac:dyDescent="0.55000000000000004">
      <c r="A20" t="s">
        <v>138</v>
      </c>
      <c r="B20" s="1" t="s">
        <v>218</v>
      </c>
      <c r="C20" t="s">
        <v>150</v>
      </c>
      <c r="D20" t="s">
        <v>175</v>
      </c>
      <c r="E20" t="s">
        <v>152</v>
      </c>
      <c r="F20" s="1">
        <v>0.97771799999999998</v>
      </c>
      <c r="G20" s="1" t="s">
        <v>219</v>
      </c>
      <c r="H20" s="1" t="s">
        <v>220</v>
      </c>
      <c r="I20" s="1" t="s">
        <v>221</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row>
    <row r="21" spans="1:42" ht="43.2" x14ac:dyDescent="0.55000000000000004">
      <c r="A21" t="s">
        <v>138</v>
      </c>
      <c r="B21" s="1" t="s">
        <v>222</v>
      </c>
      <c r="C21" t="s">
        <v>140</v>
      </c>
      <c r="D21" t="s">
        <v>141</v>
      </c>
      <c r="E21" t="s">
        <v>146</v>
      </c>
      <c r="F21" s="1" t="s">
        <v>223</v>
      </c>
      <c r="H21" s="1" t="s">
        <v>224</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row>
    <row r="22" spans="1:42" ht="57.6" x14ac:dyDescent="0.55000000000000004">
      <c r="A22" t="s">
        <v>138</v>
      </c>
      <c r="B22" s="1" t="s">
        <v>225</v>
      </c>
      <c r="C22" t="s">
        <v>150</v>
      </c>
      <c r="D22" t="s">
        <v>175</v>
      </c>
      <c r="E22" t="s">
        <v>152</v>
      </c>
      <c r="F22" s="1">
        <v>0.96927300000000005</v>
      </c>
      <c r="G22" s="1" t="s">
        <v>226</v>
      </c>
      <c r="H22" s="1" t="s">
        <v>227</v>
      </c>
      <c r="I22" s="1" t="s">
        <v>228</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row>
    <row r="23" spans="1:42" ht="144" x14ac:dyDescent="0.55000000000000004">
      <c r="A23" t="s">
        <v>229</v>
      </c>
      <c r="B23" s="1" t="s">
        <v>230</v>
      </c>
      <c r="C23" t="s">
        <v>140</v>
      </c>
      <c r="D23" t="s">
        <v>231</v>
      </c>
      <c r="E23" t="s">
        <v>146</v>
      </c>
      <c r="F23" s="1" t="s">
        <v>232</v>
      </c>
      <c r="I23" s="1" t="s">
        <v>233</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row>
    <row r="24" spans="1:42" ht="43.2" x14ac:dyDescent="0.55000000000000004">
      <c r="A24" t="s">
        <v>138</v>
      </c>
      <c r="B24" s="1" t="s">
        <v>234</v>
      </c>
      <c r="C24" t="s">
        <v>140</v>
      </c>
      <c r="D24" t="s">
        <v>141</v>
      </c>
      <c r="E24" t="s">
        <v>235</v>
      </c>
      <c r="F24" s="1" t="s">
        <v>236</v>
      </c>
      <c r="H24" s="1" t="s">
        <v>237</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row>
    <row r="25" spans="1:42" ht="43.2" x14ac:dyDescent="0.55000000000000004">
      <c r="A25" t="s">
        <v>138</v>
      </c>
      <c r="B25" s="1" t="s">
        <v>238</v>
      </c>
      <c r="C25" t="s">
        <v>140</v>
      </c>
      <c r="D25" t="s">
        <v>175</v>
      </c>
      <c r="E25" t="s">
        <v>146</v>
      </c>
      <c r="F25" s="1" t="s">
        <v>239</v>
      </c>
      <c r="G25" s="1" t="s">
        <v>240</v>
      </c>
      <c r="H25" s="1" t="s">
        <v>241</v>
      </c>
      <c r="I25" s="1" t="s">
        <v>242</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row>
    <row r="26" spans="1:42" ht="129.6" x14ac:dyDescent="0.55000000000000004">
      <c r="A26" t="s">
        <v>138</v>
      </c>
      <c r="B26" s="1" t="s">
        <v>243</v>
      </c>
      <c r="C26" t="s">
        <v>150</v>
      </c>
      <c r="D26" t="s">
        <v>175</v>
      </c>
      <c r="E26" t="s">
        <v>244</v>
      </c>
      <c r="F26" s="2">
        <v>5.3000000000000001E-5</v>
      </c>
      <c r="G26" s="1" t="s">
        <v>245</v>
      </c>
      <c r="H26" s="1" t="s">
        <v>246</v>
      </c>
      <c r="I26" s="1" t="s">
        <v>247</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row>
    <row r="27" spans="1:42" ht="43.2" x14ac:dyDescent="0.55000000000000004">
      <c r="A27" t="s">
        <v>138</v>
      </c>
      <c r="B27" s="1" t="s">
        <v>248</v>
      </c>
      <c r="C27" t="s">
        <v>140</v>
      </c>
      <c r="D27" t="s">
        <v>141</v>
      </c>
      <c r="E27" t="s">
        <v>244</v>
      </c>
      <c r="F27" s="1" t="s">
        <v>249</v>
      </c>
      <c r="H27" s="1" t="s">
        <v>250</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row>
    <row r="28" spans="1:42" ht="115.2" x14ac:dyDescent="0.55000000000000004">
      <c r="A28" t="s">
        <v>138</v>
      </c>
      <c r="B28" s="1" t="s">
        <v>251</v>
      </c>
      <c r="C28" t="s">
        <v>150</v>
      </c>
      <c r="D28" t="s">
        <v>175</v>
      </c>
      <c r="E28" t="s">
        <v>146</v>
      </c>
      <c r="F28" s="1">
        <v>50</v>
      </c>
      <c r="G28" s="1" t="s">
        <v>245</v>
      </c>
      <c r="H28" s="1" t="s">
        <v>252</v>
      </c>
      <c r="I28" s="1" t="s">
        <v>247</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row>
    <row r="29" spans="1:42" ht="86.4" x14ac:dyDescent="0.55000000000000004">
      <c r="A29" t="s">
        <v>138</v>
      </c>
      <c r="B29" s="1" t="s">
        <v>253</v>
      </c>
      <c r="C29" t="s">
        <v>140</v>
      </c>
      <c r="D29" t="s">
        <v>141</v>
      </c>
      <c r="E29" t="s">
        <v>146</v>
      </c>
      <c r="F29" s="1" t="s">
        <v>254</v>
      </c>
      <c r="H29" s="1" t="s">
        <v>255</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row>
    <row r="30" spans="1:42" ht="43.2" x14ac:dyDescent="0.55000000000000004">
      <c r="A30" t="s">
        <v>138</v>
      </c>
      <c r="B30" s="1" t="s">
        <v>256</v>
      </c>
      <c r="C30" t="s">
        <v>140</v>
      </c>
      <c r="D30" t="s">
        <v>141</v>
      </c>
      <c r="E30" t="s">
        <v>146</v>
      </c>
      <c r="F30" s="1" t="s">
        <v>257</v>
      </c>
      <c r="H30" s="1" t="s">
        <v>258</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row>
    <row r="31" spans="1:42" ht="100.8" x14ac:dyDescent="0.55000000000000004">
      <c r="A31" t="s">
        <v>138</v>
      </c>
      <c r="B31" s="1" t="s">
        <v>259</v>
      </c>
      <c r="C31" t="s">
        <v>260</v>
      </c>
      <c r="D31" t="s">
        <v>170</v>
      </c>
      <c r="E31" t="s">
        <v>146</v>
      </c>
      <c r="F31" s="1" t="s">
        <v>261</v>
      </c>
      <c r="H31" s="1" t="s">
        <v>262</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row>
    <row r="32" spans="1:42" ht="28.8" x14ac:dyDescent="0.55000000000000004">
      <c r="A32" t="s">
        <v>138</v>
      </c>
      <c r="B32" s="1" t="s">
        <v>263</v>
      </c>
      <c r="C32" t="s">
        <v>150</v>
      </c>
      <c r="D32" t="s">
        <v>170</v>
      </c>
      <c r="E32" t="s">
        <v>264</v>
      </c>
      <c r="F32" s="1">
        <v>9</v>
      </c>
      <c r="G32" s="1" t="s">
        <v>265</v>
      </c>
      <c r="H32" s="1" t="s">
        <v>266</v>
      </c>
      <c r="I32" s="30"/>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row>
    <row r="33" spans="1:42" x14ac:dyDescent="0.55000000000000004">
      <c r="A33" t="s">
        <v>138</v>
      </c>
      <c r="B33" s="1" t="s">
        <v>267</v>
      </c>
      <c r="C33" t="s">
        <v>140</v>
      </c>
      <c r="D33" t="s">
        <v>141</v>
      </c>
      <c r="E33" t="s">
        <v>146</v>
      </c>
      <c r="F33" s="1" t="s">
        <v>268</v>
      </c>
      <c r="H33" s="1" t="s">
        <v>269</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row>
    <row r="34" spans="1:42" ht="28.8" x14ac:dyDescent="0.55000000000000004">
      <c r="A34" t="s">
        <v>138</v>
      </c>
      <c r="B34" s="1" t="s">
        <v>270</v>
      </c>
      <c r="C34" t="s">
        <v>140</v>
      </c>
      <c r="D34" t="s">
        <v>141</v>
      </c>
      <c r="E34" t="s">
        <v>146</v>
      </c>
      <c r="F34" s="1" t="s">
        <v>271</v>
      </c>
      <c r="H34" s="1" t="s">
        <v>269</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row>
    <row r="35" spans="1:42" ht="43.2" x14ac:dyDescent="0.55000000000000004">
      <c r="A35" t="s">
        <v>155</v>
      </c>
      <c r="B35" s="1" t="s">
        <v>272</v>
      </c>
      <c r="C35" t="s">
        <v>140</v>
      </c>
      <c r="D35" t="s">
        <v>141</v>
      </c>
      <c r="E35" t="s">
        <v>273</v>
      </c>
      <c r="F35" s="1" t="s">
        <v>274</v>
      </c>
      <c r="H35" s="1" t="s">
        <v>275</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row>
    <row r="36" spans="1:42" ht="28.8" x14ac:dyDescent="0.55000000000000004">
      <c r="A36" t="s">
        <v>155</v>
      </c>
      <c r="B36" s="1" t="s">
        <v>276</v>
      </c>
      <c r="C36" t="s">
        <v>160</v>
      </c>
      <c r="D36" t="s">
        <v>161</v>
      </c>
      <c r="E36" t="s">
        <v>273</v>
      </c>
      <c r="F36" s="1" t="s">
        <v>277</v>
      </c>
      <c r="G36" s="1" t="s">
        <v>278</v>
      </c>
      <c r="H36" s="1" t="s">
        <v>279</v>
      </c>
      <c r="K36" s="6">
        <f>'[1]Buprenorphine Capacity'!B$5</f>
        <v>0</v>
      </c>
      <c r="L36" s="6">
        <f>'[1]Buprenorphine Capacity'!C$5</f>
        <v>0</v>
      </c>
      <c r="M36" s="6">
        <f>'[1]Buprenorphine Capacity'!D$5</f>
        <v>0</v>
      </c>
      <c r="N36" s="6">
        <f>'[1]Buprenorphine Capacity'!E$5</f>
        <v>0</v>
      </c>
      <c r="O36" s="6">
        <f>'[1]Buprenorphine Capacity'!F$5</f>
        <v>1893</v>
      </c>
      <c r="P36" s="6">
        <f>'[1]Buprenorphine Capacity'!G$5</f>
        <v>3256</v>
      </c>
      <c r="Q36" s="6">
        <f>'[1]Buprenorphine Capacity'!H$5</f>
        <v>5484</v>
      </c>
      <c r="R36" s="6">
        <f>'[1]Buprenorphine Capacity'!I$5</f>
        <v>8555.5</v>
      </c>
      <c r="S36" s="6">
        <f>'[1]Buprenorphine Capacity'!J$5</f>
        <v>10637</v>
      </c>
      <c r="T36" s="6">
        <f>'[1]Buprenorphine Capacity'!K$5</f>
        <v>14365.333333333332</v>
      </c>
      <c r="U36" s="6">
        <f>'[1]Buprenorphine Capacity'!L$5</f>
        <v>15817.5</v>
      </c>
      <c r="V36" s="6">
        <f>'[1]Buprenorphine Capacity'!M$5</f>
        <v>18023.5</v>
      </c>
      <c r="W36" s="6">
        <f>'[1]Buprenorphine Capacity'!N$5</f>
        <v>20148</v>
      </c>
      <c r="X36" s="6">
        <f>'[1]Buprenorphine Capacity'!O$5</f>
        <v>22198</v>
      </c>
      <c r="Y36" s="6">
        <f>'[1]Buprenorphine Capacity'!P$5</f>
        <v>23629</v>
      </c>
      <c r="Z36" s="6">
        <f>'[1]Buprenorphine Capacity'!Q$5</f>
        <v>25738</v>
      </c>
      <c r="AA36" s="6">
        <f>'[1]Buprenorphine Capacity'!R$5</f>
        <v>28930.5</v>
      </c>
      <c r="AB36" s="6">
        <f>'[1]Buprenorphine Capacity'!S$5</f>
        <v>32122.999999999996</v>
      </c>
      <c r="AC36" s="6">
        <f>'[1]Buprenorphine Capacity'!T$5</f>
        <v>42037</v>
      </c>
      <c r="AD36" s="6">
        <f>'[1]Buprenorphine Capacity'!U$5</f>
        <v>57426.5</v>
      </c>
      <c r="AE36" s="6">
        <f>'[1]Buprenorphine Capacity'!V$5</f>
        <v>66800</v>
      </c>
      <c r="AF36" s="6">
        <f>'[1]Buprenorphine Capacity'!W$5</f>
        <v>94223</v>
      </c>
      <c r="AG36" s="1"/>
      <c r="AH36" s="1"/>
      <c r="AI36" s="1"/>
      <c r="AJ36" s="1"/>
      <c r="AK36" s="1"/>
      <c r="AL36" s="1"/>
      <c r="AM36" s="1"/>
      <c r="AN36" s="1"/>
      <c r="AO36" s="1"/>
      <c r="AP36" s="1"/>
    </row>
    <row r="37" spans="1:42" ht="28.8" x14ac:dyDescent="0.55000000000000004">
      <c r="A37" t="s">
        <v>138</v>
      </c>
      <c r="B37" s="1" t="s">
        <v>280</v>
      </c>
      <c r="C37" t="s">
        <v>150</v>
      </c>
      <c r="D37" t="s">
        <v>170</v>
      </c>
      <c r="E37" t="s">
        <v>281</v>
      </c>
      <c r="F37" s="1">
        <v>2001.5</v>
      </c>
      <c r="H37" s="1" t="s">
        <v>282</v>
      </c>
      <c r="J37" s="1" t="e">
        <v>#N/A</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row>
    <row r="38" spans="1:42" ht="28.8" x14ac:dyDescent="0.55000000000000004">
      <c r="A38" t="s">
        <v>138</v>
      </c>
      <c r="B38" s="1" t="s">
        <v>283</v>
      </c>
      <c r="C38" t="s">
        <v>150</v>
      </c>
      <c r="D38" t="s">
        <v>170</v>
      </c>
      <c r="E38" t="s">
        <v>146</v>
      </c>
      <c r="F38" s="1">
        <v>0</v>
      </c>
      <c r="H38" s="1" t="s">
        <v>284</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row>
    <row r="39" spans="1:42" ht="28.8" x14ac:dyDescent="0.55000000000000004">
      <c r="A39" t="s">
        <v>138</v>
      </c>
      <c r="B39" s="1" t="s">
        <v>285</v>
      </c>
      <c r="C39" t="s">
        <v>140</v>
      </c>
      <c r="D39" t="s">
        <v>141</v>
      </c>
      <c r="E39" t="s">
        <v>146</v>
      </c>
      <c r="F39" s="1" t="s">
        <v>286</v>
      </c>
      <c r="H39" s="1" t="s">
        <v>287</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row>
    <row r="40" spans="1:42" ht="43.2" x14ac:dyDescent="0.55000000000000004">
      <c r="A40" t="s">
        <v>138</v>
      </c>
      <c r="B40" s="1" t="s">
        <v>288</v>
      </c>
      <c r="C40" t="s">
        <v>150</v>
      </c>
      <c r="D40" t="s">
        <v>175</v>
      </c>
      <c r="E40" t="s">
        <v>146</v>
      </c>
      <c r="F40" s="1">
        <v>0.1</v>
      </c>
      <c r="G40" s="1" t="s">
        <v>176</v>
      </c>
      <c r="H40" s="1" t="s">
        <v>289</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row>
    <row r="41" spans="1:42" ht="28.8" x14ac:dyDescent="0.55000000000000004">
      <c r="A41" t="s">
        <v>138</v>
      </c>
      <c r="B41" s="1" t="s">
        <v>290</v>
      </c>
      <c r="C41" t="s">
        <v>291</v>
      </c>
      <c r="D41" t="s">
        <v>292</v>
      </c>
      <c r="E41" t="s">
        <v>273</v>
      </c>
      <c r="F41" s="1" t="s">
        <v>293</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row>
    <row r="42" spans="1:42" ht="28.8" x14ac:dyDescent="0.55000000000000004">
      <c r="A42" t="s">
        <v>138</v>
      </c>
      <c r="B42" s="1" t="s">
        <v>294</v>
      </c>
      <c r="C42" t="s">
        <v>291</v>
      </c>
      <c r="D42" t="s">
        <v>292</v>
      </c>
      <c r="E42" t="s">
        <v>273</v>
      </c>
      <c r="F42" s="1" t="s">
        <v>295</v>
      </c>
      <c r="H42" s="1" t="s">
        <v>296</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row>
    <row r="43" spans="1:42" x14ac:dyDescent="0.55000000000000004">
      <c r="A43" t="s">
        <v>138</v>
      </c>
      <c r="B43" s="1" t="s">
        <v>297</v>
      </c>
      <c r="C43" t="s">
        <v>291</v>
      </c>
      <c r="D43" t="s">
        <v>292</v>
      </c>
      <c r="E43" t="s">
        <v>235</v>
      </c>
      <c r="F43" s="1" t="s">
        <v>298</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row>
    <row r="44" spans="1:42" ht="28.8" x14ac:dyDescent="0.55000000000000004">
      <c r="A44" t="s">
        <v>138</v>
      </c>
      <c r="B44" s="1" t="s">
        <v>299</v>
      </c>
      <c r="C44" t="s">
        <v>291</v>
      </c>
      <c r="D44" t="s">
        <v>292</v>
      </c>
      <c r="E44" t="s">
        <v>273</v>
      </c>
      <c r="F44" s="1" t="s">
        <v>300</v>
      </c>
      <c r="H44" s="1" t="s">
        <v>296</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row>
    <row r="45" spans="1:42" ht="28.8" x14ac:dyDescent="0.55000000000000004">
      <c r="A45" t="s">
        <v>138</v>
      </c>
      <c r="B45" s="1" t="s">
        <v>301</v>
      </c>
      <c r="C45" t="s">
        <v>150</v>
      </c>
      <c r="D45" t="s">
        <v>231</v>
      </c>
      <c r="E45" t="s">
        <v>264</v>
      </c>
      <c r="F45" s="1">
        <v>2019</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row>
    <row r="46" spans="1:42" x14ac:dyDescent="0.55000000000000004">
      <c r="A46" t="s">
        <v>138</v>
      </c>
      <c r="B46" s="1" t="s">
        <v>302</v>
      </c>
      <c r="C46" t="s">
        <v>291</v>
      </c>
      <c r="D46" t="s">
        <v>292</v>
      </c>
      <c r="E46" t="s">
        <v>303</v>
      </c>
      <c r="F46" s="1" t="s">
        <v>304</v>
      </c>
      <c r="H46" s="1" t="s">
        <v>296</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row>
    <row r="47" spans="1:42" ht="28.8" x14ac:dyDescent="0.55000000000000004">
      <c r="A47" t="s">
        <v>138</v>
      </c>
      <c r="B47" s="1" t="s">
        <v>305</v>
      </c>
      <c r="C47" t="s">
        <v>140</v>
      </c>
      <c r="D47" t="s">
        <v>231</v>
      </c>
      <c r="F47" s="1" t="s">
        <v>306</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row>
    <row r="48" spans="1:42" x14ac:dyDescent="0.55000000000000004">
      <c r="A48" t="s">
        <v>229</v>
      </c>
      <c r="B48" s="1" t="s">
        <v>307</v>
      </c>
      <c r="C48" t="s">
        <v>140</v>
      </c>
      <c r="D48" t="s">
        <v>231</v>
      </c>
      <c r="F48" s="1" t="s">
        <v>308</v>
      </c>
      <c r="H48" s="1" t="s">
        <v>309</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row>
    <row r="49" spans="1:42" ht="28.8" x14ac:dyDescent="0.55000000000000004">
      <c r="A49" t="s">
        <v>229</v>
      </c>
      <c r="B49" s="1" t="s">
        <v>310</v>
      </c>
      <c r="C49" t="s">
        <v>140</v>
      </c>
      <c r="D49" t="s">
        <v>231</v>
      </c>
      <c r="F49" s="1" t="s">
        <v>311</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row>
    <row r="50" spans="1:42" ht="28.8" x14ac:dyDescent="0.55000000000000004">
      <c r="A50" t="s">
        <v>229</v>
      </c>
      <c r="B50" s="1" t="s">
        <v>312</v>
      </c>
      <c r="C50" t="s">
        <v>140</v>
      </c>
      <c r="D50" t="s">
        <v>231</v>
      </c>
      <c r="E50" t="s">
        <v>313</v>
      </c>
      <c r="F50" s="1" t="s">
        <v>314</v>
      </c>
      <c r="H50" s="1" t="s">
        <v>309</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row>
    <row r="51" spans="1:42" ht="28.8" x14ac:dyDescent="0.55000000000000004">
      <c r="A51" t="s">
        <v>138</v>
      </c>
      <c r="B51" s="1" t="s">
        <v>315</v>
      </c>
      <c r="C51" t="s">
        <v>316</v>
      </c>
      <c r="D51" t="s">
        <v>292</v>
      </c>
      <c r="E51" t="s">
        <v>313</v>
      </c>
      <c r="F51" s="1" t="s">
        <v>317</v>
      </c>
      <c r="H51" s="1" t="s">
        <v>318</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row>
    <row r="52" spans="1:42" ht="28.8" x14ac:dyDescent="0.55000000000000004">
      <c r="A52" t="s">
        <v>138</v>
      </c>
      <c r="B52" s="1" t="s">
        <v>319</v>
      </c>
      <c r="C52" t="s">
        <v>150</v>
      </c>
      <c r="D52" t="s">
        <v>175</v>
      </c>
      <c r="E52" t="s">
        <v>320</v>
      </c>
      <c r="F52" s="1">
        <v>0.29180600000000001</v>
      </c>
      <c r="G52" s="1" t="s">
        <v>153</v>
      </c>
      <c r="H52" s="1" t="s">
        <v>321</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row>
    <row r="53" spans="1:42" ht="28.8" x14ac:dyDescent="0.55000000000000004">
      <c r="A53" t="s">
        <v>138</v>
      </c>
      <c r="B53" s="1" t="s">
        <v>322</v>
      </c>
      <c r="C53" t="s">
        <v>140</v>
      </c>
      <c r="D53" t="s">
        <v>141</v>
      </c>
      <c r="E53" t="s">
        <v>142</v>
      </c>
      <c r="F53" s="1" t="s">
        <v>323</v>
      </c>
      <c r="H53" s="1" t="s">
        <v>324</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row>
    <row r="54" spans="1:42" ht="43.2" x14ac:dyDescent="0.55000000000000004">
      <c r="A54" t="s">
        <v>138</v>
      </c>
      <c r="B54" s="1" t="s">
        <v>325</v>
      </c>
      <c r="C54" t="s">
        <v>140</v>
      </c>
      <c r="D54" t="s">
        <v>141</v>
      </c>
      <c r="E54" t="s">
        <v>320</v>
      </c>
      <c r="F54" s="1" t="s">
        <v>326</v>
      </c>
      <c r="H54" s="1" t="s">
        <v>327</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row>
    <row r="55" spans="1:42" ht="28.8" x14ac:dyDescent="0.55000000000000004">
      <c r="A55" t="s">
        <v>138</v>
      </c>
      <c r="B55" s="1" t="s">
        <v>328</v>
      </c>
      <c r="C55" t="s">
        <v>150</v>
      </c>
      <c r="D55" t="s">
        <v>175</v>
      </c>
      <c r="E55" t="s">
        <v>320</v>
      </c>
      <c r="G55" s="1" t="s">
        <v>153</v>
      </c>
      <c r="H55" s="1" t="s">
        <v>329</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row>
    <row r="56" spans="1:42" ht="43.2" x14ac:dyDescent="0.55000000000000004">
      <c r="A56" t="s">
        <v>138</v>
      </c>
      <c r="B56" s="1" t="s">
        <v>330</v>
      </c>
      <c r="C56" t="s">
        <v>140</v>
      </c>
      <c r="D56" t="s">
        <v>141</v>
      </c>
      <c r="E56" t="s">
        <v>142</v>
      </c>
      <c r="F56" s="1" t="s">
        <v>331</v>
      </c>
      <c r="H56" s="1" t="s">
        <v>332</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row>
    <row r="57" spans="1:42" ht="43.2" x14ac:dyDescent="0.55000000000000004">
      <c r="A57" t="s">
        <v>138</v>
      </c>
      <c r="B57" s="1" t="s">
        <v>333</v>
      </c>
      <c r="C57" t="s">
        <v>140</v>
      </c>
      <c r="D57" t="s">
        <v>141</v>
      </c>
      <c r="E57" t="s">
        <v>320</v>
      </c>
      <c r="F57" s="1" t="s">
        <v>334</v>
      </c>
      <c r="H57" s="1" t="s">
        <v>335</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row>
    <row r="58" spans="1:42" ht="28.8" x14ac:dyDescent="0.55000000000000004">
      <c r="A58" t="s">
        <v>138</v>
      </c>
      <c r="B58" s="1" t="s">
        <v>336</v>
      </c>
      <c r="C58" t="s">
        <v>316</v>
      </c>
      <c r="D58" t="s">
        <v>292</v>
      </c>
      <c r="E58" t="s">
        <v>313</v>
      </c>
      <c r="F58" s="1" t="s">
        <v>337</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row>
    <row r="59" spans="1:42" x14ac:dyDescent="0.55000000000000004">
      <c r="A59" t="s">
        <v>138</v>
      </c>
      <c r="B59" s="1" t="s">
        <v>338</v>
      </c>
      <c r="C59" t="s">
        <v>316</v>
      </c>
      <c r="D59" t="s">
        <v>292</v>
      </c>
      <c r="E59" t="s">
        <v>313</v>
      </c>
      <c r="F59" s="1" t="s">
        <v>339</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row>
    <row r="60" spans="1:42" ht="187.2" x14ac:dyDescent="0.55000000000000004">
      <c r="A60" t="s">
        <v>138</v>
      </c>
      <c r="B60" s="1" t="s">
        <v>340</v>
      </c>
      <c r="C60" t="s">
        <v>150</v>
      </c>
      <c r="D60" t="s">
        <v>175</v>
      </c>
      <c r="E60" t="s">
        <v>341</v>
      </c>
      <c r="F60">
        <v>3.27186E-2</v>
      </c>
      <c r="G60" s="1" t="s">
        <v>226</v>
      </c>
      <c r="H60" s="1" t="s">
        <v>342</v>
      </c>
      <c r="I60" s="1" t="s">
        <v>343</v>
      </c>
      <c r="J60" s="1" t="s">
        <v>344</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row>
    <row r="61" spans="1:42" ht="28.8" x14ac:dyDescent="0.55000000000000004">
      <c r="A61" t="s">
        <v>138</v>
      </c>
      <c r="B61" s="1" t="s">
        <v>345</v>
      </c>
      <c r="C61" t="s">
        <v>140</v>
      </c>
      <c r="D61" t="s">
        <v>141</v>
      </c>
      <c r="E61" t="s">
        <v>142</v>
      </c>
      <c r="F61" s="1" t="s">
        <v>346</v>
      </c>
      <c r="H61" s="1" t="s">
        <v>347</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row>
    <row r="62" spans="1:42" ht="43.2" x14ac:dyDescent="0.55000000000000004">
      <c r="A62" t="s">
        <v>138</v>
      </c>
      <c r="B62" s="1" t="s">
        <v>348</v>
      </c>
      <c r="C62" t="s">
        <v>140</v>
      </c>
      <c r="D62" t="s">
        <v>141</v>
      </c>
      <c r="E62" t="s">
        <v>320</v>
      </c>
      <c r="F62" s="1" t="s">
        <v>349</v>
      </c>
      <c r="H62" s="1" t="s">
        <v>350</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row>
    <row r="63" spans="1:42" ht="129.6" x14ac:dyDescent="0.55000000000000004">
      <c r="A63" t="s">
        <v>138</v>
      </c>
      <c r="B63" s="1" t="s">
        <v>351</v>
      </c>
      <c r="C63" t="s">
        <v>150</v>
      </c>
      <c r="D63" t="s">
        <v>175</v>
      </c>
      <c r="E63" t="s">
        <v>146</v>
      </c>
      <c r="F63" s="1" t="s">
        <v>352</v>
      </c>
      <c r="H63" s="1" t="s">
        <v>309</v>
      </c>
      <c r="I63" s="1" t="s">
        <v>353</v>
      </c>
      <c r="J63" s="1" t="s">
        <v>354</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row>
    <row r="64" spans="1:42" ht="216" x14ac:dyDescent="0.55000000000000004">
      <c r="A64" t="s">
        <v>138</v>
      </c>
      <c r="B64" s="1" t="s">
        <v>355</v>
      </c>
      <c r="C64" t="s">
        <v>150</v>
      </c>
      <c r="D64" t="s">
        <v>175</v>
      </c>
      <c r="E64" t="s">
        <v>146</v>
      </c>
      <c r="F64" s="1" t="s">
        <v>356</v>
      </c>
      <c r="H64" s="1" t="s">
        <v>309</v>
      </c>
      <c r="I64" s="1" t="s">
        <v>357</v>
      </c>
      <c r="J64" s="1" t="s">
        <v>358</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row>
    <row r="65" spans="1:42" ht="151.9" customHeight="1" x14ac:dyDescent="0.55000000000000004">
      <c r="A65" t="s">
        <v>138</v>
      </c>
      <c r="B65" s="1" t="s">
        <v>359</v>
      </c>
      <c r="C65" t="s">
        <v>150</v>
      </c>
      <c r="D65" t="s">
        <v>175</v>
      </c>
      <c r="E65" t="s">
        <v>152</v>
      </c>
      <c r="F65" s="1" t="s">
        <v>360</v>
      </c>
      <c r="G65" s="1" t="s">
        <v>361</v>
      </c>
      <c r="H65" s="1" t="s">
        <v>362</v>
      </c>
      <c r="I65" s="1" t="s">
        <v>363</v>
      </c>
      <c r="J65" s="1" t="s">
        <v>364</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row>
    <row r="66" spans="1:42" ht="15" customHeight="1" x14ac:dyDescent="0.55000000000000004">
      <c r="A66" t="s">
        <v>138</v>
      </c>
      <c r="B66" s="1" t="s">
        <v>365</v>
      </c>
      <c r="C66" t="s">
        <v>140</v>
      </c>
      <c r="D66" t="s">
        <v>141</v>
      </c>
      <c r="E66" t="s">
        <v>273</v>
      </c>
      <c r="F66" s="1" t="s">
        <v>366</v>
      </c>
      <c r="H66" s="1" t="s">
        <v>367</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row>
    <row r="67" spans="1:42" ht="28.9" customHeight="1" x14ac:dyDescent="0.55000000000000004">
      <c r="A67" t="s">
        <v>138</v>
      </c>
      <c r="B67" s="1" t="s">
        <v>368</v>
      </c>
      <c r="C67" t="s">
        <v>140</v>
      </c>
      <c r="D67" t="s">
        <v>141</v>
      </c>
      <c r="E67" t="s">
        <v>273</v>
      </c>
      <c r="F67" s="1" t="s">
        <v>369</v>
      </c>
      <c r="H67" s="1" t="s">
        <v>370</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row>
    <row r="68" spans="1:42" ht="16.899999999999999" customHeight="1" x14ac:dyDescent="0.55000000000000004">
      <c r="A68" t="s">
        <v>138</v>
      </c>
      <c r="B68" s="1" t="s">
        <v>371</v>
      </c>
      <c r="C68" t="s">
        <v>140</v>
      </c>
      <c r="D68" t="s">
        <v>141</v>
      </c>
      <c r="E68" t="s">
        <v>273</v>
      </c>
      <c r="F68" s="1" t="s">
        <v>372</v>
      </c>
      <c r="H68" s="1" t="s">
        <v>373</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row>
    <row r="69" spans="1:42" ht="25.9" customHeight="1" x14ac:dyDescent="0.55000000000000004">
      <c r="A69" t="s">
        <v>138</v>
      </c>
      <c r="B69" s="1" t="s">
        <v>374</v>
      </c>
      <c r="C69" t="s">
        <v>140</v>
      </c>
      <c r="D69" t="s">
        <v>141</v>
      </c>
      <c r="E69" t="s">
        <v>273</v>
      </c>
      <c r="F69" s="1" t="s">
        <v>375</v>
      </c>
      <c r="H69" s="1" t="s">
        <v>376</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row>
    <row r="70" spans="1:42" ht="25.9" customHeight="1" x14ac:dyDescent="0.55000000000000004">
      <c r="A70" t="s">
        <v>229</v>
      </c>
      <c r="B70" s="1" t="s">
        <v>377</v>
      </c>
      <c r="C70" t="s">
        <v>150</v>
      </c>
      <c r="D70" t="s">
        <v>231</v>
      </c>
      <c r="E70" t="s">
        <v>146</v>
      </c>
      <c r="F70" s="1">
        <v>1E-4</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row>
    <row r="71" spans="1:42" ht="57.6" x14ac:dyDescent="0.55000000000000004">
      <c r="A71" t="s">
        <v>138</v>
      </c>
      <c r="B71" s="1" t="s">
        <v>378</v>
      </c>
      <c r="C71" t="s">
        <v>150</v>
      </c>
      <c r="D71" t="s">
        <v>175</v>
      </c>
      <c r="E71" t="s">
        <v>152</v>
      </c>
      <c r="F71">
        <v>0.63904799999999995</v>
      </c>
      <c r="G71" s="1" t="s">
        <v>379</v>
      </c>
      <c r="H71" s="1" t="s">
        <v>380</v>
      </c>
      <c r="J71" s="1" t="s">
        <v>381</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row>
    <row r="72" spans="1:42" ht="43.2" x14ac:dyDescent="0.55000000000000004">
      <c r="A72" t="s">
        <v>138</v>
      </c>
      <c r="B72" s="1" t="s">
        <v>382</v>
      </c>
      <c r="C72" t="s">
        <v>150</v>
      </c>
      <c r="D72" t="s">
        <v>175</v>
      </c>
      <c r="E72" t="s">
        <v>152</v>
      </c>
      <c r="F72" s="1">
        <v>2</v>
      </c>
      <c r="G72" s="1" t="s">
        <v>383</v>
      </c>
      <c r="H72" s="1" t="s">
        <v>384</v>
      </c>
      <c r="I72" s="1" t="s">
        <v>385</v>
      </c>
      <c r="J72" s="1" t="s">
        <v>386</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row>
    <row r="73" spans="1:42" ht="43.2" x14ac:dyDescent="0.55000000000000004">
      <c r="A73" t="s">
        <v>155</v>
      </c>
      <c r="B73" s="1" t="s">
        <v>387</v>
      </c>
      <c r="C73" t="s">
        <v>140</v>
      </c>
      <c r="D73" t="s">
        <v>141</v>
      </c>
      <c r="E73">
        <v>1</v>
      </c>
      <c r="F73" s="1" t="s">
        <v>388</v>
      </c>
      <c r="H73" s="1" t="s">
        <v>389</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row>
    <row r="74" spans="1:42" ht="43.2" x14ac:dyDescent="0.55000000000000004">
      <c r="A74" t="s">
        <v>155</v>
      </c>
      <c r="B74" s="1" t="s">
        <v>390</v>
      </c>
      <c r="C74" t="s">
        <v>150</v>
      </c>
      <c r="D74" t="s">
        <v>175</v>
      </c>
      <c r="E74" t="s">
        <v>391</v>
      </c>
      <c r="F74" s="1">
        <v>2012.5</v>
      </c>
      <c r="G74" s="1" t="s">
        <v>392</v>
      </c>
      <c r="H74" s="1" t="s">
        <v>393</v>
      </c>
      <c r="I74" s="1" t="s">
        <v>394</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row>
    <row r="75" spans="1:42" ht="28.8" x14ac:dyDescent="0.55000000000000004">
      <c r="A75" t="s">
        <v>155</v>
      </c>
      <c r="B75" s="1" t="s">
        <v>395</v>
      </c>
      <c r="C75" t="s">
        <v>140</v>
      </c>
      <c r="D75" t="s">
        <v>183</v>
      </c>
      <c r="E75" t="s">
        <v>146</v>
      </c>
      <c r="F75" s="1" t="s">
        <v>396</v>
      </c>
      <c r="H75" s="1" t="s">
        <v>397</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row>
    <row r="76" spans="1:42" ht="43.2" x14ac:dyDescent="0.55000000000000004">
      <c r="A76" t="s">
        <v>155</v>
      </c>
      <c r="B76" s="1" t="s">
        <v>398</v>
      </c>
      <c r="C76" t="s">
        <v>160</v>
      </c>
      <c r="D76" t="s">
        <v>161</v>
      </c>
      <c r="E76" t="s">
        <v>146</v>
      </c>
      <c r="F76" s="1" t="s">
        <v>399</v>
      </c>
      <c r="H76" s="1" t="s">
        <v>400</v>
      </c>
      <c r="I76" s="1" t="s">
        <v>401</v>
      </c>
      <c r="K76" s="7">
        <f>'[1]Fentanyl NFLIS'!B$2</f>
        <v>0</v>
      </c>
      <c r="L76" s="7">
        <f>'[1]Fentanyl NFLIS'!C$2</f>
        <v>0</v>
      </c>
      <c r="M76" s="7">
        <f>'[1]Fentanyl NFLIS'!D$2</f>
        <v>0</v>
      </c>
      <c r="N76" s="7">
        <f>'[1]Fentanyl NFLIS'!E$2</f>
        <v>0</v>
      </c>
      <c r="O76" s="7">
        <f>'[1]Fentanyl NFLIS'!F$2</f>
        <v>0</v>
      </c>
      <c r="P76" s="7">
        <f>'[1]Fentanyl NFLIS'!G$2</f>
        <v>0</v>
      </c>
      <c r="Q76" s="7">
        <f>'[1]Fentanyl NFLIS'!H$2</f>
        <v>0</v>
      </c>
      <c r="R76" s="7">
        <f>'[1]Fentanyl NFLIS'!I$2</f>
        <v>0</v>
      </c>
      <c r="S76" s="7">
        <f>'[1]Fentanyl NFLIS'!J$2</f>
        <v>1.0755202244563947E-2</v>
      </c>
      <c r="T76" s="7">
        <f>'[1]Fentanyl NFLIS'!K$2</f>
        <v>5.6314948870589696E-3</v>
      </c>
      <c r="U76" s="7">
        <f>'[1]Fentanyl NFLIS'!L$2</f>
        <v>5.7798856433668722E-3</v>
      </c>
      <c r="V76" s="7">
        <f>'[1]Fentanyl NFLIS'!M$2</f>
        <v>6.1042036175059195E-3</v>
      </c>
      <c r="W76" s="7">
        <f>'[1]Fentanyl NFLIS'!N$2</f>
        <v>5.3814787439894363E-3</v>
      </c>
      <c r="X76" s="7">
        <f>'[1]Fentanyl NFLIS'!O$2</f>
        <v>0</v>
      </c>
      <c r="Y76" s="7">
        <f>'[1]Fentanyl NFLIS'!P$2</f>
        <v>6.4060575890166902E-3</v>
      </c>
      <c r="Z76" s="7">
        <f>'[1]Fentanyl NFLIS'!Q$2</f>
        <v>2.7908994218554105E-2</v>
      </c>
      <c r="AA76" s="7">
        <f>'[1]Fentanyl NFLIS'!R$2</f>
        <v>8.2317311449785074E-2</v>
      </c>
      <c r="AB76" s="7">
        <f>'[1]Fentanyl NFLIS'!S$2</f>
        <v>0.18473601770824541</v>
      </c>
      <c r="AC76" s="7">
        <f>'[1]Fentanyl NFLIS'!T$2</f>
        <v>0.32210083779712445</v>
      </c>
      <c r="AD76" s="7">
        <f>'[1]Fentanyl NFLIS'!U$2</f>
        <v>0.40610436550278561</v>
      </c>
      <c r="AE76" s="7">
        <f>'[1]Fentanyl NFLIS'!V$2</f>
        <v>0.47271690770965785</v>
      </c>
      <c r="AF76" s="7">
        <f>'[1]Fentanyl NFLIS'!W$2</f>
        <v>0.53636894162713789</v>
      </c>
      <c r="AG76" s="1"/>
      <c r="AH76" s="1"/>
      <c r="AI76" s="1"/>
      <c r="AJ76" s="1"/>
      <c r="AK76" s="1"/>
      <c r="AL76" s="1"/>
      <c r="AM76" s="1"/>
      <c r="AN76" s="1"/>
      <c r="AO76" s="1"/>
      <c r="AP76" s="1"/>
    </row>
    <row r="77" spans="1:42" x14ac:dyDescent="0.55000000000000004">
      <c r="A77" t="s">
        <v>402</v>
      </c>
      <c r="B77" s="1" t="s">
        <v>403</v>
      </c>
      <c r="C77" t="s">
        <v>150</v>
      </c>
      <c r="D77" t="s">
        <v>231</v>
      </c>
      <c r="E77" t="s">
        <v>281</v>
      </c>
      <c r="F77" s="1">
        <v>2031</v>
      </c>
      <c r="H77" s="1" t="s">
        <v>404</v>
      </c>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row>
    <row r="78" spans="1:42" ht="28.8" x14ac:dyDescent="0.55000000000000004">
      <c r="A78" t="s">
        <v>138</v>
      </c>
      <c r="B78" s="1" t="s">
        <v>405</v>
      </c>
      <c r="C78" t="s">
        <v>140</v>
      </c>
      <c r="D78" t="s">
        <v>141</v>
      </c>
      <c r="E78" t="s">
        <v>146</v>
      </c>
      <c r="F78" s="1" t="s">
        <v>406</v>
      </c>
      <c r="H78" s="1" t="s">
        <v>407</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row>
    <row r="79" spans="1:42" ht="28.8" x14ac:dyDescent="0.55000000000000004">
      <c r="A79" t="s">
        <v>138</v>
      </c>
      <c r="B79" s="1" t="s">
        <v>408</v>
      </c>
      <c r="C79" t="s">
        <v>150</v>
      </c>
      <c r="D79" t="s">
        <v>175</v>
      </c>
      <c r="E79" t="s">
        <v>146</v>
      </c>
      <c r="F79">
        <v>0.94062400000000002</v>
      </c>
      <c r="G79" s="1" t="s">
        <v>226</v>
      </c>
      <c r="H79" s="1" t="s">
        <v>409</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row>
    <row r="80" spans="1:42" ht="28.8" x14ac:dyDescent="0.55000000000000004">
      <c r="A80" t="s">
        <v>138</v>
      </c>
      <c r="B80" s="1" t="s">
        <v>410</v>
      </c>
      <c r="C80" t="s">
        <v>140</v>
      </c>
      <c r="D80" t="s">
        <v>141</v>
      </c>
      <c r="E80" t="s">
        <v>146</v>
      </c>
      <c r="F80" s="1" t="s">
        <v>411</v>
      </c>
      <c r="H80" s="1" t="s">
        <v>410</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row>
    <row r="81" spans="1:42" ht="28.8" x14ac:dyDescent="0.55000000000000004">
      <c r="A81" t="s">
        <v>412</v>
      </c>
      <c r="B81" s="1" t="s">
        <v>413</v>
      </c>
      <c r="C81" t="s">
        <v>140</v>
      </c>
      <c r="D81" t="s">
        <v>141</v>
      </c>
      <c r="E81" t="s">
        <v>146</v>
      </c>
      <c r="F81" s="1" t="s">
        <v>414</v>
      </c>
      <c r="H81" s="1" t="s">
        <v>415</v>
      </c>
      <c r="I81" s="1" t="s">
        <v>416</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row>
    <row r="82" spans="1:42" ht="28.8" x14ac:dyDescent="0.55000000000000004">
      <c r="A82" t="s">
        <v>138</v>
      </c>
      <c r="B82" s="1" t="s">
        <v>417</v>
      </c>
      <c r="C82" t="s">
        <v>140</v>
      </c>
      <c r="D82" t="s">
        <v>141</v>
      </c>
      <c r="E82" t="s">
        <v>146</v>
      </c>
      <c r="F82" s="1" t="s">
        <v>418</v>
      </c>
      <c r="H82" s="1" t="s">
        <v>419</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row>
    <row r="83" spans="1:42" ht="28.8" x14ac:dyDescent="0.55000000000000004">
      <c r="A83" t="s">
        <v>412</v>
      </c>
      <c r="B83" s="1" t="s">
        <v>420</v>
      </c>
      <c r="C83" t="s">
        <v>140</v>
      </c>
      <c r="D83" t="s">
        <v>141</v>
      </c>
      <c r="E83" t="s">
        <v>146</v>
      </c>
      <c r="F83" s="1" t="s">
        <v>421</v>
      </c>
      <c r="H83" s="1" t="s">
        <v>422</v>
      </c>
      <c r="I83" s="1" t="s">
        <v>416</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row>
    <row r="84" spans="1:42" ht="43.2" x14ac:dyDescent="0.55000000000000004">
      <c r="A84" t="s">
        <v>138</v>
      </c>
      <c r="B84" s="1" t="s">
        <v>423</v>
      </c>
      <c r="C84" t="s">
        <v>140</v>
      </c>
      <c r="D84" t="s">
        <v>141</v>
      </c>
      <c r="E84" t="s">
        <v>146</v>
      </c>
      <c r="F84" s="1" t="s">
        <v>424</v>
      </c>
      <c r="H84" s="1" t="s">
        <v>425</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row>
    <row r="85" spans="1:42" ht="28.8" x14ac:dyDescent="0.55000000000000004">
      <c r="A85" t="s">
        <v>412</v>
      </c>
      <c r="B85" s="1" t="s">
        <v>426</v>
      </c>
      <c r="C85" t="s">
        <v>140</v>
      </c>
      <c r="D85" t="s">
        <v>141</v>
      </c>
      <c r="E85" t="s">
        <v>146</v>
      </c>
      <c r="F85" s="1" t="s">
        <v>427</v>
      </c>
      <c r="H85" s="1" t="s">
        <v>428</v>
      </c>
      <c r="I85" s="1" t="s">
        <v>416</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row>
    <row r="86" spans="1:42" ht="72" x14ac:dyDescent="0.55000000000000004">
      <c r="A86" t="s">
        <v>138</v>
      </c>
      <c r="B86" s="1" t="s">
        <v>429</v>
      </c>
      <c r="C86" t="s">
        <v>140</v>
      </c>
      <c r="D86" t="s">
        <v>141</v>
      </c>
      <c r="E86" t="s">
        <v>146</v>
      </c>
      <c r="F86" s="1" t="s">
        <v>430</v>
      </c>
      <c r="H86" s="1" t="s">
        <v>431</v>
      </c>
      <c r="J86" s="1" t="s">
        <v>432</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row>
    <row r="87" spans="1:42" ht="28.8" x14ac:dyDescent="0.55000000000000004">
      <c r="A87" t="s">
        <v>412</v>
      </c>
      <c r="B87" s="1" t="s">
        <v>433</v>
      </c>
      <c r="C87" t="s">
        <v>140</v>
      </c>
      <c r="D87" t="s">
        <v>141</v>
      </c>
      <c r="E87" t="s">
        <v>146</v>
      </c>
      <c r="F87" s="1" t="s">
        <v>434</v>
      </c>
      <c r="H87" s="1" t="s">
        <v>435</v>
      </c>
      <c r="I87" s="1" t="s">
        <v>416</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row>
    <row r="88" spans="1:42" ht="43.2" x14ac:dyDescent="0.55000000000000004">
      <c r="A88" t="s">
        <v>138</v>
      </c>
      <c r="B88" s="1" t="s">
        <v>436</v>
      </c>
      <c r="C88" t="s">
        <v>140</v>
      </c>
      <c r="D88" t="s">
        <v>141</v>
      </c>
      <c r="E88" t="s">
        <v>146</v>
      </c>
      <c r="F88" s="1" t="s">
        <v>437</v>
      </c>
      <c r="H88" s="1" t="s">
        <v>438</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row>
    <row r="89" spans="1:42" ht="28.8" x14ac:dyDescent="0.55000000000000004">
      <c r="A89" t="s">
        <v>412</v>
      </c>
      <c r="B89" s="1" t="s">
        <v>439</v>
      </c>
      <c r="C89" t="s">
        <v>140</v>
      </c>
      <c r="D89" t="s">
        <v>141</v>
      </c>
      <c r="E89" t="s">
        <v>146</v>
      </c>
      <c r="F89" s="1" t="s">
        <v>440</v>
      </c>
      <c r="H89" s="1" t="s">
        <v>441</v>
      </c>
      <c r="I89" s="1" t="s">
        <v>416</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row>
    <row r="90" spans="1:42" ht="57.6" x14ac:dyDescent="0.55000000000000004">
      <c r="A90" t="s">
        <v>155</v>
      </c>
      <c r="B90" s="1" t="s">
        <v>442</v>
      </c>
      <c r="C90" t="s">
        <v>160</v>
      </c>
      <c r="D90" t="s">
        <v>161</v>
      </c>
      <c r="E90" t="s">
        <v>146</v>
      </c>
      <c r="F90" s="1" t="s">
        <v>443</v>
      </c>
      <c r="H90" s="1" t="s">
        <v>444</v>
      </c>
      <c r="K90" s="7">
        <f>'[1]NSDUH OUD HUD estimates'!B$9</f>
        <v>0.43670399999999998</v>
      </c>
      <c r="L90" s="7">
        <f>'[1]NSDUH OUD HUD estimates'!C$9</f>
        <v>0.49432921499999999</v>
      </c>
      <c r="M90" s="7">
        <f>'[1]NSDUH OUD HUD estimates'!D$9</f>
        <v>0.50452300000000005</v>
      </c>
      <c r="N90" s="7">
        <f>'[1]NSDUH OUD HUD estimates'!E$9</f>
        <v>0.54729355857175399</v>
      </c>
      <c r="O90" s="7">
        <f>'[1]NSDUH OUD HUD estimates'!F$9</f>
        <v>0.49471869236209659</v>
      </c>
      <c r="P90" s="7">
        <f>'[1]NSDUH OUD HUD estimates'!G$9</f>
        <v>0.48028834290951389</v>
      </c>
      <c r="Q90" s="7">
        <f>'[1]NSDUH OUD HUD estimates'!H$9</f>
        <v>0.66885667204562727</v>
      </c>
      <c r="R90" s="7">
        <f>'[1]NSDUH OUD HUD estimates'!I$9</f>
        <v>0.70146781191003083</v>
      </c>
      <c r="S90" s="7">
        <f>'[1]NSDUH OUD HUD estimates'!J$9</f>
        <v>0.74580695055343416</v>
      </c>
      <c r="T90" s="7">
        <f>'[1]NSDUH OUD HUD estimates'!K$9</f>
        <v>0.74834445129301319</v>
      </c>
      <c r="U90" s="7">
        <f>'[1]NSDUH OUD HUD estimates'!L$9</f>
        <v>0.66145609367690361</v>
      </c>
      <c r="V90" s="7">
        <f>'[1]NSDUH OUD HUD estimates'!M$9</f>
        <v>0.69965780468544359</v>
      </c>
      <c r="W90" s="7">
        <f>'[1]NSDUH OUD HUD estimates'!N$9</f>
        <v>0.71452291733487705</v>
      </c>
      <c r="X90" s="7">
        <f>'[1]NSDUH OUD HUD estimates'!O$9</f>
        <v>0.7760462196226775</v>
      </c>
      <c r="Y90" s="7">
        <f>'[1]NSDUH OUD HUD estimates'!P$9</f>
        <v>0.79410502351272672</v>
      </c>
      <c r="Z90" s="7">
        <f>'[1]NSDUH OUD HUD estimates'!Q$9</f>
        <v>0.66357395438209221</v>
      </c>
      <c r="AA90" s="7">
        <f>'[1]NSDUH OUD HUD estimates'!R$9</f>
        <v>0.73309701196862065</v>
      </c>
      <c r="AB90" s="7">
        <f>'[1]NSDUH OUD HUD estimates'!S$9</f>
        <v>0.7640260708441472</v>
      </c>
      <c r="AC90" s="7">
        <f>'[1]NSDUH OUD HUD estimates'!T$9</f>
        <v>0.63545225442936903</v>
      </c>
      <c r="AD90" s="7">
        <f>'[1]NSDUH OUD HUD estimates'!U$9</f>
        <v>0.70188431548236752</v>
      </c>
      <c r="AE90" s="7">
        <f>'[1]NSDUH OUD HUD estimates'!V$9</f>
        <v>0.63945444153182096</v>
      </c>
      <c r="AF90" s="8"/>
      <c r="AG90" s="1"/>
      <c r="AH90" s="1"/>
      <c r="AI90" s="1"/>
      <c r="AJ90" s="1"/>
      <c r="AK90" s="1"/>
      <c r="AL90" s="1"/>
      <c r="AM90" s="1"/>
      <c r="AN90" s="1"/>
      <c r="AO90" s="1"/>
      <c r="AP90" s="1"/>
    </row>
    <row r="91" spans="1:42" ht="28.8" x14ac:dyDescent="0.55000000000000004">
      <c r="A91" t="s">
        <v>138</v>
      </c>
      <c r="B91" s="1" t="s">
        <v>445</v>
      </c>
      <c r="C91" t="s">
        <v>140</v>
      </c>
      <c r="D91" t="s">
        <v>141</v>
      </c>
      <c r="E91" t="s">
        <v>152</v>
      </c>
      <c r="F91" s="1" t="s">
        <v>446</v>
      </c>
      <c r="H91" s="1" t="s">
        <v>447</v>
      </c>
      <c r="I91" s="1" t="s">
        <v>416</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row>
    <row r="92" spans="1:42" ht="57.6" x14ac:dyDescent="0.55000000000000004">
      <c r="A92" t="s">
        <v>155</v>
      </c>
      <c r="B92" s="1" t="s">
        <v>448</v>
      </c>
      <c r="C92" t="s">
        <v>160</v>
      </c>
      <c r="D92" t="s">
        <v>161</v>
      </c>
      <c r="E92" t="s">
        <v>146</v>
      </c>
      <c r="F92" s="1" t="s">
        <v>449</v>
      </c>
      <c r="H92" s="1" t="s">
        <v>450</v>
      </c>
      <c r="I92" s="1" t="s">
        <v>451</v>
      </c>
      <c r="K92" s="7">
        <f>'[1]NSDUH OUD HUD estimates'!B$8</f>
        <v>0.43750800000000001</v>
      </c>
      <c r="L92" s="7">
        <f>'[1]NSDUH OUD HUD estimates'!C$8</f>
        <v>0.37236187999999998</v>
      </c>
      <c r="M92" s="7">
        <f>'[1]NSDUH OUD HUD estimates'!D$8</f>
        <v>0.425927</v>
      </c>
      <c r="N92" s="7">
        <f>'[1]NSDUH OUD HUD estimates'!E$8</f>
        <v>0.54781630921420243</v>
      </c>
      <c r="O92" s="7">
        <f>'[1]NSDUH OUD HUD estimates'!F$8</f>
        <v>0.37322058915059531</v>
      </c>
      <c r="P92" s="7">
        <f>'[1]NSDUH OUD HUD estimates'!G$8</f>
        <v>0.39139012189107308</v>
      </c>
      <c r="Q92" s="7">
        <f>'[1]NSDUH OUD HUD estimates'!H$8</f>
        <v>0.4877997957950449</v>
      </c>
      <c r="R92" s="7">
        <f>'[1]NSDUH OUD HUD estimates'!I$8</f>
        <v>0.57803937794552485</v>
      </c>
      <c r="S92" s="7">
        <f>'[1]NSDUH OUD HUD estimates'!J$8</f>
        <v>0.72162230278590955</v>
      </c>
      <c r="T92" s="7">
        <f>'[1]NSDUH OUD HUD estimates'!K$8</f>
        <v>0.42434660061496415</v>
      </c>
      <c r="U92" s="7">
        <f>'[1]NSDUH OUD HUD estimates'!L$8</f>
        <v>0.67685122298409983</v>
      </c>
      <c r="V92" s="7">
        <f>'[1]NSDUH OUD HUD estimates'!M$8</f>
        <v>0.47542778169279082</v>
      </c>
      <c r="W92" s="7">
        <f>'[1]NSDUH OUD HUD estimates'!N$8</f>
        <v>0.47088840431370804</v>
      </c>
      <c r="X92" s="7">
        <f>'[1]NSDUH OUD HUD estimates'!O$8</f>
        <v>0.48412019742862716</v>
      </c>
      <c r="Y92" s="7">
        <f>'[1]NSDUH OUD HUD estimates'!P$8</f>
        <v>0.70006800322385654</v>
      </c>
      <c r="Z92" s="7">
        <f>'[1]NSDUH OUD HUD estimates'!Q$8</f>
        <v>0.45505317441636534</v>
      </c>
      <c r="AA92" s="7">
        <f>'[1]NSDUH OUD HUD estimates'!R$8</f>
        <v>0.59043335257408602</v>
      </c>
      <c r="AB92" s="7">
        <f>'[1]NSDUH OUD HUD estimates'!S$8</f>
        <v>0.35116056083220265</v>
      </c>
      <c r="AC92" s="7">
        <f>'[1]NSDUH OUD HUD estimates'!T$8</f>
        <v>0.52275756557215547</v>
      </c>
      <c r="AD92" s="7">
        <f>'[1]NSDUH OUD HUD estimates'!U$8</f>
        <v>0.39097376936899497</v>
      </c>
      <c r="AE92" s="7">
        <f>'[1]NSDUH OUD HUD estimates'!V$8</f>
        <v>0.24577347467820138</v>
      </c>
      <c r="AF92" s="8"/>
      <c r="AG92" s="1"/>
      <c r="AH92" s="1"/>
      <c r="AI92" s="1"/>
      <c r="AJ92" s="1"/>
      <c r="AK92" s="1"/>
      <c r="AL92" s="1"/>
      <c r="AM92" s="1"/>
      <c r="AN92" s="1"/>
      <c r="AO92" s="1"/>
      <c r="AP92" s="1"/>
    </row>
    <row r="93" spans="1:42" ht="28.8" x14ac:dyDescent="0.55000000000000004">
      <c r="A93" t="s">
        <v>138</v>
      </c>
      <c r="B93" s="1" t="s">
        <v>452</v>
      </c>
      <c r="C93" t="s">
        <v>140</v>
      </c>
      <c r="D93" t="s">
        <v>141</v>
      </c>
      <c r="E93" t="s">
        <v>152</v>
      </c>
      <c r="F93" s="1" t="s">
        <v>453</v>
      </c>
      <c r="H93" s="1" t="s">
        <v>454</v>
      </c>
      <c r="I93" s="1" t="s">
        <v>416</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row>
    <row r="94" spans="1:42" ht="43.2" x14ac:dyDescent="0.55000000000000004">
      <c r="A94" t="s">
        <v>138</v>
      </c>
      <c r="B94" s="1" t="s">
        <v>455</v>
      </c>
      <c r="C94" t="s">
        <v>140</v>
      </c>
      <c r="D94" t="s">
        <v>141</v>
      </c>
      <c r="E94" t="s">
        <v>146</v>
      </c>
      <c r="F94" s="1" t="s">
        <v>456</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row>
    <row r="95" spans="1:42" ht="57.6" x14ac:dyDescent="0.55000000000000004">
      <c r="A95" t="s">
        <v>138</v>
      </c>
      <c r="B95" s="1" t="s">
        <v>457</v>
      </c>
      <c r="C95" t="s">
        <v>140</v>
      </c>
      <c r="D95" t="s">
        <v>151</v>
      </c>
      <c r="E95" t="s">
        <v>146</v>
      </c>
      <c r="F95" s="1" t="s">
        <v>458</v>
      </c>
      <c r="H95" s="1" t="s">
        <v>459</v>
      </c>
      <c r="J95" s="1" t="s">
        <v>460</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row>
    <row r="96" spans="1:42" ht="57.6" x14ac:dyDescent="0.55000000000000004">
      <c r="A96" t="s">
        <v>138</v>
      </c>
      <c r="B96" s="1" t="s">
        <v>461</v>
      </c>
      <c r="C96" t="s">
        <v>140</v>
      </c>
      <c r="D96" t="s">
        <v>151</v>
      </c>
      <c r="E96" t="s">
        <v>146</v>
      </c>
      <c r="F96" s="1" t="s">
        <v>462</v>
      </c>
      <c r="H96" s="1" t="s">
        <v>463</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row>
    <row r="97" spans="1:42" ht="57.6" x14ac:dyDescent="0.55000000000000004">
      <c r="A97" t="s">
        <v>138</v>
      </c>
      <c r="B97" s="1" t="s">
        <v>464</v>
      </c>
      <c r="C97" t="s">
        <v>140</v>
      </c>
      <c r="D97" t="s">
        <v>151</v>
      </c>
      <c r="E97" t="s">
        <v>146</v>
      </c>
      <c r="F97" s="1" t="s">
        <v>465</v>
      </c>
      <c r="H97" s="1" t="s">
        <v>466</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row>
    <row r="98" spans="1:42" x14ac:dyDescent="0.55000000000000004">
      <c r="A98" t="s">
        <v>138</v>
      </c>
      <c r="B98" s="1" t="s">
        <v>467</v>
      </c>
      <c r="C98" t="s">
        <v>140</v>
      </c>
      <c r="D98" t="s">
        <v>141</v>
      </c>
      <c r="E98" t="s">
        <v>146</v>
      </c>
      <c r="F98" s="1" t="s">
        <v>468</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row>
    <row r="99" spans="1:42" ht="28.8" x14ac:dyDescent="0.55000000000000004">
      <c r="A99" t="s">
        <v>138</v>
      </c>
      <c r="B99" s="1" t="s">
        <v>469</v>
      </c>
      <c r="C99" t="s">
        <v>150</v>
      </c>
      <c r="D99" t="s">
        <v>151</v>
      </c>
      <c r="E99" t="s">
        <v>152</v>
      </c>
      <c r="F99" s="31">
        <v>9.9999999999999995E-7</v>
      </c>
      <c r="G99" s="1" t="s">
        <v>153</v>
      </c>
      <c r="H99" s="1" t="s">
        <v>470</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row>
    <row r="100" spans="1:42" ht="28.8" x14ac:dyDescent="0.55000000000000004">
      <c r="A100" t="s">
        <v>138</v>
      </c>
      <c r="B100" s="1" t="s">
        <v>471</v>
      </c>
      <c r="C100" t="s">
        <v>150</v>
      </c>
      <c r="D100" t="s">
        <v>151</v>
      </c>
      <c r="E100" t="s">
        <v>152</v>
      </c>
      <c r="F100" s="31">
        <v>9.9999999999999995E-7</v>
      </c>
      <c r="G100" s="1" t="s">
        <v>153</v>
      </c>
      <c r="H100" s="1" t="s">
        <v>472</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row>
    <row r="101" spans="1:42" ht="28.8" x14ac:dyDescent="0.55000000000000004">
      <c r="A101" t="s">
        <v>138</v>
      </c>
      <c r="B101" s="1" t="s">
        <v>473</v>
      </c>
      <c r="C101" t="s">
        <v>150</v>
      </c>
      <c r="D101" t="s">
        <v>151</v>
      </c>
      <c r="E101" t="s">
        <v>152</v>
      </c>
      <c r="F101" s="32">
        <v>1.68757</v>
      </c>
      <c r="G101" s="1" t="s">
        <v>153</v>
      </c>
      <c r="H101" s="1" t="s">
        <v>474</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row>
    <row r="102" spans="1:42" ht="28.8" x14ac:dyDescent="0.55000000000000004">
      <c r="A102" t="s">
        <v>155</v>
      </c>
      <c r="B102" s="1" t="s">
        <v>475</v>
      </c>
      <c r="C102" t="s">
        <v>140</v>
      </c>
      <c r="D102" t="s">
        <v>183</v>
      </c>
      <c r="E102" t="s">
        <v>146</v>
      </c>
      <c r="F102" s="1" t="s">
        <v>476</v>
      </c>
      <c r="H102" s="1" t="s">
        <v>477</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row>
    <row r="103" spans="1:42" ht="86.4" x14ac:dyDescent="0.55000000000000004">
      <c r="A103" t="s">
        <v>155</v>
      </c>
      <c r="B103" s="1" t="s">
        <v>478</v>
      </c>
      <c r="C103" t="s">
        <v>160</v>
      </c>
      <c r="D103" t="s">
        <v>161</v>
      </c>
      <c r="E103" t="s">
        <v>146</v>
      </c>
      <c r="F103" s="1" t="s">
        <v>479</v>
      </c>
      <c r="H103" s="1" t="s">
        <v>480</v>
      </c>
      <c r="I103" s="1" t="s">
        <v>481</v>
      </c>
      <c r="J103" s="1" t="s">
        <v>482</v>
      </c>
      <c r="K103" s="9">
        <f>'[1]Heroin and Rx Price'!B$2</f>
        <v>1.1166666666666667</v>
      </c>
      <c r="L103" s="9">
        <f>'[1]Heroin and Rx Price'!C$2</f>
        <v>1.1378691983122362</v>
      </c>
      <c r="M103" s="9">
        <f>'[1]Heroin and Rx Price'!D$2</f>
        <v>1.130801687763713</v>
      </c>
      <c r="N103" s="9">
        <f>'[1]Heroin and Rx Price'!E$2</f>
        <v>0.94704641350210972</v>
      </c>
      <c r="O103" s="9">
        <f>'[1]Heroin and Rx Price'!F$2</f>
        <v>1.0177215189873416</v>
      </c>
      <c r="P103" s="9">
        <f>'[1]Heroin and Rx Price'!G$2</f>
        <v>0.9753164556962024</v>
      </c>
      <c r="Q103" s="9">
        <f>'[1]Heroin and Rx Price'!H$2</f>
        <v>0.81983122362869199</v>
      </c>
      <c r="R103" s="9">
        <f>'[1]Heroin and Rx Price'!I$2</f>
        <v>0.89050632911392402</v>
      </c>
      <c r="S103" s="9">
        <f>'[1]Heroin and Rx Price'!J$2</f>
        <v>0.84810126582278478</v>
      </c>
      <c r="T103" s="9">
        <f>'[1]Heroin and Rx Price'!K$2</f>
        <v>0.75384316237189009</v>
      </c>
      <c r="U103" s="9">
        <f>'[1]Heroin and Rx Price'!L$2</f>
        <v>0.71368850500333314</v>
      </c>
      <c r="V103" s="9">
        <f>'[1]Heroin and Rx Price'!M$2</f>
        <v>0.76106533480047445</v>
      </c>
      <c r="W103" s="9">
        <f>'[1]Heroin and Rx Price'!N$2</f>
        <v>0.62318032241313726</v>
      </c>
      <c r="X103" s="9">
        <f>'[1]Heroin and Rx Price'!O$2</f>
        <v>0.65617947485189854</v>
      </c>
      <c r="Y103" s="9">
        <f>'[1]Heroin and Rx Price'!P$2</f>
        <v>0.6908647104684591</v>
      </c>
      <c r="Z103" s="9">
        <f>'[1]Heroin and Rx Price'!Q$2</f>
        <v>0.71288547231011723</v>
      </c>
      <c r="AA103" s="9">
        <f>'[1]Heroin and Rx Price'!R$2</f>
        <v>0.59976676400988693</v>
      </c>
      <c r="AB103" s="9">
        <f>'[1]Heroin and Rx Price'!S$2</f>
        <v>0.54882297113524636</v>
      </c>
      <c r="AC103" s="9">
        <f>'[1]Heroin and Rx Price'!T$2</f>
        <v>0.53736690874896442</v>
      </c>
      <c r="AD103" s="9">
        <f>'[1]Heroin and Rx Price'!U$2</f>
        <v>0.54408739565454922</v>
      </c>
      <c r="AE103" s="9">
        <f>'[1]Heroin and Rx Price'!V$2</f>
        <v>0.54408739565454922</v>
      </c>
      <c r="AF103" s="9"/>
      <c r="AG103" s="1"/>
      <c r="AH103" s="1"/>
      <c r="AI103" s="1"/>
      <c r="AJ103" s="1"/>
      <c r="AK103" s="1"/>
      <c r="AL103" s="1"/>
      <c r="AM103" s="1"/>
      <c r="AN103" s="1"/>
      <c r="AO103" s="1"/>
      <c r="AP103" s="1"/>
    </row>
    <row r="104" spans="1:42" ht="57.6" x14ac:dyDescent="0.55000000000000004">
      <c r="A104" t="s">
        <v>138</v>
      </c>
      <c r="B104" s="1" t="s">
        <v>483</v>
      </c>
      <c r="C104" t="s">
        <v>291</v>
      </c>
      <c r="D104" t="s">
        <v>292</v>
      </c>
      <c r="E104" t="s">
        <v>273</v>
      </c>
      <c r="F104" s="1" t="s">
        <v>484</v>
      </c>
      <c r="H104" s="1" t="s">
        <v>485</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row>
    <row r="105" spans="1:42" ht="28.8" x14ac:dyDescent="0.55000000000000004">
      <c r="A105" t="s">
        <v>412</v>
      </c>
      <c r="B105" s="1" t="s">
        <v>486</v>
      </c>
      <c r="C105" t="s">
        <v>140</v>
      </c>
      <c r="D105" t="s">
        <v>487</v>
      </c>
      <c r="E105" t="s">
        <v>273</v>
      </c>
      <c r="F105" s="1" t="s">
        <v>488</v>
      </c>
      <c r="H105" s="1" t="s">
        <v>489</v>
      </c>
      <c r="I105" s="1" t="s">
        <v>490</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row>
    <row r="106" spans="1:42" x14ac:dyDescent="0.55000000000000004">
      <c r="A106" t="s">
        <v>138</v>
      </c>
      <c r="B106" s="1" t="s">
        <v>491</v>
      </c>
      <c r="C106" t="s">
        <v>140</v>
      </c>
      <c r="D106" t="s">
        <v>141</v>
      </c>
      <c r="E106" t="s">
        <v>273</v>
      </c>
      <c r="F106" s="1" t="s">
        <v>492</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row>
    <row r="107" spans="1:42" ht="43.2" x14ac:dyDescent="0.55000000000000004">
      <c r="A107" t="s">
        <v>138</v>
      </c>
      <c r="B107" s="1" t="s">
        <v>493</v>
      </c>
      <c r="C107" t="s">
        <v>291</v>
      </c>
      <c r="D107" t="s">
        <v>292</v>
      </c>
      <c r="E107" t="s">
        <v>273</v>
      </c>
      <c r="F107" s="1" t="s">
        <v>494</v>
      </c>
      <c r="H107" s="1" t="s">
        <v>495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row>
    <row r="108" spans="1:42" ht="28.8" x14ac:dyDescent="0.55000000000000004">
      <c r="A108" t="s">
        <v>138</v>
      </c>
      <c r="B108" s="1" t="s">
        <v>496</v>
      </c>
      <c r="C108" t="s">
        <v>140</v>
      </c>
      <c r="D108" t="s">
        <v>141</v>
      </c>
      <c r="E108" t="s">
        <v>235</v>
      </c>
      <c r="F108" s="1" t="s">
        <v>497</v>
      </c>
      <c r="H108" s="1" t="s">
        <v>498</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row>
    <row r="109" spans="1:42" ht="28.8" x14ac:dyDescent="0.55000000000000004">
      <c r="A109" t="s">
        <v>138</v>
      </c>
      <c r="B109" s="1" t="s">
        <v>499</v>
      </c>
      <c r="C109" t="s">
        <v>140</v>
      </c>
      <c r="D109" t="s">
        <v>175</v>
      </c>
      <c r="E109" t="s">
        <v>273</v>
      </c>
      <c r="F109" s="1" t="s">
        <v>500</v>
      </c>
      <c r="G109" s="1" t="s">
        <v>240</v>
      </c>
      <c r="H109" s="1" t="s">
        <v>501</v>
      </c>
      <c r="I109" s="1" t="s">
        <v>502</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row>
    <row r="110" spans="1:42" ht="28.8" x14ac:dyDescent="0.55000000000000004">
      <c r="A110" t="s">
        <v>138</v>
      </c>
      <c r="B110" s="1" t="s">
        <v>503</v>
      </c>
      <c r="C110" t="s">
        <v>291</v>
      </c>
      <c r="D110" t="s">
        <v>292</v>
      </c>
      <c r="E110" t="s">
        <v>273</v>
      </c>
      <c r="F110" s="1" t="s">
        <v>504</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row>
    <row r="111" spans="1:42" ht="28.8" x14ac:dyDescent="0.55000000000000004">
      <c r="A111" t="s">
        <v>138</v>
      </c>
      <c r="B111" s="1" t="s">
        <v>505</v>
      </c>
      <c r="C111" t="s">
        <v>140</v>
      </c>
      <c r="D111" t="s">
        <v>175</v>
      </c>
      <c r="E111" t="s">
        <v>273</v>
      </c>
      <c r="F111" s="1" t="s">
        <v>506</v>
      </c>
      <c r="G111" s="1" t="s">
        <v>240</v>
      </c>
      <c r="H111" s="1" t="s">
        <v>507</v>
      </c>
      <c r="I111" s="1" t="s">
        <v>502</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row>
    <row r="112" spans="1:42" ht="57.6" x14ac:dyDescent="0.55000000000000004">
      <c r="A112" t="s">
        <v>138</v>
      </c>
      <c r="B112" s="1" t="s">
        <v>508</v>
      </c>
      <c r="C112" t="s">
        <v>291</v>
      </c>
      <c r="D112" t="s">
        <v>292</v>
      </c>
      <c r="E112" t="s">
        <v>509</v>
      </c>
      <c r="F112" s="1" t="s">
        <v>510</v>
      </c>
      <c r="H112" s="1" t="s">
        <v>511</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row>
    <row r="113" spans="1:42" ht="28.8" x14ac:dyDescent="0.55000000000000004">
      <c r="A113" t="s">
        <v>412</v>
      </c>
      <c r="B113" s="1" t="s">
        <v>512</v>
      </c>
      <c r="C113" t="s">
        <v>160</v>
      </c>
      <c r="D113" t="s">
        <v>487</v>
      </c>
      <c r="E113" t="s">
        <v>273</v>
      </c>
      <c r="F113" s="1" t="s">
        <v>513</v>
      </c>
      <c r="H113" s="1" t="s">
        <v>514</v>
      </c>
      <c r="I113" s="1" t="s">
        <v>515</v>
      </c>
      <c r="J113" s="1" t="s">
        <v>516</v>
      </c>
      <c r="K113" s="6">
        <f>'[1]RAND Adjusted Estimates'!B$2</f>
        <v>737348.72370526451</v>
      </c>
      <c r="L113" s="6">
        <f>'[1]RAND Adjusted Estimates'!C$2</f>
        <v>670983.54912418628</v>
      </c>
      <c r="M113" s="6">
        <f>'[1]RAND Adjusted Estimates'!D$2</f>
        <v>732226.9959257741</v>
      </c>
      <c r="N113" s="6">
        <f>'[1]RAND Adjusted Estimates'!E$2</f>
        <v>764684.39245923271</v>
      </c>
      <c r="O113" s="6">
        <f>'[1]RAND Adjusted Estimates'!F$2</f>
        <v>673043.85125278018</v>
      </c>
      <c r="P113" s="6">
        <f>'[1]RAND Adjusted Estimates'!G$2</f>
        <v>882617.72652719344</v>
      </c>
      <c r="Q113" s="6">
        <f>'[1]RAND Adjusted Estimates'!H$2</f>
        <v>728787.3099795162</v>
      </c>
      <c r="R113" s="6">
        <f>'[1]RAND Adjusted Estimates'!I$2</f>
        <v>995374.01559201255</v>
      </c>
      <c r="S113" s="6">
        <f>'[1]RAND Adjusted Estimates'!J$2</f>
        <v>772412.62550478789</v>
      </c>
      <c r="T113" s="6">
        <f>'[1]RAND Adjusted Estimates'!K$2</f>
        <v>1024666.0100058218</v>
      </c>
      <c r="U113" s="6">
        <f>'[1]RAND Adjusted Estimates'!L$2</f>
        <v>1316792.5968868218</v>
      </c>
      <c r="V113" s="6">
        <f>'[1]RAND Adjusted Estimates'!M$2</f>
        <v>1335599.830687297</v>
      </c>
      <c r="W113" s="6">
        <f>'[1]RAND Adjusted Estimates'!N$2</f>
        <v>1590808.859871615</v>
      </c>
      <c r="X113" s="6">
        <f>'[1]RAND Adjusted Estimates'!O$2</f>
        <v>1565981.4445320296</v>
      </c>
      <c r="Y113" s="6">
        <f>'[1]RAND Adjusted Estimates'!P$2</f>
        <v>1667232.4977665495</v>
      </c>
      <c r="Z113" s="6">
        <f>'[1]RAND Adjusted Estimates'!Q$2</f>
        <v>1936510.395643299</v>
      </c>
      <c r="AA113" s="6">
        <f>'[1]RAND Adjusted Estimates'!R$2</f>
        <v>1923866.4588087033</v>
      </c>
      <c r="AB113" s="6">
        <f>'[1]RAND Adjusted Estimates'!S$2</f>
        <v>2011537.1025247658</v>
      </c>
      <c r="AC113" s="6">
        <f>'[1]RAND Adjusted Estimates'!T$2</f>
        <v>2193782.1536960565</v>
      </c>
      <c r="AD113" s="6">
        <f>'[1]RAND Adjusted Estimates'!U$2</f>
        <v>1843790.2663262156</v>
      </c>
      <c r="AE113" s="6">
        <f>'[1]RAND Adjusted Estimates'!V$2</f>
        <v>1420678.8406968592</v>
      </c>
      <c r="AF113" s="1"/>
      <c r="AG113" s="1"/>
      <c r="AH113" s="1"/>
      <c r="AI113" s="1"/>
      <c r="AJ113" s="1"/>
      <c r="AK113" s="1"/>
      <c r="AL113" s="1"/>
      <c r="AM113" s="1"/>
      <c r="AN113" s="1"/>
      <c r="AO113" s="1"/>
      <c r="AP113" s="1"/>
    </row>
    <row r="114" spans="1:42" ht="28.8" x14ac:dyDescent="0.55000000000000004">
      <c r="A114" t="s">
        <v>412</v>
      </c>
      <c r="B114" s="1" t="s">
        <v>517</v>
      </c>
      <c r="C114" t="s">
        <v>150</v>
      </c>
      <c r="D114" t="s">
        <v>231</v>
      </c>
      <c r="E114" t="s">
        <v>273</v>
      </c>
      <c r="F114" s="1" t="s">
        <v>277</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row>
    <row r="115" spans="1:42" ht="28.8" x14ac:dyDescent="0.55000000000000004">
      <c r="A115" t="s">
        <v>138</v>
      </c>
      <c r="B115" s="1" t="s">
        <v>369</v>
      </c>
      <c r="C115" t="s">
        <v>140</v>
      </c>
      <c r="D115" t="s">
        <v>141</v>
      </c>
      <c r="E115" t="s">
        <v>235</v>
      </c>
      <c r="F115" s="1" t="s">
        <v>518</v>
      </c>
      <c r="H115" s="1" t="s">
        <v>519</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row>
    <row r="116" spans="1:42" ht="43.2" x14ac:dyDescent="0.55000000000000004">
      <c r="A116" t="s">
        <v>138</v>
      </c>
      <c r="B116" s="1" t="s">
        <v>520</v>
      </c>
      <c r="C116" t="s">
        <v>150</v>
      </c>
      <c r="D116" t="s">
        <v>175</v>
      </c>
      <c r="E116" t="s">
        <v>146</v>
      </c>
      <c r="F116" s="1">
        <v>1.72</v>
      </c>
      <c r="G116" s="1" t="s">
        <v>521</v>
      </c>
      <c r="H116" s="1" t="s">
        <v>522</v>
      </c>
      <c r="I116" s="1" t="s">
        <v>523</v>
      </c>
      <c r="J116" s="1" t="s">
        <v>524</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row>
    <row r="117" spans="1:42" ht="43.2" x14ac:dyDescent="0.55000000000000004">
      <c r="A117" t="s">
        <v>412</v>
      </c>
      <c r="B117" s="1" t="s">
        <v>525</v>
      </c>
      <c r="C117" t="s">
        <v>150</v>
      </c>
      <c r="D117" t="s">
        <v>175</v>
      </c>
      <c r="E117" t="s">
        <v>146</v>
      </c>
      <c r="F117" s="1">
        <v>5.1200000000000002E-2</v>
      </c>
      <c r="G117" s="1" t="s">
        <v>521</v>
      </c>
      <c r="H117" s="1" t="s">
        <v>526</v>
      </c>
      <c r="I117" s="1" t="s">
        <v>527</v>
      </c>
      <c r="J117" s="1" t="s">
        <v>528</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row>
    <row r="118" spans="1:42" ht="28.8" x14ac:dyDescent="0.55000000000000004">
      <c r="A118" t="s">
        <v>138</v>
      </c>
      <c r="B118" s="1" t="s">
        <v>529</v>
      </c>
      <c r="C118" t="s">
        <v>530</v>
      </c>
      <c r="D118" t="s">
        <v>189</v>
      </c>
      <c r="E118" t="s">
        <v>273</v>
      </c>
      <c r="F118" s="1" t="s">
        <v>531</v>
      </c>
      <c r="H118" s="1" t="s">
        <v>532</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row>
    <row r="119" spans="1:42" ht="28.8" x14ac:dyDescent="0.55000000000000004">
      <c r="A119" t="s">
        <v>138</v>
      </c>
      <c r="B119" s="1" t="s">
        <v>533</v>
      </c>
      <c r="C119" t="s">
        <v>530</v>
      </c>
      <c r="D119" t="s">
        <v>189</v>
      </c>
      <c r="E119" t="s">
        <v>273</v>
      </c>
      <c r="F119" s="1" t="s">
        <v>534</v>
      </c>
      <c r="H119" s="1" t="s">
        <v>309</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row>
    <row r="120" spans="1:42" x14ac:dyDescent="0.55000000000000004">
      <c r="A120" t="s">
        <v>138</v>
      </c>
      <c r="B120" s="1" t="s">
        <v>535</v>
      </c>
      <c r="C120" t="s">
        <v>530</v>
      </c>
      <c r="D120" t="s">
        <v>189</v>
      </c>
      <c r="E120" t="s">
        <v>273</v>
      </c>
      <c r="F120" s="1" t="s">
        <v>536</v>
      </c>
      <c r="H120" s="1" t="s">
        <v>537</v>
      </c>
      <c r="J120" s="1" t="s">
        <v>538</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row>
    <row r="121" spans="1:42" ht="72" x14ac:dyDescent="0.55000000000000004">
      <c r="A121" t="s">
        <v>412</v>
      </c>
      <c r="B121" s="1" t="s">
        <v>539</v>
      </c>
      <c r="C121" t="s">
        <v>150</v>
      </c>
      <c r="D121" t="s">
        <v>175</v>
      </c>
      <c r="E121" t="s">
        <v>509</v>
      </c>
      <c r="F121" s="1">
        <v>253594</v>
      </c>
      <c r="G121" s="1" t="s">
        <v>521</v>
      </c>
      <c r="H121" s="1" t="s">
        <v>540</v>
      </c>
      <c r="I121" s="1" t="s">
        <v>541</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row>
    <row r="122" spans="1:42" x14ac:dyDescent="0.55000000000000004">
      <c r="A122" t="s">
        <v>138</v>
      </c>
      <c r="B122" s="1" t="s">
        <v>542</v>
      </c>
      <c r="C122" t="s">
        <v>530</v>
      </c>
      <c r="D122" t="s">
        <v>189</v>
      </c>
      <c r="E122" t="s">
        <v>273</v>
      </c>
      <c r="F122" s="1" t="s">
        <v>543</v>
      </c>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row>
    <row r="123" spans="1:42" ht="72" x14ac:dyDescent="0.55000000000000004">
      <c r="A123" t="s">
        <v>412</v>
      </c>
      <c r="B123" s="1" t="s">
        <v>544</v>
      </c>
      <c r="C123" t="s">
        <v>150</v>
      </c>
      <c r="D123" t="s">
        <v>175</v>
      </c>
      <c r="E123" t="s">
        <v>509</v>
      </c>
      <c r="F123" s="1">
        <v>147028</v>
      </c>
      <c r="G123" s="1" t="s">
        <v>521</v>
      </c>
      <c r="H123" s="1" t="s">
        <v>545</v>
      </c>
      <c r="I123" s="1" t="s">
        <v>541</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row>
    <row r="124" spans="1:42" ht="35.5" customHeight="1" x14ac:dyDescent="0.55000000000000004">
      <c r="A124" t="s">
        <v>138</v>
      </c>
      <c r="B124" s="1" t="s">
        <v>546</v>
      </c>
      <c r="C124" t="s">
        <v>188</v>
      </c>
      <c r="D124" t="s">
        <v>189</v>
      </c>
      <c r="E124" t="s">
        <v>273</v>
      </c>
      <c r="F124" s="1" t="s">
        <v>547</v>
      </c>
      <c r="H124" s="1" t="s">
        <v>548</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row>
    <row r="125" spans="1:42" ht="72" x14ac:dyDescent="0.55000000000000004">
      <c r="A125" t="s">
        <v>412</v>
      </c>
      <c r="B125" s="1" t="s">
        <v>549</v>
      </c>
      <c r="C125" t="s">
        <v>150</v>
      </c>
      <c r="D125" t="s">
        <v>175</v>
      </c>
      <c r="E125" t="s">
        <v>152</v>
      </c>
      <c r="F125" s="1">
        <v>0.96</v>
      </c>
      <c r="G125" s="1" t="s">
        <v>197</v>
      </c>
      <c r="H125" s="1" t="s">
        <v>550</v>
      </c>
      <c r="I125" s="1" t="s">
        <v>551</v>
      </c>
      <c r="J125" s="1" t="s">
        <v>552</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row>
    <row r="126" spans="1:42" ht="109.15" customHeight="1" x14ac:dyDescent="0.55000000000000004">
      <c r="A126" t="s">
        <v>412</v>
      </c>
      <c r="B126" s="1" t="s">
        <v>553</v>
      </c>
      <c r="C126" t="s">
        <v>150</v>
      </c>
      <c r="D126" t="s">
        <v>175</v>
      </c>
      <c r="E126" t="s">
        <v>152</v>
      </c>
      <c r="F126" s="1">
        <v>4.7999999999999996E-3</v>
      </c>
      <c r="G126" s="1" t="s">
        <v>197</v>
      </c>
      <c r="H126" s="1" t="s">
        <v>554</v>
      </c>
      <c r="I126" s="1" t="s">
        <v>551</v>
      </c>
      <c r="J126" s="1" t="s">
        <v>555</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row>
    <row r="127" spans="1:42" ht="45.6" customHeight="1" x14ac:dyDescent="0.55000000000000004">
      <c r="A127" t="s">
        <v>138</v>
      </c>
      <c r="B127" s="1" t="s">
        <v>556</v>
      </c>
      <c r="C127" t="s">
        <v>530</v>
      </c>
      <c r="D127" t="s">
        <v>189</v>
      </c>
      <c r="E127" t="s">
        <v>273</v>
      </c>
      <c r="F127" s="1" t="s">
        <v>557</v>
      </c>
      <c r="H127" s="1" t="s">
        <v>558</v>
      </c>
      <c r="I127" s="1" t="s">
        <v>416</v>
      </c>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row>
    <row r="128" spans="1:42" ht="48.6" customHeight="1" x14ac:dyDescent="0.55000000000000004">
      <c r="A128" t="s">
        <v>138</v>
      </c>
      <c r="B128" s="1" t="s">
        <v>559</v>
      </c>
      <c r="C128" t="s">
        <v>530</v>
      </c>
      <c r="D128" t="s">
        <v>189</v>
      </c>
      <c r="E128" t="s">
        <v>273</v>
      </c>
      <c r="F128" s="1" t="s">
        <v>560</v>
      </c>
      <c r="H128" s="1" t="s">
        <v>561</v>
      </c>
      <c r="I128" s="1" t="s">
        <v>416</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row>
    <row r="129" spans="1:42" ht="72" x14ac:dyDescent="0.55000000000000004">
      <c r="A129" t="s">
        <v>412</v>
      </c>
      <c r="B129" s="1" t="s">
        <v>562</v>
      </c>
      <c r="C129" t="s">
        <v>150</v>
      </c>
      <c r="D129" t="s">
        <v>175</v>
      </c>
      <c r="E129" t="s">
        <v>273</v>
      </c>
      <c r="F129" s="2">
        <v>1171440</v>
      </c>
      <c r="G129" s="1" t="s">
        <v>521</v>
      </c>
      <c r="H129" s="1" t="s">
        <v>563</v>
      </c>
      <c r="I129" s="1" t="s">
        <v>564</v>
      </c>
      <c r="J129" s="1" t="s">
        <v>565</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row>
    <row r="130" spans="1:42" ht="28.8" x14ac:dyDescent="0.55000000000000004">
      <c r="A130" t="s">
        <v>412</v>
      </c>
      <c r="B130" s="1" t="s">
        <v>566</v>
      </c>
      <c r="C130" t="s">
        <v>150</v>
      </c>
      <c r="D130" t="s">
        <v>175</v>
      </c>
      <c r="E130" t="s">
        <v>273</v>
      </c>
      <c r="F130" s="1">
        <v>679176</v>
      </c>
      <c r="G130" s="1" t="s">
        <v>521</v>
      </c>
      <c r="H130" s="1" t="s">
        <v>567</v>
      </c>
      <c r="I130" s="1" t="s">
        <v>564</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row>
    <row r="131" spans="1:42" ht="28.8" x14ac:dyDescent="0.55000000000000004">
      <c r="A131" t="s">
        <v>138</v>
      </c>
      <c r="B131" s="1" t="s">
        <v>568</v>
      </c>
      <c r="C131" t="s">
        <v>530</v>
      </c>
      <c r="D131" t="s">
        <v>189</v>
      </c>
      <c r="E131" t="s">
        <v>273</v>
      </c>
      <c r="F131" s="1" t="s">
        <v>569</v>
      </c>
      <c r="H131" s="1" t="s">
        <v>570</v>
      </c>
      <c r="I131" s="1" t="s">
        <v>416</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row>
    <row r="132" spans="1:42" ht="28.8" x14ac:dyDescent="0.55000000000000004">
      <c r="A132" t="s">
        <v>138</v>
      </c>
      <c r="B132" s="1" t="s">
        <v>571</v>
      </c>
      <c r="C132" t="s">
        <v>530</v>
      </c>
      <c r="D132" t="s">
        <v>189</v>
      </c>
      <c r="E132" t="s">
        <v>273</v>
      </c>
      <c r="F132" s="1" t="s">
        <v>572</v>
      </c>
      <c r="H132" s="1" t="s">
        <v>573</v>
      </c>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row>
    <row r="133" spans="1:42" ht="28.8" x14ac:dyDescent="0.55000000000000004">
      <c r="A133" t="s">
        <v>138</v>
      </c>
      <c r="B133" s="1" t="s">
        <v>574</v>
      </c>
      <c r="C133" t="s">
        <v>530</v>
      </c>
      <c r="D133" t="s">
        <v>189</v>
      </c>
      <c r="E133" t="s">
        <v>273</v>
      </c>
      <c r="F133" s="1" t="s">
        <v>575</v>
      </c>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row>
    <row r="134" spans="1:42" ht="28.8" x14ac:dyDescent="0.55000000000000004">
      <c r="A134" t="s">
        <v>138</v>
      </c>
      <c r="B134" s="1" t="s">
        <v>576</v>
      </c>
      <c r="C134" t="s">
        <v>577</v>
      </c>
      <c r="D134" t="s">
        <v>189</v>
      </c>
      <c r="E134" t="s">
        <v>273</v>
      </c>
      <c r="F134" s="1" t="s">
        <v>578</v>
      </c>
      <c r="H134" s="1" t="s">
        <v>309</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row>
    <row r="135" spans="1:42" ht="43.2" x14ac:dyDescent="0.55000000000000004">
      <c r="A135" t="s">
        <v>138</v>
      </c>
      <c r="B135" s="1" t="s">
        <v>579</v>
      </c>
      <c r="C135" t="s">
        <v>188</v>
      </c>
      <c r="D135" t="s">
        <v>189</v>
      </c>
      <c r="E135" t="s">
        <v>273</v>
      </c>
      <c r="F135" s="1" t="s">
        <v>580</v>
      </c>
      <c r="H135" s="1" t="s">
        <v>581</v>
      </c>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row>
    <row r="136" spans="1:42" ht="43.2" x14ac:dyDescent="0.55000000000000004">
      <c r="A136" t="s">
        <v>138</v>
      </c>
      <c r="B136" s="1" t="s">
        <v>582</v>
      </c>
      <c r="C136" t="s">
        <v>530</v>
      </c>
      <c r="D136" t="s">
        <v>189</v>
      </c>
      <c r="E136" t="s">
        <v>273</v>
      </c>
      <c r="F136" s="1" t="s">
        <v>583</v>
      </c>
      <c r="H136" s="1" t="s">
        <v>584</v>
      </c>
      <c r="I136" s="1" t="s">
        <v>416</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row>
    <row r="137" spans="1:42" ht="28.8" x14ac:dyDescent="0.55000000000000004">
      <c r="A137" t="s">
        <v>138</v>
      </c>
      <c r="B137" s="1" t="s">
        <v>585</v>
      </c>
      <c r="C137" t="s">
        <v>530</v>
      </c>
      <c r="D137" t="s">
        <v>189</v>
      </c>
      <c r="E137" t="s">
        <v>273</v>
      </c>
      <c r="F137" s="1" t="s">
        <v>586</v>
      </c>
      <c r="H137" s="1" t="s">
        <v>587</v>
      </c>
      <c r="J137" s="1" t="s">
        <v>538</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row>
    <row r="138" spans="1:42" ht="28.8" x14ac:dyDescent="0.55000000000000004">
      <c r="A138" t="s">
        <v>138</v>
      </c>
      <c r="B138" s="1" t="s">
        <v>588</v>
      </c>
      <c r="C138" t="s">
        <v>530</v>
      </c>
      <c r="D138" t="s">
        <v>189</v>
      </c>
      <c r="E138" t="s">
        <v>273</v>
      </c>
      <c r="F138" s="1" t="s">
        <v>589</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row>
    <row r="139" spans="1:42" ht="28.8" x14ac:dyDescent="0.55000000000000004">
      <c r="A139" t="s">
        <v>138</v>
      </c>
      <c r="B139" s="1" t="s">
        <v>590</v>
      </c>
      <c r="C139" t="s">
        <v>530</v>
      </c>
      <c r="D139" t="s">
        <v>189</v>
      </c>
      <c r="E139" t="s">
        <v>273</v>
      </c>
      <c r="F139" s="1" t="s">
        <v>591</v>
      </c>
      <c r="H139" s="1" t="s">
        <v>309</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row>
    <row r="140" spans="1:42" ht="43.2" x14ac:dyDescent="0.55000000000000004">
      <c r="A140" t="s">
        <v>138</v>
      </c>
      <c r="B140" s="1" t="s">
        <v>592</v>
      </c>
      <c r="C140" t="s">
        <v>188</v>
      </c>
      <c r="D140" t="s">
        <v>189</v>
      </c>
      <c r="E140" t="s">
        <v>273</v>
      </c>
      <c r="F140" s="1" t="s">
        <v>593</v>
      </c>
      <c r="H140" s="1" t="s">
        <v>594</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row>
    <row r="141" spans="1:42" ht="28.8" x14ac:dyDescent="0.55000000000000004">
      <c r="A141" t="s">
        <v>229</v>
      </c>
      <c r="B141" s="1" t="s">
        <v>595</v>
      </c>
      <c r="C141" t="s">
        <v>188</v>
      </c>
      <c r="D141" t="s">
        <v>189</v>
      </c>
      <c r="E141" t="s">
        <v>273</v>
      </c>
      <c r="F141" s="1" t="s">
        <v>596</v>
      </c>
      <c r="H141" s="1" t="s">
        <v>309</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row>
    <row r="142" spans="1:42" ht="43.2" x14ac:dyDescent="0.55000000000000004">
      <c r="A142" t="s">
        <v>229</v>
      </c>
      <c r="B142" s="1" t="s">
        <v>597</v>
      </c>
      <c r="C142" t="s">
        <v>150</v>
      </c>
      <c r="D142" t="s">
        <v>175</v>
      </c>
      <c r="E142" t="s">
        <v>146</v>
      </c>
      <c r="F142" s="1" t="s">
        <v>598</v>
      </c>
      <c r="G142" s="1" t="s">
        <v>153</v>
      </c>
      <c r="H142" s="1" t="s">
        <v>599</v>
      </c>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row>
    <row r="143" spans="1:42" x14ac:dyDescent="0.55000000000000004">
      <c r="A143" t="s">
        <v>402</v>
      </c>
      <c r="B143" s="1" t="s">
        <v>600</v>
      </c>
      <c r="C143" t="s">
        <v>150</v>
      </c>
      <c r="D143" t="s">
        <v>231</v>
      </c>
      <c r="E143" t="s">
        <v>281</v>
      </c>
      <c r="F143" s="1">
        <v>1999</v>
      </c>
      <c r="H143" s="1" t="s">
        <v>601</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row>
    <row r="144" spans="1:42" ht="43.2" x14ac:dyDescent="0.55000000000000004">
      <c r="A144" t="s">
        <v>138</v>
      </c>
      <c r="B144" s="1" t="s">
        <v>602</v>
      </c>
      <c r="C144" t="s">
        <v>188</v>
      </c>
      <c r="D144" t="s">
        <v>189</v>
      </c>
      <c r="E144" t="s">
        <v>273</v>
      </c>
      <c r="F144" s="1" t="s">
        <v>603</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row>
    <row r="145" spans="1:42" ht="43.2" x14ac:dyDescent="0.55000000000000004">
      <c r="A145" t="s">
        <v>138</v>
      </c>
      <c r="B145" s="1" t="s">
        <v>604</v>
      </c>
      <c r="C145" t="s">
        <v>316</v>
      </c>
      <c r="D145" t="s">
        <v>292</v>
      </c>
      <c r="E145" t="s">
        <v>313</v>
      </c>
      <c r="F145" s="1" t="s">
        <v>605</v>
      </c>
      <c r="H145" s="1" t="s">
        <v>606</v>
      </c>
      <c r="I145" s="1" t="s">
        <v>607</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row>
    <row r="146" spans="1:42" ht="42.6" customHeight="1" x14ac:dyDescent="0.55000000000000004">
      <c r="A146" t="s">
        <v>138</v>
      </c>
      <c r="B146" s="1" t="s">
        <v>608</v>
      </c>
      <c r="C146" t="s">
        <v>150</v>
      </c>
      <c r="D146" t="s">
        <v>175</v>
      </c>
      <c r="E146" t="s">
        <v>609</v>
      </c>
      <c r="G146" s="1" t="s">
        <v>610</v>
      </c>
      <c r="H146" s="1" t="s">
        <v>611</v>
      </c>
      <c r="I146" s="1" t="s">
        <v>612</v>
      </c>
      <c r="J146" s="1" t="s">
        <v>613</v>
      </c>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row>
    <row r="147" spans="1:42" ht="45.6" customHeight="1" x14ac:dyDescent="0.55000000000000004">
      <c r="A147" t="s">
        <v>412</v>
      </c>
      <c r="B147" s="1" t="s">
        <v>614</v>
      </c>
      <c r="C147" t="s">
        <v>140</v>
      </c>
      <c r="D147" t="s">
        <v>141</v>
      </c>
      <c r="E147" t="s">
        <v>313</v>
      </c>
      <c r="F147" s="1" t="s">
        <v>615</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row>
    <row r="148" spans="1:42" ht="37.15" customHeight="1" x14ac:dyDescent="0.55000000000000004">
      <c r="A148" t="s">
        <v>138</v>
      </c>
      <c r="B148" s="1" t="s">
        <v>616</v>
      </c>
      <c r="C148" t="s">
        <v>140</v>
      </c>
      <c r="D148" t="s">
        <v>170</v>
      </c>
      <c r="E148" t="s">
        <v>313</v>
      </c>
      <c r="F148" s="1" t="s">
        <v>617</v>
      </c>
      <c r="H148" s="1" t="s">
        <v>618</v>
      </c>
      <c r="J148" s="1" t="s">
        <v>619</v>
      </c>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row>
    <row r="149" spans="1:42" ht="31.9" customHeight="1" x14ac:dyDescent="0.55000000000000004">
      <c r="A149" t="s">
        <v>412</v>
      </c>
      <c r="B149" s="1" t="s">
        <v>615</v>
      </c>
      <c r="C149" t="s">
        <v>160</v>
      </c>
      <c r="D149" t="s">
        <v>487</v>
      </c>
      <c r="E149" t="s">
        <v>313</v>
      </c>
      <c r="F149" s="1" t="s">
        <v>620</v>
      </c>
      <c r="I149" s="1" t="s">
        <v>621</v>
      </c>
      <c r="K149" s="10">
        <f>'[1]RAND Adjusted Estimates'!B$7</f>
        <v>108892.17254204156</v>
      </c>
      <c r="L149" s="10">
        <f>'[1]RAND Adjusted Estimates'!C$7</f>
        <v>119362.5737480071</v>
      </c>
      <c r="M149" s="10">
        <f>'[1]RAND Adjusted Estimates'!D$7</f>
        <v>161244.17857186924</v>
      </c>
      <c r="N149" s="10">
        <f>'[1]RAND Adjusted Estimates'!E$7</f>
        <v>122503.69410979676</v>
      </c>
      <c r="O149" s="10">
        <f>'[1]RAND Adjusted Estimates'!F$7</f>
        <v>96327.691094882932</v>
      </c>
      <c r="P149" s="10">
        <f>'[1]RAND Adjusted Estimates'!G$7</f>
        <v>135255.54063116742</v>
      </c>
      <c r="Q149" s="10">
        <f>'[1]RAND Adjusted Estimates'!H$7</f>
        <v>123793.20667937357</v>
      </c>
      <c r="R149" s="10">
        <f>'[1]RAND Adjusted Estimates'!I$7</f>
        <v>68573.496411314802</v>
      </c>
      <c r="S149" s="10">
        <f>'[1]RAND Adjusted Estimates'!J$7</f>
        <v>80764.340217770761</v>
      </c>
      <c r="T149" s="10">
        <f>'[1]RAND Adjusted Estimates'!K$7</f>
        <v>96239.939160966256</v>
      </c>
      <c r="U149" s="10">
        <f>'[1]RAND Adjusted Estimates'!L$7</f>
        <v>155145.41916466111</v>
      </c>
      <c r="V149" s="10">
        <f>'[1]RAND Adjusted Estimates'!M$7</f>
        <v>92721.588894704881</v>
      </c>
      <c r="W149" s="10">
        <f>'[1]RAND Adjusted Estimates'!N$7</f>
        <v>116228.47058632018</v>
      </c>
      <c r="X149" s="10">
        <f>'[1]RAND Adjusted Estimates'!O$7</f>
        <v>74439.872552841727</v>
      </c>
      <c r="Y149" s="10">
        <f>'[1]RAND Adjusted Estimates'!P$7</f>
        <v>80643.195265578557</v>
      </c>
      <c r="Z149" s="10">
        <f>'[1]RAND Adjusted Estimates'!Q$7</f>
        <v>163787.19106802953</v>
      </c>
      <c r="AA149" s="10">
        <f>'[1]RAND Adjusted Estimates'!R$7</f>
        <v>104298.44714237729</v>
      </c>
      <c r="AB149" s="10">
        <f>'[1]RAND Adjusted Estimates'!S$7</f>
        <v>131338.78529040102</v>
      </c>
      <c r="AC149" s="10">
        <f>'[1]RAND Adjusted Estimates'!T$7</f>
        <v>49172.214499820861</v>
      </c>
      <c r="AD149" s="10">
        <f>'[1]RAND Adjusted Estimates'!U$7</f>
        <v>103493.31692861259</v>
      </c>
      <c r="AE149" s="10">
        <f>'[1]RAND Adjusted Estimates'!V$7</f>
        <v>66397.666184171685</v>
      </c>
      <c r="AF149" s="1"/>
      <c r="AG149" s="1"/>
      <c r="AH149" s="1"/>
      <c r="AI149" s="1"/>
      <c r="AJ149" s="1"/>
      <c r="AK149" s="1"/>
      <c r="AL149" s="1"/>
      <c r="AM149" s="1"/>
      <c r="AN149" s="1"/>
      <c r="AO149" s="1"/>
      <c r="AP149" s="1"/>
    </row>
    <row r="150" spans="1:42" ht="34.9" customHeight="1" x14ac:dyDescent="0.55000000000000004">
      <c r="A150" t="s">
        <v>138</v>
      </c>
      <c r="B150" s="1" t="s">
        <v>622</v>
      </c>
      <c r="C150" t="s">
        <v>316</v>
      </c>
      <c r="D150" t="s">
        <v>292</v>
      </c>
      <c r="E150" t="s">
        <v>623</v>
      </c>
      <c r="F150" s="1" t="s">
        <v>624</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row>
    <row r="151" spans="1:42" ht="40.15" customHeight="1" x14ac:dyDescent="0.55000000000000004">
      <c r="A151" t="s">
        <v>412</v>
      </c>
      <c r="B151" s="1" t="s">
        <v>625</v>
      </c>
      <c r="C151" t="s">
        <v>140</v>
      </c>
      <c r="D151" t="s">
        <v>141</v>
      </c>
      <c r="E151" t="s">
        <v>313</v>
      </c>
      <c r="F151" s="1" t="s">
        <v>626</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row>
    <row r="152" spans="1:42" ht="39" customHeight="1" x14ac:dyDescent="0.55000000000000004">
      <c r="A152" t="s">
        <v>412</v>
      </c>
      <c r="B152" s="1" t="s">
        <v>626</v>
      </c>
      <c r="C152" t="s">
        <v>160</v>
      </c>
      <c r="D152" t="s">
        <v>487</v>
      </c>
      <c r="E152" t="s">
        <v>313</v>
      </c>
      <c r="F152" s="1" t="s">
        <v>627</v>
      </c>
      <c r="H152" s="1" t="s">
        <v>628</v>
      </c>
      <c r="I152" s="1" t="s">
        <v>621</v>
      </c>
      <c r="K152" s="6">
        <f>'[1]RAND Adjusted Estimates'!B$6</f>
        <v>124448.19719090464</v>
      </c>
      <c r="L152" s="6">
        <f>'[1]RAND Adjusted Estimates'!C$6</f>
        <v>136414.36999772242</v>
      </c>
      <c r="M152" s="6">
        <f>'[1]RAND Adjusted Estimates'!D$6</f>
        <v>184279.06122499343</v>
      </c>
      <c r="N152" s="6">
        <f>'[1]RAND Adjusted Estimates'!E$6</f>
        <v>140004.22183976774</v>
      </c>
      <c r="O152" s="6">
        <f>'[1]RAND Adjusted Estimates'!F$6</f>
        <v>110088.78982272335</v>
      </c>
      <c r="P152" s="6">
        <f>'[1]RAND Adjusted Estimates'!G$6</f>
        <v>135255.54063116742</v>
      </c>
      <c r="Q152" s="6">
        <f>'[1]RAND Adjusted Estimates'!H$6</f>
        <v>123793.20667937357</v>
      </c>
      <c r="R152" s="6">
        <f>'[1]RAND Adjusted Estimates'!I$6</f>
        <v>117146.3897026628</v>
      </c>
      <c r="S152" s="6">
        <f>'[1]RAND Adjusted Estimates'!J$6</f>
        <v>137972.41453869175</v>
      </c>
      <c r="T152" s="6">
        <f>'[1]RAND Adjusted Estimates'!K$6</f>
        <v>156389.90113657017</v>
      </c>
      <c r="U152" s="6">
        <f>'[1]RAND Adjusted Estimates'!L$6</f>
        <v>252111.30614257435</v>
      </c>
      <c r="V152" s="6">
        <f>'[1]RAND Adjusted Estimates'!M$6</f>
        <v>158172.12223214359</v>
      </c>
      <c r="W152" s="6">
        <f>'[1]RAND Adjusted Estimates'!N$6</f>
        <v>198272.0968825462</v>
      </c>
      <c r="X152" s="6">
        <f>'[1]RAND Adjusted Estimates'!O$6</f>
        <v>178655.69412682016</v>
      </c>
      <c r="Y152" s="6">
        <f>'[1]RAND Adjusted Estimates'!P$6</f>
        <v>193543.6686373885</v>
      </c>
      <c r="Z152" s="6">
        <f>'[1]RAND Adjusted Estimates'!Q$6</f>
        <v>243467.4461822061</v>
      </c>
      <c r="AA152" s="6">
        <f>'[1]RAND Adjusted Estimates'!R$6</f>
        <v>155038.23223866898</v>
      </c>
      <c r="AB152" s="6">
        <f>'[1]RAND Adjusted Estimates'!S$6</f>
        <v>195233.32948573129</v>
      </c>
      <c r="AC152" s="6">
        <f>'[1]RAND Adjusted Estimates'!T$6</f>
        <v>114735.16716624868</v>
      </c>
      <c r="AD152" s="6">
        <f>'[1]RAND Adjusted Estimates'!U$6</f>
        <v>124905.72732763592</v>
      </c>
      <c r="AE152" s="6">
        <f>'[1]RAND Adjusted Estimates'!V$6</f>
        <v>32250.295003740532</v>
      </c>
      <c r="AF152" s="1"/>
      <c r="AG152" s="1"/>
      <c r="AH152" s="1"/>
      <c r="AI152" s="1"/>
      <c r="AJ152" s="1"/>
      <c r="AK152" s="1"/>
      <c r="AL152" s="1"/>
      <c r="AM152" s="1"/>
      <c r="AN152" s="1"/>
      <c r="AO152" s="1"/>
      <c r="AP152" s="1"/>
    </row>
    <row r="153" spans="1:42" ht="48.6" customHeight="1" x14ac:dyDescent="0.55000000000000004">
      <c r="A153" t="s">
        <v>138</v>
      </c>
      <c r="B153" s="1" t="s">
        <v>629</v>
      </c>
      <c r="C153" t="s">
        <v>316</v>
      </c>
      <c r="D153" t="s">
        <v>292</v>
      </c>
      <c r="E153" t="s">
        <v>313</v>
      </c>
      <c r="F153" s="1" t="s">
        <v>630</v>
      </c>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row>
    <row r="154" spans="1:42" ht="43.9" customHeight="1" x14ac:dyDescent="0.55000000000000004">
      <c r="A154" t="s">
        <v>412</v>
      </c>
      <c r="B154" s="1" t="s">
        <v>631</v>
      </c>
      <c r="C154" t="s">
        <v>140</v>
      </c>
      <c r="D154" t="s">
        <v>632</v>
      </c>
      <c r="E154" t="s">
        <v>623</v>
      </c>
      <c r="F154" s="1" t="s">
        <v>633</v>
      </c>
      <c r="I154" s="1" t="s">
        <v>621</v>
      </c>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row>
    <row r="155" spans="1:42" ht="48.6" customHeight="1" x14ac:dyDescent="0.55000000000000004">
      <c r="A155" t="s">
        <v>412</v>
      </c>
      <c r="B155" s="1" t="s">
        <v>633</v>
      </c>
      <c r="C155" t="s">
        <v>160</v>
      </c>
      <c r="D155" t="s">
        <v>487</v>
      </c>
      <c r="E155" t="s">
        <v>313</v>
      </c>
      <c r="F155" s="1" t="s">
        <v>634</v>
      </c>
      <c r="H155" s="1" t="s">
        <v>635</v>
      </c>
      <c r="I155" s="1" t="s">
        <v>621</v>
      </c>
      <c r="J155" s="1" t="s">
        <v>636</v>
      </c>
      <c r="K155" s="10">
        <f>'[1]RAND Adjusted Estimates'!B$5</f>
        <v>90224.942963405862</v>
      </c>
      <c r="L155" s="10">
        <f>'[1]RAND Adjusted Estimates'!C$5</f>
        <v>98900.418248348738</v>
      </c>
      <c r="M155" s="10">
        <f>'[1]RAND Adjusted Estimates'!D$5</f>
        <v>133602.31938812023</v>
      </c>
      <c r="N155" s="10">
        <f>'[1]RAND Adjusted Estimates'!E$5</f>
        <v>101503.06083383159</v>
      </c>
      <c r="O155" s="10">
        <f>'[1]RAND Adjusted Estimates'!F$5</f>
        <v>79814.372621474424</v>
      </c>
      <c r="P155" s="10">
        <f>'[1]RAND Adjusted Estimates'!G$5</f>
        <v>96611.100450833866</v>
      </c>
      <c r="Q155" s="10">
        <f>'[1]RAND Adjusted Estimates'!H$5</f>
        <v>88423.719056695409</v>
      </c>
      <c r="R155" s="10">
        <f>'[1]RAND Adjusted Estimates'!I$5</f>
        <v>94288.557565557843</v>
      </c>
      <c r="S155" s="10">
        <f>'[1]RAND Adjusted Estimates'!J$5</f>
        <v>111050.9677994348</v>
      </c>
      <c r="T155" s="10">
        <f>'[1]RAND Adjusted Estimates'!K$5</f>
        <v>108269.93155608705</v>
      </c>
      <c r="U155" s="10">
        <f>'[1]RAND Adjusted Estimates'!L$5</f>
        <v>174538.59656024375</v>
      </c>
      <c r="V155" s="10">
        <f>'[1]RAND Adjusted Estimates'!M$5</f>
        <v>190897.38890086298</v>
      </c>
      <c r="W155" s="10">
        <f>'[1]RAND Adjusted Estimates'!N$5</f>
        <v>239293.91003065923</v>
      </c>
      <c r="X155" s="10">
        <f>'[1]RAND Adjusted Estimates'!O$5</f>
        <v>232252.40236486623</v>
      </c>
      <c r="Y155" s="10">
        <f>'[1]RAND Adjusted Estimates'!P$5</f>
        <v>251606.76922860506</v>
      </c>
      <c r="Z155" s="10">
        <f>'[1]RAND Adjusted Estimates'!Q$5</f>
        <v>252320.80786155901</v>
      </c>
      <c r="AA155" s="10">
        <f>'[1]RAND Adjusted Estimates'!R$5</f>
        <v>160675.98613825691</v>
      </c>
      <c r="AB155" s="10">
        <f>'[1]RAND Adjusted Estimates'!S$5</f>
        <v>202332.72328521241</v>
      </c>
      <c r="AC155" s="10">
        <f>'[1]RAND Adjusted Estimates'!T$5</f>
        <v>88100.217645512384</v>
      </c>
      <c r="AD155" s="10">
        <f>'[1]RAND Adjusted Estimates'!U$5</f>
        <v>135611.93252714758</v>
      </c>
      <c r="AE155" s="10">
        <f>'[1]RAND Adjusted Estimates'!V$5</f>
        <v>56912.285300718584</v>
      </c>
      <c r="AF155" s="1"/>
      <c r="AG155" s="1"/>
      <c r="AH155" s="1"/>
      <c r="AI155" s="1"/>
      <c r="AJ155" s="1"/>
      <c r="AK155" s="1"/>
      <c r="AL155" s="1"/>
      <c r="AM155" s="1"/>
      <c r="AN155" s="1"/>
      <c r="AO155" s="1"/>
      <c r="AP155" s="1"/>
    </row>
    <row r="156" spans="1:42" ht="42.6" customHeight="1" x14ac:dyDescent="0.55000000000000004">
      <c r="A156" t="s">
        <v>138</v>
      </c>
      <c r="B156" s="1" t="s">
        <v>637</v>
      </c>
      <c r="C156" t="s">
        <v>316</v>
      </c>
      <c r="D156" t="s">
        <v>292</v>
      </c>
      <c r="E156" t="s">
        <v>313</v>
      </c>
      <c r="F156" s="1" t="s">
        <v>638</v>
      </c>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row>
    <row r="157" spans="1:42" ht="43.2" x14ac:dyDescent="0.55000000000000004">
      <c r="A157" t="s">
        <v>138</v>
      </c>
      <c r="B157" s="1" t="s">
        <v>639</v>
      </c>
      <c r="C157" t="s">
        <v>150</v>
      </c>
      <c r="D157" t="s">
        <v>175</v>
      </c>
      <c r="E157" t="s">
        <v>609</v>
      </c>
      <c r="F157" s="2"/>
      <c r="G157" s="1" t="s">
        <v>610</v>
      </c>
      <c r="H157" s="1" t="s">
        <v>640</v>
      </c>
      <c r="I157" s="1" t="s">
        <v>612</v>
      </c>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row>
    <row r="158" spans="1:42" ht="57.6" x14ac:dyDescent="0.55000000000000004">
      <c r="A158" t="s">
        <v>138</v>
      </c>
      <c r="B158" s="1" t="s">
        <v>641</v>
      </c>
      <c r="C158" t="s">
        <v>140</v>
      </c>
      <c r="D158" t="s">
        <v>170</v>
      </c>
      <c r="E158" t="s">
        <v>313</v>
      </c>
      <c r="F158" s="1" t="s">
        <v>642</v>
      </c>
      <c r="H158" s="1" t="s">
        <v>643</v>
      </c>
      <c r="J158" s="1" t="s">
        <v>619</v>
      </c>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row>
    <row r="159" spans="1:42" ht="43.2" x14ac:dyDescent="0.55000000000000004">
      <c r="A159" t="s">
        <v>412</v>
      </c>
      <c r="B159" s="1" t="s">
        <v>644</v>
      </c>
      <c r="C159" t="s">
        <v>160</v>
      </c>
      <c r="D159" t="s">
        <v>487</v>
      </c>
      <c r="E159" t="s">
        <v>623</v>
      </c>
      <c r="F159" s="1" t="s">
        <v>645</v>
      </c>
      <c r="H159" s="1" t="s">
        <v>646</v>
      </c>
      <c r="I159" s="1" t="s">
        <v>647</v>
      </c>
      <c r="J159" s="1" t="s">
        <v>648</v>
      </c>
      <c r="K159" s="10">
        <f>'[1]Initiation Data'!B$3</f>
        <v>1622960.8532816693</v>
      </c>
      <c r="L159" s="10">
        <f>'[1]Initiation Data'!C$3</f>
        <v>2092005.0370573141</v>
      </c>
      <c r="M159" s="10">
        <f>'[1]Initiation Data'!D$3</f>
        <v>2034649.0906717053</v>
      </c>
      <c r="N159" s="10">
        <f>'[1]Initiation Data'!E$3</f>
        <v>1971345.1202164779</v>
      </c>
      <c r="O159" s="10">
        <f>'[1]Initiation Data'!F$3</f>
        <v>2086906.7307119267</v>
      </c>
      <c r="P159" s="10">
        <f>'[1]Initiation Data'!G$3</f>
        <v>2058016.3280880644</v>
      </c>
      <c r="Q159" s="10">
        <f>'[1]Initiation Data'!H$3</f>
        <v>1863430.9692391104</v>
      </c>
      <c r="R159" s="10">
        <f>'[1]Initiation Data'!I$3</f>
        <v>1831141.6957183233</v>
      </c>
      <c r="S159" s="10">
        <f>'[1]Initiation Data'!J$3</f>
        <v>1834540.5666152481</v>
      </c>
      <c r="T159" s="10">
        <f>'[1]Initiation Data'!K$3</f>
        <v>1860032.0983421854</v>
      </c>
      <c r="U159" s="10">
        <f>'[1]Initiation Data'!L$3</f>
        <v>1863430.9692391104</v>
      </c>
      <c r="V159" s="10">
        <f>'[1]Initiation Data'!M$3</f>
        <v>1710481.7788774869</v>
      </c>
      <c r="W159" s="10">
        <f>'[1]Initiation Data'!N$3</f>
        <v>1604267.063348582</v>
      </c>
      <c r="X159" s="10">
        <f>'[1]Initiation Data'!O$3</f>
        <v>1597469.321554732</v>
      </c>
      <c r="Y159" s="10">
        <f>'[1]Initiation Data'!P$3</f>
        <v>1307715.5775918791</v>
      </c>
      <c r="Z159" s="10">
        <f>'[1]Initiation Data'!Q$3</f>
        <v>1210847.7570295176</v>
      </c>
      <c r="AA159" s="10">
        <f>'[1]Initiation Data'!R$3</f>
        <v>1163513.1208599422</v>
      </c>
      <c r="AB159" s="10">
        <f>'[1]Initiation Data'!S$3</f>
        <v>1170627.7354277594</v>
      </c>
      <c r="AC159" s="10">
        <f>'[1]Initiation Data'!T$3</f>
        <v>1100028.8677932662</v>
      </c>
      <c r="AD159" s="10">
        <f>'[1]Initiation Data'!U$3</f>
        <v>1044206.5073380854</v>
      </c>
      <c r="AE159" s="10">
        <f>'[1]Initiation Data'!V$3</f>
        <v>879475.81619093462</v>
      </c>
      <c r="AF159" s="1"/>
      <c r="AG159" s="1"/>
      <c r="AH159" s="1"/>
      <c r="AI159" s="1"/>
      <c r="AJ159" s="1"/>
      <c r="AK159" s="1"/>
      <c r="AL159" s="1"/>
      <c r="AM159" s="1"/>
      <c r="AN159" s="1"/>
      <c r="AO159" s="1"/>
      <c r="AP159" s="1"/>
    </row>
    <row r="160" spans="1:42" ht="28.8" x14ac:dyDescent="0.55000000000000004">
      <c r="A160" t="s">
        <v>138</v>
      </c>
      <c r="B160" s="1" t="s">
        <v>649</v>
      </c>
      <c r="C160" t="s">
        <v>316</v>
      </c>
      <c r="D160" t="s">
        <v>292</v>
      </c>
      <c r="E160" t="s">
        <v>313</v>
      </c>
      <c r="F160" s="1" t="s">
        <v>650</v>
      </c>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row>
    <row r="161" spans="1:42" ht="28.8" x14ac:dyDescent="0.55000000000000004">
      <c r="A161" t="s">
        <v>412</v>
      </c>
      <c r="B161" s="1" t="s">
        <v>651</v>
      </c>
      <c r="C161" t="s">
        <v>160</v>
      </c>
      <c r="D161" t="s">
        <v>487</v>
      </c>
      <c r="E161" t="s">
        <v>313</v>
      </c>
      <c r="F161" s="1" t="s">
        <v>652</v>
      </c>
      <c r="K161" s="14">
        <f>'[1]Initiation Data'!B4</f>
        <v>287039.14671833068</v>
      </c>
      <c r="L161" s="14">
        <f>'[1]Initiation Data'!C4</f>
        <v>369994.96294268593</v>
      </c>
      <c r="M161" s="14">
        <f>'[1]Initiation Data'!D4</f>
        <v>359850.90932829469</v>
      </c>
      <c r="N161" s="14">
        <f>'[1]Initiation Data'!E4</f>
        <v>348654.8797835221</v>
      </c>
      <c r="O161" s="14">
        <f>'[1]Initiation Data'!F4</f>
        <v>369093.26928807341</v>
      </c>
      <c r="P161" s="14">
        <f>'[1]Initiation Data'!G4</f>
        <v>363983.67191193555</v>
      </c>
      <c r="Q161" s="14">
        <f>'[1]Initiation Data'!H4</f>
        <v>329569.03076088964</v>
      </c>
      <c r="R161" s="14">
        <f>'[1]Initiation Data'!I4</f>
        <v>323858.30428167677</v>
      </c>
      <c r="S161" s="14">
        <f>'[1]Initiation Data'!J4</f>
        <v>324459.43338475178</v>
      </c>
      <c r="T161" s="14">
        <f>'[1]Initiation Data'!K4</f>
        <v>328967.90165781457</v>
      </c>
      <c r="U161" s="14">
        <f>'[1]Initiation Data'!L4</f>
        <v>329569.03076088964</v>
      </c>
      <c r="V161" s="14">
        <f>'[1]Initiation Data'!M4</f>
        <v>302518.22112251294</v>
      </c>
      <c r="W161" s="14">
        <f>'[1]Initiation Data'!N4</f>
        <v>283732.93665141799</v>
      </c>
      <c r="X161" s="14">
        <f>'[1]Initiation Data'!O4</f>
        <v>282530.6784452679</v>
      </c>
      <c r="Y161" s="14">
        <f>'[1]Initiation Data'!P4</f>
        <v>231284.42240812091</v>
      </c>
      <c r="Z161" s="14">
        <f>'[1]Initiation Data'!Q4</f>
        <v>214152.24297048233</v>
      </c>
      <c r="AA161" s="14">
        <f>'[1]Initiation Data'!R4</f>
        <v>962486.87914005783</v>
      </c>
      <c r="AB161" s="14">
        <f>'[1]Initiation Data'!S4</f>
        <v>968372.26457224065</v>
      </c>
      <c r="AC161" s="14">
        <f>'[1]Initiation Data'!T4</f>
        <v>909971.13220673392</v>
      </c>
      <c r="AD161" s="14">
        <f>'[1]Initiation Data'!U4</f>
        <v>863793.49266191456</v>
      </c>
      <c r="AE161" s="14">
        <f>'[1]Initiation Data'!V4</f>
        <v>727524.18380906538</v>
      </c>
      <c r="AF161" s="1"/>
      <c r="AG161" s="1"/>
      <c r="AH161" s="1"/>
      <c r="AI161" s="1"/>
      <c r="AJ161" s="1"/>
      <c r="AK161" s="1"/>
      <c r="AL161" s="1"/>
      <c r="AM161" s="1"/>
      <c r="AN161" s="1"/>
      <c r="AO161" s="1"/>
      <c r="AP161" s="1"/>
    </row>
    <row r="162" spans="1:42" ht="57.6" x14ac:dyDescent="0.55000000000000004">
      <c r="A162" t="s">
        <v>412</v>
      </c>
      <c r="B162" s="1" t="s">
        <v>653</v>
      </c>
      <c r="C162" t="s">
        <v>140</v>
      </c>
      <c r="D162" t="s">
        <v>141</v>
      </c>
      <c r="E162" t="s">
        <v>623</v>
      </c>
      <c r="F162" s="1" t="s">
        <v>654</v>
      </c>
      <c r="H162" s="1" t="s">
        <v>655</v>
      </c>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row>
    <row r="163" spans="1:42" ht="230.4" x14ac:dyDescent="0.55000000000000004">
      <c r="A163" t="s">
        <v>138</v>
      </c>
      <c r="B163" s="1" t="s">
        <v>656</v>
      </c>
      <c r="C163" t="s">
        <v>150</v>
      </c>
      <c r="D163" t="s">
        <v>175</v>
      </c>
      <c r="E163" t="s">
        <v>341</v>
      </c>
      <c r="G163" s="1" t="s">
        <v>226</v>
      </c>
      <c r="H163" s="1" t="s">
        <v>657</v>
      </c>
      <c r="I163" s="1" t="s">
        <v>658</v>
      </c>
      <c r="J163" s="1" t="s">
        <v>659</v>
      </c>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row>
    <row r="164" spans="1:42" ht="43.2" x14ac:dyDescent="0.55000000000000004">
      <c r="A164" t="s">
        <v>138</v>
      </c>
      <c r="B164" s="1" t="s">
        <v>660</v>
      </c>
      <c r="C164" t="s">
        <v>140</v>
      </c>
      <c r="D164" t="s">
        <v>141</v>
      </c>
      <c r="E164" t="s">
        <v>142</v>
      </c>
      <c r="F164" s="1" t="s">
        <v>661</v>
      </c>
      <c r="H164" s="1" t="s">
        <v>662</v>
      </c>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row>
    <row r="165" spans="1:42" ht="57.6" x14ac:dyDescent="0.55000000000000004">
      <c r="A165" t="s">
        <v>138</v>
      </c>
      <c r="B165" s="1" t="s">
        <v>663</v>
      </c>
      <c r="C165" t="s">
        <v>140</v>
      </c>
      <c r="D165" t="s">
        <v>170</v>
      </c>
      <c r="E165" t="s">
        <v>664</v>
      </c>
      <c r="F165" s="1" t="s">
        <v>665</v>
      </c>
      <c r="H165" s="1" t="s">
        <v>666</v>
      </c>
      <c r="J165" s="1" t="s">
        <v>619</v>
      </c>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row>
    <row r="166" spans="1:42" ht="201.6" x14ac:dyDescent="0.55000000000000004">
      <c r="A166" t="s">
        <v>138</v>
      </c>
      <c r="B166" s="1" t="s">
        <v>667</v>
      </c>
      <c r="C166" t="s">
        <v>188</v>
      </c>
      <c r="D166" t="s">
        <v>175</v>
      </c>
      <c r="E166" t="s">
        <v>341</v>
      </c>
      <c r="F166" s="1" t="s">
        <v>668</v>
      </c>
      <c r="H166" s="1" t="s">
        <v>669</v>
      </c>
      <c r="I166" s="1" t="s">
        <v>670</v>
      </c>
      <c r="J166" s="1" t="s">
        <v>671</v>
      </c>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row>
    <row r="167" spans="1:42" ht="57.6" x14ac:dyDescent="0.55000000000000004">
      <c r="A167" t="s">
        <v>138</v>
      </c>
      <c r="B167" s="1" t="s">
        <v>672</v>
      </c>
      <c r="C167" t="s">
        <v>140</v>
      </c>
      <c r="D167" t="s">
        <v>141</v>
      </c>
      <c r="E167" t="s">
        <v>142</v>
      </c>
      <c r="F167" s="1" t="s">
        <v>673</v>
      </c>
      <c r="H167" s="1" t="s">
        <v>674</v>
      </c>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row>
    <row r="168" spans="1:42" ht="201.6" x14ac:dyDescent="0.55000000000000004">
      <c r="A168" t="s">
        <v>138</v>
      </c>
      <c r="B168" s="1" t="s">
        <v>675</v>
      </c>
      <c r="C168" t="s">
        <v>150</v>
      </c>
      <c r="D168" t="s">
        <v>175</v>
      </c>
      <c r="E168" t="s">
        <v>152</v>
      </c>
      <c r="G168" s="1" t="s">
        <v>226</v>
      </c>
      <c r="H168" s="1" t="s">
        <v>676</v>
      </c>
      <c r="I168" s="1" t="s">
        <v>670</v>
      </c>
      <c r="J168" s="1" t="s">
        <v>671</v>
      </c>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row>
    <row r="169" spans="1:42" ht="57.6" x14ac:dyDescent="0.55000000000000004">
      <c r="A169" t="s">
        <v>138</v>
      </c>
      <c r="B169" s="1" t="s">
        <v>677</v>
      </c>
      <c r="C169" t="s">
        <v>150</v>
      </c>
      <c r="D169" t="s">
        <v>175</v>
      </c>
      <c r="E169" t="s">
        <v>341</v>
      </c>
      <c r="G169" s="1" t="s">
        <v>226</v>
      </c>
      <c r="H169" s="1" t="s">
        <v>678</v>
      </c>
      <c r="I169" s="1" t="s">
        <v>679</v>
      </c>
      <c r="J169" s="1" t="s">
        <v>680</v>
      </c>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row>
    <row r="170" spans="1:42" ht="28.8" x14ac:dyDescent="0.55000000000000004">
      <c r="A170" t="s">
        <v>138</v>
      </c>
      <c r="B170" s="1" t="s">
        <v>681</v>
      </c>
      <c r="C170" t="s">
        <v>140</v>
      </c>
      <c r="D170" t="s">
        <v>141</v>
      </c>
      <c r="E170" t="s">
        <v>142</v>
      </c>
      <c r="F170" s="1" t="s">
        <v>682</v>
      </c>
      <c r="H170" s="1" t="s">
        <v>683</v>
      </c>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row>
    <row r="171" spans="1:42" ht="57.6" x14ac:dyDescent="0.55000000000000004">
      <c r="A171" t="s">
        <v>138</v>
      </c>
      <c r="B171" s="1" t="s">
        <v>684</v>
      </c>
      <c r="C171" t="s">
        <v>140</v>
      </c>
      <c r="D171" t="s">
        <v>170</v>
      </c>
      <c r="E171" t="s">
        <v>142</v>
      </c>
      <c r="F171" s="1" t="s">
        <v>685</v>
      </c>
      <c r="J171" s="1" t="s">
        <v>619</v>
      </c>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row>
    <row r="172" spans="1:42" x14ac:dyDescent="0.55000000000000004">
      <c r="A172" t="s">
        <v>229</v>
      </c>
      <c r="B172" s="1" t="s">
        <v>686</v>
      </c>
      <c r="C172" t="s">
        <v>150</v>
      </c>
      <c r="D172" t="s">
        <v>231</v>
      </c>
      <c r="F172" s="1" t="s">
        <v>687</v>
      </c>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row>
    <row r="173" spans="1:42" ht="187.2" x14ac:dyDescent="0.55000000000000004">
      <c r="A173" t="s">
        <v>688</v>
      </c>
      <c r="B173" s="1" t="s">
        <v>689</v>
      </c>
      <c r="C173" t="s">
        <v>140</v>
      </c>
      <c r="D173" t="s">
        <v>231</v>
      </c>
      <c r="F173" s="1" t="s">
        <v>690</v>
      </c>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row>
    <row r="174" spans="1:42" x14ac:dyDescent="0.55000000000000004">
      <c r="A174" t="s">
        <v>229</v>
      </c>
      <c r="B174" s="1" t="s">
        <v>691</v>
      </c>
      <c r="C174" t="s">
        <v>150</v>
      </c>
      <c r="D174" t="s">
        <v>231</v>
      </c>
      <c r="E174" t="s">
        <v>281</v>
      </c>
      <c r="F174" s="1">
        <v>2019</v>
      </c>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row>
    <row r="175" spans="1:42" ht="36.6" customHeight="1" x14ac:dyDescent="0.55000000000000004">
      <c r="A175" t="s">
        <v>155</v>
      </c>
      <c r="B175" s="1" t="s">
        <v>692</v>
      </c>
      <c r="C175" t="s">
        <v>140</v>
      </c>
      <c r="D175" t="s">
        <v>141</v>
      </c>
      <c r="E175" t="s">
        <v>235</v>
      </c>
      <c r="F175" s="1" t="s">
        <v>693</v>
      </c>
      <c r="H175" s="1" t="s">
        <v>694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1:42" ht="32.5" customHeight="1" x14ac:dyDescent="0.55000000000000004">
      <c r="A176" t="s">
        <v>155</v>
      </c>
      <c r="B176" s="1" t="s">
        <v>695</v>
      </c>
      <c r="C176" t="s">
        <v>140</v>
      </c>
      <c r="D176" t="s">
        <v>141</v>
      </c>
      <c r="E176" t="s">
        <v>273</v>
      </c>
      <c r="F176" s="1" t="s">
        <v>696</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1:42" ht="48" customHeight="1" x14ac:dyDescent="0.55000000000000004">
      <c r="A177" t="s">
        <v>155</v>
      </c>
      <c r="B177" s="1" t="s">
        <v>697</v>
      </c>
      <c r="C177" t="s">
        <v>150</v>
      </c>
      <c r="D177" t="s">
        <v>175</v>
      </c>
      <c r="E177" t="s">
        <v>146</v>
      </c>
      <c r="F177" s="1">
        <v>0.86599999999999999</v>
      </c>
      <c r="G177" s="1" t="s">
        <v>197</v>
      </c>
      <c r="H177" s="1" t="s">
        <v>698</v>
      </c>
      <c r="I177" s="1" t="s">
        <v>699</v>
      </c>
      <c r="J177" s="1" t="s">
        <v>700</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1:42" ht="28.8" x14ac:dyDescent="0.55000000000000004">
      <c r="A178" t="s">
        <v>138</v>
      </c>
      <c r="B178" s="1" t="s">
        <v>701</v>
      </c>
      <c r="C178" t="s">
        <v>150</v>
      </c>
      <c r="D178" t="s">
        <v>175</v>
      </c>
      <c r="E178" t="s">
        <v>320</v>
      </c>
      <c r="F178" s="1">
        <v>0.01</v>
      </c>
      <c r="G178" s="1" t="s">
        <v>153</v>
      </c>
      <c r="H178" s="1" t="s">
        <v>702</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1:42" ht="28.8" x14ac:dyDescent="0.55000000000000004">
      <c r="A179" t="s">
        <v>138</v>
      </c>
      <c r="B179" s="1" t="s">
        <v>703</v>
      </c>
      <c r="C179" t="s">
        <v>150</v>
      </c>
      <c r="D179" t="s">
        <v>175</v>
      </c>
      <c r="E179" t="s">
        <v>341</v>
      </c>
      <c r="F179" s="1">
        <v>0.01</v>
      </c>
      <c r="G179" s="1" t="s">
        <v>153</v>
      </c>
      <c r="H179" s="1" t="s">
        <v>704</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1:42" ht="100.8" x14ac:dyDescent="0.55000000000000004">
      <c r="A180" t="s">
        <v>138</v>
      </c>
      <c r="B180" s="1" t="s">
        <v>705</v>
      </c>
      <c r="C180" t="s">
        <v>150</v>
      </c>
      <c r="D180" t="s">
        <v>175</v>
      </c>
      <c r="E180" t="s">
        <v>341</v>
      </c>
      <c r="G180" s="1" t="s">
        <v>226</v>
      </c>
      <c r="H180" s="1" t="s">
        <v>706</v>
      </c>
      <c r="I180" s="1" t="s">
        <v>707</v>
      </c>
      <c r="J180" s="1" t="s">
        <v>708</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1:42" ht="86.4" x14ac:dyDescent="0.55000000000000004">
      <c r="A181" t="s">
        <v>138</v>
      </c>
      <c r="B181" s="1" t="s">
        <v>709</v>
      </c>
      <c r="C181" t="s">
        <v>150</v>
      </c>
      <c r="D181" t="s">
        <v>175</v>
      </c>
      <c r="E181" t="s">
        <v>341</v>
      </c>
      <c r="G181" s="1" t="s">
        <v>226</v>
      </c>
      <c r="H181" s="1" t="s">
        <v>710</v>
      </c>
      <c r="I181" s="1" t="s">
        <v>707</v>
      </c>
      <c r="J181" s="1" t="s">
        <v>711</v>
      </c>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1:42" ht="86.4" x14ac:dyDescent="0.55000000000000004">
      <c r="A182" t="s">
        <v>138</v>
      </c>
      <c r="B182" s="1" t="s">
        <v>712</v>
      </c>
      <c r="C182" t="s">
        <v>316</v>
      </c>
      <c r="D182" t="s">
        <v>292</v>
      </c>
      <c r="E182" t="s">
        <v>313</v>
      </c>
      <c r="F182" s="1" t="s">
        <v>713</v>
      </c>
      <c r="H182" s="1" t="s">
        <v>714</v>
      </c>
      <c r="J182" s="1" t="s">
        <v>715</v>
      </c>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1:42" ht="28.8" x14ac:dyDescent="0.55000000000000004">
      <c r="A183" t="s">
        <v>138</v>
      </c>
      <c r="B183" s="1" t="s">
        <v>716</v>
      </c>
      <c r="C183" t="s">
        <v>316</v>
      </c>
      <c r="D183" t="s">
        <v>292</v>
      </c>
      <c r="E183" t="s">
        <v>313</v>
      </c>
      <c r="F183" s="1" t="s">
        <v>717</v>
      </c>
      <c r="H183" s="1" t="s">
        <v>718</v>
      </c>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1:42" ht="115.2" x14ac:dyDescent="0.55000000000000004">
      <c r="A184" t="s">
        <v>138</v>
      </c>
      <c r="B184" s="1" t="s">
        <v>719</v>
      </c>
      <c r="C184" t="s">
        <v>316</v>
      </c>
      <c r="D184" t="s">
        <v>292</v>
      </c>
      <c r="E184" t="s">
        <v>313</v>
      </c>
      <c r="F184" s="1" t="s">
        <v>720</v>
      </c>
      <c r="J184" s="1" t="s">
        <v>721</v>
      </c>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1:42" ht="57.6" x14ac:dyDescent="0.55000000000000004">
      <c r="A185" t="s">
        <v>138</v>
      </c>
      <c r="B185" s="1" t="s">
        <v>722</v>
      </c>
      <c r="C185" t="s">
        <v>316</v>
      </c>
      <c r="D185" t="s">
        <v>292</v>
      </c>
      <c r="E185" t="s">
        <v>313</v>
      </c>
      <c r="F185" s="1" t="s">
        <v>723</v>
      </c>
      <c r="H185" s="1" t="s">
        <v>724</v>
      </c>
      <c r="J185" s="1" t="s">
        <v>725</v>
      </c>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1:42" x14ac:dyDescent="0.55000000000000004">
      <c r="A186" t="s">
        <v>229</v>
      </c>
      <c r="B186" s="1" t="s">
        <v>726</v>
      </c>
      <c r="C186" t="s">
        <v>150</v>
      </c>
      <c r="D186" t="s">
        <v>231</v>
      </c>
      <c r="E186" t="s">
        <v>281</v>
      </c>
      <c r="F186" s="1">
        <v>2031</v>
      </c>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1:42" ht="57.6" x14ac:dyDescent="0.55000000000000004">
      <c r="A187" t="s">
        <v>138</v>
      </c>
      <c r="B187" s="1" t="s">
        <v>727</v>
      </c>
      <c r="C187" t="s">
        <v>291</v>
      </c>
      <c r="D187" t="s">
        <v>292</v>
      </c>
      <c r="E187" t="s">
        <v>509</v>
      </c>
      <c r="F187" s="1" t="s">
        <v>728</v>
      </c>
      <c r="H187" s="1" t="s">
        <v>729</v>
      </c>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1:42" ht="28.8" x14ac:dyDescent="0.55000000000000004">
      <c r="A188" t="s">
        <v>412</v>
      </c>
      <c r="B188" s="1" t="s">
        <v>730</v>
      </c>
      <c r="C188" t="s">
        <v>140</v>
      </c>
      <c r="D188" t="s">
        <v>632</v>
      </c>
      <c r="E188" t="s">
        <v>273</v>
      </c>
      <c r="F188" s="1" t="s">
        <v>731</v>
      </c>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1:42" ht="28.8" x14ac:dyDescent="0.55000000000000004">
      <c r="A189" t="s">
        <v>412</v>
      </c>
      <c r="B189" s="1" t="s">
        <v>731</v>
      </c>
      <c r="C189" t="s">
        <v>160</v>
      </c>
      <c r="D189" t="s">
        <v>487</v>
      </c>
      <c r="E189" t="s">
        <v>273</v>
      </c>
      <c r="F189" s="1" t="s">
        <v>732</v>
      </c>
      <c r="H189" s="1" t="s">
        <v>733</v>
      </c>
      <c r="I189" s="1" t="s">
        <v>515</v>
      </c>
      <c r="J189" s="1" t="s">
        <v>734</v>
      </c>
      <c r="K189" s="6">
        <f>'[1]RAND Adjusted Estimates'!B$3</f>
        <v>356879.47284337127</v>
      </c>
      <c r="L189" s="6">
        <f>'[1]RAND Adjusted Estimates'!C$3</f>
        <v>370784.72326854634</v>
      </c>
      <c r="M189" s="6">
        <f>'[1]RAND Adjusted Estimates'!D$3</f>
        <v>637207.65505353943</v>
      </c>
      <c r="N189" s="6">
        <f>'[1]RAND Adjusted Estimates'!E$3</f>
        <v>451003.37782476825</v>
      </c>
      <c r="O189" s="6">
        <f>'[1]RAND Adjusted Estimates'!F$3</f>
        <v>349907.88483673678</v>
      </c>
      <c r="P189" s="6">
        <f>'[1]RAND Adjusted Estimates'!G$3</f>
        <v>397415.9841143646</v>
      </c>
      <c r="Q189" s="6">
        <f>'[1]RAND Adjusted Estimates'!H$3</f>
        <v>447929.5073541528</v>
      </c>
      <c r="R189" s="6">
        <f>'[1]RAND Adjusted Estimates'!I$3</f>
        <v>616584.81539219653</v>
      </c>
      <c r="S189" s="6">
        <f>'[1]RAND Adjusted Estimates'!J$3</f>
        <v>320958.12296520267</v>
      </c>
      <c r="T189" s="6">
        <f>'[1]RAND Adjusted Estimates'!K$3</f>
        <v>437111.8478133335</v>
      </c>
      <c r="U189" s="6">
        <f>'[1]RAND Adjusted Estimates'!L$3</f>
        <v>668803.27893350006</v>
      </c>
      <c r="V189" s="6">
        <f>'[1]RAND Adjusted Estimates'!M$3</f>
        <v>454736.82374049543</v>
      </c>
      <c r="W189" s="6">
        <f>'[1]RAND Adjusted Estimates'!N$3</f>
        <v>419471.31586152274</v>
      </c>
      <c r="X189" s="6">
        <f>'[1]RAND Adjusted Estimates'!O$3</f>
        <v>414767.17400770652</v>
      </c>
      <c r="Y189" s="6">
        <f>'[1]RAND Adjusted Estimates'!P$3</f>
        <v>494109.12212676782</v>
      </c>
      <c r="Z189" s="6">
        <f>'[1]RAND Adjusted Estimates'!Q$3</f>
        <v>872375.63989838201</v>
      </c>
      <c r="AA189" s="6">
        <f>'[1]RAND Adjusted Estimates'!R$3</f>
        <v>571335.45089358359</v>
      </c>
      <c r="AB189" s="6">
        <f>'[1]RAND Adjusted Estimates'!S$3</f>
        <v>859859.26246590668</v>
      </c>
      <c r="AC189" s="6">
        <f>'[1]RAND Adjusted Estimates'!T$3</f>
        <v>805294.95040755463</v>
      </c>
      <c r="AD189" s="6">
        <f>'[1]RAND Adjusted Estimates'!U$3</f>
        <v>808561.71558381582</v>
      </c>
      <c r="AE189" s="6">
        <f>'[1]RAND Adjusted Estimates'!V$3</f>
        <v>832913.11656914616</v>
      </c>
      <c r="AF189" s="1"/>
      <c r="AG189" s="1"/>
      <c r="AH189" s="1"/>
      <c r="AI189" s="1"/>
      <c r="AJ189" s="1"/>
      <c r="AK189" s="1"/>
      <c r="AL189" s="1"/>
      <c r="AM189" s="1"/>
      <c r="AN189" s="1"/>
      <c r="AO189" s="1"/>
      <c r="AP189" s="1"/>
    </row>
    <row r="190" spans="1:42" x14ac:dyDescent="0.55000000000000004">
      <c r="A190" t="s">
        <v>138</v>
      </c>
      <c r="B190" s="1" t="s">
        <v>735</v>
      </c>
      <c r="C190" t="s">
        <v>140</v>
      </c>
      <c r="D190" t="s">
        <v>141</v>
      </c>
      <c r="E190" t="s">
        <v>146</v>
      </c>
      <c r="F190" s="1" t="s">
        <v>736</v>
      </c>
      <c r="H190" s="1" t="s">
        <v>737</v>
      </c>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1:42" ht="28.8" x14ac:dyDescent="0.55000000000000004">
      <c r="A191" t="s">
        <v>412</v>
      </c>
      <c r="B191" s="1" t="s">
        <v>738</v>
      </c>
      <c r="C191" t="s">
        <v>140</v>
      </c>
      <c r="D191" t="s">
        <v>175</v>
      </c>
      <c r="E191" t="s">
        <v>146</v>
      </c>
      <c r="F191" s="1" t="s">
        <v>739</v>
      </c>
      <c r="G191" s="1" t="s">
        <v>240</v>
      </c>
      <c r="H191" s="1" t="s">
        <v>740</v>
      </c>
      <c r="I191" s="1" t="s">
        <v>741</v>
      </c>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1:42" x14ac:dyDescent="0.55000000000000004">
      <c r="A192" t="s">
        <v>138</v>
      </c>
      <c r="B192" s="1" t="s">
        <v>742</v>
      </c>
      <c r="C192" t="s">
        <v>140</v>
      </c>
      <c r="D192" t="s">
        <v>141</v>
      </c>
      <c r="E192" t="s">
        <v>146</v>
      </c>
      <c r="F192" s="1" t="s">
        <v>743</v>
      </c>
      <c r="H192" s="1" t="s">
        <v>744</v>
      </c>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1:42" x14ac:dyDescent="0.55000000000000004">
      <c r="A193" t="s">
        <v>138</v>
      </c>
      <c r="B193" s="1" t="s">
        <v>745</v>
      </c>
      <c r="C193" t="s">
        <v>140</v>
      </c>
      <c r="D193" t="s">
        <v>141</v>
      </c>
      <c r="E193" t="s">
        <v>146</v>
      </c>
      <c r="F193" s="1" t="s">
        <v>746</v>
      </c>
      <c r="H193" s="1" t="s">
        <v>747</v>
      </c>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1:42" x14ac:dyDescent="0.55000000000000004">
      <c r="A194" t="s">
        <v>138</v>
      </c>
      <c r="B194" s="1" t="s">
        <v>748</v>
      </c>
      <c r="C194" t="s">
        <v>140</v>
      </c>
      <c r="D194" t="s">
        <v>141</v>
      </c>
      <c r="E194" t="s">
        <v>146</v>
      </c>
      <c r="F194" s="1" t="s">
        <v>749</v>
      </c>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1:42" x14ac:dyDescent="0.55000000000000004">
      <c r="A195" t="s">
        <v>138</v>
      </c>
      <c r="B195" s="1" t="s">
        <v>750</v>
      </c>
      <c r="C195" t="s">
        <v>140</v>
      </c>
      <c r="D195" t="s">
        <v>141</v>
      </c>
      <c r="E195" t="s">
        <v>146</v>
      </c>
      <c r="F195" s="1" t="s">
        <v>751</v>
      </c>
      <c r="H195" s="1" t="s">
        <v>752</v>
      </c>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1:42" ht="28.8" x14ac:dyDescent="0.55000000000000004">
      <c r="A196" t="s">
        <v>138</v>
      </c>
      <c r="B196" s="1" t="s">
        <v>753</v>
      </c>
      <c r="C196" t="s">
        <v>140</v>
      </c>
      <c r="D196" t="s">
        <v>141</v>
      </c>
      <c r="E196" t="s">
        <v>146</v>
      </c>
      <c r="F196" s="1" t="s">
        <v>754</v>
      </c>
      <c r="H196" s="1" t="s">
        <v>755</v>
      </c>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1:42" ht="28.8" x14ac:dyDescent="0.55000000000000004">
      <c r="A197" t="s">
        <v>138</v>
      </c>
      <c r="B197" s="1" t="s">
        <v>756</v>
      </c>
      <c r="C197" t="s">
        <v>140</v>
      </c>
      <c r="D197" t="s">
        <v>141</v>
      </c>
      <c r="E197" t="s">
        <v>146</v>
      </c>
      <c r="F197" s="1" t="s">
        <v>757</v>
      </c>
      <c r="H197" s="1" t="s">
        <v>758</v>
      </c>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1:42" ht="28.8" x14ac:dyDescent="0.55000000000000004">
      <c r="A198" t="s">
        <v>412</v>
      </c>
      <c r="B198" s="1" t="s">
        <v>759</v>
      </c>
      <c r="C198" t="s">
        <v>140</v>
      </c>
      <c r="D198" t="s">
        <v>175</v>
      </c>
      <c r="E198" t="s">
        <v>152</v>
      </c>
      <c r="F198" s="1" t="s">
        <v>760</v>
      </c>
      <c r="G198" s="1" t="s">
        <v>761</v>
      </c>
      <c r="H198" s="1" t="s">
        <v>762</v>
      </c>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1:42" x14ac:dyDescent="0.55000000000000004">
      <c r="A199" t="s">
        <v>138</v>
      </c>
      <c r="B199" s="1" t="s">
        <v>763</v>
      </c>
      <c r="C199" t="s">
        <v>140</v>
      </c>
      <c r="D199" t="s">
        <v>141</v>
      </c>
      <c r="E199" t="s">
        <v>146</v>
      </c>
      <c r="F199" s="1" t="s">
        <v>764</v>
      </c>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1:42" x14ac:dyDescent="0.55000000000000004">
      <c r="A200" t="s">
        <v>138</v>
      </c>
      <c r="B200" s="1" t="s">
        <v>765</v>
      </c>
      <c r="C200" t="s">
        <v>140</v>
      </c>
      <c r="D200" t="s">
        <v>141</v>
      </c>
      <c r="E200" t="s">
        <v>313</v>
      </c>
      <c r="F200" s="1" t="s">
        <v>766</v>
      </c>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1:42" x14ac:dyDescent="0.55000000000000004">
      <c r="A201" t="s">
        <v>138</v>
      </c>
      <c r="B201" s="1" t="s">
        <v>767</v>
      </c>
      <c r="C201" t="s">
        <v>140</v>
      </c>
      <c r="D201" t="s">
        <v>141</v>
      </c>
      <c r="E201" t="s">
        <v>313</v>
      </c>
      <c r="F201" s="1" t="s">
        <v>768</v>
      </c>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1:42" x14ac:dyDescent="0.55000000000000004">
      <c r="A202" t="s">
        <v>138</v>
      </c>
      <c r="B202" s="1" t="s">
        <v>769</v>
      </c>
      <c r="C202" t="s">
        <v>140</v>
      </c>
      <c r="D202" t="s">
        <v>141</v>
      </c>
      <c r="E202" t="s">
        <v>313</v>
      </c>
      <c r="F202" s="1" t="s">
        <v>770</v>
      </c>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1:42" ht="28.8" x14ac:dyDescent="0.55000000000000004">
      <c r="A203" t="s">
        <v>138</v>
      </c>
      <c r="B203" s="1" t="s">
        <v>771</v>
      </c>
      <c r="C203" t="s">
        <v>140</v>
      </c>
      <c r="D203" t="s">
        <v>141</v>
      </c>
      <c r="E203" t="s">
        <v>313</v>
      </c>
      <c r="F203" s="1" t="s">
        <v>772</v>
      </c>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1:42" ht="28.8" x14ac:dyDescent="0.55000000000000004">
      <c r="A204" t="s">
        <v>138</v>
      </c>
      <c r="B204" s="1" t="s">
        <v>773</v>
      </c>
      <c r="C204" t="s">
        <v>140</v>
      </c>
      <c r="D204" t="s">
        <v>141</v>
      </c>
      <c r="E204" t="s">
        <v>313</v>
      </c>
      <c r="F204" s="1" t="s">
        <v>774</v>
      </c>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1:42" x14ac:dyDescent="0.55000000000000004">
      <c r="A205" t="s">
        <v>138</v>
      </c>
      <c r="B205" s="1" t="s">
        <v>775</v>
      </c>
      <c r="C205" t="s">
        <v>316</v>
      </c>
      <c r="D205" t="s">
        <v>292</v>
      </c>
      <c r="E205" t="s">
        <v>313</v>
      </c>
      <c r="F205" s="1" t="s">
        <v>776</v>
      </c>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1:42" ht="28.8" x14ac:dyDescent="0.55000000000000004">
      <c r="A206" t="s">
        <v>138</v>
      </c>
      <c r="B206" s="1" t="s">
        <v>777</v>
      </c>
      <c r="C206" t="s">
        <v>316</v>
      </c>
      <c r="D206" t="s">
        <v>292</v>
      </c>
      <c r="E206" t="s">
        <v>623</v>
      </c>
      <c r="F206" s="1" t="s">
        <v>778</v>
      </c>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1:42" ht="28.8" x14ac:dyDescent="0.55000000000000004">
      <c r="A207" t="s">
        <v>138</v>
      </c>
      <c r="B207" s="1" t="s">
        <v>779</v>
      </c>
      <c r="C207" t="s">
        <v>316</v>
      </c>
      <c r="D207" t="s">
        <v>292</v>
      </c>
      <c r="E207" t="s">
        <v>623</v>
      </c>
      <c r="F207" s="1" t="s">
        <v>780</v>
      </c>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1:42" ht="28.8" x14ac:dyDescent="0.55000000000000004">
      <c r="A208" t="s">
        <v>138</v>
      </c>
      <c r="B208" s="1" t="s">
        <v>781</v>
      </c>
      <c r="C208" t="s">
        <v>316</v>
      </c>
      <c r="D208" t="s">
        <v>141</v>
      </c>
      <c r="E208" t="s">
        <v>623</v>
      </c>
      <c r="F208" s="1" t="s">
        <v>782</v>
      </c>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1:42" ht="43.2" x14ac:dyDescent="0.55000000000000004">
      <c r="A209" t="s">
        <v>138</v>
      </c>
      <c r="B209" s="1" t="s">
        <v>783</v>
      </c>
      <c r="C209" t="s">
        <v>140</v>
      </c>
      <c r="D209" t="s">
        <v>141</v>
      </c>
      <c r="E209" t="s">
        <v>313</v>
      </c>
      <c r="F209" s="1" t="s">
        <v>784</v>
      </c>
      <c r="H209" s="1" t="s">
        <v>785</v>
      </c>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1:42" x14ac:dyDescent="0.55000000000000004">
      <c r="A210" t="s">
        <v>138</v>
      </c>
      <c r="B210" s="1" t="s">
        <v>786</v>
      </c>
      <c r="C210" t="s">
        <v>316</v>
      </c>
      <c r="D210" t="s">
        <v>292</v>
      </c>
      <c r="E210" t="s">
        <v>313</v>
      </c>
      <c r="F210" s="1" t="s">
        <v>787</v>
      </c>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1:42" x14ac:dyDescent="0.55000000000000004">
      <c r="A211" t="s">
        <v>138</v>
      </c>
      <c r="B211" s="1" t="s">
        <v>788</v>
      </c>
      <c r="C211" t="s">
        <v>316</v>
      </c>
      <c r="D211" t="s">
        <v>292</v>
      </c>
      <c r="E211" t="s">
        <v>313</v>
      </c>
      <c r="F211" s="1" t="s">
        <v>789</v>
      </c>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1:42" ht="72" x14ac:dyDescent="0.55000000000000004">
      <c r="A212" t="s">
        <v>138</v>
      </c>
      <c r="B212" s="1" t="s">
        <v>790</v>
      </c>
      <c r="C212" t="s">
        <v>150</v>
      </c>
      <c r="D212" t="s">
        <v>175</v>
      </c>
      <c r="E212" t="s">
        <v>320</v>
      </c>
      <c r="F212" s="1">
        <v>1.43E-2</v>
      </c>
      <c r="G212" s="1" t="s">
        <v>521</v>
      </c>
      <c r="H212" s="1" t="s">
        <v>791</v>
      </c>
      <c r="I212" s="1" t="s">
        <v>792</v>
      </c>
      <c r="J212" s="1" t="s">
        <v>793</v>
      </c>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1:42" ht="57.6" x14ac:dyDescent="0.55000000000000004">
      <c r="A213" t="s">
        <v>138</v>
      </c>
      <c r="B213" s="1" t="s">
        <v>794</v>
      </c>
      <c r="C213" t="s">
        <v>140</v>
      </c>
      <c r="D213" t="s">
        <v>141</v>
      </c>
      <c r="E213" t="s">
        <v>142</v>
      </c>
      <c r="F213" s="1" t="s">
        <v>795</v>
      </c>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1:42" ht="158.4" x14ac:dyDescent="0.55000000000000004">
      <c r="A214" t="s">
        <v>138</v>
      </c>
      <c r="B214" s="1" t="s">
        <v>796</v>
      </c>
      <c r="C214" t="s">
        <v>140</v>
      </c>
      <c r="D214" t="s">
        <v>175</v>
      </c>
      <c r="E214" t="s">
        <v>320</v>
      </c>
      <c r="F214" s="1" t="s">
        <v>797</v>
      </c>
      <c r="G214" s="1" t="s">
        <v>798</v>
      </c>
      <c r="H214" s="1" t="s">
        <v>799</v>
      </c>
      <c r="I214" s="1" t="s">
        <v>800</v>
      </c>
      <c r="J214" s="1" t="s">
        <v>801</v>
      </c>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1:42" ht="43.2" x14ac:dyDescent="0.55000000000000004">
      <c r="A215" t="s">
        <v>138</v>
      </c>
      <c r="B215" s="1" t="s">
        <v>802</v>
      </c>
      <c r="C215" t="s">
        <v>140</v>
      </c>
      <c r="D215" t="s">
        <v>175</v>
      </c>
      <c r="E215" t="s">
        <v>320</v>
      </c>
      <c r="F215" s="1" t="s">
        <v>803</v>
      </c>
      <c r="G215" s="1" t="s">
        <v>361</v>
      </c>
      <c r="H215" s="1" t="s">
        <v>804</v>
      </c>
      <c r="I215" s="1" t="s">
        <v>805</v>
      </c>
      <c r="J215" s="1" t="s">
        <v>806</v>
      </c>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1:42" ht="100.8" x14ac:dyDescent="0.55000000000000004">
      <c r="A216" t="s">
        <v>138</v>
      </c>
      <c r="B216" s="1" t="s">
        <v>807</v>
      </c>
      <c r="C216" t="s">
        <v>150</v>
      </c>
      <c r="D216" t="s">
        <v>175</v>
      </c>
      <c r="E216" t="s">
        <v>142</v>
      </c>
      <c r="F216" s="1">
        <v>8.4200000000000004E-3</v>
      </c>
      <c r="G216" s="1" t="s">
        <v>197</v>
      </c>
      <c r="H216" s="1" t="s">
        <v>808</v>
      </c>
      <c r="I216" s="1" t="s">
        <v>809</v>
      </c>
      <c r="J216" s="1" t="s">
        <v>810</v>
      </c>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1:42" x14ac:dyDescent="0.55000000000000004">
      <c r="A217" t="s">
        <v>138</v>
      </c>
      <c r="B217" s="1" t="s">
        <v>811</v>
      </c>
      <c r="C217" t="s">
        <v>316</v>
      </c>
      <c r="D217" t="s">
        <v>292</v>
      </c>
      <c r="E217" t="s">
        <v>313</v>
      </c>
      <c r="F217" s="1" t="s">
        <v>812</v>
      </c>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1:42" ht="28.8" x14ac:dyDescent="0.55000000000000004">
      <c r="A218" t="s">
        <v>138</v>
      </c>
      <c r="B218" s="1" t="s">
        <v>813</v>
      </c>
      <c r="C218" t="s">
        <v>316</v>
      </c>
      <c r="D218" t="s">
        <v>292</v>
      </c>
      <c r="E218" t="s">
        <v>623</v>
      </c>
      <c r="F218" s="1" t="s">
        <v>814</v>
      </c>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1:42" ht="28.8" x14ac:dyDescent="0.55000000000000004">
      <c r="A219" t="s">
        <v>138</v>
      </c>
      <c r="B219" s="1" t="s">
        <v>815</v>
      </c>
      <c r="C219" t="s">
        <v>316</v>
      </c>
      <c r="D219" t="s">
        <v>141</v>
      </c>
      <c r="E219" t="s">
        <v>623</v>
      </c>
      <c r="F219" s="1" t="s">
        <v>816</v>
      </c>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1:42" ht="28.8" x14ac:dyDescent="0.55000000000000004">
      <c r="A220" t="s">
        <v>138</v>
      </c>
      <c r="B220" s="1" t="s">
        <v>817</v>
      </c>
      <c r="C220" t="s">
        <v>316</v>
      </c>
      <c r="D220" t="s">
        <v>292</v>
      </c>
      <c r="E220" t="s">
        <v>623</v>
      </c>
      <c r="F220" s="1" t="s">
        <v>818</v>
      </c>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1:42" x14ac:dyDescent="0.55000000000000004">
      <c r="A221" t="s">
        <v>138</v>
      </c>
      <c r="B221" s="1" t="s">
        <v>819</v>
      </c>
      <c r="C221" t="s">
        <v>316</v>
      </c>
      <c r="D221" t="s">
        <v>292</v>
      </c>
      <c r="E221" t="s">
        <v>313</v>
      </c>
      <c r="F221" s="1" t="s">
        <v>820</v>
      </c>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1:42" ht="28.8" x14ac:dyDescent="0.55000000000000004">
      <c r="A222" t="s">
        <v>138</v>
      </c>
      <c r="B222" s="1" t="s">
        <v>821</v>
      </c>
      <c r="C222" t="s">
        <v>316</v>
      </c>
      <c r="D222" t="s">
        <v>292</v>
      </c>
      <c r="E222" t="s">
        <v>623</v>
      </c>
      <c r="F222" s="1" t="s">
        <v>822</v>
      </c>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1:42" ht="28.8" x14ac:dyDescent="0.55000000000000004">
      <c r="A223" t="s">
        <v>138</v>
      </c>
      <c r="B223" s="1" t="s">
        <v>823</v>
      </c>
      <c r="C223" t="s">
        <v>316</v>
      </c>
      <c r="D223" t="s">
        <v>141</v>
      </c>
      <c r="E223" t="s">
        <v>623</v>
      </c>
      <c r="F223" s="1" t="s">
        <v>824</v>
      </c>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1:42" ht="28.8" x14ac:dyDescent="0.55000000000000004">
      <c r="A224" t="s">
        <v>138</v>
      </c>
      <c r="B224" s="1" t="s">
        <v>825</v>
      </c>
      <c r="C224" t="s">
        <v>316</v>
      </c>
      <c r="D224" t="s">
        <v>292</v>
      </c>
      <c r="E224" t="s">
        <v>623</v>
      </c>
      <c r="F224" s="1" t="s">
        <v>826</v>
      </c>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1:42" ht="43.2" x14ac:dyDescent="0.55000000000000004">
      <c r="A225" t="s">
        <v>138</v>
      </c>
      <c r="B225" s="1" t="s">
        <v>827</v>
      </c>
      <c r="C225" t="s">
        <v>140</v>
      </c>
      <c r="D225" t="s">
        <v>231</v>
      </c>
      <c r="F225" s="1" t="s">
        <v>828</v>
      </c>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1:42" ht="43.2" x14ac:dyDescent="0.55000000000000004">
      <c r="A226" t="s">
        <v>412</v>
      </c>
      <c r="B226" s="1" t="s">
        <v>829</v>
      </c>
      <c r="C226" t="s">
        <v>140</v>
      </c>
      <c r="D226" t="s">
        <v>141</v>
      </c>
      <c r="E226" t="s">
        <v>146</v>
      </c>
      <c r="F226" s="1" t="s">
        <v>830</v>
      </c>
      <c r="H226" s="1" t="s">
        <v>831</v>
      </c>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1:42" ht="43.2" x14ac:dyDescent="0.55000000000000004">
      <c r="A227" t="s">
        <v>138</v>
      </c>
      <c r="B227" s="1" t="s">
        <v>832</v>
      </c>
      <c r="C227" t="s">
        <v>150</v>
      </c>
      <c r="D227" t="s">
        <v>175</v>
      </c>
      <c r="E227" t="s">
        <v>152</v>
      </c>
      <c r="G227" s="1" t="s">
        <v>610</v>
      </c>
      <c r="H227" s="1" t="s">
        <v>833</v>
      </c>
      <c r="I227" s="1" t="s">
        <v>834</v>
      </c>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1:42" ht="28.8" x14ac:dyDescent="0.55000000000000004">
      <c r="A228" t="s">
        <v>412</v>
      </c>
      <c r="B228" s="1" t="s">
        <v>835</v>
      </c>
      <c r="C228" t="s">
        <v>150</v>
      </c>
      <c r="D228" t="s">
        <v>175</v>
      </c>
      <c r="E228" t="s">
        <v>281</v>
      </c>
      <c r="F228" s="1">
        <v>2014</v>
      </c>
      <c r="H228" s="1" t="s">
        <v>836</v>
      </c>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1:42" ht="72" x14ac:dyDescent="0.55000000000000004">
      <c r="A229" t="s">
        <v>138</v>
      </c>
      <c r="B229" s="1" t="s">
        <v>837</v>
      </c>
      <c r="C229" t="s">
        <v>150</v>
      </c>
      <c r="D229" t="s">
        <v>175</v>
      </c>
      <c r="E229" t="s">
        <v>838</v>
      </c>
      <c r="G229" s="1" t="s">
        <v>153</v>
      </c>
      <c r="H229" s="1" t="s">
        <v>839</v>
      </c>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1:42" ht="43.2" x14ac:dyDescent="0.55000000000000004">
      <c r="A230" t="s">
        <v>138</v>
      </c>
      <c r="B230" s="1" t="s">
        <v>840</v>
      </c>
      <c r="C230" t="s">
        <v>140</v>
      </c>
      <c r="D230" t="s">
        <v>141</v>
      </c>
      <c r="E230" t="s">
        <v>838</v>
      </c>
      <c r="F230" s="1" t="s">
        <v>841</v>
      </c>
      <c r="H230" s="1" t="s">
        <v>842</v>
      </c>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1:42" ht="100.8" x14ac:dyDescent="0.55000000000000004">
      <c r="A231" t="s">
        <v>138</v>
      </c>
      <c r="B231" s="1" t="s">
        <v>843</v>
      </c>
      <c r="C231" t="s">
        <v>140</v>
      </c>
      <c r="D231" t="e">
        <v>#N/A</v>
      </c>
      <c r="E231" t="s">
        <v>146</v>
      </c>
      <c r="F231" s="1" t="s">
        <v>844</v>
      </c>
      <c r="H231" s="1" t="s">
        <v>845</v>
      </c>
      <c r="I231" s="1" t="s">
        <v>846</v>
      </c>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1:42" ht="100.8" x14ac:dyDescent="0.55000000000000004">
      <c r="A232" t="s">
        <v>138</v>
      </c>
      <c r="B232" s="1" t="s">
        <v>847</v>
      </c>
      <c r="C232" t="s">
        <v>140</v>
      </c>
      <c r="D232" t="s">
        <v>141</v>
      </c>
      <c r="E232" t="s">
        <v>146</v>
      </c>
      <c r="F232" s="1" t="s">
        <v>848</v>
      </c>
      <c r="H232" s="1" t="s">
        <v>845</v>
      </c>
      <c r="I232" s="1" t="s">
        <v>846</v>
      </c>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1:42" ht="43.2" x14ac:dyDescent="0.55000000000000004">
      <c r="A233" t="s">
        <v>138</v>
      </c>
      <c r="B233" s="1" t="s">
        <v>849</v>
      </c>
      <c r="C233" t="s">
        <v>140</v>
      </c>
      <c r="D233" t="s">
        <v>141</v>
      </c>
      <c r="E233" t="s">
        <v>850</v>
      </c>
      <c r="F233" s="1" t="s">
        <v>851</v>
      </c>
      <c r="H233" s="1" t="s">
        <v>852</v>
      </c>
      <c r="I233" s="1" t="s">
        <v>853</v>
      </c>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1:42" ht="28.8" x14ac:dyDescent="0.55000000000000004">
      <c r="A234" t="s">
        <v>155</v>
      </c>
      <c r="B234" s="1" t="s">
        <v>854</v>
      </c>
      <c r="C234" t="s">
        <v>160</v>
      </c>
      <c r="D234" t="s">
        <v>161</v>
      </c>
      <c r="E234" t="s">
        <v>850</v>
      </c>
      <c r="F234" s="1" t="s">
        <v>855</v>
      </c>
      <c r="H234" s="1" t="s">
        <v>856</v>
      </c>
      <c r="I234" s="1" t="s">
        <v>853</v>
      </c>
      <c r="K234" s="10">
        <f>'[1]Nx kits HR + IQVIA'!U$2</f>
        <v>1103.5</v>
      </c>
      <c r="L234" s="10">
        <f>'[1]Nx kits HR + IQVIA'!V$2</f>
        <v>3310.5</v>
      </c>
      <c r="M234" s="10">
        <f>'[1]Nx kits HR + IQVIA'!W$2</f>
        <v>4414</v>
      </c>
      <c r="N234" s="10">
        <f>'[1]Nx kits HR + IQVIA'!X$2</f>
        <v>5517.5</v>
      </c>
      <c r="O234" s="10">
        <f>'[1]Nx kits HR + IQVIA'!Y$2</f>
        <v>9350.5</v>
      </c>
      <c r="P234" s="10">
        <f>'[1]Nx kits HR + IQVIA'!Z$2</f>
        <v>13113.5</v>
      </c>
      <c r="Q234" s="10">
        <f>'[1]Nx kits HR + IQVIA'!AA$2</f>
        <v>14940.499999999998</v>
      </c>
      <c r="R234" s="10">
        <f>'[1]Nx kits HR + IQVIA'!AB$2</f>
        <v>24726.499999999996</v>
      </c>
      <c r="S234" s="10">
        <f>'[1]Nx kits HR + IQVIA'!AC$2</f>
        <v>26676.499999999996</v>
      </c>
      <c r="T234" s="10">
        <f>'[1]Nx kits HR + IQVIA'!AD$2</f>
        <v>35490.999999999993</v>
      </c>
      <c r="U234" s="10">
        <f>'[1]Nx kits HR + IQVIA'!AE$2</f>
        <v>39442</v>
      </c>
      <c r="V234" s="10">
        <f>'[1]Nx kits HR + IQVIA'!AF$2</f>
        <v>47435</v>
      </c>
      <c r="W234" s="10">
        <f>'[1]Nx kits HR + IQVIA'!AG$2</f>
        <v>49586</v>
      </c>
      <c r="X234" s="10">
        <f>'[1]Nx kits HR + IQVIA'!AH$2</f>
        <v>69053</v>
      </c>
      <c r="Y234" s="10">
        <f>'[1]Nx kits HR + IQVIA'!AI$2</f>
        <v>141502</v>
      </c>
      <c r="Z234" s="10">
        <f>'[1]Nx kits HR + IQVIA'!AJ$2</f>
        <v>211278.68817204301</v>
      </c>
      <c r="AA234" s="10">
        <f>'[1]Nx kits HR + IQVIA'!AK$2</f>
        <v>325817.17840212741</v>
      </c>
      <c r="AB234" s="10">
        <f>'[1]Nx kits HR + IQVIA'!AL$2</f>
        <v>573797.06734074547</v>
      </c>
      <c r="AC234" s="10">
        <f>'[1]Nx kits HR + IQVIA'!AM$2</f>
        <v>916335.75439076754</v>
      </c>
      <c r="AD234" s="10">
        <f>'[1]Nx kits HR + IQVIA'!AN$2</f>
        <v>1500485.9526574665</v>
      </c>
      <c r="AE234" s="10">
        <f>'[1]Nx kits HR + IQVIA'!AO$2</f>
        <v>1931149</v>
      </c>
      <c r="AF234" s="10">
        <f>'[1]Nx kits HR + IQVIA'!AP$2</f>
        <v>2303624</v>
      </c>
      <c r="AG234" s="1"/>
      <c r="AH234" s="1"/>
      <c r="AI234" s="1"/>
      <c r="AJ234" s="1"/>
      <c r="AK234" s="1"/>
      <c r="AL234" s="1"/>
      <c r="AM234" s="1"/>
      <c r="AN234" s="1"/>
      <c r="AO234" s="1"/>
      <c r="AP234" s="1"/>
    </row>
    <row r="235" spans="1:42" ht="43.2" x14ac:dyDescent="0.55000000000000004">
      <c r="A235" t="s">
        <v>155</v>
      </c>
      <c r="B235" s="1" t="s">
        <v>857</v>
      </c>
      <c r="C235" t="s">
        <v>140</v>
      </c>
      <c r="D235" t="s">
        <v>141</v>
      </c>
      <c r="E235" t="s">
        <v>850</v>
      </c>
      <c r="F235" s="1" t="s">
        <v>858</v>
      </c>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1:42" ht="43.2" x14ac:dyDescent="0.55000000000000004">
      <c r="A236" t="s">
        <v>138</v>
      </c>
      <c r="B236" s="1" t="s">
        <v>859</v>
      </c>
      <c r="C236" t="s">
        <v>140</v>
      </c>
      <c r="D236" t="s">
        <v>141</v>
      </c>
      <c r="E236" t="s">
        <v>850</v>
      </c>
      <c r="F236" s="1" t="s">
        <v>860</v>
      </c>
      <c r="H236" s="1" t="s">
        <v>861</v>
      </c>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1:42" ht="57.6" x14ac:dyDescent="0.55000000000000004">
      <c r="A237" t="s">
        <v>138</v>
      </c>
      <c r="B237" s="1" t="s">
        <v>862</v>
      </c>
      <c r="C237" t="s">
        <v>140</v>
      </c>
      <c r="D237" t="s">
        <v>141</v>
      </c>
      <c r="E237" t="s">
        <v>863</v>
      </c>
      <c r="F237" s="1" t="s">
        <v>864</v>
      </c>
      <c r="H237" s="1" t="s">
        <v>865</v>
      </c>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1:42" ht="57.6" x14ac:dyDescent="0.55000000000000004">
      <c r="A238" t="s">
        <v>138</v>
      </c>
      <c r="B238" s="1" t="s">
        <v>866</v>
      </c>
      <c r="C238" t="s">
        <v>140</v>
      </c>
      <c r="D238" t="s">
        <v>141</v>
      </c>
      <c r="E238" t="s">
        <v>863</v>
      </c>
      <c r="F238" s="1" t="s">
        <v>867</v>
      </c>
      <c r="H238" s="1" t="s">
        <v>868</v>
      </c>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1:42" ht="57.6" x14ac:dyDescent="0.55000000000000004">
      <c r="A239" t="s">
        <v>138</v>
      </c>
      <c r="B239" s="1" t="s">
        <v>869</v>
      </c>
      <c r="C239" t="s">
        <v>150</v>
      </c>
      <c r="D239" t="s">
        <v>175</v>
      </c>
      <c r="E239" t="s">
        <v>870</v>
      </c>
      <c r="F239" s="1">
        <v>1</v>
      </c>
      <c r="H239" s="1" t="s">
        <v>871</v>
      </c>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1:42" ht="28.8" x14ac:dyDescent="0.55000000000000004">
      <c r="A240" t="s">
        <v>138</v>
      </c>
      <c r="B240" s="1" t="s">
        <v>872</v>
      </c>
      <c r="C240" t="s">
        <v>316</v>
      </c>
      <c r="D240" t="s">
        <v>141</v>
      </c>
      <c r="E240" t="s">
        <v>313</v>
      </c>
      <c r="F240" s="1" t="s">
        <v>873</v>
      </c>
      <c r="H240" s="1" t="s">
        <v>874</v>
      </c>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1:42" ht="57.6" x14ac:dyDescent="0.55000000000000004">
      <c r="A241" t="s">
        <v>138</v>
      </c>
      <c r="B241" s="1" t="s">
        <v>875</v>
      </c>
      <c r="C241" t="s">
        <v>316</v>
      </c>
      <c r="D241" t="s">
        <v>141</v>
      </c>
      <c r="E241" t="s">
        <v>313</v>
      </c>
      <c r="F241" s="1" t="s">
        <v>876</v>
      </c>
      <c r="H241" s="1" t="s">
        <v>877</v>
      </c>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1:42" ht="28.8" x14ac:dyDescent="0.55000000000000004">
      <c r="A242" t="s">
        <v>138</v>
      </c>
      <c r="B242" s="1" t="s">
        <v>878</v>
      </c>
      <c r="C242" t="s">
        <v>140</v>
      </c>
      <c r="D242" t="s">
        <v>141</v>
      </c>
      <c r="E242" t="s">
        <v>313</v>
      </c>
      <c r="F242" s="1" t="s">
        <v>879</v>
      </c>
      <c r="H242" s="1" t="s">
        <v>880</v>
      </c>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1:42" ht="28.8" x14ac:dyDescent="0.55000000000000004">
      <c r="A243" t="s">
        <v>138</v>
      </c>
      <c r="B243" s="1" t="s">
        <v>881</v>
      </c>
      <c r="C243" t="s">
        <v>140</v>
      </c>
      <c r="D243" t="s">
        <v>141</v>
      </c>
      <c r="E243" t="s">
        <v>146</v>
      </c>
      <c r="F243" s="1" t="s">
        <v>882</v>
      </c>
      <c r="H243" s="1" t="s">
        <v>883</v>
      </c>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1:42" ht="57.6" x14ac:dyDescent="0.55000000000000004">
      <c r="A244" t="s">
        <v>138</v>
      </c>
      <c r="B244" s="1" t="s">
        <v>884</v>
      </c>
      <c r="C244" t="s">
        <v>140</v>
      </c>
      <c r="D244" t="s">
        <v>175</v>
      </c>
      <c r="E244" t="s">
        <v>146</v>
      </c>
      <c r="F244" s="1" t="s">
        <v>885</v>
      </c>
      <c r="G244" s="1" t="s">
        <v>240</v>
      </c>
      <c r="H244" s="1" t="s">
        <v>886</v>
      </c>
      <c r="I244" s="1" t="s">
        <v>887</v>
      </c>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1:42" ht="28.8" x14ac:dyDescent="0.55000000000000004">
      <c r="A245" t="s">
        <v>138</v>
      </c>
      <c r="B245" s="1" t="s">
        <v>888</v>
      </c>
      <c r="C245" t="s">
        <v>140</v>
      </c>
      <c r="D245" t="s">
        <v>141</v>
      </c>
      <c r="E245" t="s">
        <v>313</v>
      </c>
      <c r="F245" s="1" t="s">
        <v>889</v>
      </c>
      <c r="H245" s="1" t="s">
        <v>890</v>
      </c>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1:42" x14ac:dyDescent="0.55000000000000004">
      <c r="A246" t="s">
        <v>138</v>
      </c>
      <c r="B246" s="1" t="s">
        <v>891</v>
      </c>
      <c r="C246" t="s">
        <v>140</v>
      </c>
      <c r="D246" t="s">
        <v>141</v>
      </c>
      <c r="E246" t="s">
        <v>623</v>
      </c>
      <c r="F246" s="1" t="s">
        <v>892</v>
      </c>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1:42" ht="28.8" x14ac:dyDescent="0.55000000000000004">
      <c r="A247" t="s">
        <v>138</v>
      </c>
      <c r="B247" s="1" t="s">
        <v>893</v>
      </c>
      <c r="C247" t="s">
        <v>140</v>
      </c>
      <c r="D247" t="s">
        <v>141</v>
      </c>
      <c r="E247" t="s">
        <v>146</v>
      </c>
      <c r="F247" s="1" t="s">
        <v>894</v>
      </c>
      <c r="H247" s="1" t="s">
        <v>895</v>
      </c>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1:42" ht="28.8" x14ac:dyDescent="0.55000000000000004">
      <c r="A248" t="s">
        <v>138</v>
      </c>
      <c r="B248" s="1" t="s">
        <v>896</v>
      </c>
      <c r="C248" t="s">
        <v>140</v>
      </c>
      <c r="D248" t="s">
        <v>141</v>
      </c>
      <c r="E248" t="s">
        <v>146</v>
      </c>
      <c r="F248" s="1" t="s">
        <v>897</v>
      </c>
      <c r="H248" s="1" t="s">
        <v>898</v>
      </c>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1:42" ht="43.2" x14ac:dyDescent="0.55000000000000004">
      <c r="A249" t="s">
        <v>138</v>
      </c>
      <c r="B249" s="1" t="s">
        <v>899</v>
      </c>
      <c r="C249" t="s">
        <v>140</v>
      </c>
      <c r="D249" t="s">
        <v>141</v>
      </c>
      <c r="E249" t="s">
        <v>146</v>
      </c>
      <c r="F249" s="1" t="s">
        <v>900</v>
      </c>
      <c r="H249" s="1" t="s">
        <v>901</v>
      </c>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1:42" ht="43.2" x14ac:dyDescent="0.55000000000000004">
      <c r="A250" t="s">
        <v>138</v>
      </c>
      <c r="B250" s="1" t="s">
        <v>902</v>
      </c>
      <c r="C250" t="s">
        <v>140</v>
      </c>
      <c r="D250" t="s">
        <v>141</v>
      </c>
      <c r="E250" t="s">
        <v>146</v>
      </c>
      <c r="F250" s="1" t="s">
        <v>903</v>
      </c>
      <c r="H250" s="1" t="s">
        <v>904</v>
      </c>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1:42" ht="28.8" x14ac:dyDescent="0.55000000000000004">
      <c r="A251" t="s">
        <v>138</v>
      </c>
      <c r="B251" s="1" t="s">
        <v>905</v>
      </c>
      <c r="C251" t="s">
        <v>140</v>
      </c>
      <c r="D251" t="s">
        <v>141</v>
      </c>
      <c r="E251" t="s">
        <v>146</v>
      </c>
      <c r="F251" s="1" t="s">
        <v>906</v>
      </c>
      <c r="H251" s="1" t="s">
        <v>907</v>
      </c>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1:42" ht="28.8" x14ac:dyDescent="0.55000000000000004">
      <c r="A252" t="s">
        <v>138</v>
      </c>
      <c r="B252" s="1" t="s">
        <v>908</v>
      </c>
      <c r="C252" t="s">
        <v>140</v>
      </c>
      <c r="D252" t="s">
        <v>141</v>
      </c>
      <c r="E252" t="s">
        <v>146</v>
      </c>
      <c r="F252" s="1" t="s">
        <v>909</v>
      </c>
      <c r="H252" s="1" t="s">
        <v>910</v>
      </c>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1:42" ht="43.2" x14ac:dyDescent="0.55000000000000004">
      <c r="A253" t="s">
        <v>138</v>
      </c>
      <c r="B253" s="1" t="s">
        <v>911</v>
      </c>
      <c r="C253" t="s">
        <v>140</v>
      </c>
      <c r="D253" t="s">
        <v>141</v>
      </c>
      <c r="E253" t="s">
        <v>664</v>
      </c>
      <c r="F253" s="1" t="s">
        <v>912</v>
      </c>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1:42" ht="43.2" x14ac:dyDescent="0.55000000000000004">
      <c r="A254" t="s">
        <v>138</v>
      </c>
      <c r="B254" s="1" t="s">
        <v>913</v>
      </c>
      <c r="C254" t="s">
        <v>140</v>
      </c>
      <c r="D254" t="s">
        <v>141</v>
      </c>
      <c r="E254" t="s">
        <v>664</v>
      </c>
      <c r="F254" s="1" t="s">
        <v>914</v>
      </c>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1:42" ht="43.2" x14ac:dyDescent="0.55000000000000004">
      <c r="A255" t="s">
        <v>138</v>
      </c>
      <c r="B255" s="1" t="s">
        <v>915</v>
      </c>
      <c r="C255" t="s">
        <v>140</v>
      </c>
      <c r="D255" t="s">
        <v>141</v>
      </c>
      <c r="E255" t="s">
        <v>664</v>
      </c>
      <c r="F255" s="1" t="s">
        <v>916</v>
      </c>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1:42" ht="43.2" x14ac:dyDescent="0.55000000000000004">
      <c r="A256" t="s">
        <v>138</v>
      </c>
      <c r="B256" s="1" t="s">
        <v>917</v>
      </c>
      <c r="C256" t="s">
        <v>140</v>
      </c>
      <c r="D256" t="s">
        <v>141</v>
      </c>
      <c r="E256" t="s">
        <v>313</v>
      </c>
      <c r="F256" s="1" t="s">
        <v>918</v>
      </c>
      <c r="H256" s="1" t="s">
        <v>919</v>
      </c>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1:42" ht="72" x14ac:dyDescent="0.55000000000000004">
      <c r="A257" t="s">
        <v>138</v>
      </c>
      <c r="B257" s="1" t="s">
        <v>920</v>
      </c>
      <c r="C257" t="s">
        <v>140</v>
      </c>
      <c r="D257" t="s">
        <v>141</v>
      </c>
      <c r="E257" t="s">
        <v>313</v>
      </c>
      <c r="F257" s="1" t="s">
        <v>921</v>
      </c>
      <c r="H257" s="1" t="s">
        <v>922</v>
      </c>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1:42" x14ac:dyDescent="0.55000000000000004">
      <c r="A258" t="s">
        <v>402</v>
      </c>
      <c r="B258" s="1" t="s">
        <v>923</v>
      </c>
      <c r="C258" t="s">
        <v>150</v>
      </c>
      <c r="D258" t="s">
        <v>231</v>
      </c>
      <c r="E258" t="s">
        <v>281</v>
      </c>
      <c r="F258" s="1">
        <v>1</v>
      </c>
      <c r="H258" s="1" t="s">
        <v>924</v>
      </c>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1:42" x14ac:dyDescent="0.55000000000000004">
      <c r="A259" t="s">
        <v>138</v>
      </c>
      <c r="B259" s="1" t="s">
        <v>925</v>
      </c>
      <c r="C259" t="s">
        <v>316</v>
      </c>
      <c r="D259" t="s">
        <v>292</v>
      </c>
      <c r="E259" t="s">
        <v>313</v>
      </c>
      <c r="F259" s="1" t="s">
        <v>926</v>
      </c>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1:42" ht="28.8" x14ac:dyDescent="0.55000000000000004">
      <c r="A260" t="s">
        <v>138</v>
      </c>
      <c r="B260" s="1" t="s">
        <v>927</v>
      </c>
      <c r="C260" t="s">
        <v>316</v>
      </c>
      <c r="D260" t="s">
        <v>292</v>
      </c>
      <c r="E260" t="s">
        <v>623</v>
      </c>
      <c r="F260" s="1" t="s">
        <v>928</v>
      </c>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1:42" ht="43.2" x14ac:dyDescent="0.55000000000000004">
      <c r="A261" t="s">
        <v>138</v>
      </c>
      <c r="B261" s="1" t="s">
        <v>929</v>
      </c>
      <c r="C261" t="s">
        <v>140</v>
      </c>
      <c r="D261" t="s">
        <v>141</v>
      </c>
      <c r="E261" t="s">
        <v>623</v>
      </c>
      <c r="F261" s="1" t="s">
        <v>930</v>
      </c>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1:42" x14ac:dyDescent="0.55000000000000004">
      <c r="A262" t="s">
        <v>138</v>
      </c>
      <c r="B262" s="1" t="s">
        <v>931</v>
      </c>
      <c r="C262" t="s">
        <v>140</v>
      </c>
      <c r="D262" t="s">
        <v>141</v>
      </c>
      <c r="E262" t="s">
        <v>313</v>
      </c>
      <c r="F262" s="1" t="s">
        <v>932</v>
      </c>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1:42" x14ac:dyDescent="0.55000000000000004">
      <c r="A263" t="s">
        <v>138</v>
      </c>
      <c r="B263" s="1" t="s">
        <v>933</v>
      </c>
      <c r="C263" t="s">
        <v>316</v>
      </c>
      <c r="D263" t="s">
        <v>292</v>
      </c>
      <c r="E263" t="s">
        <v>313</v>
      </c>
      <c r="F263" s="1" t="s">
        <v>934</v>
      </c>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1:42" ht="43.2" x14ac:dyDescent="0.55000000000000004">
      <c r="A264" t="s">
        <v>138</v>
      </c>
      <c r="B264" s="1" t="s">
        <v>935</v>
      </c>
      <c r="C264" t="s">
        <v>140</v>
      </c>
      <c r="D264" t="s">
        <v>141</v>
      </c>
      <c r="E264" t="s">
        <v>664</v>
      </c>
      <c r="F264" s="1" t="s">
        <v>936</v>
      </c>
      <c r="H264" s="1" t="s">
        <v>937</v>
      </c>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1:42" ht="28.8" x14ac:dyDescent="0.55000000000000004">
      <c r="A265" t="s">
        <v>138</v>
      </c>
      <c r="B265" s="1" t="s">
        <v>938</v>
      </c>
      <c r="C265" t="s">
        <v>140</v>
      </c>
      <c r="D265" t="s">
        <v>170</v>
      </c>
      <c r="E265" t="s">
        <v>142</v>
      </c>
      <c r="F265" s="1" t="s">
        <v>939</v>
      </c>
      <c r="H265" s="1" t="s">
        <v>940</v>
      </c>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1:42" ht="72" x14ac:dyDescent="0.55000000000000004">
      <c r="A266" t="s">
        <v>138</v>
      </c>
      <c r="B266" s="1" t="s">
        <v>941</v>
      </c>
      <c r="C266" t="s">
        <v>150</v>
      </c>
      <c r="D266" t="s">
        <v>175</v>
      </c>
      <c r="E266" t="s">
        <v>320</v>
      </c>
      <c r="F266" s="1">
        <v>1.7000000000000001E-4</v>
      </c>
      <c r="G266" s="1" t="s">
        <v>521</v>
      </c>
      <c r="H266" s="1" t="s">
        <v>942</v>
      </c>
      <c r="I266" s="1" t="s">
        <v>943</v>
      </c>
      <c r="J266" s="1" t="s">
        <v>944</v>
      </c>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1:42" ht="43.2" x14ac:dyDescent="0.55000000000000004">
      <c r="A267" t="s">
        <v>138</v>
      </c>
      <c r="B267" s="1" t="s">
        <v>945</v>
      </c>
      <c r="C267" t="s">
        <v>140</v>
      </c>
      <c r="D267" t="s">
        <v>141</v>
      </c>
      <c r="E267" t="s">
        <v>664</v>
      </c>
      <c r="F267" s="1" t="s">
        <v>946</v>
      </c>
      <c r="H267" s="1" t="s">
        <v>947</v>
      </c>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1:42" ht="43.2" x14ac:dyDescent="0.55000000000000004">
      <c r="A268" t="s">
        <v>138</v>
      </c>
      <c r="B268" s="1" t="s">
        <v>948</v>
      </c>
      <c r="C268" t="s">
        <v>140</v>
      </c>
      <c r="D268" t="s">
        <v>141</v>
      </c>
      <c r="E268" t="s">
        <v>142</v>
      </c>
      <c r="F268" s="1" t="s">
        <v>949</v>
      </c>
      <c r="H268" s="1" t="s">
        <v>947</v>
      </c>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1:42" ht="43.2" x14ac:dyDescent="0.55000000000000004">
      <c r="A269" t="s">
        <v>138</v>
      </c>
      <c r="B269" s="1" t="s">
        <v>950</v>
      </c>
      <c r="C269" t="s">
        <v>140</v>
      </c>
      <c r="D269" t="s">
        <v>141</v>
      </c>
      <c r="E269" t="s">
        <v>320</v>
      </c>
      <c r="F269" s="1" t="s">
        <v>951</v>
      </c>
      <c r="H269" s="1" t="s">
        <v>952</v>
      </c>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1:42" ht="43.2" x14ac:dyDescent="0.55000000000000004">
      <c r="A270" t="s">
        <v>138</v>
      </c>
      <c r="B270" s="1" t="s">
        <v>953</v>
      </c>
      <c r="C270" t="s">
        <v>140</v>
      </c>
      <c r="D270" t="s">
        <v>170</v>
      </c>
      <c r="E270" t="s">
        <v>142</v>
      </c>
      <c r="F270" s="1" t="s">
        <v>954</v>
      </c>
      <c r="H270" s="1" t="s">
        <v>955</v>
      </c>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1:42" ht="43.2" x14ac:dyDescent="0.55000000000000004">
      <c r="A271" t="s">
        <v>138</v>
      </c>
      <c r="B271" s="1" t="s">
        <v>956</v>
      </c>
      <c r="C271" t="s">
        <v>140</v>
      </c>
      <c r="D271" t="s">
        <v>141</v>
      </c>
      <c r="E271" t="s">
        <v>142</v>
      </c>
      <c r="F271" s="1" t="s">
        <v>957</v>
      </c>
      <c r="H271" s="1" t="s">
        <v>958</v>
      </c>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1:42" ht="43.2" x14ac:dyDescent="0.55000000000000004">
      <c r="A272" t="s">
        <v>138</v>
      </c>
      <c r="B272" s="1" t="s">
        <v>959</v>
      </c>
      <c r="C272" t="s">
        <v>140</v>
      </c>
      <c r="D272" t="s">
        <v>141</v>
      </c>
      <c r="E272" t="s">
        <v>320</v>
      </c>
      <c r="F272" s="1" t="s">
        <v>960</v>
      </c>
      <c r="H272" s="1" t="s">
        <v>961</v>
      </c>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1:42" ht="28.8" x14ac:dyDescent="0.55000000000000004">
      <c r="A273" t="s">
        <v>138</v>
      </c>
      <c r="B273" s="1" t="s">
        <v>962</v>
      </c>
      <c r="C273" t="s">
        <v>140</v>
      </c>
      <c r="D273" t="s">
        <v>141</v>
      </c>
      <c r="E273" t="s">
        <v>142</v>
      </c>
      <c r="F273" s="1" t="s">
        <v>963</v>
      </c>
      <c r="H273" s="1" t="s">
        <v>964</v>
      </c>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1:42" ht="28.8" x14ac:dyDescent="0.55000000000000004">
      <c r="A274" t="s">
        <v>138</v>
      </c>
      <c r="B274" s="1" t="s">
        <v>965</v>
      </c>
      <c r="C274" t="s">
        <v>140</v>
      </c>
      <c r="D274" t="s">
        <v>141</v>
      </c>
      <c r="E274" t="s">
        <v>142</v>
      </c>
      <c r="F274" s="1" t="s">
        <v>948</v>
      </c>
      <c r="H274" s="1" t="s">
        <v>966</v>
      </c>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1:42" ht="43.2" x14ac:dyDescent="0.55000000000000004">
      <c r="A275" t="s">
        <v>138</v>
      </c>
      <c r="B275" s="1" t="s">
        <v>967</v>
      </c>
      <c r="C275" t="s">
        <v>140</v>
      </c>
      <c r="D275" t="s">
        <v>141</v>
      </c>
      <c r="E275" t="s">
        <v>142</v>
      </c>
      <c r="F275" s="1" t="s">
        <v>968</v>
      </c>
      <c r="H275" s="1" t="s">
        <v>969</v>
      </c>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1:42" ht="28.8" x14ac:dyDescent="0.55000000000000004">
      <c r="A276" t="s">
        <v>138</v>
      </c>
      <c r="B276" s="1" t="s">
        <v>970</v>
      </c>
      <c r="C276" t="s">
        <v>140</v>
      </c>
      <c r="D276" t="s">
        <v>141</v>
      </c>
      <c r="E276" t="s">
        <v>664</v>
      </c>
      <c r="F276" s="1" t="s">
        <v>971</v>
      </c>
      <c r="H276" s="1" t="s">
        <v>972</v>
      </c>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1:42" ht="28.8" x14ac:dyDescent="0.55000000000000004">
      <c r="A277" t="s">
        <v>138</v>
      </c>
      <c r="B277" s="1" t="s">
        <v>973</v>
      </c>
      <c r="C277" t="s">
        <v>140</v>
      </c>
      <c r="D277" t="s">
        <v>141</v>
      </c>
      <c r="E277" t="s">
        <v>664</v>
      </c>
      <c r="F277" s="1" t="s">
        <v>974</v>
      </c>
      <c r="H277" s="1" t="s">
        <v>975</v>
      </c>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1:42" x14ac:dyDescent="0.55000000000000004">
      <c r="A278" t="s">
        <v>138</v>
      </c>
      <c r="B278" s="1" t="s">
        <v>976</v>
      </c>
      <c r="C278" t="s">
        <v>316</v>
      </c>
      <c r="D278" t="s">
        <v>292</v>
      </c>
      <c r="E278" t="s">
        <v>313</v>
      </c>
      <c r="F278" s="1" t="s">
        <v>977</v>
      </c>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1:42" x14ac:dyDescent="0.55000000000000004">
      <c r="A279" t="s">
        <v>138</v>
      </c>
      <c r="B279" s="1" t="s">
        <v>978</v>
      </c>
      <c r="C279" t="s">
        <v>316</v>
      </c>
      <c r="D279" t="s">
        <v>292</v>
      </c>
      <c r="E279" t="s">
        <v>313</v>
      </c>
      <c r="F279" s="1" t="s">
        <v>979</v>
      </c>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1:42" ht="28.8" x14ac:dyDescent="0.55000000000000004">
      <c r="A280" t="s">
        <v>138</v>
      </c>
      <c r="B280" s="1" t="s">
        <v>980</v>
      </c>
      <c r="C280" t="s">
        <v>316</v>
      </c>
      <c r="D280" t="s">
        <v>292</v>
      </c>
      <c r="E280" t="s">
        <v>623</v>
      </c>
      <c r="F280" s="1" t="s">
        <v>981</v>
      </c>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1:42" ht="28.8" x14ac:dyDescent="0.55000000000000004">
      <c r="A281" t="s">
        <v>138</v>
      </c>
      <c r="B281" s="1" t="s">
        <v>982</v>
      </c>
      <c r="C281" t="s">
        <v>316</v>
      </c>
      <c r="D281" t="s">
        <v>292</v>
      </c>
      <c r="E281" t="s">
        <v>313</v>
      </c>
      <c r="F281" s="1" t="s">
        <v>983</v>
      </c>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1:42" ht="28.8" x14ac:dyDescent="0.55000000000000004">
      <c r="A282" t="s">
        <v>138</v>
      </c>
      <c r="B282" s="1" t="s">
        <v>984</v>
      </c>
      <c r="C282" t="s">
        <v>316</v>
      </c>
      <c r="D282" t="s">
        <v>292</v>
      </c>
      <c r="E282" t="s">
        <v>623</v>
      </c>
      <c r="F282" s="1" t="s">
        <v>985</v>
      </c>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1:42" ht="28.8" x14ac:dyDescent="0.55000000000000004">
      <c r="A283" t="s">
        <v>138</v>
      </c>
      <c r="B283" s="1" t="s">
        <v>986</v>
      </c>
      <c r="C283" t="s">
        <v>150</v>
      </c>
      <c r="D283" t="s">
        <v>175</v>
      </c>
      <c r="E283" t="s">
        <v>341</v>
      </c>
      <c r="G283" s="1" t="s">
        <v>226</v>
      </c>
      <c r="H283" s="1" t="s">
        <v>987</v>
      </c>
      <c r="I283" s="1" t="s">
        <v>988</v>
      </c>
      <c r="J283" s="1" t="s">
        <v>989</v>
      </c>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1:42" ht="28.8" x14ac:dyDescent="0.55000000000000004">
      <c r="A284" t="s">
        <v>138</v>
      </c>
      <c r="B284" s="1" t="s">
        <v>990</v>
      </c>
      <c r="C284" t="s">
        <v>188</v>
      </c>
      <c r="D284" t="s">
        <v>175</v>
      </c>
      <c r="E284" t="s">
        <v>320</v>
      </c>
      <c r="F284" s="1" t="s">
        <v>991</v>
      </c>
      <c r="H284" s="1" t="s">
        <v>992</v>
      </c>
      <c r="I284" s="1" t="s">
        <v>993</v>
      </c>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1:42" ht="28.8" x14ac:dyDescent="0.55000000000000004">
      <c r="A285" t="s">
        <v>138</v>
      </c>
      <c r="B285" s="1" t="s">
        <v>994</v>
      </c>
      <c r="C285" t="s">
        <v>150</v>
      </c>
      <c r="D285" t="s">
        <v>175</v>
      </c>
      <c r="E285" t="s">
        <v>341</v>
      </c>
      <c r="G285" s="1" t="s">
        <v>153</v>
      </c>
      <c r="H285" s="1" t="s">
        <v>995</v>
      </c>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1:42" ht="43.2" x14ac:dyDescent="0.55000000000000004">
      <c r="A286" t="s">
        <v>138</v>
      </c>
      <c r="B286" s="1" t="s">
        <v>996</v>
      </c>
      <c r="C286" t="s">
        <v>150</v>
      </c>
      <c r="D286" t="s">
        <v>175</v>
      </c>
      <c r="E286" t="s">
        <v>341</v>
      </c>
      <c r="G286" s="1" t="s">
        <v>153</v>
      </c>
      <c r="H286" s="1" t="s">
        <v>997</v>
      </c>
      <c r="J286" s="1" t="s">
        <v>998</v>
      </c>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1:42" ht="43.2" x14ac:dyDescent="0.55000000000000004">
      <c r="A287" t="s">
        <v>138</v>
      </c>
      <c r="B287" s="1" t="s">
        <v>999</v>
      </c>
      <c r="C287" t="s">
        <v>150</v>
      </c>
      <c r="D287" t="s">
        <v>175</v>
      </c>
      <c r="E287" t="s">
        <v>152</v>
      </c>
      <c r="F287" s="1">
        <v>0.25</v>
      </c>
      <c r="G287" s="1" t="s">
        <v>379</v>
      </c>
      <c r="H287" s="1" t="s">
        <v>1000</v>
      </c>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1:42" ht="28.8" x14ac:dyDescent="0.55000000000000004">
      <c r="A288" t="s">
        <v>138</v>
      </c>
      <c r="B288" s="1" t="s">
        <v>1001</v>
      </c>
      <c r="C288" t="s">
        <v>140</v>
      </c>
      <c r="D288" t="s">
        <v>141</v>
      </c>
      <c r="E288" t="s">
        <v>142</v>
      </c>
      <c r="F288" s="1" t="s">
        <v>1002</v>
      </c>
      <c r="H288" s="1" t="s">
        <v>1003</v>
      </c>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1:42" ht="28.8" x14ac:dyDescent="0.55000000000000004">
      <c r="A289" t="s">
        <v>138</v>
      </c>
      <c r="B289" s="1" t="s">
        <v>1004</v>
      </c>
      <c r="C289" t="s">
        <v>140</v>
      </c>
      <c r="D289" t="s">
        <v>141</v>
      </c>
      <c r="E289" t="s">
        <v>320</v>
      </c>
      <c r="F289" s="1" t="s">
        <v>1005</v>
      </c>
      <c r="H289" s="1" t="s">
        <v>1006</v>
      </c>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1:42" ht="57.6" x14ac:dyDescent="0.55000000000000004">
      <c r="A290" t="s">
        <v>138</v>
      </c>
      <c r="B290" s="1" t="s">
        <v>1007</v>
      </c>
      <c r="C290" t="s">
        <v>150</v>
      </c>
      <c r="D290" t="s">
        <v>175</v>
      </c>
      <c r="E290" t="s">
        <v>1008</v>
      </c>
      <c r="G290" s="1" t="s">
        <v>379</v>
      </c>
      <c r="H290" s="1" t="s">
        <v>1009</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1:42" ht="43.2" x14ac:dyDescent="0.55000000000000004">
      <c r="A291" t="s">
        <v>138</v>
      </c>
      <c r="B291" s="1" t="s">
        <v>1010</v>
      </c>
      <c r="C291" t="s">
        <v>140</v>
      </c>
      <c r="D291" t="s">
        <v>141</v>
      </c>
      <c r="E291" t="s">
        <v>664</v>
      </c>
      <c r="F291" s="1" t="s">
        <v>1011</v>
      </c>
      <c r="H291" s="1" t="s">
        <v>1012</v>
      </c>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1:42" ht="72" x14ac:dyDescent="0.55000000000000004">
      <c r="A292" t="s">
        <v>138</v>
      </c>
      <c r="B292" s="1" t="s">
        <v>1013</v>
      </c>
      <c r="C292" t="s">
        <v>150</v>
      </c>
      <c r="D292" t="s">
        <v>175</v>
      </c>
      <c r="E292" t="s">
        <v>391</v>
      </c>
      <c r="F292" s="1">
        <v>0.25</v>
      </c>
      <c r="G292" s="1" t="s">
        <v>176</v>
      </c>
      <c r="H292" s="1" t="s">
        <v>1014</v>
      </c>
      <c r="I292" s="1" t="s">
        <v>1015</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1:42" ht="72" x14ac:dyDescent="0.55000000000000004">
      <c r="A293" t="s">
        <v>138</v>
      </c>
      <c r="B293" s="1" t="s">
        <v>1016</v>
      </c>
      <c r="C293" t="s">
        <v>150</v>
      </c>
      <c r="D293" t="s">
        <v>175</v>
      </c>
      <c r="E293" t="s">
        <v>152</v>
      </c>
      <c r="F293" s="1">
        <v>0.45</v>
      </c>
      <c r="G293" s="1" t="s">
        <v>197</v>
      </c>
      <c r="H293" s="1" t="s">
        <v>1017</v>
      </c>
      <c r="I293" s="1" t="s">
        <v>1015</v>
      </c>
      <c r="J293" s="1" t="s">
        <v>1018</v>
      </c>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1:42" ht="28.8" x14ac:dyDescent="0.55000000000000004">
      <c r="A294" t="s">
        <v>138</v>
      </c>
      <c r="B294" s="1" t="s">
        <v>1019</v>
      </c>
      <c r="C294" t="s">
        <v>140</v>
      </c>
      <c r="D294" t="s">
        <v>141</v>
      </c>
      <c r="E294" t="s">
        <v>320</v>
      </c>
      <c r="F294" s="1" t="s">
        <v>1020</v>
      </c>
      <c r="H294" s="1" t="s">
        <v>1021</v>
      </c>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1:42" ht="28.8" x14ac:dyDescent="0.55000000000000004">
      <c r="A295" t="s">
        <v>138</v>
      </c>
      <c r="B295" s="1" t="s">
        <v>1022</v>
      </c>
      <c r="C295" t="s">
        <v>150</v>
      </c>
      <c r="D295" t="s">
        <v>175</v>
      </c>
      <c r="E295" t="s">
        <v>391</v>
      </c>
      <c r="F295" s="1">
        <v>2010.75</v>
      </c>
      <c r="H295" s="1" t="s">
        <v>1023</v>
      </c>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1:42" ht="43.2" x14ac:dyDescent="0.55000000000000004">
      <c r="A296" t="s">
        <v>155</v>
      </c>
      <c r="B296" s="1" t="s">
        <v>1024</v>
      </c>
      <c r="C296" t="s">
        <v>140</v>
      </c>
      <c r="D296" t="s">
        <v>141</v>
      </c>
      <c r="E296" t="s">
        <v>313</v>
      </c>
      <c r="F296" s="1" t="s">
        <v>1025</v>
      </c>
      <c r="H296" s="1" t="s">
        <v>1026</v>
      </c>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1:42" ht="57.6" x14ac:dyDescent="0.55000000000000004">
      <c r="A297" t="s">
        <v>155</v>
      </c>
      <c r="B297" s="1" t="s">
        <v>1027</v>
      </c>
      <c r="C297" t="s">
        <v>160</v>
      </c>
      <c r="D297" t="s">
        <v>161</v>
      </c>
      <c r="E297" t="s">
        <v>313</v>
      </c>
      <c r="F297" s="1" t="s">
        <v>1028</v>
      </c>
      <c r="H297" s="1" t="s">
        <v>1029</v>
      </c>
      <c r="I297" s="1" t="s">
        <v>1030</v>
      </c>
      <c r="K297" s="11">
        <f>'[1]Opioid Rx Data IQVIA SH'!B$2</f>
        <v>50615800.308805212</v>
      </c>
      <c r="L297" s="11">
        <f>'[1]Opioid Rx Data IQVIA SH'!C$2</f>
        <v>55268292.708259083</v>
      </c>
      <c r="M297" s="11">
        <f>'[1]Opioid Rx Data IQVIA SH'!D$2</f>
        <v>61600655.974125087</v>
      </c>
      <c r="N297" s="11">
        <f>'[1]Opioid Rx Data IQVIA SH'!E$2</f>
        <v>64144383.982784502</v>
      </c>
      <c r="O297" s="11">
        <f>'[1]Opioid Rx Data IQVIA SH'!F$2</f>
        <v>67962522.71045579</v>
      </c>
      <c r="P297" s="11">
        <f>'[1]Opioid Rx Data IQVIA SH'!G$2</f>
        <v>72565755.505764052</v>
      </c>
      <c r="Q297" s="11">
        <f>'[1]Opioid Rx Data IQVIA SH'!H$2</f>
        <v>76938987.677525371</v>
      </c>
      <c r="R297" s="11">
        <f>'[1]Opioid Rx Data IQVIA SH'!I$2</f>
        <v>83200866.264006272</v>
      </c>
      <c r="S297" s="11">
        <f>'[1]Opioid Rx Data IQVIA SH'!J$2</f>
        <v>89963829.540194139</v>
      </c>
      <c r="T297" s="11">
        <f>'[1]Opioid Rx Data IQVIA SH'!K$2</f>
        <v>95576169.900532424</v>
      </c>
      <c r="U297" s="11">
        <f>'[1]Opioid Rx Data IQVIA SH'!L$2</f>
        <v>100503576.55517608</v>
      </c>
      <c r="V297" s="11">
        <f>'[1]Opioid Rx Data IQVIA SH'!M$2</f>
        <v>109073194.77822027</v>
      </c>
      <c r="W297" s="11">
        <f>'[1]Opioid Rx Data IQVIA SH'!N$2</f>
        <v>109066341.52647889</v>
      </c>
      <c r="X297" s="11">
        <f>'[1]Opioid Rx Data IQVIA SH'!O$2</f>
        <v>114059108.02698019</v>
      </c>
      <c r="Y297" s="11">
        <f>'[1]Opioid Rx Data IQVIA SH'!P$2</f>
        <v>109256435.34644848</v>
      </c>
      <c r="Z297" s="11">
        <f>'[1]Opioid Rx Data IQVIA SH'!Q$2</f>
        <v>112819821.18383473</v>
      </c>
      <c r="AA297" s="11">
        <f>'[1]Opioid Rx Data IQVIA SH'!R$2</f>
        <v>108159505.44816807</v>
      </c>
      <c r="AB297" s="11">
        <f>'[1]Opioid Rx Data IQVIA SH'!S$2</f>
        <v>105696730.38438496</v>
      </c>
      <c r="AC297" s="11">
        <f>'[1]Opioid Rx Data IQVIA SH'!T$2</f>
        <v>99733895.461657792</v>
      </c>
      <c r="AD297" s="11">
        <f>'[1]Opioid Rx Data IQVIA SH'!U$2</f>
        <v>88986086.68498829</v>
      </c>
      <c r="AE297" s="11">
        <f>'[1]Opioid Rx Data IQVIA SH'!V$2</f>
        <v>78456550.964611903</v>
      </c>
      <c r="AF297" s="11">
        <f>'[1]Opioid Rx Data IQVIA SH'!W$2</f>
        <v>0</v>
      </c>
      <c r="AG297" s="1"/>
      <c r="AH297" s="1"/>
      <c r="AI297" s="1"/>
      <c r="AJ297" s="1"/>
      <c r="AK297" s="1"/>
      <c r="AL297" s="1"/>
      <c r="AM297" s="1"/>
      <c r="AN297" s="1"/>
      <c r="AO297" s="1"/>
      <c r="AP297" s="1"/>
    </row>
    <row r="298" spans="1:42" ht="28.8" x14ac:dyDescent="0.55000000000000004">
      <c r="A298" t="s">
        <v>138</v>
      </c>
      <c r="B298" s="1" t="s">
        <v>1031</v>
      </c>
      <c r="C298" t="s">
        <v>188</v>
      </c>
      <c r="D298" t="s">
        <v>189</v>
      </c>
      <c r="E298" t="s">
        <v>313</v>
      </c>
      <c r="F298" s="1" t="s">
        <v>1032</v>
      </c>
      <c r="H298" s="1" t="s">
        <v>1033</v>
      </c>
      <c r="I298" s="1" t="s">
        <v>451</v>
      </c>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1:42" ht="28.8" x14ac:dyDescent="0.55000000000000004">
      <c r="A299" t="s">
        <v>138</v>
      </c>
      <c r="B299" s="1" t="s">
        <v>1034</v>
      </c>
      <c r="C299" t="s">
        <v>140</v>
      </c>
      <c r="D299" t="s">
        <v>141</v>
      </c>
      <c r="E299" t="s">
        <v>146</v>
      </c>
      <c r="F299" s="1" t="s">
        <v>1035</v>
      </c>
      <c r="H299" s="1" t="s">
        <v>1036</v>
      </c>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1:42" ht="28.8" x14ac:dyDescent="0.55000000000000004">
      <c r="A300" t="s">
        <v>138</v>
      </c>
      <c r="B300" s="1" t="s">
        <v>1037</v>
      </c>
      <c r="C300" t="s">
        <v>140</v>
      </c>
      <c r="D300" t="s">
        <v>141</v>
      </c>
      <c r="E300" t="s">
        <v>273</v>
      </c>
      <c r="F300" s="1" t="s">
        <v>1038</v>
      </c>
      <c r="H300" s="1" t="s">
        <v>1039</v>
      </c>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1:42" ht="43.2" x14ac:dyDescent="0.55000000000000004">
      <c r="A301" t="s">
        <v>138</v>
      </c>
      <c r="B301" s="1" t="s">
        <v>1040</v>
      </c>
      <c r="C301" t="s">
        <v>140</v>
      </c>
      <c r="D301" t="s">
        <v>151</v>
      </c>
      <c r="E301">
        <v>1</v>
      </c>
      <c r="F301" s="1" t="s">
        <v>1041</v>
      </c>
      <c r="H301" s="1" t="s">
        <v>1042</v>
      </c>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1:42" ht="43.2" x14ac:dyDescent="0.55000000000000004">
      <c r="A302" t="s">
        <v>138</v>
      </c>
      <c r="B302" s="1" t="s">
        <v>1043</v>
      </c>
      <c r="C302" t="s">
        <v>140</v>
      </c>
      <c r="D302" t="s">
        <v>151</v>
      </c>
      <c r="E302">
        <v>1</v>
      </c>
      <c r="F302" s="1" t="s">
        <v>1044</v>
      </c>
      <c r="H302" s="1" t="s">
        <v>1045</v>
      </c>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1:42" ht="43.2" x14ac:dyDescent="0.55000000000000004">
      <c r="A303" t="s">
        <v>138</v>
      </c>
      <c r="B303" s="1" t="s">
        <v>1046</v>
      </c>
      <c r="C303" t="s">
        <v>140</v>
      </c>
      <c r="D303" t="s">
        <v>151</v>
      </c>
      <c r="E303">
        <v>1</v>
      </c>
      <c r="F303" s="1" t="s">
        <v>1041</v>
      </c>
      <c r="H303" s="1" t="s">
        <v>1047</v>
      </c>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1:42" ht="43.2" x14ac:dyDescent="0.55000000000000004">
      <c r="A304" t="s">
        <v>138</v>
      </c>
      <c r="B304" s="1" t="s">
        <v>1048</v>
      </c>
      <c r="C304" t="s">
        <v>140</v>
      </c>
      <c r="D304" t="s">
        <v>151</v>
      </c>
      <c r="E304">
        <v>1</v>
      </c>
      <c r="F304" s="1" t="s">
        <v>1049</v>
      </c>
      <c r="H304" s="1" t="s">
        <v>1050</v>
      </c>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1:42" ht="43.2" x14ac:dyDescent="0.55000000000000004">
      <c r="A305" t="s">
        <v>138</v>
      </c>
      <c r="B305" s="1" t="s">
        <v>1051</v>
      </c>
      <c r="C305" t="s">
        <v>140</v>
      </c>
      <c r="D305" t="s">
        <v>151</v>
      </c>
      <c r="E305" t="s">
        <v>146</v>
      </c>
      <c r="F305" s="1" t="s">
        <v>1052</v>
      </c>
      <c r="H305" s="1" t="s">
        <v>1053</v>
      </c>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1:42" ht="43.2" x14ac:dyDescent="0.55000000000000004">
      <c r="A306" t="s">
        <v>138</v>
      </c>
      <c r="B306" s="1" t="s">
        <v>1054</v>
      </c>
      <c r="C306" t="s">
        <v>140</v>
      </c>
      <c r="D306" t="s">
        <v>151</v>
      </c>
      <c r="E306">
        <v>1</v>
      </c>
      <c r="F306" s="1" t="s">
        <v>1055</v>
      </c>
      <c r="H306" s="1" t="s">
        <v>1056</v>
      </c>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1:42" ht="43.2" x14ac:dyDescent="0.55000000000000004">
      <c r="A307" t="s">
        <v>138</v>
      </c>
      <c r="B307" s="1" t="s">
        <v>1057</v>
      </c>
      <c r="C307" t="s">
        <v>140</v>
      </c>
      <c r="D307" t="s">
        <v>151</v>
      </c>
      <c r="E307">
        <v>1</v>
      </c>
      <c r="F307" s="1" t="s">
        <v>1058</v>
      </c>
      <c r="H307" s="1" t="s">
        <v>1059</v>
      </c>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1:42" ht="43.2" x14ac:dyDescent="0.55000000000000004">
      <c r="A308" t="s">
        <v>138</v>
      </c>
      <c r="B308" s="1" t="s">
        <v>1060</v>
      </c>
      <c r="C308" t="s">
        <v>140</v>
      </c>
      <c r="D308" t="s">
        <v>151</v>
      </c>
      <c r="E308">
        <v>1</v>
      </c>
      <c r="F308" s="1" t="s">
        <v>1061</v>
      </c>
      <c r="H308" s="1" t="s">
        <v>1062</v>
      </c>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1:42" ht="34.15" customHeight="1" x14ac:dyDescent="0.55000000000000004">
      <c r="A309" t="s">
        <v>138</v>
      </c>
      <c r="B309" s="1" t="s">
        <v>1063</v>
      </c>
      <c r="C309" t="s">
        <v>140</v>
      </c>
      <c r="D309" t="s">
        <v>151</v>
      </c>
      <c r="E309">
        <v>1</v>
      </c>
      <c r="F309" s="1" t="s">
        <v>1064</v>
      </c>
      <c r="H309" s="1" t="s">
        <v>1065</v>
      </c>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1:42" ht="86.4" x14ac:dyDescent="0.55000000000000004">
      <c r="A310" t="s">
        <v>138</v>
      </c>
      <c r="B310" s="1" t="s">
        <v>1066</v>
      </c>
      <c r="C310" t="s">
        <v>150</v>
      </c>
      <c r="D310" t="s">
        <v>175</v>
      </c>
      <c r="E310" t="s">
        <v>391</v>
      </c>
      <c r="F310" s="1">
        <v>20</v>
      </c>
      <c r="G310" s="1" t="s">
        <v>1067</v>
      </c>
      <c r="H310" s="1" t="s">
        <v>1068</v>
      </c>
      <c r="I310" s="1" t="s">
        <v>1069</v>
      </c>
      <c r="J310" s="1" t="s">
        <v>1070</v>
      </c>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1:42" ht="57.6" x14ac:dyDescent="0.55000000000000004">
      <c r="A311" t="s">
        <v>138</v>
      </c>
      <c r="B311" s="1" t="s">
        <v>1071</v>
      </c>
      <c r="C311" t="s">
        <v>260</v>
      </c>
      <c r="D311" t="s">
        <v>141</v>
      </c>
      <c r="E311" t="s">
        <v>313</v>
      </c>
      <c r="F311" s="1" t="s">
        <v>1072</v>
      </c>
      <c r="H311" s="1" t="s">
        <v>1073</v>
      </c>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1:42" ht="57.6" x14ac:dyDescent="0.55000000000000004">
      <c r="A312" t="s">
        <v>138</v>
      </c>
      <c r="B312" s="1" t="s">
        <v>1074</v>
      </c>
      <c r="C312" t="s">
        <v>140</v>
      </c>
      <c r="D312" t="s">
        <v>141</v>
      </c>
      <c r="E312" t="s">
        <v>313</v>
      </c>
      <c r="F312" s="1" t="s">
        <v>1075</v>
      </c>
      <c r="H312" s="1" t="s">
        <v>1076</v>
      </c>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1:42" ht="43.2" x14ac:dyDescent="0.55000000000000004">
      <c r="A313" t="s">
        <v>138</v>
      </c>
      <c r="B313" s="1" t="s">
        <v>1077</v>
      </c>
      <c r="C313" t="s">
        <v>188</v>
      </c>
      <c r="D313" t="s">
        <v>189</v>
      </c>
      <c r="E313" t="s">
        <v>313</v>
      </c>
      <c r="F313" s="1" t="s">
        <v>1078</v>
      </c>
      <c r="H313" s="1" t="s">
        <v>1079</v>
      </c>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1:42" ht="57.6" x14ac:dyDescent="0.55000000000000004">
      <c r="A314" t="s">
        <v>138</v>
      </c>
      <c r="B314" s="1" t="s">
        <v>1080</v>
      </c>
      <c r="C314" t="s">
        <v>140</v>
      </c>
      <c r="D314" t="s">
        <v>141</v>
      </c>
      <c r="E314">
        <v>1</v>
      </c>
      <c r="F314" s="1" t="s">
        <v>1081</v>
      </c>
      <c r="H314" s="1" t="s">
        <v>1082</v>
      </c>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1:42" ht="57.6" x14ac:dyDescent="0.55000000000000004">
      <c r="A315" t="s">
        <v>138</v>
      </c>
      <c r="B315" s="1" t="s">
        <v>1083</v>
      </c>
      <c r="C315" t="s">
        <v>150</v>
      </c>
      <c r="D315" t="s">
        <v>175</v>
      </c>
      <c r="E315" t="s">
        <v>391</v>
      </c>
      <c r="F315" s="1">
        <v>2</v>
      </c>
      <c r="G315" s="1" t="s">
        <v>1084</v>
      </c>
      <c r="H315" s="1" t="s">
        <v>1085</v>
      </c>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1:42" ht="57.6" x14ac:dyDescent="0.55000000000000004">
      <c r="A316" t="s">
        <v>138</v>
      </c>
      <c r="B316" s="1" t="s">
        <v>1086</v>
      </c>
      <c r="C316" t="s">
        <v>260</v>
      </c>
      <c r="D316" t="s">
        <v>141</v>
      </c>
      <c r="E316" t="s">
        <v>313</v>
      </c>
      <c r="F316" s="1" t="s">
        <v>1087</v>
      </c>
      <c r="H316" s="1" t="s">
        <v>1088</v>
      </c>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1:42" ht="57.6" x14ac:dyDescent="0.55000000000000004">
      <c r="A317" t="s">
        <v>138</v>
      </c>
      <c r="B317" s="1" t="s">
        <v>1089</v>
      </c>
      <c r="C317" t="s">
        <v>140</v>
      </c>
      <c r="D317" t="s">
        <v>141</v>
      </c>
      <c r="E317" t="s">
        <v>313</v>
      </c>
      <c r="F317" s="1" t="s">
        <v>1090</v>
      </c>
      <c r="H317" s="1" t="s">
        <v>1091</v>
      </c>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1:42" ht="43.2" x14ac:dyDescent="0.55000000000000004">
      <c r="A318" t="s">
        <v>138</v>
      </c>
      <c r="B318" s="1" t="s">
        <v>1092</v>
      </c>
      <c r="C318" t="s">
        <v>188</v>
      </c>
      <c r="D318" t="s">
        <v>189</v>
      </c>
      <c r="E318" t="s">
        <v>313</v>
      </c>
      <c r="F318" s="1" t="s">
        <v>1093</v>
      </c>
      <c r="H318" s="1" t="s">
        <v>1094</v>
      </c>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1:42" ht="57.6" x14ac:dyDescent="0.55000000000000004">
      <c r="A319" t="s">
        <v>138</v>
      </c>
      <c r="B319" s="1" t="s">
        <v>1095</v>
      </c>
      <c r="C319" t="s">
        <v>140</v>
      </c>
      <c r="D319" t="s">
        <v>141</v>
      </c>
      <c r="E319" t="s">
        <v>146</v>
      </c>
      <c r="F319" s="1" t="s">
        <v>1096</v>
      </c>
      <c r="H319" s="1" t="s">
        <v>1097</v>
      </c>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1:42" ht="72" x14ac:dyDescent="0.55000000000000004">
      <c r="A320" t="s">
        <v>138</v>
      </c>
      <c r="B320" s="1" t="s">
        <v>1098</v>
      </c>
      <c r="C320" t="s">
        <v>150</v>
      </c>
      <c r="D320" t="s">
        <v>175</v>
      </c>
      <c r="E320" t="s">
        <v>152</v>
      </c>
      <c r="G320" s="1" t="s">
        <v>379</v>
      </c>
      <c r="H320" s="1" t="s">
        <v>1099</v>
      </c>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1:42" ht="28.8" x14ac:dyDescent="0.55000000000000004">
      <c r="A321" t="s">
        <v>138</v>
      </c>
      <c r="B321" s="1" t="s">
        <v>1100</v>
      </c>
      <c r="C321" t="s">
        <v>150</v>
      </c>
      <c r="D321" t="s">
        <v>151</v>
      </c>
      <c r="E321" t="s">
        <v>152</v>
      </c>
      <c r="F321" s="1">
        <v>0.201234</v>
      </c>
      <c r="G321" s="1" t="s">
        <v>153</v>
      </c>
      <c r="H321" s="1" t="s">
        <v>1101</v>
      </c>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1:42" ht="28.8" x14ac:dyDescent="0.55000000000000004">
      <c r="A322" t="s">
        <v>138</v>
      </c>
      <c r="B322" s="1" t="s">
        <v>1102</v>
      </c>
      <c r="C322" t="s">
        <v>150</v>
      </c>
      <c r="D322" t="s">
        <v>151</v>
      </c>
      <c r="E322" t="s">
        <v>152</v>
      </c>
      <c r="F322" s="1">
        <v>0.83988700000000005</v>
      </c>
      <c r="G322" s="1" t="s">
        <v>153</v>
      </c>
      <c r="H322" s="1" t="s">
        <v>1103</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1:42" ht="28.8" x14ac:dyDescent="0.55000000000000004">
      <c r="A323" t="s">
        <v>138</v>
      </c>
      <c r="B323" s="1" t="s">
        <v>1104</v>
      </c>
      <c r="C323" t="s">
        <v>150</v>
      </c>
      <c r="D323" t="s">
        <v>151</v>
      </c>
      <c r="E323" t="s">
        <v>152</v>
      </c>
      <c r="F323" s="1">
        <v>0.79928299999999997</v>
      </c>
      <c r="G323" s="1" t="s">
        <v>153</v>
      </c>
      <c r="H323" s="1" t="s">
        <v>1105</v>
      </c>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1:42" ht="28.8" x14ac:dyDescent="0.55000000000000004">
      <c r="A324" t="s">
        <v>138</v>
      </c>
      <c r="B324" s="1" t="s">
        <v>1106</v>
      </c>
      <c r="C324" t="s">
        <v>150</v>
      </c>
      <c r="D324" t="s">
        <v>151</v>
      </c>
      <c r="E324" t="s">
        <v>152</v>
      </c>
      <c r="F324" s="1">
        <v>0.01</v>
      </c>
      <c r="G324" s="1" t="s">
        <v>153</v>
      </c>
      <c r="H324" s="1" t="s">
        <v>1107</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1:42" ht="28.8" x14ac:dyDescent="0.55000000000000004">
      <c r="A325" t="s">
        <v>138</v>
      </c>
      <c r="B325" s="1" t="s">
        <v>1108</v>
      </c>
      <c r="C325" t="s">
        <v>150</v>
      </c>
      <c r="D325" t="s">
        <v>151</v>
      </c>
      <c r="E325" t="s">
        <v>152</v>
      </c>
      <c r="F325" s="1">
        <v>0.01</v>
      </c>
      <c r="G325" s="1" t="s">
        <v>153</v>
      </c>
      <c r="H325" s="1" t="s">
        <v>1109</v>
      </c>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1:42" ht="28.8" x14ac:dyDescent="0.55000000000000004">
      <c r="A326" t="s">
        <v>138</v>
      </c>
      <c r="B326" s="1" t="s">
        <v>1110</v>
      </c>
      <c r="C326" t="s">
        <v>150</v>
      </c>
      <c r="D326" t="s">
        <v>151</v>
      </c>
      <c r="E326" t="s">
        <v>152</v>
      </c>
      <c r="F326" s="1">
        <v>0.01</v>
      </c>
      <c r="G326" s="1" t="s">
        <v>153</v>
      </c>
      <c r="H326" s="1" t="s">
        <v>1111</v>
      </c>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1:42" ht="28.8" x14ac:dyDescent="0.55000000000000004">
      <c r="A327" t="s">
        <v>138</v>
      </c>
      <c r="B327" s="1" t="s">
        <v>1112</v>
      </c>
      <c r="C327" t="s">
        <v>150</v>
      </c>
      <c r="D327" t="s">
        <v>151</v>
      </c>
      <c r="E327" t="s">
        <v>152</v>
      </c>
      <c r="F327" s="1">
        <v>1.18906</v>
      </c>
      <c r="G327" s="1" t="s">
        <v>153</v>
      </c>
      <c r="H327" s="1" t="s">
        <v>1113</v>
      </c>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1:42" ht="86.4" x14ac:dyDescent="0.55000000000000004">
      <c r="A328" t="s">
        <v>138</v>
      </c>
      <c r="B328" s="1" t="s">
        <v>1114</v>
      </c>
      <c r="C328" t="s">
        <v>150</v>
      </c>
      <c r="D328" t="s">
        <v>175</v>
      </c>
      <c r="E328" t="s">
        <v>146</v>
      </c>
      <c r="F328" s="1">
        <v>0.1</v>
      </c>
      <c r="G328" s="1" t="s">
        <v>1115</v>
      </c>
      <c r="H328" s="1" t="s">
        <v>1116</v>
      </c>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1:42" x14ac:dyDescent="0.55000000000000004">
      <c r="A329" t="s">
        <v>229</v>
      </c>
      <c r="B329" s="1" t="s">
        <v>1117</v>
      </c>
      <c r="C329" t="s">
        <v>150</v>
      </c>
      <c r="D329" t="s">
        <v>231</v>
      </c>
      <c r="E329" t="s">
        <v>146</v>
      </c>
      <c r="F329" s="1" t="s">
        <v>1118</v>
      </c>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1:42" x14ac:dyDescent="0.55000000000000004">
      <c r="A330" t="s">
        <v>688</v>
      </c>
      <c r="B330" s="1" t="s">
        <v>1119</v>
      </c>
      <c r="C330" t="s">
        <v>150</v>
      </c>
      <c r="D330" t="s">
        <v>170</v>
      </c>
      <c r="E330" t="s">
        <v>391</v>
      </c>
      <c r="F330" s="1">
        <v>2021</v>
      </c>
      <c r="H330" s="1" t="s">
        <v>1120</v>
      </c>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1:42" ht="28.8" x14ac:dyDescent="0.55000000000000004">
      <c r="A331" t="s">
        <v>688</v>
      </c>
      <c r="B331" s="1" t="s">
        <v>1121</v>
      </c>
      <c r="C331" t="s">
        <v>150</v>
      </c>
      <c r="D331" t="s">
        <v>170</v>
      </c>
      <c r="E331" t="s">
        <v>152</v>
      </c>
      <c r="F331" s="1">
        <v>0</v>
      </c>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1:42" ht="28.8" x14ac:dyDescent="0.55000000000000004">
      <c r="A332" t="s">
        <v>688</v>
      </c>
      <c r="B332" s="1" t="s">
        <v>1122</v>
      </c>
      <c r="C332" t="s">
        <v>150</v>
      </c>
      <c r="D332" t="s">
        <v>170</v>
      </c>
      <c r="E332" t="s">
        <v>152</v>
      </c>
      <c r="F332" s="1">
        <v>0</v>
      </c>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1:42" ht="28.8" x14ac:dyDescent="0.55000000000000004">
      <c r="A333" t="s">
        <v>688</v>
      </c>
      <c r="B333" s="1" t="s">
        <v>1123</v>
      </c>
      <c r="C333" t="s">
        <v>150</v>
      </c>
      <c r="D333" t="s">
        <v>170</v>
      </c>
      <c r="E333" t="s">
        <v>152</v>
      </c>
      <c r="F333" s="1">
        <v>0</v>
      </c>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1:42" ht="28.8" x14ac:dyDescent="0.55000000000000004">
      <c r="A334" t="s">
        <v>688</v>
      </c>
      <c r="B334" s="1" t="s">
        <v>1124</v>
      </c>
      <c r="C334" t="s">
        <v>150</v>
      </c>
      <c r="D334" t="s">
        <v>170</v>
      </c>
      <c r="E334" t="s">
        <v>152</v>
      </c>
      <c r="F334" s="1">
        <v>0</v>
      </c>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1:42" x14ac:dyDescent="0.55000000000000004">
      <c r="A335" t="s">
        <v>688</v>
      </c>
      <c r="B335" s="1" t="s">
        <v>1125</v>
      </c>
      <c r="C335" t="s">
        <v>150</v>
      </c>
      <c r="D335" t="s">
        <v>170</v>
      </c>
      <c r="E335" t="s">
        <v>152</v>
      </c>
      <c r="F335" s="1">
        <v>0</v>
      </c>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1:42" ht="28.8" x14ac:dyDescent="0.55000000000000004">
      <c r="A336" t="s">
        <v>688</v>
      </c>
      <c r="B336" s="1" t="s">
        <v>1126</v>
      </c>
      <c r="C336" t="s">
        <v>150</v>
      </c>
      <c r="D336" t="s">
        <v>170</v>
      </c>
      <c r="E336" t="s">
        <v>152</v>
      </c>
      <c r="F336" s="1">
        <v>0</v>
      </c>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1:42" ht="28.8" x14ac:dyDescent="0.55000000000000004">
      <c r="A337" t="s">
        <v>138</v>
      </c>
      <c r="B337" s="1" t="s">
        <v>1127</v>
      </c>
      <c r="C337" t="s">
        <v>150</v>
      </c>
      <c r="D337" t="s">
        <v>170</v>
      </c>
      <c r="E337" t="s">
        <v>152</v>
      </c>
      <c r="F337" s="1">
        <v>0</v>
      </c>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1:42" ht="28.8" x14ac:dyDescent="0.55000000000000004">
      <c r="A338" t="s">
        <v>138</v>
      </c>
      <c r="B338" s="1" t="s">
        <v>1128</v>
      </c>
      <c r="C338" t="s">
        <v>150</v>
      </c>
      <c r="D338" t="s">
        <v>170</v>
      </c>
      <c r="E338" t="s">
        <v>152</v>
      </c>
      <c r="F338" s="1">
        <v>0</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1:42" ht="28.8" x14ac:dyDescent="0.55000000000000004">
      <c r="A339" t="s">
        <v>688</v>
      </c>
      <c r="B339" s="1" t="s">
        <v>1129</v>
      </c>
      <c r="C339" t="s">
        <v>150</v>
      </c>
      <c r="D339" t="s">
        <v>170</v>
      </c>
      <c r="E339" t="s">
        <v>152</v>
      </c>
      <c r="F339" s="1">
        <v>0</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1:42" ht="28.8" x14ac:dyDescent="0.55000000000000004">
      <c r="A340" t="s">
        <v>688</v>
      </c>
      <c r="B340" s="1" t="s">
        <v>1130</v>
      </c>
      <c r="C340" t="s">
        <v>150</v>
      </c>
      <c r="D340" t="s">
        <v>170</v>
      </c>
      <c r="E340" t="s">
        <v>152</v>
      </c>
      <c r="F340" s="1">
        <v>0</v>
      </c>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1:42" ht="28.8" x14ac:dyDescent="0.55000000000000004">
      <c r="A341" t="s">
        <v>688</v>
      </c>
      <c r="B341" s="1" t="s">
        <v>1131</v>
      </c>
      <c r="C341" t="s">
        <v>150</v>
      </c>
      <c r="D341" t="s">
        <v>170</v>
      </c>
      <c r="E341" t="s">
        <v>152</v>
      </c>
      <c r="F341" s="1">
        <v>0</v>
      </c>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1:42" ht="28.8" x14ac:dyDescent="0.55000000000000004">
      <c r="A342" t="s">
        <v>688</v>
      </c>
      <c r="B342" s="1" t="s">
        <v>1132</v>
      </c>
      <c r="C342" t="s">
        <v>150</v>
      </c>
      <c r="D342" t="s">
        <v>170</v>
      </c>
      <c r="E342" t="s">
        <v>152</v>
      </c>
      <c r="F342" s="1">
        <v>0</v>
      </c>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1:42" x14ac:dyDescent="0.55000000000000004">
      <c r="A343" t="s">
        <v>688</v>
      </c>
      <c r="B343" s="1" t="s">
        <v>1133</v>
      </c>
      <c r="C343" t="s">
        <v>150</v>
      </c>
      <c r="D343" t="s">
        <v>170</v>
      </c>
      <c r="E343" t="s">
        <v>152</v>
      </c>
      <c r="F343" s="1">
        <v>0</v>
      </c>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1:42" ht="28.8" x14ac:dyDescent="0.55000000000000004">
      <c r="A344" t="s">
        <v>688</v>
      </c>
      <c r="B344" s="1" t="s">
        <v>1134</v>
      </c>
      <c r="C344" t="s">
        <v>150</v>
      </c>
      <c r="D344" t="s">
        <v>170</v>
      </c>
      <c r="E344" t="s">
        <v>152</v>
      </c>
      <c r="F344" s="1">
        <v>0</v>
      </c>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1:42" ht="28.8" x14ac:dyDescent="0.55000000000000004">
      <c r="A345" t="s">
        <v>688</v>
      </c>
      <c r="B345" s="1" t="s">
        <v>1135</v>
      </c>
      <c r="C345" t="s">
        <v>150</v>
      </c>
      <c r="D345" t="s">
        <v>170</v>
      </c>
      <c r="E345" t="s">
        <v>152</v>
      </c>
      <c r="F345" s="1">
        <v>0</v>
      </c>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1:42" ht="28.8" x14ac:dyDescent="0.55000000000000004">
      <c r="A346" t="s">
        <v>688</v>
      </c>
      <c r="B346" s="1" t="s">
        <v>1136</v>
      </c>
      <c r="C346" t="s">
        <v>150</v>
      </c>
      <c r="D346" t="s">
        <v>170</v>
      </c>
      <c r="E346" t="s">
        <v>152</v>
      </c>
      <c r="F346" s="1">
        <v>0</v>
      </c>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1:42" ht="28.8" x14ac:dyDescent="0.55000000000000004">
      <c r="A347" t="s">
        <v>688</v>
      </c>
      <c r="B347" s="1" t="s">
        <v>1137</v>
      </c>
      <c r="C347" t="s">
        <v>150</v>
      </c>
      <c r="D347" t="s">
        <v>170</v>
      </c>
      <c r="E347" t="s">
        <v>152</v>
      </c>
      <c r="F347" s="1">
        <v>0</v>
      </c>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1:42" ht="28.8" x14ac:dyDescent="0.55000000000000004">
      <c r="A348" t="s">
        <v>688</v>
      </c>
      <c r="B348" s="1" t="s">
        <v>1138</v>
      </c>
      <c r="C348" t="s">
        <v>150</v>
      </c>
      <c r="D348" t="s">
        <v>170</v>
      </c>
      <c r="E348" t="s">
        <v>152</v>
      </c>
      <c r="F348" s="1">
        <v>0</v>
      </c>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1:42" ht="28.8" x14ac:dyDescent="0.55000000000000004">
      <c r="A349" t="s">
        <v>688</v>
      </c>
      <c r="B349" s="1" t="s">
        <v>1139</v>
      </c>
      <c r="C349" t="s">
        <v>150</v>
      </c>
      <c r="D349" t="s">
        <v>170</v>
      </c>
      <c r="E349" t="s">
        <v>152</v>
      </c>
      <c r="F349" s="1">
        <v>0</v>
      </c>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1:42" x14ac:dyDescent="0.55000000000000004">
      <c r="A350" t="s">
        <v>688</v>
      </c>
      <c r="B350" s="1" t="s">
        <v>1140</v>
      </c>
      <c r="C350" t="s">
        <v>150</v>
      </c>
      <c r="D350" t="s">
        <v>170</v>
      </c>
      <c r="E350" t="s">
        <v>152</v>
      </c>
      <c r="F350" s="1">
        <v>0</v>
      </c>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1:42" ht="28.8" x14ac:dyDescent="0.55000000000000004">
      <c r="A351" t="s">
        <v>138</v>
      </c>
      <c r="B351" s="1" t="s">
        <v>1141</v>
      </c>
      <c r="C351" t="s">
        <v>150</v>
      </c>
      <c r="D351" t="s">
        <v>170</v>
      </c>
      <c r="E351" t="s">
        <v>152</v>
      </c>
      <c r="F351" s="1">
        <v>0</v>
      </c>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1:42" ht="28.8" x14ac:dyDescent="0.55000000000000004">
      <c r="A352" t="s">
        <v>688</v>
      </c>
      <c r="B352" s="1" t="s">
        <v>1142</v>
      </c>
      <c r="C352" t="s">
        <v>150</v>
      </c>
      <c r="D352" t="s">
        <v>170</v>
      </c>
      <c r="E352" t="s">
        <v>1008</v>
      </c>
      <c r="F352" s="1">
        <v>0</v>
      </c>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1:42" ht="28.8" x14ac:dyDescent="0.55000000000000004">
      <c r="A353" t="s">
        <v>688</v>
      </c>
      <c r="B353" s="1" t="s">
        <v>1143</v>
      </c>
      <c r="C353" t="s">
        <v>150</v>
      </c>
      <c r="D353" t="s">
        <v>170</v>
      </c>
      <c r="E353" t="s">
        <v>152</v>
      </c>
      <c r="F353" s="1">
        <v>0</v>
      </c>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1:42" ht="72" x14ac:dyDescent="0.55000000000000004">
      <c r="A354" t="s">
        <v>688</v>
      </c>
      <c r="B354" s="1" t="s">
        <v>1144</v>
      </c>
      <c r="C354" t="s">
        <v>150</v>
      </c>
      <c r="D354" t="s">
        <v>170</v>
      </c>
      <c r="E354" t="s">
        <v>152</v>
      </c>
      <c r="F354" s="1">
        <v>0</v>
      </c>
      <c r="H354" s="1" t="s">
        <v>1145</v>
      </c>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1:42" ht="72" x14ac:dyDescent="0.55000000000000004">
      <c r="A355" t="s">
        <v>688</v>
      </c>
      <c r="B355" s="1" t="s">
        <v>1146</v>
      </c>
      <c r="C355" t="s">
        <v>150</v>
      </c>
      <c r="D355" t="s">
        <v>170</v>
      </c>
      <c r="E355" t="s">
        <v>152</v>
      </c>
      <c r="F355" s="1">
        <v>0</v>
      </c>
      <c r="H355" s="1" t="s">
        <v>1147</v>
      </c>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1:42" x14ac:dyDescent="0.55000000000000004">
      <c r="A356" t="s">
        <v>688</v>
      </c>
      <c r="B356" s="1" t="s">
        <v>1148</v>
      </c>
      <c r="C356" t="s">
        <v>150</v>
      </c>
      <c r="D356" t="s">
        <v>170</v>
      </c>
      <c r="E356" t="s">
        <v>152</v>
      </c>
      <c r="F356" s="1" t="s">
        <v>1149</v>
      </c>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1:42" ht="28.8" x14ac:dyDescent="0.55000000000000004">
      <c r="A357" t="s">
        <v>688</v>
      </c>
      <c r="B357" s="1" t="s">
        <v>1150</v>
      </c>
      <c r="C357" t="s">
        <v>150</v>
      </c>
      <c r="D357" t="s">
        <v>170</v>
      </c>
      <c r="E357" t="s">
        <v>152</v>
      </c>
      <c r="F357" s="1">
        <v>0</v>
      </c>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1:42" ht="28.8" x14ac:dyDescent="0.55000000000000004">
      <c r="A358" t="s">
        <v>688</v>
      </c>
      <c r="B358" s="1" t="s">
        <v>1151</v>
      </c>
      <c r="C358" t="s">
        <v>150</v>
      </c>
      <c r="D358" t="s">
        <v>170</v>
      </c>
      <c r="E358" t="s">
        <v>152</v>
      </c>
      <c r="F358" s="1">
        <v>0</v>
      </c>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1:42" ht="57.6" x14ac:dyDescent="0.55000000000000004">
      <c r="A359" t="s">
        <v>688</v>
      </c>
      <c r="B359" s="1" t="s">
        <v>1152</v>
      </c>
      <c r="C359" t="s">
        <v>150</v>
      </c>
      <c r="D359" t="s">
        <v>170</v>
      </c>
      <c r="E359" t="s">
        <v>152</v>
      </c>
      <c r="F359" s="1">
        <v>0</v>
      </c>
      <c r="G359" s="1" t="s">
        <v>197</v>
      </c>
      <c r="H359" s="1" t="s">
        <v>1153</v>
      </c>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1:42" x14ac:dyDescent="0.55000000000000004">
      <c r="A360" t="s">
        <v>688</v>
      </c>
      <c r="B360" s="1" t="s">
        <v>1154</v>
      </c>
      <c r="C360" t="s">
        <v>150</v>
      </c>
      <c r="D360" t="s">
        <v>170</v>
      </c>
      <c r="E360" t="s">
        <v>152</v>
      </c>
      <c r="F360" s="1">
        <v>0</v>
      </c>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1:42" x14ac:dyDescent="0.55000000000000004">
      <c r="A361" t="s">
        <v>138</v>
      </c>
      <c r="B361" s="1" t="s">
        <v>1155</v>
      </c>
      <c r="C361" t="s">
        <v>150</v>
      </c>
      <c r="D361" t="s">
        <v>170</v>
      </c>
      <c r="E361" t="s">
        <v>391</v>
      </c>
      <c r="F361" s="1">
        <v>3</v>
      </c>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1:42" ht="72" x14ac:dyDescent="0.55000000000000004">
      <c r="A362" t="s">
        <v>155</v>
      </c>
      <c r="B362" s="1" t="s">
        <v>1156</v>
      </c>
      <c r="C362" t="s">
        <v>160</v>
      </c>
      <c r="D362" t="s">
        <v>161</v>
      </c>
      <c r="E362" t="s">
        <v>273</v>
      </c>
      <c r="F362" s="1" t="s">
        <v>1157</v>
      </c>
      <c r="H362" s="1" t="s">
        <v>1158</v>
      </c>
      <c r="I362" s="1" t="s">
        <v>416</v>
      </c>
      <c r="J362" s="1" t="s">
        <v>1159</v>
      </c>
      <c r="K362" s="12">
        <f>'[1]NSDUH OUD HUD estimates'!B$7</f>
        <v>221122575</v>
      </c>
      <c r="L362" s="12">
        <f>'[1]NSDUH OUD HUD estimates'!C$7</f>
        <v>223279598</v>
      </c>
      <c r="M362" s="12">
        <f>'[1]NSDUH OUD HUD estimates'!D$7</f>
        <v>225635789</v>
      </c>
      <c r="N362" s="12">
        <f>'[1]NSDUH OUD HUD estimates'!E$7</f>
        <v>235143245</v>
      </c>
      <c r="O362" s="12">
        <f>'[1]NSDUH OUD HUD estimates'!F$7</f>
        <v>237682009</v>
      </c>
      <c r="P362" s="12">
        <f>'[1]NSDUH OUD HUD estimates'!G$7</f>
        <v>240514815</v>
      </c>
      <c r="Q362" s="12">
        <f>'[1]NSDUH OUD HUD estimates'!H$7</f>
        <v>243220283</v>
      </c>
      <c r="R362" s="12">
        <f>'[1]NSDUH OUD HUD estimates'!I$7</f>
        <v>246021656</v>
      </c>
      <c r="S362" s="12">
        <f>'[1]NSDUH OUD HUD estimates'!J$7</f>
        <v>247845207</v>
      </c>
      <c r="T362" s="12">
        <f>'[1]NSDUH OUD HUD estimates'!K$7</f>
        <v>249815089</v>
      </c>
      <c r="U362" s="12">
        <f>'[1]NSDUH OUD HUD estimates'!L$7</f>
        <v>251815533</v>
      </c>
      <c r="V362" s="12">
        <f>'[1]NSDUH OUD HUD estimates'!M$7</f>
        <v>253619107</v>
      </c>
      <c r="W362" s="12">
        <f>'[1]NSDUH OUD HUD estimates'!N$7</f>
        <v>257598944</v>
      </c>
      <c r="X362" s="12">
        <f>'[1]NSDUH OUD HUD estimates'!O$7</f>
        <v>260057325</v>
      </c>
      <c r="Y362" s="12">
        <f>'[1]NSDUH OUD HUD estimates'!P$7</f>
        <v>262391455</v>
      </c>
      <c r="Z362" s="12">
        <f>'[1]NSDUH OUD HUD estimates'!Q$7</f>
        <v>265122864</v>
      </c>
      <c r="AA362" s="12">
        <f>'[1]NSDUH OUD HUD estimates'!R$7</f>
        <v>267694489</v>
      </c>
      <c r="AB362" s="12">
        <f>'[1]NSDUH OUD HUD estimates'!S$7</f>
        <v>269430135</v>
      </c>
      <c r="AC362" s="12">
        <f>'[1]NSDUH OUD HUD estimates'!T$7</f>
        <v>272103335</v>
      </c>
      <c r="AD362" s="12">
        <f>'[1]NSDUH OUD HUD estimates'!U$7</f>
        <v>273753043</v>
      </c>
      <c r="AE362" s="12">
        <f>'[1]NSDUH OUD HUD estimates'!V$7</f>
        <v>275221248</v>
      </c>
      <c r="AF362" s="12">
        <f>'[1]NSDUH OUD HUD estimates'!W$7</f>
        <v>277196227.0557394</v>
      </c>
      <c r="AG362" s="12">
        <f>'[1]NSDUH OUD HUD estimates'!X$7</f>
        <v>279162039.54202181</v>
      </c>
      <c r="AH362" s="12">
        <f>'[1]NSDUH OUD HUD estimates'!Y$7</f>
        <v>281115352.1608628</v>
      </c>
      <c r="AI362" s="12">
        <f>'[1]NSDUH OUD HUD estimates'!Z$7</f>
        <v>283051164.9652859</v>
      </c>
      <c r="AJ362" s="12">
        <f>'[1]NSDUH OUD HUD estimates'!AA$7</f>
        <v>284966144.65730661</v>
      </c>
      <c r="AK362" s="12">
        <f>'[1]NSDUH OUD HUD estimates'!AB$7</f>
        <v>286858624.58793288</v>
      </c>
      <c r="AL362" s="12">
        <f>'[1]NSDUH OUD HUD estimates'!AC$7</f>
        <v>288731104.73065287</v>
      </c>
      <c r="AM362" s="12">
        <f>'[1]NSDUH OUD HUD estimates'!AD$7</f>
        <v>290576085.16500187</v>
      </c>
      <c r="AN362" s="12">
        <f>'[1]NSDUH OUD HUD estimates'!AE$7</f>
        <v>292390232.59299541</v>
      </c>
      <c r="AO362" s="12">
        <f>'[1]NSDUH OUD HUD estimates'!AF$7</f>
        <v>294170213.71664917</v>
      </c>
      <c r="AP362" s="12">
        <f>'[1]NSDUH OUD HUD estimates'!AG$7</f>
        <v>295914361.88697094</v>
      </c>
    </row>
    <row r="363" spans="1:42" ht="43.2" x14ac:dyDescent="0.55000000000000004">
      <c r="A363" t="s">
        <v>155</v>
      </c>
      <c r="B363" s="1" t="s">
        <v>1160</v>
      </c>
      <c r="C363" t="s">
        <v>140</v>
      </c>
      <c r="D363" t="s">
        <v>141</v>
      </c>
      <c r="E363" t="s">
        <v>1161</v>
      </c>
      <c r="F363" s="1" t="s">
        <v>1162</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1:42" ht="28.8" x14ac:dyDescent="0.55000000000000004">
      <c r="A364" t="s">
        <v>138</v>
      </c>
      <c r="B364" s="1" t="s">
        <v>1163</v>
      </c>
      <c r="C364" t="s">
        <v>188</v>
      </c>
      <c r="D364" t="s">
        <v>189</v>
      </c>
      <c r="E364" t="s">
        <v>1161</v>
      </c>
      <c r="F364" s="1" t="s">
        <v>1164</v>
      </c>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1:42" ht="28.8" x14ac:dyDescent="0.55000000000000004">
      <c r="A365" t="s">
        <v>138</v>
      </c>
      <c r="B365" s="1" t="s">
        <v>1165</v>
      </c>
      <c r="C365" t="s">
        <v>140</v>
      </c>
      <c r="D365" t="s">
        <v>141</v>
      </c>
      <c r="E365" t="s">
        <v>146</v>
      </c>
      <c r="F365" s="1" t="s">
        <v>1166</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1:42" ht="28.8" x14ac:dyDescent="0.55000000000000004">
      <c r="A366" t="s">
        <v>155</v>
      </c>
      <c r="B366" s="1" t="s">
        <v>1167</v>
      </c>
      <c r="C366" t="s">
        <v>140</v>
      </c>
      <c r="D366" t="s">
        <v>141</v>
      </c>
      <c r="E366" t="s">
        <v>1161</v>
      </c>
      <c r="F366" s="1" t="s">
        <v>1168</v>
      </c>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1:42" ht="57.6" x14ac:dyDescent="0.55000000000000004">
      <c r="A367" t="s">
        <v>229</v>
      </c>
      <c r="B367" s="1" t="s">
        <v>1169</v>
      </c>
      <c r="C367" t="s">
        <v>140</v>
      </c>
      <c r="D367" t="s">
        <v>231</v>
      </c>
      <c r="F367" s="1" t="s">
        <v>1170</v>
      </c>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1:42" ht="72" x14ac:dyDescent="0.55000000000000004">
      <c r="A368" t="s">
        <v>138</v>
      </c>
      <c r="B368" s="1" t="s">
        <v>1171</v>
      </c>
      <c r="C368" t="s">
        <v>140</v>
      </c>
      <c r="D368" t="s">
        <v>183</v>
      </c>
      <c r="E368" t="s">
        <v>146</v>
      </c>
      <c r="F368" s="1" t="s">
        <v>1172</v>
      </c>
      <c r="H368" s="1" t="s">
        <v>1173</v>
      </c>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1:42" ht="28.8" x14ac:dyDescent="0.55000000000000004">
      <c r="A369" t="s">
        <v>138</v>
      </c>
      <c r="B369" s="1" t="s">
        <v>1174</v>
      </c>
      <c r="C369" t="s">
        <v>140</v>
      </c>
      <c r="D369" t="s">
        <v>175</v>
      </c>
      <c r="E369" t="s">
        <v>146</v>
      </c>
      <c r="F369" s="1" t="s">
        <v>1175</v>
      </c>
      <c r="G369" s="1" t="s">
        <v>1176</v>
      </c>
      <c r="H369" s="1" t="s">
        <v>1177</v>
      </c>
      <c r="I369" s="1" t="s">
        <v>1178</v>
      </c>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1:42" ht="43.2" x14ac:dyDescent="0.55000000000000004">
      <c r="A370" t="s">
        <v>138</v>
      </c>
      <c r="B370" s="1" t="s">
        <v>1179</v>
      </c>
      <c r="C370" t="s">
        <v>140</v>
      </c>
      <c r="D370" t="s">
        <v>183</v>
      </c>
      <c r="E370" t="s">
        <v>146</v>
      </c>
      <c r="F370" s="1" t="s">
        <v>1180</v>
      </c>
      <c r="H370" s="1" t="s">
        <v>1181</v>
      </c>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1:42" ht="43.2" x14ac:dyDescent="0.55000000000000004">
      <c r="A371" t="s">
        <v>138</v>
      </c>
      <c r="B371" s="1" t="s">
        <v>1182</v>
      </c>
      <c r="C371" t="s">
        <v>140</v>
      </c>
      <c r="D371" t="s">
        <v>141</v>
      </c>
      <c r="E371" t="s">
        <v>146</v>
      </c>
      <c r="F371" s="1" t="s">
        <v>1183</v>
      </c>
      <c r="H371" s="1" t="s">
        <v>1184</v>
      </c>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1:42" ht="43.2" x14ac:dyDescent="0.55000000000000004">
      <c r="A372" t="s">
        <v>138</v>
      </c>
      <c r="B372" s="1" t="s">
        <v>1185</v>
      </c>
      <c r="C372" t="s">
        <v>140</v>
      </c>
      <c r="D372" t="s">
        <v>141</v>
      </c>
      <c r="E372" t="s">
        <v>146</v>
      </c>
      <c r="F372" s="1" t="s">
        <v>1186</v>
      </c>
      <c r="H372" s="1" t="s">
        <v>1184</v>
      </c>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1:42" ht="57.6" x14ac:dyDescent="0.55000000000000004">
      <c r="A373" t="s">
        <v>138</v>
      </c>
      <c r="B373" s="1" t="s">
        <v>1187</v>
      </c>
      <c r="C373" t="s">
        <v>150</v>
      </c>
      <c r="D373" t="s">
        <v>175</v>
      </c>
      <c r="E373" t="s">
        <v>152</v>
      </c>
      <c r="F373" s="1">
        <v>0.76400000000000001</v>
      </c>
      <c r="G373" s="1" t="s">
        <v>521</v>
      </c>
      <c r="H373" s="1" t="s">
        <v>1188</v>
      </c>
      <c r="I373" s="1" t="s">
        <v>1189</v>
      </c>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1:42" ht="86.4" x14ac:dyDescent="0.55000000000000004">
      <c r="A374" t="s">
        <v>138</v>
      </c>
      <c r="B374" s="1" t="s">
        <v>1190</v>
      </c>
      <c r="C374" t="s">
        <v>140</v>
      </c>
      <c r="D374" t="s">
        <v>141</v>
      </c>
      <c r="E374" t="s">
        <v>146</v>
      </c>
      <c r="F374" s="1" t="s">
        <v>1191</v>
      </c>
      <c r="H374" s="1" t="s">
        <v>1192</v>
      </c>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1:42" ht="273.60000000000002" x14ac:dyDescent="0.55000000000000004">
      <c r="A375" t="s">
        <v>138</v>
      </c>
      <c r="B375" s="1" t="s">
        <v>1193</v>
      </c>
      <c r="C375" t="s">
        <v>150</v>
      </c>
      <c r="D375" t="s">
        <v>175</v>
      </c>
      <c r="E375" t="s">
        <v>152</v>
      </c>
      <c r="F375" s="1">
        <v>0.42399999999999999</v>
      </c>
      <c r="G375" s="1" t="s">
        <v>521</v>
      </c>
      <c r="H375" s="1" t="s">
        <v>1194</v>
      </c>
      <c r="I375" s="1" t="s">
        <v>1195</v>
      </c>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1:42" ht="100.8" x14ac:dyDescent="0.55000000000000004">
      <c r="A376" t="s">
        <v>138</v>
      </c>
      <c r="B376" s="1" t="s">
        <v>1196</v>
      </c>
      <c r="C376" t="s">
        <v>140</v>
      </c>
      <c r="D376" t="s">
        <v>170</v>
      </c>
      <c r="E376" t="s">
        <v>152</v>
      </c>
      <c r="F376" s="1" t="s">
        <v>1197</v>
      </c>
      <c r="G376" s="1" t="s">
        <v>521</v>
      </c>
      <c r="H376" s="1" t="s">
        <v>1198</v>
      </c>
      <c r="I376" s="1" t="s">
        <v>1199</v>
      </c>
      <c r="J376" s="1" t="s">
        <v>619</v>
      </c>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1:42" ht="28.8" x14ac:dyDescent="0.55000000000000004">
      <c r="A377" t="s">
        <v>138</v>
      </c>
      <c r="B377" s="1" t="s">
        <v>1200</v>
      </c>
      <c r="C377" t="s">
        <v>291</v>
      </c>
      <c r="D377" t="s">
        <v>183</v>
      </c>
      <c r="E377" t="s">
        <v>273</v>
      </c>
      <c r="F377" s="1" t="s">
        <v>1201</v>
      </c>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1:42" ht="28.8" x14ac:dyDescent="0.55000000000000004">
      <c r="A378" t="s">
        <v>138</v>
      </c>
      <c r="B378" s="1" t="s">
        <v>1202</v>
      </c>
      <c r="C378" t="s">
        <v>291</v>
      </c>
      <c r="D378" t="s">
        <v>183</v>
      </c>
      <c r="E378" t="s">
        <v>303</v>
      </c>
      <c r="F378" s="1" t="s">
        <v>1203</v>
      </c>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1:42" ht="28.8" x14ac:dyDescent="0.55000000000000004">
      <c r="A379" t="s">
        <v>138</v>
      </c>
      <c r="B379" s="1" t="s">
        <v>1204</v>
      </c>
      <c r="C379" t="s">
        <v>316</v>
      </c>
      <c r="D379" t="s">
        <v>183</v>
      </c>
      <c r="E379" t="s">
        <v>313</v>
      </c>
      <c r="F379" s="1" t="s">
        <v>1205</v>
      </c>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1:42" ht="28.8" x14ac:dyDescent="0.55000000000000004">
      <c r="A380" t="s">
        <v>138</v>
      </c>
      <c r="B380" s="1" t="s">
        <v>1206</v>
      </c>
      <c r="C380" t="s">
        <v>316</v>
      </c>
      <c r="D380" t="s">
        <v>183</v>
      </c>
      <c r="E380" t="s">
        <v>273</v>
      </c>
      <c r="F380" s="1" t="s">
        <v>1207</v>
      </c>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1:42" ht="28.8" x14ac:dyDescent="0.55000000000000004">
      <c r="A381" t="s">
        <v>688</v>
      </c>
      <c r="B381" s="1" t="s">
        <v>1208</v>
      </c>
      <c r="C381" t="s">
        <v>188</v>
      </c>
      <c r="D381" t="s">
        <v>183</v>
      </c>
      <c r="E381" t="s">
        <v>281</v>
      </c>
      <c r="F381" s="1" t="s">
        <v>1209</v>
      </c>
      <c r="H381" s="1" t="s">
        <v>309</v>
      </c>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1:42" ht="43.2" x14ac:dyDescent="0.55000000000000004">
      <c r="A382" t="s">
        <v>688</v>
      </c>
      <c r="B382" s="1" t="s">
        <v>1210</v>
      </c>
      <c r="C382" t="s">
        <v>150</v>
      </c>
      <c r="D382" t="s">
        <v>183</v>
      </c>
      <c r="E382" t="s">
        <v>281</v>
      </c>
      <c r="F382" s="1">
        <v>2030</v>
      </c>
      <c r="H382" s="1" t="s">
        <v>1211</v>
      </c>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1:42" ht="28.8" x14ac:dyDescent="0.55000000000000004">
      <c r="A383" t="s">
        <v>688</v>
      </c>
      <c r="B383" s="1" t="s">
        <v>1212</v>
      </c>
      <c r="C383" t="s">
        <v>150</v>
      </c>
      <c r="D383" t="s">
        <v>183</v>
      </c>
      <c r="E383" t="s">
        <v>391</v>
      </c>
      <c r="F383" s="1">
        <v>2030</v>
      </c>
      <c r="H383" s="1" t="s">
        <v>1213</v>
      </c>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1:42" ht="28.8" x14ac:dyDescent="0.55000000000000004">
      <c r="A384" t="s">
        <v>688</v>
      </c>
      <c r="B384" s="1" t="s">
        <v>1214</v>
      </c>
      <c r="C384" t="s">
        <v>150</v>
      </c>
      <c r="D384" t="s">
        <v>183</v>
      </c>
      <c r="E384" t="s">
        <v>391</v>
      </c>
      <c r="F384" s="1">
        <v>2030</v>
      </c>
      <c r="H384" s="1" t="s">
        <v>1215</v>
      </c>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1:42" ht="28.8" x14ac:dyDescent="0.55000000000000004">
      <c r="A385" t="s">
        <v>688</v>
      </c>
      <c r="B385" s="1" t="s">
        <v>1216</v>
      </c>
      <c r="C385" t="s">
        <v>150</v>
      </c>
      <c r="D385" t="s">
        <v>183</v>
      </c>
      <c r="E385" t="s">
        <v>391</v>
      </c>
      <c r="F385" s="1">
        <v>2030</v>
      </c>
      <c r="H385" s="1" t="s">
        <v>1217</v>
      </c>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1:42" ht="28.8" x14ac:dyDescent="0.55000000000000004">
      <c r="A386" t="s">
        <v>688</v>
      </c>
      <c r="B386" s="1" t="s">
        <v>1218</v>
      </c>
      <c r="C386" t="s">
        <v>150</v>
      </c>
      <c r="D386" t="s">
        <v>183</v>
      </c>
      <c r="E386" t="s">
        <v>391</v>
      </c>
      <c r="F386" s="1">
        <v>2030</v>
      </c>
      <c r="H386" s="1" t="s">
        <v>1219</v>
      </c>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1:42" ht="28.8" x14ac:dyDescent="0.55000000000000004">
      <c r="A387" t="s">
        <v>688</v>
      </c>
      <c r="B387" s="1" t="s">
        <v>1220</v>
      </c>
      <c r="C387" t="s">
        <v>150</v>
      </c>
      <c r="D387" t="s">
        <v>183</v>
      </c>
      <c r="E387" t="s">
        <v>391</v>
      </c>
      <c r="F387" s="1">
        <v>2060</v>
      </c>
      <c r="H387" s="1" t="s">
        <v>1221</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1:42" ht="28.8" x14ac:dyDescent="0.55000000000000004">
      <c r="A388" t="s">
        <v>688</v>
      </c>
      <c r="B388" s="1" t="s">
        <v>1222</v>
      </c>
      <c r="C388" t="s">
        <v>150</v>
      </c>
      <c r="D388" t="s">
        <v>183</v>
      </c>
      <c r="E388" t="s">
        <v>391</v>
      </c>
      <c r="F388" s="1">
        <v>2030</v>
      </c>
      <c r="H388" s="1" t="s">
        <v>1223</v>
      </c>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1:42" ht="43.2" x14ac:dyDescent="0.55000000000000004">
      <c r="A389" t="s">
        <v>688</v>
      </c>
      <c r="B389" s="1" t="s">
        <v>1224</v>
      </c>
      <c r="C389" t="s">
        <v>150</v>
      </c>
      <c r="D389" t="s">
        <v>183</v>
      </c>
      <c r="E389" t="s">
        <v>391</v>
      </c>
      <c r="F389" s="1">
        <v>2030</v>
      </c>
      <c r="H389" s="1" t="s">
        <v>1225</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1:42" ht="28.8" x14ac:dyDescent="0.55000000000000004">
      <c r="A390" t="s">
        <v>688</v>
      </c>
      <c r="B390" s="1" t="s">
        <v>1226</v>
      </c>
      <c r="C390" t="s">
        <v>150</v>
      </c>
      <c r="D390" t="s">
        <v>183</v>
      </c>
      <c r="E390" t="s">
        <v>281</v>
      </c>
      <c r="F390" s="1">
        <v>2030</v>
      </c>
      <c r="H390" s="1" t="s">
        <v>1227</v>
      </c>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1:42" ht="28.8" x14ac:dyDescent="0.55000000000000004">
      <c r="A391" t="s">
        <v>688</v>
      </c>
      <c r="B391" s="1" t="s">
        <v>1228</v>
      </c>
      <c r="C391" t="s">
        <v>150</v>
      </c>
      <c r="D391" t="s">
        <v>183</v>
      </c>
      <c r="E391" t="s">
        <v>391</v>
      </c>
      <c r="F391" s="1">
        <v>2030</v>
      </c>
      <c r="H391" s="1" t="s">
        <v>1229</v>
      </c>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1:42" ht="28.8" x14ac:dyDescent="0.55000000000000004">
      <c r="A392" t="s">
        <v>688</v>
      </c>
      <c r="B392" s="1" t="s">
        <v>1230</v>
      </c>
      <c r="C392" t="s">
        <v>188</v>
      </c>
      <c r="D392" t="s">
        <v>183</v>
      </c>
      <c r="F392" s="1" t="s">
        <v>1231</v>
      </c>
      <c r="H392" s="1" t="s">
        <v>309</v>
      </c>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1:42" ht="57.6" x14ac:dyDescent="0.55000000000000004">
      <c r="A393" t="s">
        <v>688</v>
      </c>
      <c r="B393" s="1" t="s">
        <v>1232</v>
      </c>
      <c r="C393" t="s">
        <v>150</v>
      </c>
      <c r="D393" t="s">
        <v>183</v>
      </c>
      <c r="E393" t="s">
        <v>152</v>
      </c>
      <c r="F393" s="1">
        <v>3.2300000000000002E-2</v>
      </c>
      <c r="H393" s="1" t="s">
        <v>1233</v>
      </c>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1:42" ht="100.8" x14ac:dyDescent="0.55000000000000004">
      <c r="A394" t="s">
        <v>688</v>
      </c>
      <c r="B394" s="1" t="s">
        <v>1234</v>
      </c>
      <c r="C394" t="s">
        <v>150</v>
      </c>
      <c r="D394" t="s">
        <v>183</v>
      </c>
      <c r="E394" t="s">
        <v>1235</v>
      </c>
      <c r="F394" s="1">
        <v>529</v>
      </c>
      <c r="H394" s="1" t="s">
        <v>1236</v>
      </c>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1:42" ht="72" x14ac:dyDescent="0.55000000000000004">
      <c r="A395" t="s">
        <v>688</v>
      </c>
      <c r="B395" s="1" t="s">
        <v>1237</v>
      </c>
      <c r="C395" t="s">
        <v>150</v>
      </c>
      <c r="D395" t="s">
        <v>183</v>
      </c>
      <c r="E395" t="s">
        <v>509</v>
      </c>
      <c r="F395" s="1">
        <v>159043</v>
      </c>
      <c r="H395" s="1" t="s">
        <v>1238</v>
      </c>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1:42" ht="72" x14ac:dyDescent="0.55000000000000004">
      <c r="A396" t="s">
        <v>688</v>
      </c>
      <c r="B396" s="1" t="s">
        <v>1239</v>
      </c>
      <c r="C396" t="s">
        <v>150</v>
      </c>
      <c r="D396" t="s">
        <v>183</v>
      </c>
      <c r="E396" t="s">
        <v>152</v>
      </c>
      <c r="F396" s="1">
        <v>0.77510000000000001</v>
      </c>
      <c r="H396" s="1" t="s">
        <v>1240</v>
      </c>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1:42" ht="57.6" x14ac:dyDescent="0.55000000000000004">
      <c r="A397" t="s">
        <v>688</v>
      </c>
      <c r="B397" s="1" t="s">
        <v>1241</v>
      </c>
      <c r="C397" t="s">
        <v>150</v>
      </c>
      <c r="D397" t="s">
        <v>183</v>
      </c>
      <c r="E397" t="s">
        <v>152</v>
      </c>
      <c r="F397" s="1">
        <v>0.56999999999999995</v>
      </c>
      <c r="H397" s="1" t="s">
        <v>1242</v>
      </c>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1:42" ht="100.8" x14ac:dyDescent="0.55000000000000004">
      <c r="A398" t="s">
        <v>688</v>
      </c>
      <c r="B398" s="1" t="s">
        <v>1243</v>
      </c>
      <c r="C398" t="s">
        <v>150</v>
      </c>
      <c r="D398" t="s">
        <v>183</v>
      </c>
      <c r="E398" t="s">
        <v>509</v>
      </c>
      <c r="F398" s="1">
        <v>750000</v>
      </c>
      <c r="H398" s="1" t="s">
        <v>1244</v>
      </c>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1:42" ht="72" x14ac:dyDescent="0.55000000000000004">
      <c r="A399" t="s">
        <v>688</v>
      </c>
      <c r="B399" s="1" t="s">
        <v>1245</v>
      </c>
      <c r="C399" t="s">
        <v>150</v>
      </c>
      <c r="D399" t="s">
        <v>183</v>
      </c>
      <c r="E399" t="s">
        <v>146</v>
      </c>
      <c r="F399" s="2">
        <v>3359930</v>
      </c>
      <c r="G399" s="3"/>
      <c r="H399" s="1" t="s">
        <v>1246</v>
      </c>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1:42" ht="57.6" x14ac:dyDescent="0.55000000000000004">
      <c r="A400" t="s">
        <v>688</v>
      </c>
      <c r="B400" s="1" t="s">
        <v>1247</v>
      </c>
      <c r="C400" t="s">
        <v>150</v>
      </c>
      <c r="D400" t="s">
        <v>183</v>
      </c>
      <c r="E400" t="s">
        <v>509</v>
      </c>
      <c r="F400" s="2">
        <v>52930700</v>
      </c>
      <c r="G400" s="3"/>
      <c r="H400" s="1" t="s">
        <v>1248</v>
      </c>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1:42" ht="129.6" x14ac:dyDescent="0.55000000000000004">
      <c r="A401" t="s">
        <v>688</v>
      </c>
      <c r="B401" s="1" t="s">
        <v>1249</v>
      </c>
      <c r="C401" t="s">
        <v>150</v>
      </c>
      <c r="D401" t="s">
        <v>183</v>
      </c>
      <c r="E401" t="s">
        <v>1161</v>
      </c>
      <c r="F401" s="1">
        <v>1.98</v>
      </c>
      <c r="H401" s="1" t="s">
        <v>1250</v>
      </c>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1:42" ht="86.4" x14ac:dyDescent="0.55000000000000004">
      <c r="A402" t="s">
        <v>688</v>
      </c>
      <c r="B402" s="1" t="s">
        <v>1251</v>
      </c>
      <c r="C402" t="s">
        <v>150</v>
      </c>
      <c r="D402" t="s">
        <v>183</v>
      </c>
      <c r="E402" t="s">
        <v>509</v>
      </c>
      <c r="F402" s="1">
        <v>45669</v>
      </c>
      <c r="H402" s="1" t="s">
        <v>1252</v>
      </c>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1:42" x14ac:dyDescent="0.55000000000000004">
      <c r="A403" t="s">
        <v>688</v>
      </c>
      <c r="B403" s="1" t="s">
        <v>1253</v>
      </c>
      <c r="C403" t="s">
        <v>140</v>
      </c>
      <c r="D403" t="s">
        <v>183</v>
      </c>
      <c r="E403" t="s">
        <v>146</v>
      </c>
      <c r="F403" s="1" t="s">
        <v>1254</v>
      </c>
      <c r="H403" s="1" t="s">
        <v>309</v>
      </c>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1:42" ht="28.8" x14ac:dyDescent="0.55000000000000004">
      <c r="A404" t="s">
        <v>688</v>
      </c>
      <c r="B404" s="1" t="s">
        <v>1255</v>
      </c>
      <c r="C404" t="s">
        <v>188</v>
      </c>
      <c r="D404" t="s">
        <v>231</v>
      </c>
      <c r="E404" t="s">
        <v>281</v>
      </c>
      <c r="F404" s="1" t="s">
        <v>1256</v>
      </c>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1:42" ht="28.8" x14ac:dyDescent="0.55000000000000004">
      <c r="A405" t="s">
        <v>688</v>
      </c>
      <c r="B405" s="1" t="s">
        <v>1257</v>
      </c>
      <c r="C405" t="s">
        <v>188</v>
      </c>
      <c r="D405" t="s">
        <v>231</v>
      </c>
      <c r="F405" s="1" t="s">
        <v>1258</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1:42" ht="57.6" x14ac:dyDescent="0.55000000000000004">
      <c r="A406" t="s">
        <v>688</v>
      </c>
      <c r="B406" s="1" t="s">
        <v>1259</v>
      </c>
      <c r="C406" t="s">
        <v>140</v>
      </c>
      <c r="D406" t="s">
        <v>183</v>
      </c>
      <c r="F406" s="1" t="s">
        <v>1260</v>
      </c>
      <c r="H406" s="1" t="s">
        <v>1261</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1:42" ht="72" x14ac:dyDescent="0.55000000000000004">
      <c r="A407" t="s">
        <v>138</v>
      </c>
      <c r="B407" s="1" t="s">
        <v>1262</v>
      </c>
      <c r="C407" t="s">
        <v>150</v>
      </c>
      <c r="D407" t="s">
        <v>175</v>
      </c>
      <c r="E407" t="s">
        <v>341</v>
      </c>
      <c r="G407" s="30" t="s">
        <v>226</v>
      </c>
      <c r="H407" s="1" t="s">
        <v>1263</v>
      </c>
      <c r="I407" s="1" t="s">
        <v>1264</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1:42" ht="43.2" x14ac:dyDescent="0.55000000000000004">
      <c r="A408" t="s">
        <v>138</v>
      </c>
      <c r="B408" s="1" t="s">
        <v>1265</v>
      </c>
      <c r="C408" t="s">
        <v>150</v>
      </c>
      <c r="D408" t="s">
        <v>175</v>
      </c>
      <c r="E408" t="s">
        <v>146</v>
      </c>
      <c r="G408" s="1" t="s">
        <v>379</v>
      </c>
      <c r="H408" s="1" t="s">
        <v>1266</v>
      </c>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1:42" ht="28.8" x14ac:dyDescent="0.55000000000000004">
      <c r="A409" t="s">
        <v>138</v>
      </c>
      <c r="B409" s="1" t="s">
        <v>1267</v>
      </c>
      <c r="C409" t="s">
        <v>140</v>
      </c>
      <c r="D409" t="s">
        <v>141</v>
      </c>
      <c r="E409" t="s">
        <v>313</v>
      </c>
      <c r="F409" s="1" t="s">
        <v>1268</v>
      </c>
      <c r="H409" s="1" t="s">
        <v>1269</v>
      </c>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1:42" ht="28.8" x14ac:dyDescent="0.55000000000000004">
      <c r="A410" t="s">
        <v>138</v>
      </c>
      <c r="B410" s="1" t="s">
        <v>1270</v>
      </c>
      <c r="C410" t="s">
        <v>316</v>
      </c>
      <c r="D410" t="s">
        <v>292</v>
      </c>
      <c r="E410" t="s">
        <v>623</v>
      </c>
      <c r="F410" s="1" t="s">
        <v>1271</v>
      </c>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1:42" ht="43.2" x14ac:dyDescent="0.55000000000000004">
      <c r="A411" t="s">
        <v>138</v>
      </c>
      <c r="B411" s="1" t="s">
        <v>1272</v>
      </c>
      <c r="C411" t="s">
        <v>140</v>
      </c>
      <c r="D411" t="s">
        <v>141</v>
      </c>
      <c r="E411" t="s">
        <v>313</v>
      </c>
      <c r="F411" s="1" t="s">
        <v>1273</v>
      </c>
      <c r="H411" s="1" t="s">
        <v>1274</v>
      </c>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1:42" ht="28.8" x14ac:dyDescent="0.55000000000000004">
      <c r="A412" t="s">
        <v>138</v>
      </c>
      <c r="B412" s="1" t="s">
        <v>1275</v>
      </c>
      <c r="C412" t="s">
        <v>316</v>
      </c>
      <c r="D412" t="s">
        <v>292</v>
      </c>
      <c r="E412" t="s">
        <v>313</v>
      </c>
      <c r="F412" s="1" t="s">
        <v>1276</v>
      </c>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1:42" ht="43.2" x14ac:dyDescent="0.55000000000000004">
      <c r="A413" t="s">
        <v>138</v>
      </c>
      <c r="B413" s="1" t="s">
        <v>1277</v>
      </c>
      <c r="C413" t="s">
        <v>140</v>
      </c>
      <c r="D413" t="s">
        <v>141</v>
      </c>
      <c r="E413" t="s">
        <v>313</v>
      </c>
      <c r="F413" s="1" t="s">
        <v>1278</v>
      </c>
      <c r="H413" s="1" t="s">
        <v>1279</v>
      </c>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1:42" ht="28.8" x14ac:dyDescent="0.55000000000000004">
      <c r="A414" t="s">
        <v>138</v>
      </c>
      <c r="B414" s="1" t="s">
        <v>1280</v>
      </c>
      <c r="C414" t="s">
        <v>316</v>
      </c>
      <c r="D414" t="s">
        <v>292</v>
      </c>
      <c r="E414" t="s">
        <v>623</v>
      </c>
      <c r="F414" s="1" t="s">
        <v>1281</v>
      </c>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1:42" ht="43.2" x14ac:dyDescent="0.55000000000000004">
      <c r="A415" t="s">
        <v>138</v>
      </c>
      <c r="B415" s="1" t="s">
        <v>1282</v>
      </c>
      <c r="C415" t="s">
        <v>140</v>
      </c>
      <c r="D415" t="s">
        <v>141</v>
      </c>
      <c r="E415" t="s">
        <v>313</v>
      </c>
      <c r="F415" s="1" t="s">
        <v>1283</v>
      </c>
      <c r="H415" s="1" t="s">
        <v>1284</v>
      </c>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1:42" x14ac:dyDescent="0.55000000000000004">
      <c r="A416" t="s">
        <v>138</v>
      </c>
      <c r="B416" s="1" t="s">
        <v>1285</v>
      </c>
      <c r="C416" t="s">
        <v>140</v>
      </c>
      <c r="D416" t="s">
        <v>141</v>
      </c>
      <c r="E416" t="s">
        <v>146</v>
      </c>
      <c r="F416" s="1" t="s">
        <v>1286</v>
      </c>
      <c r="H416" s="1" t="s">
        <v>309</v>
      </c>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1:42" ht="72" x14ac:dyDescent="0.55000000000000004">
      <c r="A417" t="s">
        <v>138</v>
      </c>
      <c r="B417" s="1" t="s">
        <v>1287</v>
      </c>
      <c r="C417" t="s">
        <v>140</v>
      </c>
      <c r="D417" t="s">
        <v>175</v>
      </c>
      <c r="E417" t="s">
        <v>152</v>
      </c>
      <c r="F417" s="1" t="s">
        <v>1288</v>
      </c>
      <c r="G417" s="1" t="s">
        <v>1289</v>
      </c>
      <c r="H417" s="1" t="s">
        <v>1290</v>
      </c>
      <c r="I417" s="1" t="s">
        <v>1291</v>
      </c>
      <c r="J417" s="1" t="s">
        <v>1292</v>
      </c>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1:42" ht="72" x14ac:dyDescent="0.55000000000000004">
      <c r="A418" t="s">
        <v>138</v>
      </c>
      <c r="B418" s="1" t="s">
        <v>1293</v>
      </c>
      <c r="C418" t="s">
        <v>140</v>
      </c>
      <c r="D418" t="s">
        <v>175</v>
      </c>
      <c r="E418" t="s">
        <v>146</v>
      </c>
      <c r="F418" s="1" t="s">
        <v>1294</v>
      </c>
      <c r="G418" s="1" t="s">
        <v>1289</v>
      </c>
      <c r="H418" s="1" t="s">
        <v>1295</v>
      </c>
      <c r="I418" s="1" t="s">
        <v>1291</v>
      </c>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1:42" ht="72" x14ac:dyDescent="0.55000000000000004">
      <c r="A419" t="s">
        <v>138</v>
      </c>
      <c r="B419" s="1" t="s">
        <v>1296</v>
      </c>
      <c r="C419" t="s">
        <v>140</v>
      </c>
      <c r="D419" t="s">
        <v>175</v>
      </c>
      <c r="E419" t="s">
        <v>146</v>
      </c>
      <c r="F419" s="1" t="s">
        <v>1297</v>
      </c>
      <c r="G419" s="1" t="s">
        <v>1289</v>
      </c>
      <c r="H419" s="1" t="s">
        <v>1298</v>
      </c>
      <c r="I419" s="1" t="s">
        <v>1291</v>
      </c>
      <c r="J419" s="1" t="s">
        <v>1299</v>
      </c>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1:42" ht="115.2" x14ac:dyDescent="0.55000000000000004">
      <c r="A420" t="s">
        <v>138</v>
      </c>
      <c r="B420" s="1" t="s">
        <v>1300</v>
      </c>
      <c r="C420" t="s">
        <v>150</v>
      </c>
      <c r="D420" t="s">
        <v>175</v>
      </c>
      <c r="E420" t="s">
        <v>341</v>
      </c>
      <c r="G420" s="1" t="s">
        <v>226</v>
      </c>
      <c r="H420" s="1" t="s">
        <v>1301</v>
      </c>
      <c r="I420" s="1" t="s">
        <v>1302</v>
      </c>
      <c r="J420" s="1" t="s">
        <v>1303</v>
      </c>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1:42" ht="28.8" x14ac:dyDescent="0.55000000000000004">
      <c r="A421" t="s">
        <v>138</v>
      </c>
      <c r="B421" s="1" t="s">
        <v>1304</v>
      </c>
      <c r="C421" t="s">
        <v>188</v>
      </c>
      <c r="D421" t="s">
        <v>175</v>
      </c>
      <c r="E421" t="s">
        <v>320</v>
      </c>
      <c r="F421" s="1" t="s">
        <v>1305</v>
      </c>
      <c r="H421" s="1" t="s">
        <v>1306</v>
      </c>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1:42" ht="57.6" x14ac:dyDescent="0.55000000000000004">
      <c r="A422" t="s">
        <v>138</v>
      </c>
      <c r="B422" s="1" t="s">
        <v>1307</v>
      </c>
      <c r="C422" t="s">
        <v>150</v>
      </c>
      <c r="D422" t="s">
        <v>175</v>
      </c>
      <c r="E422" t="s">
        <v>152</v>
      </c>
      <c r="G422" s="1" t="s">
        <v>379</v>
      </c>
      <c r="H422" s="1" t="s">
        <v>1308</v>
      </c>
      <c r="J422" s="1" t="s">
        <v>1309</v>
      </c>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1:42" ht="28.8" x14ac:dyDescent="0.55000000000000004">
      <c r="A423" t="s">
        <v>138</v>
      </c>
      <c r="B423" s="1" t="s">
        <v>1310</v>
      </c>
      <c r="C423" t="s">
        <v>188</v>
      </c>
      <c r="D423" t="s">
        <v>175</v>
      </c>
      <c r="E423" t="s">
        <v>320</v>
      </c>
      <c r="F423" s="1" t="s">
        <v>1305</v>
      </c>
      <c r="H423" s="1" t="s">
        <v>1311</v>
      </c>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1:42" ht="43.2" x14ac:dyDescent="0.55000000000000004">
      <c r="A424" t="s">
        <v>138</v>
      </c>
      <c r="B424" s="1" t="s">
        <v>1312</v>
      </c>
      <c r="C424" t="s">
        <v>140</v>
      </c>
      <c r="D424" t="s">
        <v>141</v>
      </c>
      <c r="E424">
        <v>1</v>
      </c>
      <c r="F424" s="1" t="s">
        <v>1313</v>
      </c>
      <c r="H424" s="1" t="s">
        <v>1314</v>
      </c>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1:42" x14ac:dyDescent="0.55000000000000004">
      <c r="A425" t="s">
        <v>138</v>
      </c>
      <c r="B425" s="1" t="s">
        <v>1315</v>
      </c>
      <c r="C425" t="s">
        <v>316</v>
      </c>
      <c r="D425" t="s">
        <v>292</v>
      </c>
      <c r="E425" t="s">
        <v>313</v>
      </c>
      <c r="F425" s="1" t="s">
        <v>1316</v>
      </c>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1:42" ht="28.8" x14ac:dyDescent="0.55000000000000004">
      <c r="A426" t="s">
        <v>138</v>
      </c>
      <c r="B426" s="1" t="s">
        <v>1317</v>
      </c>
      <c r="C426" t="s">
        <v>316</v>
      </c>
      <c r="D426" t="s">
        <v>292</v>
      </c>
      <c r="E426" t="s">
        <v>313</v>
      </c>
      <c r="F426" s="1" t="s">
        <v>1318</v>
      </c>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1:42" ht="28.8" x14ac:dyDescent="0.55000000000000004">
      <c r="A427" t="s">
        <v>138</v>
      </c>
      <c r="B427" s="1" t="s">
        <v>1319</v>
      </c>
      <c r="C427" t="s">
        <v>316</v>
      </c>
      <c r="D427" t="s">
        <v>292</v>
      </c>
      <c r="E427" t="s">
        <v>313</v>
      </c>
      <c r="F427" s="1" t="s">
        <v>1320</v>
      </c>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1:42" ht="57.6" x14ac:dyDescent="0.55000000000000004">
      <c r="A428" t="s">
        <v>229</v>
      </c>
      <c r="B428" s="1" t="s">
        <v>1321</v>
      </c>
      <c r="C428" t="s">
        <v>140</v>
      </c>
      <c r="D428" t="s">
        <v>231</v>
      </c>
      <c r="F428" s="1" t="s">
        <v>1322</v>
      </c>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1:42" x14ac:dyDescent="0.55000000000000004">
      <c r="A429" t="s">
        <v>229</v>
      </c>
      <c r="B429" s="1" t="s">
        <v>1323</v>
      </c>
      <c r="C429" t="s">
        <v>140</v>
      </c>
      <c r="D429" t="s">
        <v>231</v>
      </c>
      <c r="E429" t="s">
        <v>146</v>
      </c>
      <c r="F429" s="1" t="s">
        <v>1324</v>
      </c>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1:42" ht="43.2" x14ac:dyDescent="0.55000000000000004">
      <c r="A430" t="s">
        <v>229</v>
      </c>
      <c r="B430" s="1" t="s">
        <v>1325</v>
      </c>
      <c r="C430" t="s">
        <v>140</v>
      </c>
      <c r="D430" t="s">
        <v>231</v>
      </c>
      <c r="F430" s="1" t="s">
        <v>1326</v>
      </c>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1:42" ht="28.8" x14ac:dyDescent="0.55000000000000004">
      <c r="A431" t="s">
        <v>138</v>
      </c>
      <c r="B431" s="1" t="s">
        <v>1327</v>
      </c>
      <c r="C431" t="s">
        <v>140</v>
      </c>
      <c r="D431" t="s">
        <v>151</v>
      </c>
      <c r="E431" t="s">
        <v>146</v>
      </c>
      <c r="F431" s="1" t="s">
        <v>1328</v>
      </c>
      <c r="H431" s="1" t="s">
        <v>1329</v>
      </c>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1:42" ht="28.8" x14ac:dyDescent="0.55000000000000004">
      <c r="A432" t="s">
        <v>138</v>
      </c>
      <c r="B432" s="1" t="s">
        <v>1330</v>
      </c>
      <c r="C432" t="s">
        <v>140</v>
      </c>
      <c r="D432" t="s">
        <v>151</v>
      </c>
      <c r="E432" t="s">
        <v>146</v>
      </c>
      <c r="F432" s="1" t="s">
        <v>1331</v>
      </c>
      <c r="H432" s="1" t="s">
        <v>1332</v>
      </c>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1:42" ht="28.8" x14ac:dyDescent="0.55000000000000004">
      <c r="A433" t="s">
        <v>138</v>
      </c>
      <c r="B433" s="1" t="s">
        <v>1333</v>
      </c>
      <c r="C433" t="s">
        <v>140</v>
      </c>
      <c r="D433" t="s">
        <v>141</v>
      </c>
      <c r="E433" t="s">
        <v>146</v>
      </c>
      <c r="F433" s="1" t="s">
        <v>1334</v>
      </c>
      <c r="H433" s="1" t="s">
        <v>1332</v>
      </c>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1:42" ht="57.6" x14ac:dyDescent="0.55000000000000004">
      <c r="A434" t="s">
        <v>138</v>
      </c>
      <c r="B434" s="1" t="s">
        <v>1335</v>
      </c>
      <c r="C434" t="s">
        <v>140</v>
      </c>
      <c r="D434" t="s">
        <v>141</v>
      </c>
      <c r="E434" t="s">
        <v>146</v>
      </c>
      <c r="F434" s="1" t="s">
        <v>1336</v>
      </c>
      <c r="H434" s="1" t="s">
        <v>1337</v>
      </c>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1:42" ht="28.8" x14ac:dyDescent="0.55000000000000004">
      <c r="A435" t="s">
        <v>138</v>
      </c>
      <c r="B435" s="1" t="s">
        <v>1338</v>
      </c>
      <c r="C435" t="s">
        <v>140</v>
      </c>
      <c r="D435" t="s">
        <v>141</v>
      </c>
      <c r="E435" t="s">
        <v>146</v>
      </c>
      <c r="F435" s="1" t="s">
        <v>1339</v>
      </c>
      <c r="H435" s="1" t="s">
        <v>1340</v>
      </c>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1:42" ht="28.8" x14ac:dyDescent="0.55000000000000004">
      <c r="A436" t="s">
        <v>138</v>
      </c>
      <c r="B436" s="1" t="s">
        <v>1341</v>
      </c>
      <c r="C436" t="s">
        <v>140</v>
      </c>
      <c r="D436" t="s">
        <v>141</v>
      </c>
      <c r="E436" t="s">
        <v>146</v>
      </c>
      <c r="F436" s="1" t="s">
        <v>1342</v>
      </c>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1:42" ht="216" x14ac:dyDescent="0.55000000000000004">
      <c r="A437" t="s">
        <v>138</v>
      </c>
      <c r="B437" s="1" t="s">
        <v>1343</v>
      </c>
      <c r="C437" t="s">
        <v>150</v>
      </c>
      <c r="D437" t="s">
        <v>151</v>
      </c>
      <c r="E437" t="s">
        <v>152</v>
      </c>
      <c r="F437" s="1">
        <v>1.43936</v>
      </c>
      <c r="G437" s="1" t="s">
        <v>153</v>
      </c>
      <c r="H437" s="1" t="s">
        <v>1344</v>
      </c>
      <c r="J437" s="1" t="s">
        <v>1345</v>
      </c>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1:42" ht="28.8" x14ac:dyDescent="0.55000000000000004">
      <c r="A438" t="s">
        <v>138</v>
      </c>
      <c r="B438" s="1" t="s">
        <v>1346</v>
      </c>
      <c r="C438" t="s">
        <v>150</v>
      </c>
      <c r="D438" t="s">
        <v>151</v>
      </c>
      <c r="E438" t="s">
        <v>152</v>
      </c>
      <c r="F438" s="1">
        <v>0.40723900000000002</v>
      </c>
      <c r="G438" s="1" t="s">
        <v>153</v>
      </c>
      <c r="H438" s="1" t="s">
        <v>1347</v>
      </c>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1:42" ht="28.8" x14ac:dyDescent="0.55000000000000004">
      <c r="A439" t="s">
        <v>138</v>
      </c>
      <c r="B439" s="1" t="s">
        <v>1348</v>
      </c>
      <c r="C439" t="s">
        <v>150</v>
      </c>
      <c r="D439" t="s">
        <v>151</v>
      </c>
      <c r="E439" t="s">
        <v>152</v>
      </c>
      <c r="F439" s="1">
        <v>1.23346</v>
      </c>
      <c r="G439" s="1" t="s">
        <v>153</v>
      </c>
      <c r="H439" s="1" t="s">
        <v>1349</v>
      </c>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1:42" ht="172.8" x14ac:dyDescent="0.55000000000000004">
      <c r="A440" t="s">
        <v>138</v>
      </c>
      <c r="B440" s="1" t="s">
        <v>1350</v>
      </c>
      <c r="C440" t="s">
        <v>140</v>
      </c>
      <c r="D440" t="s">
        <v>141</v>
      </c>
      <c r="E440" t="s">
        <v>1351</v>
      </c>
      <c r="F440" s="1" t="s">
        <v>1352</v>
      </c>
      <c r="H440" s="1" t="s">
        <v>1353</v>
      </c>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1:42" ht="57.6" x14ac:dyDescent="0.55000000000000004">
      <c r="A441" t="s">
        <v>138</v>
      </c>
      <c r="B441" s="1" t="s">
        <v>1354</v>
      </c>
      <c r="C441" t="s">
        <v>188</v>
      </c>
      <c r="D441" t="s">
        <v>141</v>
      </c>
      <c r="E441" t="s">
        <v>1355</v>
      </c>
      <c r="F441" s="1" t="s">
        <v>1356</v>
      </c>
      <c r="H441" s="1" t="s">
        <v>1357</v>
      </c>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1:42" ht="57.6" x14ac:dyDescent="0.55000000000000004">
      <c r="A442" t="s">
        <v>138</v>
      </c>
      <c r="B442" s="1" t="s">
        <v>1358</v>
      </c>
      <c r="C442" t="s">
        <v>140</v>
      </c>
      <c r="D442" t="s">
        <v>141</v>
      </c>
      <c r="E442" t="s">
        <v>146</v>
      </c>
      <c r="F442" s="1" t="s">
        <v>1359</v>
      </c>
      <c r="H442" s="1" t="s">
        <v>1360</v>
      </c>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1:42" ht="43.2" x14ac:dyDescent="0.55000000000000004">
      <c r="A443" t="s">
        <v>138</v>
      </c>
      <c r="B443" s="1" t="s">
        <v>1361</v>
      </c>
      <c r="C443" t="s">
        <v>150</v>
      </c>
      <c r="D443" t="s">
        <v>175</v>
      </c>
      <c r="E443" t="s">
        <v>1362</v>
      </c>
      <c r="F443" s="1">
        <v>13000</v>
      </c>
      <c r="G443" s="1" t="s">
        <v>392</v>
      </c>
      <c r="H443" s="1" t="s">
        <v>1363</v>
      </c>
      <c r="I443" s="1" t="s">
        <v>1364</v>
      </c>
      <c r="J443" s="1" t="s">
        <v>1365</v>
      </c>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1:42" ht="43.2" x14ac:dyDescent="0.55000000000000004">
      <c r="A444" t="s">
        <v>138</v>
      </c>
      <c r="B444" s="1" t="s">
        <v>1366</v>
      </c>
      <c r="C444" t="s">
        <v>150</v>
      </c>
      <c r="D444" t="s">
        <v>175</v>
      </c>
      <c r="E444" t="s">
        <v>1362</v>
      </c>
      <c r="F444" s="1">
        <v>4400</v>
      </c>
      <c r="G444" s="1" t="s">
        <v>392</v>
      </c>
      <c r="H444" s="1" t="s">
        <v>1367</v>
      </c>
      <c r="I444" s="1" t="s">
        <v>1364</v>
      </c>
      <c r="J444" s="1" t="s">
        <v>1368</v>
      </c>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1:42" ht="43.2" x14ac:dyDescent="0.55000000000000004">
      <c r="A445" t="s">
        <v>138</v>
      </c>
      <c r="B445" s="1" t="s">
        <v>1369</v>
      </c>
      <c r="C445" t="s">
        <v>150</v>
      </c>
      <c r="D445" t="s">
        <v>175</v>
      </c>
      <c r="E445" t="s">
        <v>1370</v>
      </c>
      <c r="F445" s="1">
        <v>2000</v>
      </c>
      <c r="G445" s="1" t="s">
        <v>392</v>
      </c>
      <c r="H445" s="1" t="s">
        <v>1371</v>
      </c>
      <c r="I445" s="1" t="s">
        <v>1364</v>
      </c>
      <c r="J445" s="1" t="s">
        <v>1372</v>
      </c>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1:42" ht="43.2" x14ac:dyDescent="0.55000000000000004">
      <c r="A446" t="s">
        <v>138</v>
      </c>
      <c r="B446" s="1" t="s">
        <v>1373</v>
      </c>
      <c r="C446" t="s">
        <v>150</v>
      </c>
      <c r="D446" t="s">
        <v>175</v>
      </c>
      <c r="E446" t="s">
        <v>1370</v>
      </c>
      <c r="F446" s="1">
        <v>12000</v>
      </c>
      <c r="G446" s="1" t="s">
        <v>392</v>
      </c>
      <c r="H446" s="1" t="s">
        <v>1374</v>
      </c>
      <c r="I446" s="1" t="s">
        <v>1364</v>
      </c>
      <c r="J446" s="1" t="s">
        <v>1375</v>
      </c>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1:42" ht="43.2" x14ac:dyDescent="0.55000000000000004">
      <c r="A447" t="s">
        <v>138</v>
      </c>
      <c r="B447" s="1" t="s">
        <v>1376</v>
      </c>
      <c r="C447" t="s">
        <v>150</v>
      </c>
      <c r="D447" t="s">
        <v>175</v>
      </c>
      <c r="E447" t="s">
        <v>1370</v>
      </c>
      <c r="F447" s="1">
        <v>17000</v>
      </c>
      <c r="G447" s="1" t="s">
        <v>392</v>
      </c>
      <c r="H447" s="1" t="s">
        <v>1377</v>
      </c>
      <c r="I447" s="1" t="s">
        <v>1364</v>
      </c>
      <c r="J447" s="1" t="s">
        <v>1378</v>
      </c>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1:42" ht="57.6" x14ac:dyDescent="0.55000000000000004">
      <c r="A448" t="s">
        <v>138</v>
      </c>
      <c r="B448" s="1" t="s">
        <v>1379</v>
      </c>
      <c r="C448" t="s">
        <v>291</v>
      </c>
      <c r="D448" t="s">
        <v>292</v>
      </c>
      <c r="E448" t="s">
        <v>509</v>
      </c>
      <c r="F448" s="1" t="s">
        <v>1380</v>
      </c>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1:42" ht="28.8" x14ac:dyDescent="0.55000000000000004">
      <c r="A449" t="s">
        <v>412</v>
      </c>
      <c r="B449" s="1" t="s">
        <v>1381</v>
      </c>
      <c r="C449" t="s">
        <v>150</v>
      </c>
      <c r="D449" t="s">
        <v>487</v>
      </c>
      <c r="E449" t="s">
        <v>509</v>
      </c>
      <c r="F449" s="1" t="s">
        <v>1382</v>
      </c>
      <c r="J449" s="1" t="s">
        <v>1383</v>
      </c>
      <c r="K449" s="1">
        <f>'[1]NSDUH OUD HUD estimates'!B$5</f>
        <v>5590140.5</v>
      </c>
      <c r="L449" s="1">
        <f>'[1]NSDUH OUD HUD estimates'!C$5</f>
        <v>5586577.2699999996</v>
      </c>
      <c r="M449" s="1">
        <f>'[1]NSDUH OUD HUD estimates'!D$5</f>
        <v>6933347.4800000004</v>
      </c>
      <c r="N449" s="1">
        <f>'[1]NSDUH OUD HUD estimates'!E$5</f>
        <v>9225312</v>
      </c>
      <c r="O449" s="1">
        <f>'[1]NSDUH OUD HUD estimates'!F$5</f>
        <v>10003110</v>
      </c>
      <c r="P449" s="1">
        <f>'[1]NSDUH OUD HUD estimates'!G$5</f>
        <v>9389311</v>
      </c>
      <c r="Q449" s="1">
        <f>'[1]NSDUH OUD HUD estimates'!H$5</f>
        <v>9709431</v>
      </c>
      <c r="R449" s="1">
        <f>'[1]NSDUH OUD HUD estimates'!I$5</f>
        <v>10191551</v>
      </c>
      <c r="S449" s="1">
        <f>'[1]NSDUH OUD HUD estimates'!J$5</f>
        <v>10292408</v>
      </c>
      <c r="T449" s="1">
        <f>'[1]NSDUH OUD HUD estimates'!K$5</f>
        <v>9795118</v>
      </c>
      <c r="U449" s="1">
        <f>'[1]NSDUH OUD HUD estimates'!L$5</f>
        <v>9965813</v>
      </c>
      <c r="V449" s="1">
        <f>'[1]NSDUH OUD HUD estimates'!M$5</f>
        <v>9823494</v>
      </c>
      <c r="W449" s="1">
        <f>'[1]NSDUH OUD HUD estimates'!N$5</f>
        <v>8794760</v>
      </c>
      <c r="X449" s="1">
        <f>'[1]NSDUH OUD HUD estimates'!O$5</f>
        <v>9898266</v>
      </c>
      <c r="Y449" s="1">
        <f>'[1]NSDUH OUD HUD estimates'!P$5</f>
        <v>8543367</v>
      </c>
      <c r="Z449" s="1">
        <f>'[1]NSDUH OUD HUD estimates'!Q$5</f>
        <v>7654608</v>
      </c>
      <c r="AA449" s="1">
        <f>'[1]NSDUH OUD HUD estimates'!R$5</f>
        <v>9631764</v>
      </c>
      <c r="AB449" s="1">
        <f>'[1]NSDUH OUD HUD estimates'!S$5</f>
        <v>8783829</v>
      </c>
      <c r="AC449" s="1">
        <f>'[1]NSDUH OUD HUD estimates'!T$5</f>
        <v>8379498</v>
      </c>
      <c r="AD449" s="1">
        <f>'[1]NSDUH OUD HUD estimates'!U$5</f>
        <v>7663420</v>
      </c>
      <c r="AE449" s="1">
        <f>'[1]NSDUH OUD HUD estimates'!V$5</f>
        <v>7798728</v>
      </c>
      <c r="AF449" s="1"/>
      <c r="AG449" s="1"/>
      <c r="AH449" s="1"/>
      <c r="AI449" s="1"/>
      <c r="AJ449" s="1"/>
      <c r="AK449" s="1"/>
      <c r="AL449" s="1"/>
      <c r="AM449" s="1"/>
      <c r="AN449" s="1"/>
      <c r="AO449" s="1"/>
      <c r="AP449" s="1"/>
    </row>
    <row r="450" spans="1:42" ht="28.8" x14ac:dyDescent="0.55000000000000004">
      <c r="A450" t="s">
        <v>412</v>
      </c>
      <c r="B450" s="1" t="s">
        <v>1384</v>
      </c>
      <c r="C450" t="s">
        <v>140</v>
      </c>
      <c r="D450" t="s">
        <v>141</v>
      </c>
      <c r="E450" t="s">
        <v>235</v>
      </c>
      <c r="F450" s="1" t="s">
        <v>1385</v>
      </c>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1:42" x14ac:dyDescent="0.55000000000000004">
      <c r="A451" t="s">
        <v>138</v>
      </c>
      <c r="B451" s="1" t="s">
        <v>1386</v>
      </c>
      <c r="C451" t="s">
        <v>140</v>
      </c>
      <c r="D451" t="s">
        <v>141</v>
      </c>
      <c r="E451" t="s">
        <v>235</v>
      </c>
      <c r="F451" s="1" t="s">
        <v>375</v>
      </c>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1:42" ht="28.8" x14ac:dyDescent="0.55000000000000004">
      <c r="A452" t="s">
        <v>412</v>
      </c>
      <c r="B452" s="1" t="s">
        <v>1387</v>
      </c>
      <c r="C452" t="s">
        <v>140</v>
      </c>
      <c r="D452" t="s">
        <v>141</v>
      </c>
      <c r="E452" t="s">
        <v>273</v>
      </c>
      <c r="F452" s="1" t="s">
        <v>1388</v>
      </c>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1:42" ht="28.8" x14ac:dyDescent="0.55000000000000004">
      <c r="A453" t="s">
        <v>138</v>
      </c>
      <c r="B453" s="1" t="s">
        <v>1389</v>
      </c>
      <c r="C453" t="s">
        <v>140</v>
      </c>
      <c r="D453" t="s">
        <v>141</v>
      </c>
      <c r="E453" t="s">
        <v>235</v>
      </c>
      <c r="F453" s="1" t="s">
        <v>1390</v>
      </c>
      <c r="H453" s="1" t="s">
        <v>1391</v>
      </c>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1:42" ht="43.2" x14ac:dyDescent="0.55000000000000004">
      <c r="A454" t="s">
        <v>138</v>
      </c>
      <c r="B454" s="1" t="s">
        <v>1392</v>
      </c>
      <c r="C454" t="s">
        <v>140</v>
      </c>
      <c r="D454" t="s">
        <v>141</v>
      </c>
      <c r="E454" t="s">
        <v>273</v>
      </c>
      <c r="F454" s="1" t="s">
        <v>1393</v>
      </c>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1:42" ht="28.8" x14ac:dyDescent="0.55000000000000004">
      <c r="A455" t="s">
        <v>138</v>
      </c>
      <c r="B455" s="1" t="s">
        <v>1394</v>
      </c>
      <c r="C455" t="s">
        <v>140</v>
      </c>
      <c r="D455" t="s">
        <v>175</v>
      </c>
      <c r="E455" t="s">
        <v>273</v>
      </c>
      <c r="F455" s="1" t="s">
        <v>1395</v>
      </c>
      <c r="G455" s="1" t="s">
        <v>240</v>
      </c>
      <c r="H455" s="1" t="s">
        <v>1396</v>
      </c>
      <c r="I455" s="1" t="s">
        <v>1397</v>
      </c>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1:42" ht="28.8" x14ac:dyDescent="0.55000000000000004">
      <c r="A456" t="s">
        <v>138</v>
      </c>
      <c r="B456" s="1" t="s">
        <v>1398</v>
      </c>
      <c r="C456" t="s">
        <v>140</v>
      </c>
      <c r="D456" t="s">
        <v>175</v>
      </c>
      <c r="E456" t="s">
        <v>273</v>
      </c>
      <c r="F456" s="1" t="s">
        <v>1399</v>
      </c>
      <c r="G456" s="1" t="s">
        <v>240</v>
      </c>
      <c r="H456" s="1" t="s">
        <v>1400</v>
      </c>
      <c r="I456" s="1" t="s">
        <v>1397</v>
      </c>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1:42" ht="57.6" x14ac:dyDescent="0.55000000000000004">
      <c r="A457" t="s">
        <v>138</v>
      </c>
      <c r="B457" s="1" t="s">
        <v>1401</v>
      </c>
      <c r="C457" t="s">
        <v>291</v>
      </c>
      <c r="D457" t="e">
        <v>#N/A</v>
      </c>
      <c r="E457" t="s">
        <v>273</v>
      </c>
      <c r="F457" s="1" t="s">
        <v>1402</v>
      </c>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1:42" ht="57.6" x14ac:dyDescent="0.55000000000000004">
      <c r="A458" t="s">
        <v>138</v>
      </c>
      <c r="B458" s="1" t="s">
        <v>1403</v>
      </c>
      <c r="C458" t="s">
        <v>291</v>
      </c>
      <c r="D458" t="s">
        <v>292</v>
      </c>
      <c r="E458" t="s">
        <v>273</v>
      </c>
      <c r="F458" s="1" t="s">
        <v>1404</v>
      </c>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1:42" ht="28.8" x14ac:dyDescent="0.55000000000000004">
      <c r="A459" t="s">
        <v>138</v>
      </c>
      <c r="B459" s="1" t="s">
        <v>1405</v>
      </c>
      <c r="C459" t="s">
        <v>291</v>
      </c>
      <c r="D459" t="s">
        <v>292</v>
      </c>
      <c r="E459" t="s">
        <v>273</v>
      </c>
      <c r="F459" s="1" t="s">
        <v>1406</v>
      </c>
      <c r="H459" s="1" t="s">
        <v>1407</v>
      </c>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1:42" ht="28.8" x14ac:dyDescent="0.55000000000000004">
      <c r="A460" t="s">
        <v>138</v>
      </c>
      <c r="B460" s="1" t="s">
        <v>1408</v>
      </c>
      <c r="C460" t="s">
        <v>140</v>
      </c>
      <c r="D460" t="s">
        <v>141</v>
      </c>
      <c r="E460" t="s">
        <v>235</v>
      </c>
      <c r="F460" s="1" t="s">
        <v>1409</v>
      </c>
      <c r="H460" s="1" t="s">
        <v>1410</v>
      </c>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1:42" ht="72" x14ac:dyDescent="0.55000000000000004">
      <c r="A461" t="s">
        <v>138</v>
      </c>
      <c r="B461" s="1" t="s">
        <v>1411</v>
      </c>
      <c r="C461" t="s">
        <v>291</v>
      </c>
      <c r="D461" t="e">
        <v>#N/A</v>
      </c>
      <c r="E461" t="s">
        <v>509</v>
      </c>
      <c r="F461" s="1" t="s">
        <v>1412</v>
      </c>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1:42" x14ac:dyDescent="0.55000000000000004">
      <c r="A462" t="s">
        <v>412</v>
      </c>
      <c r="B462" s="1" t="s">
        <v>1413</v>
      </c>
      <c r="C462" t="s">
        <v>160</v>
      </c>
      <c r="D462" t="s">
        <v>487</v>
      </c>
      <c r="E462" t="s">
        <v>509</v>
      </c>
      <c r="F462" s="1" t="s">
        <v>1414</v>
      </c>
      <c r="H462" s="1" t="s">
        <v>1415</v>
      </c>
      <c r="I462" s="1" t="s">
        <v>416</v>
      </c>
      <c r="J462" s="1" t="s">
        <v>1416</v>
      </c>
      <c r="K462" s="12">
        <f>'[1]NSDUH OUD HUD estimates'!B$2</f>
        <v>770417.1</v>
      </c>
      <c r="L462" s="12">
        <f>'[1]NSDUH OUD HUD estimates'!C$2</f>
        <v>757479.11</v>
      </c>
      <c r="M462" s="12">
        <f>'[1]NSDUH OUD HUD estimates'!D$2</f>
        <v>1109094.96</v>
      </c>
      <c r="N462" s="12">
        <f>'[1]NSDUH OUD HUD estimates'!E$2</f>
        <v>1665919</v>
      </c>
      <c r="O462" s="12">
        <f>'[1]NSDUH OUD HUD estimates'!F$2</f>
        <v>1578238</v>
      </c>
      <c r="P462" s="12">
        <f>'[1]NSDUH OUD HUD estimates'!G$2</f>
        <v>1806262</v>
      </c>
      <c r="Q462" s="12">
        <f>'[1]NSDUH OUD HUD estimates'!H$2</f>
        <v>1754593</v>
      </c>
      <c r="R462" s="12">
        <f>'[1]NSDUH OUD HUD estimates'!I$2</f>
        <v>1768853</v>
      </c>
      <c r="S462" s="12">
        <f>'[1]NSDUH OUD HUD estimates'!J$2</f>
        <v>1967314</v>
      </c>
      <c r="T462" s="12">
        <f>'[1]NSDUH OUD HUD estimates'!K$2</f>
        <v>1912898</v>
      </c>
      <c r="U462" s="12">
        <f>'[1]NSDUH OUD HUD estimates'!L$2</f>
        <v>2039042</v>
      </c>
      <c r="V462" s="12">
        <f>'[1]NSDUH OUD HUD estimates'!M$2</f>
        <v>2140500</v>
      </c>
      <c r="W462" s="12">
        <f>'[1]NSDUH OUD HUD estimates'!N$2</f>
        <v>1898575</v>
      </c>
      <c r="X462" s="12">
        <f>'[1]NSDUH OUD HUD estimates'!O$2</f>
        <v>2301337</v>
      </c>
      <c r="Y462" s="12">
        <f>'[1]NSDUH OUD HUD estimates'!P$2</f>
        <v>1935811</v>
      </c>
      <c r="Z462" s="12">
        <f>'[1]NSDUH OUD HUD estimates'!Q$2</f>
        <v>2015605</v>
      </c>
      <c r="AA462" s="12">
        <f>'[1]NSDUH OUD HUD estimates'!R$2</f>
        <v>2181670</v>
      </c>
      <c r="AB462" s="12">
        <f>'[1]NSDUH OUD HUD estimates'!S$2</f>
        <v>2178982</v>
      </c>
      <c r="AC462" s="12">
        <f>'[1]NSDUH OUD HUD estimates'!T$2</f>
        <v>1804716</v>
      </c>
      <c r="AD462" s="12">
        <f>'[1]NSDUH OUD HUD estimates'!U$2</f>
        <v>1782701</v>
      </c>
      <c r="AE462" s="12">
        <f>'[1]NSDUH OUD HUD estimates'!V$2</f>
        <v>1581223</v>
      </c>
      <c r="AF462" s="1"/>
      <c r="AG462" s="1"/>
      <c r="AH462" s="1"/>
      <c r="AI462" s="1"/>
      <c r="AJ462" s="1"/>
      <c r="AK462" s="1"/>
      <c r="AL462" s="1"/>
      <c r="AM462" s="1"/>
      <c r="AN462" s="1"/>
      <c r="AO462" s="1"/>
      <c r="AP462" s="1"/>
    </row>
    <row r="463" spans="1:42" ht="28.8" x14ac:dyDescent="0.55000000000000004">
      <c r="A463" t="s">
        <v>138</v>
      </c>
      <c r="B463" s="1" t="s">
        <v>1417</v>
      </c>
      <c r="C463" t="s">
        <v>140</v>
      </c>
      <c r="D463" t="s">
        <v>141</v>
      </c>
      <c r="E463" t="s">
        <v>235</v>
      </c>
      <c r="F463" s="1" t="s">
        <v>1418</v>
      </c>
      <c r="H463" s="1" t="s">
        <v>1419</v>
      </c>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1:42" ht="72" x14ac:dyDescent="0.55000000000000004">
      <c r="A464" t="s">
        <v>138</v>
      </c>
      <c r="B464" s="1" t="s">
        <v>1420</v>
      </c>
      <c r="C464" t="s">
        <v>291</v>
      </c>
      <c r="D464" t="e">
        <v>#N/A</v>
      </c>
      <c r="E464" t="s">
        <v>273</v>
      </c>
      <c r="F464" s="1" t="s">
        <v>1421</v>
      </c>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1:42" ht="57.6" x14ac:dyDescent="0.55000000000000004">
      <c r="A465" t="s">
        <v>138</v>
      </c>
      <c r="B465" s="1" t="s">
        <v>1422</v>
      </c>
      <c r="C465" t="s">
        <v>291</v>
      </c>
      <c r="D465" t="s">
        <v>292</v>
      </c>
      <c r="E465" t="s">
        <v>273</v>
      </c>
      <c r="F465" s="1" t="s">
        <v>1423</v>
      </c>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1:42" ht="28.8" x14ac:dyDescent="0.55000000000000004">
      <c r="A466" t="s">
        <v>138</v>
      </c>
      <c r="B466" s="1" t="s">
        <v>1424</v>
      </c>
      <c r="C466" t="s">
        <v>291</v>
      </c>
      <c r="D466" t="s">
        <v>292</v>
      </c>
      <c r="E466" t="s">
        <v>273</v>
      </c>
      <c r="F466" s="1" t="s">
        <v>1425</v>
      </c>
      <c r="H466" s="1" t="s">
        <v>1426</v>
      </c>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1:42" x14ac:dyDescent="0.55000000000000004">
      <c r="A467" t="s">
        <v>412</v>
      </c>
      <c r="B467" s="1" t="s">
        <v>1427</v>
      </c>
      <c r="C467" t="s">
        <v>140</v>
      </c>
      <c r="D467" t="s">
        <v>141</v>
      </c>
      <c r="E467" t="s">
        <v>273</v>
      </c>
      <c r="F467" s="1" t="s">
        <v>1428</v>
      </c>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1:42" ht="28.8" x14ac:dyDescent="0.55000000000000004">
      <c r="A468" t="s">
        <v>138</v>
      </c>
      <c r="B468" s="1" t="s">
        <v>1429</v>
      </c>
      <c r="C468" t="s">
        <v>140</v>
      </c>
      <c r="D468" t="s">
        <v>141</v>
      </c>
      <c r="E468" t="s">
        <v>235</v>
      </c>
      <c r="F468" s="1" t="s">
        <v>1430</v>
      </c>
      <c r="H468" s="1" t="s">
        <v>1431</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1:42" ht="86.4" x14ac:dyDescent="0.55000000000000004">
      <c r="A469" t="s">
        <v>138</v>
      </c>
      <c r="B469" s="1" t="s">
        <v>1432</v>
      </c>
      <c r="C469" t="s">
        <v>291</v>
      </c>
      <c r="D469" t="s">
        <v>292</v>
      </c>
      <c r="E469" t="s">
        <v>509</v>
      </c>
      <c r="F469" s="1" t="s">
        <v>1433</v>
      </c>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1:42" ht="28.8" x14ac:dyDescent="0.55000000000000004">
      <c r="A470" t="s">
        <v>412</v>
      </c>
      <c r="B470" s="1" t="s">
        <v>1428</v>
      </c>
      <c r="C470" t="s">
        <v>150</v>
      </c>
      <c r="D470" t="s">
        <v>487</v>
      </c>
      <c r="E470" t="s">
        <v>509</v>
      </c>
      <c r="F470" s="1" t="s">
        <v>1434</v>
      </c>
      <c r="J470" s="1" t="s">
        <v>1435</v>
      </c>
      <c r="K470" s="12">
        <f>'[1]RAND Adjusted Estimates'!B$4</f>
        <v>37111.385763806698</v>
      </c>
      <c r="L470" s="12">
        <f>'[1]RAND Adjusted Estimates'!C$4</f>
        <v>21928.612370368439</v>
      </c>
      <c r="M470" s="12">
        <f>'[1]RAND Adjusted Estimates'!D$4</f>
        <v>74780.455011275131</v>
      </c>
      <c r="N470" s="12">
        <f>'[1]RAND Adjusted Estimates'!E$4</f>
        <v>108749.05711527202</v>
      </c>
      <c r="O470" s="12">
        <f>'[1]RAND Adjusted Estimates'!F$4</f>
        <v>55584.787275317554</v>
      </c>
      <c r="P470" s="12">
        <f>'[1]RAND Adjusted Estimates'!G$4</f>
        <v>117961.33491232873</v>
      </c>
      <c r="Q470" s="12">
        <f>'[1]RAND Adjusted Estimates'!H$4</f>
        <v>71442.598802368579</v>
      </c>
      <c r="R470" s="12">
        <f>'[1]RAND Adjusted Estimates'!I$4</f>
        <v>87060.847549827129</v>
      </c>
      <c r="S470" s="12">
        <f>'[1]RAND Adjusted Estimates'!J$4</f>
        <v>150572.98498620529</v>
      </c>
      <c r="T470" s="12">
        <f>'[1]RAND Adjusted Estimates'!K$4</f>
        <v>156782.95002603144</v>
      </c>
      <c r="U470" s="12">
        <f>'[1]RAND Adjusted Estimates'!L$4</f>
        <v>224460.99086337516</v>
      </c>
      <c r="V470" s="12">
        <f>'[1]RAND Adjusted Estimates'!M$4</f>
        <v>326888.07956134918</v>
      </c>
      <c r="W470" s="12">
        <f>'[1]RAND Adjusted Estimates'!N$4</f>
        <v>147533.33776981744</v>
      </c>
      <c r="X470" s="12">
        <f>'[1]RAND Adjusted Estimates'!O$4</f>
        <v>164063.16956169935</v>
      </c>
      <c r="Y470" s="12">
        <f>'[1]RAND Adjusted Estimates'!P$4</f>
        <v>156537.16483657941</v>
      </c>
      <c r="Z470" s="12">
        <f>'[1]RAND Adjusted Estimates'!Q$4</f>
        <v>341831.19683904713</v>
      </c>
      <c r="AA470" s="12">
        <f>'[1]RAND Adjusted Estimates'!R$4</f>
        <v>264583.08963772282</v>
      </c>
      <c r="AB470" s="12">
        <f>'[1]RAND Adjusted Estimates'!S$4</f>
        <v>165522.32467376272</v>
      </c>
      <c r="AC470" s="12">
        <f>'[1]RAND Adjusted Estimates'!T$4</f>
        <v>113888.76765925638</v>
      </c>
      <c r="AD470" s="12">
        <f>'[1]RAND Adjusted Estimates'!U$4</f>
        <v>120244.95933078184</v>
      </c>
      <c r="AE470" s="12">
        <f>'[1]RAND Adjusted Estimates'!V$4</f>
        <v>72522.186912999678</v>
      </c>
      <c r="AF470" s="1"/>
      <c r="AG470" s="1"/>
      <c r="AH470" s="1"/>
      <c r="AI470" s="1"/>
      <c r="AJ470" s="1"/>
      <c r="AK470" s="1"/>
      <c r="AL470" s="1"/>
      <c r="AM470" s="1"/>
      <c r="AN470" s="1"/>
      <c r="AO470" s="1"/>
      <c r="AP470" s="1"/>
    </row>
    <row r="471" spans="1:42" ht="28.8" x14ac:dyDescent="0.55000000000000004">
      <c r="A471" t="s">
        <v>138</v>
      </c>
      <c r="B471" s="1" t="s">
        <v>1436</v>
      </c>
      <c r="C471" t="s">
        <v>140</v>
      </c>
      <c r="D471" t="s">
        <v>141</v>
      </c>
      <c r="E471" t="s">
        <v>235</v>
      </c>
      <c r="F471" s="1" t="s">
        <v>1437</v>
      </c>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1:42" ht="28.8" x14ac:dyDescent="0.55000000000000004">
      <c r="A472" t="s">
        <v>412</v>
      </c>
      <c r="B472" s="1" t="s">
        <v>1438</v>
      </c>
      <c r="C472" t="s">
        <v>160</v>
      </c>
      <c r="D472" t="s">
        <v>487</v>
      </c>
      <c r="E472" t="s">
        <v>1439</v>
      </c>
      <c r="F472" s="1" t="s">
        <v>1440</v>
      </c>
      <c r="H472" s="1" t="s">
        <v>1441</v>
      </c>
      <c r="I472" s="1" t="s">
        <v>1442</v>
      </c>
      <c r="K472" s="12"/>
      <c r="L472" s="12"/>
      <c r="M472" s="12"/>
      <c r="N472" s="12"/>
      <c r="O472" s="5"/>
      <c r="P472" s="5"/>
      <c r="Q472" s="5"/>
      <c r="R472" s="5"/>
      <c r="S472" s="5"/>
      <c r="T472" s="5"/>
      <c r="U472" s="5"/>
      <c r="V472" s="5">
        <f>'[1]Heroin and Rx Price'!M$3</f>
        <v>0.74272494700000002</v>
      </c>
      <c r="W472" s="5">
        <f>'[1]Heroin and Rx Price'!N$3</f>
        <v>0.73415333699999996</v>
      </c>
      <c r="X472" s="5">
        <f>'[1]Heroin and Rx Price'!O$3</f>
        <v>0.830865674</v>
      </c>
      <c r="Y472" s="5">
        <f>'[1]Heroin and Rx Price'!P$3</f>
        <v>0.82803807399999996</v>
      </c>
      <c r="Z472" s="5">
        <f>'[1]Heroin and Rx Price'!Q$3</f>
        <v>0.77878078799999995</v>
      </c>
      <c r="AA472" s="5">
        <f>'[1]Heroin and Rx Price'!R$3</f>
        <v>0.77209737700000003</v>
      </c>
      <c r="AB472" s="5">
        <f>'[1]Heroin and Rx Price'!S$3</f>
        <v>0.76544734000000003</v>
      </c>
      <c r="AC472" s="5">
        <f>'[1]Heroin and Rx Price'!T$3</f>
        <v>0.74997359900000005</v>
      </c>
      <c r="AD472" s="5">
        <f>'[1]Heroin and Rx Price'!U$3</f>
        <v>0.76687717099999997</v>
      </c>
      <c r="AE472" s="5">
        <f>'[1]Heroin and Rx Price'!V$3</f>
        <v>0.76687717099999997</v>
      </c>
      <c r="AF472" s="1"/>
      <c r="AG472" s="1"/>
      <c r="AH472" s="1"/>
      <c r="AI472" s="1"/>
      <c r="AJ472" s="1"/>
      <c r="AK472" s="1"/>
      <c r="AL472" s="1"/>
      <c r="AM472" s="1"/>
      <c r="AN472" s="1"/>
      <c r="AO472" s="1"/>
      <c r="AP472" s="1"/>
    </row>
    <row r="473" spans="1:42" ht="72" x14ac:dyDescent="0.55000000000000004">
      <c r="A473" t="s">
        <v>138</v>
      </c>
      <c r="B473" s="1" t="s">
        <v>1443</v>
      </c>
      <c r="C473" t="s">
        <v>291</v>
      </c>
      <c r="D473" t="s">
        <v>292</v>
      </c>
      <c r="E473" t="s">
        <v>146</v>
      </c>
      <c r="F473" s="1" t="s">
        <v>1444</v>
      </c>
      <c r="H473" s="1" t="s">
        <v>1445</v>
      </c>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1:42" ht="28.8" x14ac:dyDescent="0.55000000000000004">
      <c r="A474" t="s">
        <v>138</v>
      </c>
      <c r="B474" s="1" t="s">
        <v>1446</v>
      </c>
      <c r="C474" t="s">
        <v>140</v>
      </c>
      <c r="D474" t="s">
        <v>170</v>
      </c>
      <c r="E474" t="s">
        <v>142</v>
      </c>
      <c r="F474" s="1" t="s">
        <v>1447</v>
      </c>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1:42" ht="28.8" x14ac:dyDescent="0.55000000000000004">
      <c r="A475" t="s">
        <v>138</v>
      </c>
      <c r="B475" s="1" t="s">
        <v>1448</v>
      </c>
      <c r="C475" t="s">
        <v>316</v>
      </c>
      <c r="D475" t="s">
        <v>292</v>
      </c>
      <c r="E475" t="s">
        <v>320</v>
      </c>
      <c r="F475" s="1" t="s">
        <v>1449</v>
      </c>
      <c r="H475" s="1" t="s">
        <v>1450</v>
      </c>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1:42" x14ac:dyDescent="0.55000000000000004">
      <c r="A476" t="s">
        <v>138</v>
      </c>
      <c r="B476" s="1" t="s">
        <v>1451</v>
      </c>
      <c r="C476" t="s">
        <v>316</v>
      </c>
      <c r="D476" t="s">
        <v>292</v>
      </c>
      <c r="E476" t="s">
        <v>320</v>
      </c>
      <c r="F476" s="1" t="s">
        <v>1452</v>
      </c>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1:42" ht="158.4" x14ac:dyDescent="0.55000000000000004">
      <c r="A477" t="s">
        <v>138</v>
      </c>
      <c r="B477" s="1" t="s">
        <v>1453</v>
      </c>
      <c r="C477" t="s">
        <v>140</v>
      </c>
      <c r="D477" t="s">
        <v>141</v>
      </c>
      <c r="E477" t="s">
        <v>146</v>
      </c>
      <c r="F477" s="1" t="s">
        <v>1454</v>
      </c>
      <c r="H477" s="1" t="s">
        <v>1455</v>
      </c>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1:42" ht="57.6" x14ac:dyDescent="0.55000000000000004">
      <c r="A478" t="s">
        <v>138</v>
      </c>
      <c r="B478" s="1" t="s">
        <v>1456</v>
      </c>
      <c r="C478" t="s">
        <v>140</v>
      </c>
      <c r="D478" t="s">
        <v>170</v>
      </c>
      <c r="E478" t="s">
        <v>146</v>
      </c>
      <c r="F478" s="1" t="s">
        <v>1457</v>
      </c>
      <c r="H478" s="1" t="s">
        <v>1458</v>
      </c>
      <c r="J478" s="1" t="s">
        <v>619</v>
      </c>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1:42" ht="43.2" x14ac:dyDescent="0.55000000000000004">
      <c r="A479" t="s">
        <v>138</v>
      </c>
      <c r="B479" s="1" t="s">
        <v>1459</v>
      </c>
      <c r="C479" t="s">
        <v>140</v>
      </c>
      <c r="D479" t="s">
        <v>151</v>
      </c>
      <c r="E479">
        <v>1</v>
      </c>
      <c r="F479" s="1" t="s">
        <v>1460</v>
      </c>
      <c r="H479" s="1" t="s">
        <v>1461</v>
      </c>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1:42" ht="57.6" x14ac:dyDescent="0.55000000000000004">
      <c r="A480" t="s">
        <v>138</v>
      </c>
      <c r="B480" s="1" t="s">
        <v>1462</v>
      </c>
      <c r="C480" t="s">
        <v>140</v>
      </c>
      <c r="D480" t="s">
        <v>151</v>
      </c>
      <c r="E480" t="s">
        <v>146</v>
      </c>
      <c r="F480" s="1" t="s">
        <v>1463</v>
      </c>
      <c r="H480" s="1" t="s">
        <v>1464</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1:42" ht="57.6" x14ac:dyDescent="0.55000000000000004">
      <c r="A481" t="s">
        <v>138</v>
      </c>
      <c r="B481" s="1" t="s">
        <v>1465</v>
      </c>
      <c r="C481" t="s">
        <v>140</v>
      </c>
      <c r="D481" t="s">
        <v>151</v>
      </c>
      <c r="E481" t="s">
        <v>146</v>
      </c>
      <c r="F481" s="1" t="s">
        <v>1466</v>
      </c>
      <c r="H481" s="1" t="s">
        <v>1467</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1:42" ht="43.2" x14ac:dyDescent="0.55000000000000004">
      <c r="A482" t="s">
        <v>138</v>
      </c>
      <c r="B482" s="1" t="s">
        <v>1468</v>
      </c>
      <c r="C482" t="s">
        <v>150</v>
      </c>
      <c r="D482" t="s">
        <v>151</v>
      </c>
      <c r="E482" t="s">
        <v>152</v>
      </c>
      <c r="G482" s="1" t="s">
        <v>153</v>
      </c>
      <c r="H482" s="1" t="s">
        <v>1469</v>
      </c>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1:42" ht="43.2" x14ac:dyDescent="0.55000000000000004">
      <c r="A483" t="s">
        <v>138</v>
      </c>
      <c r="B483" s="1" t="s">
        <v>1470</v>
      </c>
      <c r="C483" t="s">
        <v>150</v>
      </c>
      <c r="D483" t="s">
        <v>151</v>
      </c>
      <c r="E483" t="s">
        <v>152</v>
      </c>
      <c r="G483" s="1" t="s">
        <v>153</v>
      </c>
      <c r="H483" s="1" t="s">
        <v>1471</v>
      </c>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1:42" ht="43.2" x14ac:dyDescent="0.55000000000000004">
      <c r="A484" t="s">
        <v>138</v>
      </c>
      <c r="B484" s="1" t="s">
        <v>1472</v>
      </c>
      <c r="C484" t="s">
        <v>150</v>
      </c>
      <c r="D484" t="s">
        <v>151</v>
      </c>
      <c r="E484" t="s">
        <v>152</v>
      </c>
      <c r="G484" s="1" t="s">
        <v>153</v>
      </c>
      <c r="H484" s="1" t="s">
        <v>1473</v>
      </c>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1:42" ht="28.8" x14ac:dyDescent="0.55000000000000004">
      <c r="A485" t="s">
        <v>138</v>
      </c>
      <c r="B485" s="1" t="s">
        <v>1474</v>
      </c>
      <c r="C485" t="s">
        <v>140</v>
      </c>
      <c r="D485" t="s">
        <v>141</v>
      </c>
      <c r="E485" t="s">
        <v>146</v>
      </c>
      <c r="F485" s="1" t="s">
        <v>1475</v>
      </c>
      <c r="H485" s="1" t="s">
        <v>1476</v>
      </c>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1:42" ht="28.8" x14ac:dyDescent="0.55000000000000004">
      <c r="A486" t="s">
        <v>138</v>
      </c>
      <c r="B486" s="1" t="s">
        <v>1477</v>
      </c>
      <c r="C486" t="s">
        <v>140</v>
      </c>
      <c r="D486" t="s">
        <v>141</v>
      </c>
      <c r="E486" t="s">
        <v>146</v>
      </c>
      <c r="F486" s="1" t="s">
        <v>1478</v>
      </c>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1:42" x14ac:dyDescent="0.55000000000000004">
      <c r="A487" t="s">
        <v>402</v>
      </c>
      <c r="B487" s="1" t="s">
        <v>1479</v>
      </c>
      <c r="C487" t="s">
        <v>140</v>
      </c>
      <c r="D487" t="s">
        <v>231</v>
      </c>
      <c r="E487" t="s">
        <v>391</v>
      </c>
      <c r="F487" s="1" t="s">
        <v>1480</v>
      </c>
      <c r="H487" s="1" t="s">
        <v>1481</v>
      </c>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1:42" ht="115.2" x14ac:dyDescent="0.55000000000000004">
      <c r="A488" t="s">
        <v>138</v>
      </c>
      <c r="B488" s="1" t="s">
        <v>1482</v>
      </c>
      <c r="C488" t="s">
        <v>150</v>
      </c>
      <c r="D488" t="s">
        <v>151</v>
      </c>
      <c r="E488" t="s">
        <v>152</v>
      </c>
      <c r="F488" s="1">
        <v>1</v>
      </c>
      <c r="G488" s="1" t="s">
        <v>176</v>
      </c>
      <c r="H488" s="1" t="s">
        <v>1483</v>
      </c>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1:42" ht="28.8" x14ac:dyDescent="0.55000000000000004">
      <c r="A489" t="s">
        <v>138</v>
      </c>
      <c r="B489" s="1" t="s">
        <v>1484</v>
      </c>
      <c r="C489" t="s">
        <v>150</v>
      </c>
      <c r="D489" t="s">
        <v>151</v>
      </c>
      <c r="E489" t="s">
        <v>146</v>
      </c>
      <c r="F489" s="1">
        <v>1</v>
      </c>
      <c r="G489" s="1" t="s">
        <v>176</v>
      </c>
      <c r="H489" s="1" t="s">
        <v>1485</v>
      </c>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1:42" ht="28.8" x14ac:dyDescent="0.55000000000000004">
      <c r="A490" t="s">
        <v>138</v>
      </c>
      <c r="B490" s="1" t="s">
        <v>1486</v>
      </c>
      <c r="C490" t="s">
        <v>150</v>
      </c>
      <c r="D490" t="s">
        <v>151</v>
      </c>
      <c r="E490" t="s">
        <v>146</v>
      </c>
      <c r="F490" s="1">
        <v>1</v>
      </c>
      <c r="G490" s="1" t="s">
        <v>176</v>
      </c>
      <c r="H490" s="1" t="s">
        <v>1487</v>
      </c>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1:42" x14ac:dyDescent="0.55000000000000004">
      <c r="A491" t="s">
        <v>138</v>
      </c>
      <c r="B491" s="1" t="s">
        <v>1488</v>
      </c>
      <c r="C491" t="s">
        <v>140</v>
      </c>
      <c r="D491" t="s">
        <v>151</v>
      </c>
      <c r="E491" t="s">
        <v>146</v>
      </c>
      <c r="F491" s="1" t="s">
        <v>1489</v>
      </c>
      <c r="H491" s="1" t="s">
        <v>1490</v>
      </c>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1:42" ht="28.8" x14ac:dyDescent="0.55000000000000004">
      <c r="A492" t="s">
        <v>138</v>
      </c>
      <c r="B492" s="1" t="s">
        <v>1491</v>
      </c>
      <c r="C492" t="s">
        <v>188</v>
      </c>
      <c r="D492" t="s">
        <v>189</v>
      </c>
      <c r="E492" t="s">
        <v>146</v>
      </c>
      <c r="F492" s="1" t="s">
        <v>1492</v>
      </c>
      <c r="H492" s="1" t="s">
        <v>1493</v>
      </c>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1:42" ht="28.8" x14ac:dyDescent="0.55000000000000004">
      <c r="A493" t="s">
        <v>138</v>
      </c>
      <c r="B493" s="1" t="s">
        <v>1494</v>
      </c>
      <c r="C493" t="s">
        <v>140</v>
      </c>
      <c r="D493" t="s">
        <v>151</v>
      </c>
      <c r="E493">
        <v>1</v>
      </c>
      <c r="F493" s="1" t="s">
        <v>1495</v>
      </c>
      <c r="H493" s="1" t="s">
        <v>1496</v>
      </c>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1:42" ht="28.8" x14ac:dyDescent="0.55000000000000004">
      <c r="A494" t="s">
        <v>138</v>
      </c>
      <c r="B494" s="1" t="s">
        <v>1497</v>
      </c>
      <c r="C494" t="s">
        <v>140</v>
      </c>
      <c r="D494" t="s">
        <v>151</v>
      </c>
      <c r="E494" t="s">
        <v>146</v>
      </c>
      <c r="F494" s="1" t="s">
        <v>1498</v>
      </c>
      <c r="H494" s="1" t="s">
        <v>1499</v>
      </c>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1:42" ht="28.8" x14ac:dyDescent="0.55000000000000004">
      <c r="A495" t="s">
        <v>138</v>
      </c>
      <c r="B495" s="1" t="s">
        <v>1500</v>
      </c>
      <c r="C495" t="s">
        <v>188</v>
      </c>
      <c r="D495" t="s">
        <v>189</v>
      </c>
      <c r="E495" t="s">
        <v>146</v>
      </c>
      <c r="F495" s="1" t="s">
        <v>1501</v>
      </c>
      <c r="H495" s="1" t="s">
        <v>1502</v>
      </c>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1:42" ht="28.8" x14ac:dyDescent="0.55000000000000004">
      <c r="A496" t="s">
        <v>138</v>
      </c>
      <c r="B496" s="1" t="s">
        <v>1503</v>
      </c>
      <c r="C496" t="s">
        <v>140</v>
      </c>
      <c r="D496" t="s">
        <v>151</v>
      </c>
      <c r="E496" t="s">
        <v>146</v>
      </c>
      <c r="F496" s="1" t="s">
        <v>1504</v>
      </c>
      <c r="H496" s="1" t="s">
        <v>1505</v>
      </c>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1:42" x14ac:dyDescent="0.55000000000000004">
      <c r="A497" t="s">
        <v>138</v>
      </c>
      <c r="B497" s="1" t="s">
        <v>1506</v>
      </c>
      <c r="C497" t="s">
        <v>140</v>
      </c>
      <c r="D497" t="s">
        <v>151</v>
      </c>
      <c r="E497" t="s">
        <v>146</v>
      </c>
      <c r="F497" s="1" t="s">
        <v>1507</v>
      </c>
      <c r="H497" s="1" t="s">
        <v>1508</v>
      </c>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1:42" ht="28.8" x14ac:dyDescent="0.55000000000000004">
      <c r="A498" t="s">
        <v>138</v>
      </c>
      <c r="B498" s="1" t="s">
        <v>1509</v>
      </c>
      <c r="C498" t="s">
        <v>188</v>
      </c>
      <c r="D498" t="s">
        <v>189</v>
      </c>
      <c r="E498" t="s">
        <v>146</v>
      </c>
      <c r="F498" s="1" t="s">
        <v>1510</v>
      </c>
      <c r="H498" s="1" t="s">
        <v>1511</v>
      </c>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1:42" ht="28.8" x14ac:dyDescent="0.55000000000000004">
      <c r="A499" t="s">
        <v>138</v>
      </c>
      <c r="B499" s="1" t="s">
        <v>1512</v>
      </c>
      <c r="C499" t="s">
        <v>140</v>
      </c>
      <c r="D499" t="s">
        <v>151</v>
      </c>
      <c r="E499" t="s">
        <v>146</v>
      </c>
      <c r="F499" s="1" t="s">
        <v>1513</v>
      </c>
      <c r="H499" s="1" t="s">
        <v>1514</v>
      </c>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1:42" ht="28.8" x14ac:dyDescent="0.55000000000000004">
      <c r="A500" t="s">
        <v>138</v>
      </c>
      <c r="B500" s="1" t="s">
        <v>1515</v>
      </c>
      <c r="C500" t="s">
        <v>140</v>
      </c>
      <c r="D500" t="s">
        <v>151</v>
      </c>
      <c r="E500" t="s">
        <v>146</v>
      </c>
      <c r="F500" s="1" t="s">
        <v>1516</v>
      </c>
      <c r="H500" s="1" t="s">
        <v>1517</v>
      </c>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1:42" ht="28.8" x14ac:dyDescent="0.55000000000000004">
      <c r="A501" t="s">
        <v>138</v>
      </c>
      <c r="B501" s="1" t="s">
        <v>1518</v>
      </c>
      <c r="C501" t="s">
        <v>188</v>
      </c>
      <c r="D501" t="s">
        <v>189</v>
      </c>
      <c r="E501" t="s">
        <v>146</v>
      </c>
      <c r="F501" s="1" t="s">
        <v>1519</v>
      </c>
      <c r="H501" s="1" t="s">
        <v>1520</v>
      </c>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1:42" ht="28.8" x14ac:dyDescent="0.55000000000000004">
      <c r="A502" t="s">
        <v>138</v>
      </c>
      <c r="B502" s="1" t="s">
        <v>1521</v>
      </c>
      <c r="C502" t="s">
        <v>140</v>
      </c>
      <c r="D502" t="s">
        <v>151</v>
      </c>
      <c r="E502" t="s">
        <v>146</v>
      </c>
      <c r="F502" s="1" t="s">
        <v>1522</v>
      </c>
      <c r="H502" s="1" t="s">
        <v>1523</v>
      </c>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1:42" x14ac:dyDescent="0.55000000000000004">
      <c r="A503" t="s">
        <v>138</v>
      </c>
      <c r="B503" s="1" t="s">
        <v>1524</v>
      </c>
      <c r="C503" t="s">
        <v>140</v>
      </c>
      <c r="D503" t="s">
        <v>151</v>
      </c>
      <c r="E503" t="s">
        <v>146</v>
      </c>
      <c r="F503" s="1" t="s">
        <v>1525</v>
      </c>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1:42" x14ac:dyDescent="0.55000000000000004">
      <c r="A504" t="s">
        <v>138</v>
      </c>
      <c r="B504" s="1" t="s">
        <v>1526</v>
      </c>
      <c r="C504" t="s">
        <v>188</v>
      </c>
      <c r="D504" t="s">
        <v>151</v>
      </c>
      <c r="E504" t="s">
        <v>146</v>
      </c>
      <c r="F504" s="1" t="s">
        <v>1527</v>
      </c>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1:42" x14ac:dyDescent="0.55000000000000004">
      <c r="A505" t="s">
        <v>138</v>
      </c>
      <c r="B505" s="1" t="s">
        <v>1528</v>
      </c>
      <c r="C505" t="s">
        <v>140</v>
      </c>
      <c r="D505" t="s">
        <v>151</v>
      </c>
      <c r="E505">
        <v>1</v>
      </c>
      <c r="F505" s="1" t="s">
        <v>1529</v>
      </c>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1:42" x14ac:dyDescent="0.55000000000000004">
      <c r="A506" t="s">
        <v>229</v>
      </c>
      <c r="B506" s="1" t="s">
        <v>1530</v>
      </c>
      <c r="C506" t="s">
        <v>140</v>
      </c>
      <c r="D506" t="s">
        <v>231</v>
      </c>
      <c r="F506" s="1" t="s">
        <v>1531</v>
      </c>
      <c r="H506" s="1" t="s">
        <v>309</v>
      </c>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1:42" x14ac:dyDescent="0.55000000000000004">
      <c r="A507" t="s">
        <v>229</v>
      </c>
      <c r="B507" s="1" t="s">
        <v>1532</v>
      </c>
      <c r="C507" t="s">
        <v>140</v>
      </c>
      <c r="D507" t="s">
        <v>231</v>
      </c>
      <c r="E507" t="s">
        <v>313</v>
      </c>
      <c r="F507" s="1" t="s">
        <v>1533</v>
      </c>
      <c r="H507" s="1" t="s">
        <v>309</v>
      </c>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1:42" ht="28.8" x14ac:dyDescent="0.55000000000000004">
      <c r="A508" t="s">
        <v>138</v>
      </c>
      <c r="B508" s="1" t="s">
        <v>1534</v>
      </c>
      <c r="C508" t="s">
        <v>140</v>
      </c>
      <c r="D508" t="s">
        <v>151</v>
      </c>
      <c r="E508" t="s">
        <v>146</v>
      </c>
      <c r="F508" s="1" t="s">
        <v>1535</v>
      </c>
      <c r="H508" s="1" t="s">
        <v>1536</v>
      </c>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1:42" ht="28.8" x14ac:dyDescent="0.55000000000000004">
      <c r="A509" t="s">
        <v>138</v>
      </c>
      <c r="B509" s="1" t="s">
        <v>1537</v>
      </c>
      <c r="C509" t="s">
        <v>140</v>
      </c>
      <c r="D509" t="s">
        <v>151</v>
      </c>
      <c r="E509" t="s">
        <v>146</v>
      </c>
      <c r="F509" s="1" t="s">
        <v>1538</v>
      </c>
      <c r="H509" s="1" t="s">
        <v>1539</v>
      </c>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1:42" ht="28.8" x14ac:dyDescent="0.55000000000000004">
      <c r="A510" t="s">
        <v>138</v>
      </c>
      <c r="B510" s="1" t="s">
        <v>1540</v>
      </c>
      <c r="C510" t="s">
        <v>140</v>
      </c>
      <c r="D510" t="s">
        <v>151</v>
      </c>
      <c r="E510" t="s">
        <v>146</v>
      </c>
      <c r="F510" s="1" t="s">
        <v>1541</v>
      </c>
      <c r="H510" s="1" t="s">
        <v>1542</v>
      </c>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1:42" ht="28.8" x14ac:dyDescent="0.55000000000000004">
      <c r="A511" t="s">
        <v>138</v>
      </c>
      <c r="B511" s="1" t="s">
        <v>1543</v>
      </c>
      <c r="C511" t="s">
        <v>140</v>
      </c>
      <c r="D511" t="s">
        <v>151</v>
      </c>
      <c r="E511" t="s">
        <v>146</v>
      </c>
      <c r="F511" s="1" t="s">
        <v>1544</v>
      </c>
      <c r="H511" s="1" t="s">
        <v>1545</v>
      </c>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1:42" ht="28.8" x14ac:dyDescent="0.55000000000000004">
      <c r="A512" t="s">
        <v>138</v>
      </c>
      <c r="B512" s="1" t="s">
        <v>1546</v>
      </c>
      <c r="C512" t="s">
        <v>140</v>
      </c>
      <c r="D512" t="s">
        <v>151</v>
      </c>
      <c r="E512" t="s">
        <v>146</v>
      </c>
      <c r="F512" s="1" t="s">
        <v>1547</v>
      </c>
      <c r="H512" s="1" t="s">
        <v>1548</v>
      </c>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1:42" ht="28.8" x14ac:dyDescent="0.55000000000000004">
      <c r="A513" t="s">
        <v>138</v>
      </c>
      <c r="B513" s="1" t="s">
        <v>1549</v>
      </c>
      <c r="C513" t="s">
        <v>140</v>
      </c>
      <c r="D513" t="s">
        <v>151</v>
      </c>
      <c r="E513" t="s">
        <v>146</v>
      </c>
      <c r="F513" s="1" t="s">
        <v>1550</v>
      </c>
      <c r="H513" s="1" t="s">
        <v>1551</v>
      </c>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1:42" ht="28.8" x14ac:dyDescent="0.55000000000000004">
      <c r="A514" t="s">
        <v>138</v>
      </c>
      <c r="B514" s="1" t="s">
        <v>1552</v>
      </c>
      <c r="C514" t="s">
        <v>140</v>
      </c>
      <c r="D514" t="s">
        <v>151</v>
      </c>
      <c r="E514" t="s">
        <v>146</v>
      </c>
      <c r="F514" s="1" t="s">
        <v>1553</v>
      </c>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1:42" ht="28.8" x14ac:dyDescent="0.55000000000000004">
      <c r="A515" t="s">
        <v>138</v>
      </c>
      <c r="B515" s="1" t="s">
        <v>1554</v>
      </c>
      <c r="C515" t="s">
        <v>140</v>
      </c>
      <c r="D515" t="s">
        <v>151</v>
      </c>
      <c r="E515" t="s">
        <v>146</v>
      </c>
      <c r="F515" s="1" t="s">
        <v>1555</v>
      </c>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1:42" ht="28.8" x14ac:dyDescent="0.55000000000000004">
      <c r="A516" t="s">
        <v>138</v>
      </c>
      <c r="B516" s="1" t="s">
        <v>1556</v>
      </c>
      <c r="C516" t="s">
        <v>150</v>
      </c>
      <c r="D516" t="s">
        <v>151</v>
      </c>
      <c r="E516" t="s">
        <v>152</v>
      </c>
      <c r="F516" s="1">
        <v>0.01</v>
      </c>
      <c r="G516" s="1" t="s">
        <v>153</v>
      </c>
      <c r="H516" s="1" t="s">
        <v>1557</v>
      </c>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1:42" ht="28.8" x14ac:dyDescent="0.55000000000000004">
      <c r="A517" t="s">
        <v>138</v>
      </c>
      <c r="B517" s="1" t="s">
        <v>1558</v>
      </c>
      <c r="C517" t="s">
        <v>150</v>
      </c>
      <c r="D517" t="s">
        <v>151</v>
      </c>
      <c r="E517" t="s">
        <v>152</v>
      </c>
      <c r="F517" s="1">
        <v>0.173237</v>
      </c>
      <c r="G517" s="1" t="s">
        <v>153</v>
      </c>
      <c r="H517" s="1" t="s">
        <v>1559</v>
      </c>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1:42" ht="28.8" x14ac:dyDescent="0.55000000000000004">
      <c r="A518" t="s">
        <v>138</v>
      </c>
      <c r="B518" s="1" t="s">
        <v>1560</v>
      </c>
      <c r="C518" t="s">
        <v>150</v>
      </c>
      <c r="D518" t="s">
        <v>151</v>
      </c>
      <c r="E518" t="s">
        <v>152</v>
      </c>
      <c r="F518" s="1">
        <v>2</v>
      </c>
      <c r="G518" s="1" t="s">
        <v>153</v>
      </c>
      <c r="H518" s="1" t="s">
        <v>1561</v>
      </c>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1:42" ht="28.8" x14ac:dyDescent="0.55000000000000004">
      <c r="A519" t="s">
        <v>138</v>
      </c>
      <c r="B519" s="1" t="s">
        <v>1562</v>
      </c>
      <c r="C519" t="s">
        <v>150</v>
      </c>
      <c r="D519" t="s">
        <v>151</v>
      </c>
      <c r="E519" t="s">
        <v>152</v>
      </c>
      <c r="F519" s="1">
        <v>0.33452599999999999</v>
      </c>
      <c r="G519" s="1" t="s">
        <v>153</v>
      </c>
      <c r="H519" s="1" t="s">
        <v>1563</v>
      </c>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1:42" ht="28.8" x14ac:dyDescent="0.55000000000000004">
      <c r="A520" t="s">
        <v>138</v>
      </c>
      <c r="B520" s="1" t="s">
        <v>1564</v>
      </c>
      <c r="C520" t="s">
        <v>150</v>
      </c>
      <c r="D520" t="s">
        <v>151</v>
      </c>
      <c r="E520" t="s">
        <v>152</v>
      </c>
      <c r="F520" s="1">
        <v>2</v>
      </c>
      <c r="G520" s="1" t="s">
        <v>153</v>
      </c>
      <c r="H520" s="1" t="s">
        <v>1565</v>
      </c>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1:42" ht="28.8" x14ac:dyDescent="0.55000000000000004">
      <c r="A521" t="s">
        <v>138</v>
      </c>
      <c r="B521" s="1" t="s">
        <v>1566</v>
      </c>
      <c r="C521" t="s">
        <v>150</v>
      </c>
      <c r="D521" t="s">
        <v>151</v>
      </c>
      <c r="E521" t="s">
        <v>152</v>
      </c>
      <c r="F521" s="1">
        <v>0.68062599999999995</v>
      </c>
      <c r="G521" s="1" t="s">
        <v>153</v>
      </c>
      <c r="H521" s="1" t="s">
        <v>1567</v>
      </c>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1:42" ht="28.8" x14ac:dyDescent="0.55000000000000004">
      <c r="A522" t="s">
        <v>138</v>
      </c>
      <c r="B522" s="1" t="s">
        <v>1568</v>
      </c>
      <c r="C522" t="s">
        <v>150</v>
      </c>
      <c r="D522" t="s">
        <v>151</v>
      </c>
      <c r="E522" t="s">
        <v>146</v>
      </c>
      <c r="F522" s="1">
        <v>0</v>
      </c>
      <c r="H522" s="1" t="s">
        <v>1569</v>
      </c>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1:42" ht="43.2" x14ac:dyDescent="0.55000000000000004">
      <c r="A523" t="s">
        <v>138</v>
      </c>
      <c r="B523" s="1" t="s">
        <v>1570</v>
      </c>
      <c r="C523" t="s">
        <v>140</v>
      </c>
      <c r="D523" t="s">
        <v>151</v>
      </c>
      <c r="E523" t="s">
        <v>146</v>
      </c>
      <c r="F523" s="1" t="s">
        <v>1571</v>
      </c>
      <c r="H523" s="1" t="s">
        <v>1572</v>
      </c>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1:42" ht="28.8" x14ac:dyDescent="0.55000000000000004">
      <c r="A524" t="s">
        <v>138</v>
      </c>
      <c r="B524" s="1" t="s">
        <v>1573</v>
      </c>
      <c r="C524" t="s">
        <v>150</v>
      </c>
      <c r="D524" t="s">
        <v>151</v>
      </c>
      <c r="E524" t="s">
        <v>146</v>
      </c>
      <c r="F524" s="1">
        <v>0</v>
      </c>
      <c r="H524" s="1" t="s">
        <v>1569</v>
      </c>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1:42" x14ac:dyDescent="0.55000000000000004">
      <c r="A525" t="s">
        <v>138</v>
      </c>
      <c r="B525" s="1" t="s">
        <v>1574</v>
      </c>
      <c r="C525" t="s">
        <v>316</v>
      </c>
      <c r="D525" t="s">
        <v>292</v>
      </c>
      <c r="E525" t="s">
        <v>623</v>
      </c>
      <c r="F525" s="1" t="s">
        <v>1575</v>
      </c>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1:42" ht="28.8" x14ac:dyDescent="0.55000000000000004">
      <c r="A526" t="s">
        <v>138</v>
      </c>
      <c r="B526" s="1" t="s">
        <v>1576</v>
      </c>
      <c r="C526" t="s">
        <v>316</v>
      </c>
      <c r="D526" t="s">
        <v>292</v>
      </c>
      <c r="E526" t="s">
        <v>313</v>
      </c>
      <c r="F526" s="1" t="s">
        <v>1577</v>
      </c>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1:42" ht="28.8" x14ac:dyDescent="0.55000000000000004">
      <c r="A527" t="s">
        <v>138</v>
      </c>
      <c r="B527" s="1" t="s">
        <v>1578</v>
      </c>
      <c r="C527" t="s">
        <v>316</v>
      </c>
      <c r="D527" t="s">
        <v>292</v>
      </c>
      <c r="E527" t="s">
        <v>623</v>
      </c>
      <c r="F527" s="1" t="s">
        <v>1579</v>
      </c>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1:42" x14ac:dyDescent="0.55000000000000004">
      <c r="A528" t="s">
        <v>229</v>
      </c>
      <c r="B528" s="1" t="s">
        <v>1580</v>
      </c>
      <c r="C528" t="s">
        <v>150</v>
      </c>
      <c r="D528" t="s">
        <v>231</v>
      </c>
      <c r="E528" t="s">
        <v>146</v>
      </c>
      <c r="F528" s="1" t="s">
        <v>1581</v>
      </c>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1:42" ht="28.8" x14ac:dyDescent="0.55000000000000004">
      <c r="A529" t="s">
        <v>412</v>
      </c>
      <c r="B529" s="1" t="s">
        <v>1582</v>
      </c>
      <c r="C529" t="s">
        <v>150</v>
      </c>
      <c r="D529" t="s">
        <v>632</v>
      </c>
      <c r="E529" t="s">
        <v>146</v>
      </c>
      <c r="F529" s="1">
        <v>0</v>
      </c>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1:42" ht="57.6" x14ac:dyDescent="0.55000000000000004">
      <c r="A530" t="s">
        <v>688</v>
      </c>
      <c r="B530" s="1" t="s">
        <v>1583</v>
      </c>
      <c r="C530" t="s">
        <v>150</v>
      </c>
      <c r="D530" t="s">
        <v>632</v>
      </c>
      <c r="E530" t="s">
        <v>152</v>
      </c>
      <c r="F530" s="1" t="s">
        <v>1584</v>
      </c>
      <c r="H530" s="1" t="s">
        <v>1585</v>
      </c>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1:42" ht="28.8" x14ac:dyDescent="0.55000000000000004">
      <c r="A531" t="s">
        <v>229</v>
      </c>
      <c r="B531" s="1" t="s">
        <v>1586</v>
      </c>
      <c r="C531" t="s">
        <v>150</v>
      </c>
      <c r="D531" t="s">
        <v>170</v>
      </c>
      <c r="E531" t="s">
        <v>146</v>
      </c>
      <c r="F531" s="1">
        <v>0</v>
      </c>
      <c r="H531" s="1" t="s">
        <v>1587</v>
      </c>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1:42" x14ac:dyDescent="0.55000000000000004">
      <c r="A532" t="s">
        <v>155</v>
      </c>
      <c r="B532" s="1" t="s">
        <v>1588</v>
      </c>
      <c r="C532" t="s">
        <v>150</v>
      </c>
      <c r="D532" t="s">
        <v>170</v>
      </c>
      <c r="E532" t="s">
        <v>152</v>
      </c>
      <c r="F532" s="1">
        <v>0</v>
      </c>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1:42" ht="43.2" x14ac:dyDescent="0.55000000000000004">
      <c r="A533" t="s">
        <v>229</v>
      </c>
      <c r="B533" s="1" t="s">
        <v>1589</v>
      </c>
      <c r="C533" t="s">
        <v>140</v>
      </c>
      <c r="D533" t="s">
        <v>231</v>
      </c>
      <c r="F533" s="1" t="s">
        <v>1590</v>
      </c>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1:42" x14ac:dyDescent="0.55000000000000004">
      <c r="A534" t="s">
        <v>402</v>
      </c>
      <c r="B534" s="1" t="s">
        <v>1480</v>
      </c>
      <c r="C534" t="s">
        <v>150</v>
      </c>
      <c r="D534" t="s">
        <v>231</v>
      </c>
      <c r="E534" t="s">
        <v>391</v>
      </c>
      <c r="F534" s="1">
        <v>6.25E-2</v>
      </c>
      <c r="H534" s="1" t="s">
        <v>1591</v>
      </c>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1:42" ht="72" x14ac:dyDescent="0.55000000000000004">
      <c r="A535" t="s">
        <v>138</v>
      </c>
      <c r="B535" s="1" t="s">
        <v>1592</v>
      </c>
      <c r="C535" t="s">
        <v>150</v>
      </c>
      <c r="D535" t="s">
        <v>175</v>
      </c>
      <c r="E535" t="s">
        <v>1593</v>
      </c>
      <c r="F535" s="1">
        <v>1.4</v>
      </c>
      <c r="G535" s="1" t="s">
        <v>521</v>
      </c>
      <c r="H535" s="1" t="s">
        <v>1594</v>
      </c>
      <c r="I535" s="1" t="s">
        <v>1595</v>
      </c>
      <c r="J535" s="1" t="s">
        <v>1596</v>
      </c>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1:42" ht="86.4" x14ac:dyDescent="0.55000000000000004">
      <c r="A536" t="s">
        <v>138</v>
      </c>
      <c r="B536" s="1" t="s">
        <v>1597</v>
      </c>
      <c r="C536" t="s">
        <v>150</v>
      </c>
      <c r="D536" t="s">
        <v>175</v>
      </c>
      <c r="E536" t="s">
        <v>264</v>
      </c>
      <c r="F536" s="1">
        <v>4</v>
      </c>
      <c r="G536" s="1" t="s">
        <v>521</v>
      </c>
      <c r="H536" s="1" t="s">
        <v>1598</v>
      </c>
      <c r="I536" s="1" t="s">
        <v>1599</v>
      </c>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1:42" ht="28.8" x14ac:dyDescent="0.55000000000000004">
      <c r="A537" t="s">
        <v>138</v>
      </c>
      <c r="B537" s="1" t="s">
        <v>1600</v>
      </c>
      <c r="C537" t="s">
        <v>140</v>
      </c>
      <c r="D537" t="s">
        <v>141</v>
      </c>
      <c r="E537" t="s">
        <v>623</v>
      </c>
      <c r="F537" s="1" t="s">
        <v>1601</v>
      </c>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1:42" ht="57.6" x14ac:dyDescent="0.55000000000000004">
      <c r="A538" t="s">
        <v>138</v>
      </c>
      <c r="B538" s="1" t="s">
        <v>1602</v>
      </c>
      <c r="C538" t="s">
        <v>140</v>
      </c>
      <c r="D538" t="s">
        <v>141</v>
      </c>
      <c r="E538" t="s">
        <v>235</v>
      </c>
      <c r="F538" s="1" t="s">
        <v>1603</v>
      </c>
      <c r="H538" s="1" t="s">
        <v>1604</v>
      </c>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1:42" ht="28.8" x14ac:dyDescent="0.55000000000000004">
      <c r="A539" t="s">
        <v>138</v>
      </c>
      <c r="B539" s="1" t="s">
        <v>1605</v>
      </c>
      <c r="C539" t="s">
        <v>140</v>
      </c>
      <c r="D539" t="s">
        <v>141</v>
      </c>
      <c r="E539" t="s">
        <v>609</v>
      </c>
      <c r="F539" s="1" t="s">
        <v>1606</v>
      </c>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1:42" x14ac:dyDescent="0.55000000000000004">
      <c r="A540" t="s">
        <v>412</v>
      </c>
      <c r="B540" s="1" t="s">
        <v>1607</v>
      </c>
      <c r="C540" t="s">
        <v>140</v>
      </c>
      <c r="D540" t="s">
        <v>141</v>
      </c>
      <c r="E540" t="s">
        <v>623</v>
      </c>
      <c r="F540" s="1" t="s">
        <v>1608</v>
      </c>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1:42" ht="28.8" x14ac:dyDescent="0.55000000000000004">
      <c r="A541" t="s">
        <v>412</v>
      </c>
      <c r="B541" s="1" t="s">
        <v>1608</v>
      </c>
      <c r="C541" t="s">
        <v>160</v>
      </c>
      <c r="D541" t="s">
        <v>487</v>
      </c>
      <c r="E541" t="s">
        <v>313</v>
      </c>
      <c r="F541" s="1" t="s">
        <v>1609</v>
      </c>
      <c r="H541" s="1" t="s">
        <v>1610</v>
      </c>
      <c r="I541" s="1" t="s">
        <v>1611</v>
      </c>
      <c r="K541" s="10">
        <f>'[1]RAND Adjusted Estimates'!B$8</f>
        <v>323565.31269635208</v>
      </c>
      <c r="L541" s="10">
        <f>'[1]RAND Adjusted Estimates'!C$8</f>
        <v>354677.36199407821</v>
      </c>
      <c r="M541" s="10">
        <f>'[1]RAND Adjusted Estimates'!D$8</f>
        <v>479125.55918498285</v>
      </c>
      <c r="N541" s="10">
        <f>'[1]RAND Adjusted Estimates'!E$8</f>
        <v>364010.97678339609</v>
      </c>
      <c r="O541" s="10">
        <f>'[1]RAND Adjusted Estimates'!F$8</f>
        <v>286230.85353908071</v>
      </c>
      <c r="P541" s="10">
        <f>'[1]RAND Adjusted Estimates'!G$8</f>
        <v>367122.18171316868</v>
      </c>
      <c r="Q541" s="10">
        <f>'[1]RAND Adjusted Estimates'!H$8</f>
        <v>336010.13241544255</v>
      </c>
      <c r="R541" s="10">
        <f>'[1]RAND Adjusted Estimates'!I$8</f>
        <v>280008.44367953547</v>
      </c>
      <c r="S541" s="10">
        <f>'[1]RAND Adjusted Estimates'!J$8</f>
        <v>329787.72255589732</v>
      </c>
      <c r="T541" s="10">
        <f>'[1]RAND Adjusted Estimates'!K$8</f>
        <v>360899.77185362345</v>
      </c>
      <c r="U541" s="10">
        <f>'[1]RAND Adjusted Estimates'!L$8</f>
        <v>581795.32186747924</v>
      </c>
      <c r="V541" s="10">
        <f>'[1]RAND Adjusted Estimates'!M$8</f>
        <v>441791.10002771148</v>
      </c>
      <c r="W541" s="10">
        <f>'[1]RAND Adjusted Estimates'!N$8</f>
        <v>553794.47749952564</v>
      </c>
      <c r="X541" s="10">
        <f>'[1]RAND Adjusted Estimates'!O$8</f>
        <v>485347.96904452809</v>
      </c>
      <c r="Y541" s="10">
        <f>'[1]RAND Adjusted Estimates'!P$8</f>
        <v>525793.63313157216</v>
      </c>
      <c r="Z541" s="10">
        <f>'[1]RAND Adjusted Estimates'!Q$8</f>
        <v>659575.44511179463</v>
      </c>
      <c r="AA541" s="10">
        <f>'[1]RAND Adjusted Estimates'!R$8</f>
        <v>420012.66551930318</v>
      </c>
      <c r="AB541" s="10">
        <f>'[1]RAND Adjusted Estimates'!S$8</f>
        <v>528904.83806134469</v>
      </c>
      <c r="AC541" s="10">
        <f>'[1]RAND Adjusted Estimates'!T$8</f>
        <v>252007.5993115819</v>
      </c>
      <c r="AD541" s="10">
        <f>'[1]RAND Adjusted Estimates'!U$8</f>
        <v>364010.97678339609</v>
      </c>
      <c r="AE541" s="10">
        <f>'[1]RAND Adjusted Estimates'!V$8</f>
        <v>155560.2464886308</v>
      </c>
      <c r="AF541" s="1"/>
      <c r="AG541" s="1"/>
      <c r="AH541" s="1"/>
      <c r="AI541" s="1"/>
      <c r="AJ541" s="1"/>
      <c r="AK541" s="1"/>
      <c r="AL541" s="1"/>
      <c r="AM541" s="1"/>
      <c r="AN541" s="1"/>
      <c r="AO541" s="1"/>
      <c r="AP541" s="1"/>
    </row>
    <row r="542" spans="1:42" x14ac:dyDescent="0.55000000000000004">
      <c r="A542" t="s">
        <v>138</v>
      </c>
      <c r="B542" s="1" t="s">
        <v>1612</v>
      </c>
      <c r="C542" t="s">
        <v>140</v>
      </c>
      <c r="D542" t="s">
        <v>141</v>
      </c>
      <c r="E542" t="s">
        <v>273</v>
      </c>
      <c r="F542" s="1" t="s">
        <v>1613</v>
      </c>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1:42" ht="28.8" x14ac:dyDescent="0.55000000000000004">
      <c r="A543" t="s">
        <v>412</v>
      </c>
      <c r="B543" s="1" t="s">
        <v>1614</v>
      </c>
      <c r="C543" t="s">
        <v>140</v>
      </c>
      <c r="D543" t="s">
        <v>141</v>
      </c>
      <c r="E543" t="s">
        <v>273</v>
      </c>
      <c r="F543" s="1" t="s">
        <v>1615</v>
      </c>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1:42" ht="28.8" x14ac:dyDescent="0.55000000000000004">
      <c r="A544" t="s">
        <v>138</v>
      </c>
      <c r="B544" s="1" t="s">
        <v>1616</v>
      </c>
      <c r="C544" t="s">
        <v>140</v>
      </c>
      <c r="D544" t="s">
        <v>141</v>
      </c>
      <c r="E544" t="s">
        <v>235</v>
      </c>
      <c r="F544" s="1" t="s">
        <v>1617</v>
      </c>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1:42" ht="28.8" x14ac:dyDescent="0.55000000000000004">
      <c r="A545" t="s">
        <v>138</v>
      </c>
      <c r="B545" s="1" t="s">
        <v>1618</v>
      </c>
      <c r="C545" t="s">
        <v>140</v>
      </c>
      <c r="D545" t="s">
        <v>141</v>
      </c>
      <c r="E545" t="s">
        <v>235</v>
      </c>
      <c r="F545" s="1" t="s">
        <v>1619</v>
      </c>
      <c r="H545" s="1" t="s">
        <v>296</v>
      </c>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1:42" ht="28.8" x14ac:dyDescent="0.55000000000000004">
      <c r="A546" t="s">
        <v>138</v>
      </c>
      <c r="B546" s="1" t="s">
        <v>1620</v>
      </c>
      <c r="C546" t="s">
        <v>140</v>
      </c>
      <c r="D546" t="s">
        <v>141</v>
      </c>
      <c r="E546" t="s">
        <v>235</v>
      </c>
      <c r="F546" s="1" t="s">
        <v>1621</v>
      </c>
      <c r="H546" s="1" t="s">
        <v>1622</v>
      </c>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1:42" ht="43.2" x14ac:dyDescent="0.55000000000000004">
      <c r="A547" t="s">
        <v>138</v>
      </c>
      <c r="B547" s="1" t="s">
        <v>1623</v>
      </c>
      <c r="C547" t="s">
        <v>140</v>
      </c>
      <c r="D547" t="s">
        <v>141</v>
      </c>
      <c r="E547" t="s">
        <v>273</v>
      </c>
      <c r="F547" s="1" t="s">
        <v>1624</v>
      </c>
      <c r="H547" s="1" t="s">
        <v>1625</v>
      </c>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1:42" ht="28.8" x14ac:dyDescent="0.55000000000000004">
      <c r="A548" t="s">
        <v>138</v>
      </c>
      <c r="B548" s="1" t="s">
        <v>1626</v>
      </c>
      <c r="C548" t="s">
        <v>140</v>
      </c>
      <c r="D548" t="s">
        <v>141</v>
      </c>
      <c r="E548" t="s">
        <v>273</v>
      </c>
      <c r="F548" s="1" t="s">
        <v>1627</v>
      </c>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1:42" ht="43.2" x14ac:dyDescent="0.55000000000000004">
      <c r="A549" t="s">
        <v>138</v>
      </c>
      <c r="B549" s="1" t="s">
        <v>1628</v>
      </c>
      <c r="C549" t="s">
        <v>140</v>
      </c>
      <c r="D549" t="s">
        <v>141</v>
      </c>
      <c r="E549" t="s">
        <v>235</v>
      </c>
      <c r="F549" s="1" t="s">
        <v>1629</v>
      </c>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1:42" ht="28.8" x14ac:dyDescent="0.55000000000000004">
      <c r="A550" t="s">
        <v>138</v>
      </c>
      <c r="B550" s="1" t="s">
        <v>1630</v>
      </c>
      <c r="C550" t="s">
        <v>140</v>
      </c>
      <c r="D550" t="s">
        <v>141</v>
      </c>
      <c r="E550" t="s">
        <v>235</v>
      </c>
      <c r="F550" s="1" t="s">
        <v>1631</v>
      </c>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1:42" ht="28.8" x14ac:dyDescent="0.55000000000000004">
      <c r="A551" t="s">
        <v>412</v>
      </c>
      <c r="B551" s="1" t="s">
        <v>1632</v>
      </c>
      <c r="C551" t="s">
        <v>140</v>
      </c>
      <c r="D551" t="s">
        <v>141</v>
      </c>
      <c r="E551" t="s">
        <v>273</v>
      </c>
      <c r="F551" s="1" t="s">
        <v>1633</v>
      </c>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1:42" ht="28.8" x14ac:dyDescent="0.55000000000000004">
      <c r="A552" t="s">
        <v>138</v>
      </c>
      <c r="B552" s="1" t="s">
        <v>1634</v>
      </c>
      <c r="C552" t="s">
        <v>316</v>
      </c>
      <c r="D552" t="s">
        <v>292</v>
      </c>
      <c r="E552" t="s">
        <v>313</v>
      </c>
      <c r="F552" s="1" t="s">
        <v>1635</v>
      </c>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1:42" ht="28.8" x14ac:dyDescent="0.55000000000000004">
      <c r="A553" t="s">
        <v>138</v>
      </c>
      <c r="B553" s="1" t="s">
        <v>1636</v>
      </c>
      <c r="C553" t="s">
        <v>140</v>
      </c>
      <c r="D553" t="s">
        <v>141</v>
      </c>
      <c r="E553" t="s">
        <v>313</v>
      </c>
      <c r="F553" s="1" t="s">
        <v>1637</v>
      </c>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1:42" ht="28.8" x14ac:dyDescent="0.55000000000000004">
      <c r="A554" t="s">
        <v>138</v>
      </c>
      <c r="B554" s="1" t="s">
        <v>1638</v>
      </c>
      <c r="C554" t="s">
        <v>140</v>
      </c>
      <c r="D554" t="s">
        <v>141</v>
      </c>
      <c r="E554" t="s">
        <v>313</v>
      </c>
      <c r="F554" s="1" t="s">
        <v>1639</v>
      </c>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1:42" ht="28.8" x14ac:dyDescent="0.55000000000000004">
      <c r="A555" t="s">
        <v>412</v>
      </c>
      <c r="B555" s="1" t="s">
        <v>1640</v>
      </c>
      <c r="C555" t="s">
        <v>188</v>
      </c>
      <c r="D555" t="s">
        <v>141</v>
      </c>
      <c r="E555" t="s">
        <v>281</v>
      </c>
      <c r="F555" s="1" t="s">
        <v>1641</v>
      </c>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row>
    <row r="556" spans="1:42" ht="43.2" x14ac:dyDescent="0.55000000000000004">
      <c r="A556" t="s">
        <v>138</v>
      </c>
      <c r="B556" s="1" t="s">
        <v>1642</v>
      </c>
      <c r="C556" t="s">
        <v>316</v>
      </c>
      <c r="D556" t="s">
        <v>292</v>
      </c>
      <c r="E556" t="s">
        <v>623</v>
      </c>
      <c r="F556" s="1" t="s">
        <v>1643</v>
      </c>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row>
    <row r="557" spans="1:42" ht="28.8" x14ac:dyDescent="0.55000000000000004">
      <c r="A557" t="s">
        <v>138</v>
      </c>
      <c r="B557" s="1" t="s">
        <v>1644</v>
      </c>
      <c r="C557" t="s">
        <v>140</v>
      </c>
      <c r="D557" t="s">
        <v>141</v>
      </c>
      <c r="E557" t="s">
        <v>313</v>
      </c>
      <c r="F557" s="1" t="s">
        <v>1645</v>
      </c>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row>
    <row r="558" spans="1:42" ht="28.8" x14ac:dyDescent="0.55000000000000004">
      <c r="A558" t="s">
        <v>412</v>
      </c>
      <c r="B558" s="1" t="s">
        <v>1646</v>
      </c>
      <c r="C558" t="s">
        <v>150</v>
      </c>
      <c r="D558" t="s">
        <v>487</v>
      </c>
      <c r="E558" t="s">
        <v>313</v>
      </c>
      <c r="F558" s="1" t="s">
        <v>1647</v>
      </c>
      <c r="K558" s="10">
        <f>'[1]Opioid Fatal ODs NVSS'!B$2</f>
        <v>2870.7596401028277</v>
      </c>
      <c r="L558" s="10">
        <f>'[1]Opioid Fatal ODs NVSS'!C$2</f>
        <v>2618.6778214102783</v>
      </c>
      <c r="M558" s="10">
        <f>'[1]Opioid Fatal ODs NVSS'!D$2</f>
        <v>2394.2800057496047</v>
      </c>
      <c r="N558" s="10">
        <f>'[1]Opioid Fatal ODs NVSS'!E$2</f>
        <v>2679.8392935019624</v>
      </c>
      <c r="O558" s="10">
        <f>'[1]Opioid Fatal ODs NVSS'!F$2</f>
        <v>2606.3050053663774</v>
      </c>
      <c r="P558" s="10">
        <f>'[1]Opioid Fatal ODs NVSS'!G$2</f>
        <v>2237.1267765280322</v>
      </c>
      <c r="Q558" s="10">
        <f>'[1]Opioid Fatal ODs NVSS'!H$2</f>
        <v>2330.7795319317729</v>
      </c>
      <c r="R558" s="10">
        <f>'[1]Opioid Fatal ODs NVSS'!I$2</f>
        <v>2263.1599739668077</v>
      </c>
      <c r="S558" s="10">
        <f>'[1]Opioid Fatal ODs NVSS'!J$2</f>
        <v>2697.3812016801608</v>
      </c>
      <c r="T558" s="10">
        <f>'[1]Opioid Fatal ODs NVSS'!K$2</f>
        <v>3433.6430381204655</v>
      </c>
      <c r="U558" s="10">
        <f>'[1]Opioid Fatal ODs NVSS'!L$2</f>
        <v>3615.2430710590797</v>
      </c>
      <c r="V558" s="10">
        <f>'[1]Opioid Fatal ODs NVSS'!M$2</f>
        <v>3294.4584440623207</v>
      </c>
      <c r="W558" s="10">
        <f>'[1]Opioid Fatal ODs NVSS'!N$2</f>
        <v>4814.9048011239765</v>
      </c>
      <c r="X558" s="10">
        <f>'[1]Opioid Fatal ODs NVSS'!O$2</f>
        <v>6441.6934894968945</v>
      </c>
      <c r="Y558" s="10">
        <f>'[1]Opioid Fatal ODs NVSS'!P$2</f>
        <v>8691.5731087368604</v>
      </c>
      <c r="Z558" s="10">
        <f>'[1]Opioid Fatal ODs NVSS'!Q$2</f>
        <v>10045.523392673238</v>
      </c>
      <c r="AA558" s="10">
        <f>'[1]Opioid Fatal ODs NVSS'!R$2</f>
        <v>10780.562671806376</v>
      </c>
      <c r="AB558" s="10">
        <f>'[1]Opioid Fatal ODs NVSS'!S$2</f>
        <v>10031.407789036748</v>
      </c>
      <c r="AC558" s="10">
        <f>'[1]Opioid Fatal ODs NVSS'!T$2</f>
        <v>7603.2975937948622</v>
      </c>
      <c r="AD558" s="10">
        <f>'[1]Opioid Fatal ODs NVSS'!U$2</f>
        <v>6055.7969314665343</v>
      </c>
      <c r="AE558" s="10">
        <f>'[1]Opioid Fatal ODs NVSS'!V$2</f>
        <v>5344.9308817282599</v>
      </c>
      <c r="AF558" s="1"/>
      <c r="AG558" s="1"/>
      <c r="AH558" s="1"/>
      <c r="AI558" s="1"/>
      <c r="AJ558" s="1"/>
      <c r="AK558" s="1"/>
      <c r="AL558" s="1"/>
      <c r="AM558" s="1"/>
      <c r="AN558" s="1"/>
      <c r="AO558" s="1"/>
      <c r="AP558" s="1"/>
    </row>
    <row r="559" spans="1:42" ht="43.2" x14ac:dyDescent="0.55000000000000004">
      <c r="A559" t="s">
        <v>138</v>
      </c>
      <c r="B559" s="1" t="s">
        <v>1648</v>
      </c>
      <c r="C559" t="s">
        <v>140</v>
      </c>
      <c r="D559" t="s">
        <v>141</v>
      </c>
      <c r="E559" t="s">
        <v>313</v>
      </c>
      <c r="F559" s="1" t="s">
        <v>1649</v>
      </c>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row>
    <row r="560" spans="1:42" ht="28.8" x14ac:dyDescent="0.55000000000000004">
      <c r="A560" t="s">
        <v>412</v>
      </c>
      <c r="B560" s="1" t="s">
        <v>1650</v>
      </c>
      <c r="C560" t="s">
        <v>150</v>
      </c>
      <c r="D560" t="s">
        <v>487</v>
      </c>
      <c r="E560" t="s">
        <v>313</v>
      </c>
      <c r="F560" s="1" t="s">
        <v>1651</v>
      </c>
      <c r="K560" s="10">
        <f>'[1]Opioid Fatal ODs NVSS'!B$3</f>
        <v>4098.1241278002208</v>
      </c>
      <c r="L560" s="10">
        <f>'[1]Opioid Fatal ODs NVSS'!C$3</f>
        <v>4665.3283250811</v>
      </c>
      <c r="M560" s="10">
        <f>'[1]Opioid Fatal ODs NVSS'!D$3</f>
        <v>5784.2417708782523</v>
      </c>
      <c r="N560" s="10">
        <f>'[1]Opioid Fatal ODs NVSS'!E$3</f>
        <v>7542.8179241168773</v>
      </c>
      <c r="O560" s="10">
        <f>'[1]Opioid Fatal ODs NVSS'!F$3</f>
        <v>8574.2373890135623</v>
      </c>
      <c r="P560" s="10">
        <f>'[1]Opioid Fatal ODs NVSS'!G$3</f>
        <v>9535.136803557416</v>
      </c>
      <c r="Q560" s="10">
        <f>'[1]Opioid Fatal ODs NVSS'!H$3</f>
        <v>10534.791193970646</v>
      </c>
      <c r="R560" s="10">
        <f>'[1]Opioid Fatal ODs NVSS'!I$3</f>
        <v>12213.27959648552</v>
      </c>
      <c r="S560" s="10">
        <f>'[1]Opioid Fatal ODs NVSS'!J$3</f>
        <v>13350.172399099045</v>
      </c>
      <c r="T560" s="10">
        <f>'[1]Opioid Fatal ODs NVSS'!K$3</f>
        <v>13585.234135667397</v>
      </c>
      <c r="U560" s="10">
        <f>'[1]Opioid Fatal ODs NVSS'!L$3</f>
        <v>13542.390634358835</v>
      </c>
      <c r="V560" s="10">
        <f>'[1]Opioid Fatal ODs NVSS'!M$3</f>
        <v>14509.050440310562</v>
      </c>
      <c r="W560" s="10">
        <f>'[1]Opioid Fatal ODs NVSS'!N$3</f>
        <v>15049.067971513008</v>
      </c>
      <c r="X560" s="10">
        <f>'[1]Opioid Fatal ODs NVSS'!O$3</f>
        <v>13854.762198302433</v>
      </c>
      <c r="Y560" s="10">
        <f>'[1]Opioid Fatal ODs NVSS'!P$3</f>
        <v>13006.523134585559</v>
      </c>
      <c r="Z560" s="10">
        <f>'[1]Opioid Fatal ODs NVSS'!Q$3</f>
        <v>12728.554877151684</v>
      </c>
      <c r="AA560" s="10">
        <f>'[1]Opioid Fatal ODs NVSS'!R$3</f>
        <v>12254.54968561408</v>
      </c>
      <c r="AB560" s="10">
        <f>'[1]Opioid Fatal ODs NVSS'!S$3</f>
        <v>12132.595043340252</v>
      </c>
      <c r="AC560" s="10">
        <f>'[1]Opioid Fatal ODs NVSS'!T$3</f>
        <v>10843.240084849263</v>
      </c>
      <c r="AD560" s="10">
        <f>'[1]Opioid Fatal ODs NVSS'!U$3</f>
        <v>8871.7119300599425</v>
      </c>
      <c r="AE560" s="10">
        <f>'[1]Opioid Fatal ODs NVSS'!V$3</f>
        <v>7633.7305661751316</v>
      </c>
      <c r="AF560" s="1"/>
      <c r="AG560" s="1"/>
      <c r="AH560" s="1"/>
      <c r="AI560" s="1"/>
      <c r="AJ560" s="1"/>
      <c r="AK560" s="1"/>
      <c r="AL560" s="1"/>
      <c r="AM560" s="1"/>
      <c r="AN560" s="1"/>
      <c r="AO560" s="1"/>
      <c r="AP560" s="1"/>
    </row>
    <row r="561" spans="1:42" x14ac:dyDescent="0.55000000000000004">
      <c r="A561" t="s">
        <v>138</v>
      </c>
      <c r="B561" s="1" t="s">
        <v>1652</v>
      </c>
      <c r="C561" t="s">
        <v>140</v>
      </c>
      <c r="D561" t="s">
        <v>141</v>
      </c>
      <c r="E561" t="s">
        <v>623</v>
      </c>
      <c r="F561" s="1" t="s">
        <v>1653</v>
      </c>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row>
    <row r="562" spans="1:42" ht="28.8" x14ac:dyDescent="0.55000000000000004">
      <c r="A562" t="s">
        <v>138</v>
      </c>
      <c r="B562" s="1" t="s">
        <v>1654</v>
      </c>
      <c r="C562" t="s">
        <v>140</v>
      </c>
      <c r="D562" t="s">
        <v>141</v>
      </c>
      <c r="E562" t="s">
        <v>623</v>
      </c>
      <c r="F562" s="1" t="s">
        <v>1655</v>
      </c>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row>
    <row r="563" spans="1:42" x14ac:dyDescent="0.55000000000000004">
      <c r="A563" t="s">
        <v>138</v>
      </c>
      <c r="B563" s="1" t="s">
        <v>1656</v>
      </c>
      <c r="C563" t="s">
        <v>140</v>
      </c>
      <c r="D563" t="s">
        <v>141</v>
      </c>
      <c r="E563" t="s">
        <v>313</v>
      </c>
      <c r="F563" s="1" t="s">
        <v>1657</v>
      </c>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row>
    <row r="564" spans="1:42" ht="43.2" x14ac:dyDescent="0.55000000000000004">
      <c r="A564" t="s">
        <v>412</v>
      </c>
      <c r="B564" s="1" t="s">
        <v>1658</v>
      </c>
      <c r="C564" t="s">
        <v>140</v>
      </c>
      <c r="D564" t="s">
        <v>141</v>
      </c>
      <c r="E564" t="s">
        <v>313</v>
      </c>
      <c r="F564" s="1" t="s">
        <v>1659</v>
      </c>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row>
    <row r="565" spans="1:42" ht="28.8" x14ac:dyDescent="0.55000000000000004">
      <c r="A565" t="s">
        <v>138</v>
      </c>
      <c r="B565" s="1" t="s">
        <v>1660</v>
      </c>
      <c r="C565" t="s">
        <v>140</v>
      </c>
      <c r="D565" t="s">
        <v>141</v>
      </c>
      <c r="E565" t="s">
        <v>623</v>
      </c>
      <c r="F565" s="1" t="s">
        <v>1661</v>
      </c>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row>
    <row r="566" spans="1:42" ht="28.8" x14ac:dyDescent="0.55000000000000004">
      <c r="A566" t="s">
        <v>138</v>
      </c>
      <c r="B566" s="1" t="s">
        <v>1662</v>
      </c>
      <c r="C566" t="s">
        <v>140</v>
      </c>
      <c r="D566" t="s">
        <v>141</v>
      </c>
      <c r="E566" t="s">
        <v>313</v>
      </c>
      <c r="F566" s="1" t="s">
        <v>1663</v>
      </c>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row>
    <row r="567" spans="1:42" ht="28.8" x14ac:dyDescent="0.55000000000000004">
      <c r="A567" t="s">
        <v>138</v>
      </c>
      <c r="B567" s="1" t="s">
        <v>1664</v>
      </c>
      <c r="C567" t="s">
        <v>140</v>
      </c>
      <c r="D567" t="s">
        <v>141</v>
      </c>
      <c r="E567" t="s">
        <v>313</v>
      </c>
      <c r="F567" s="1" t="s">
        <v>1665</v>
      </c>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row>
    <row r="568" spans="1:42" ht="28.8" x14ac:dyDescent="0.55000000000000004">
      <c r="A568" t="s">
        <v>138</v>
      </c>
      <c r="B568" s="1" t="s">
        <v>1666</v>
      </c>
      <c r="C568" t="s">
        <v>140</v>
      </c>
      <c r="D568" t="s">
        <v>141</v>
      </c>
      <c r="E568" t="s">
        <v>313</v>
      </c>
      <c r="F568" s="1" t="s">
        <v>1667</v>
      </c>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row>
    <row r="569" spans="1:42" ht="28.8" x14ac:dyDescent="0.55000000000000004">
      <c r="A569" t="s">
        <v>138</v>
      </c>
      <c r="B569" s="1" t="s">
        <v>1668</v>
      </c>
      <c r="C569" t="s">
        <v>140</v>
      </c>
      <c r="D569" t="s">
        <v>141</v>
      </c>
      <c r="E569" t="s">
        <v>313</v>
      </c>
      <c r="F569" s="1" t="s">
        <v>1669</v>
      </c>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row>
    <row r="570" spans="1:42" ht="43.2" x14ac:dyDescent="0.55000000000000004">
      <c r="A570" t="s">
        <v>138</v>
      </c>
      <c r="B570" s="1" t="s">
        <v>1670</v>
      </c>
      <c r="C570" t="s">
        <v>316</v>
      </c>
      <c r="D570" t="s">
        <v>141</v>
      </c>
      <c r="E570" t="s">
        <v>313</v>
      </c>
      <c r="F570" s="1" t="s">
        <v>1671</v>
      </c>
      <c r="H570" s="1" t="s">
        <v>1672</v>
      </c>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row>
    <row r="571" spans="1:42" ht="28.8" x14ac:dyDescent="0.55000000000000004">
      <c r="A571" t="s">
        <v>412</v>
      </c>
      <c r="B571" s="1" t="s">
        <v>1673</v>
      </c>
      <c r="C571" t="s">
        <v>160</v>
      </c>
      <c r="D571" t="s">
        <v>487</v>
      </c>
      <c r="E571" t="s">
        <v>313</v>
      </c>
      <c r="F571" s="1" t="s">
        <v>1674</v>
      </c>
      <c r="I571" s="1" t="s">
        <v>1675</v>
      </c>
      <c r="K571" s="10">
        <f>'[1]Opioid Fatal ODs NVSS'!B$5</f>
        <v>35.532868160117516</v>
      </c>
      <c r="L571" s="10">
        <f>'[1]Opioid Fatal ODs NVSS'!C$5</f>
        <v>35.931364179614135</v>
      </c>
      <c r="M571" s="10">
        <f>'[1]Opioid Fatal ODs NVSS'!D$5</f>
        <v>36.877102199223806</v>
      </c>
      <c r="N571" s="10">
        <f>'[1]Opioid Fatal ODs NVSS'!E$5</f>
        <v>39.007849978194507</v>
      </c>
      <c r="O571" s="10">
        <f>'[1]Opioid Fatal ODs NVSS'!F$5</f>
        <v>35.42550492730998</v>
      </c>
      <c r="P571" s="10">
        <f>'[1]Opioid Fatal ODs NVSS'!G$5</f>
        <v>27.648530822216408</v>
      </c>
      <c r="Q571" s="10">
        <f>'[1]Opioid Fatal ODs NVSS'!H$5</f>
        <v>64.084569615232056</v>
      </c>
      <c r="R571" s="10">
        <f>'[1]Opioid Fatal ODs NVSS'!I$5</f>
        <v>140.80357956394403</v>
      </c>
      <c r="S571" s="10">
        <f>'[1]Opioid Fatal ODs NVSS'!J$5</f>
        <v>28.250745723503986</v>
      </c>
      <c r="T571" s="10">
        <f>'[1]Opioid Fatal ODs NVSS'!K$5</f>
        <v>45.253944489231834</v>
      </c>
      <c r="U571" s="10">
        <f>'[1]Opioid Fatal ODs NVSS'!L$5</f>
        <v>59.083528450857607</v>
      </c>
      <c r="V571" s="10">
        <f>'[1]Opioid Fatal ODs NVSS'!M$5</f>
        <v>61.660986920952531</v>
      </c>
      <c r="W571" s="10">
        <f>'[1]Opioid Fatal ODs NVSS'!N$5</f>
        <v>77.481226684753651</v>
      </c>
      <c r="X571" s="10">
        <f>'[1]Opioid Fatal ODs NVSS'!O$5</f>
        <v>106.82924747498696</v>
      </c>
      <c r="Y571" s="10">
        <f>'[1]Opioid Fatal ODs NVSS'!P$5</f>
        <v>279.15173186282959</v>
      </c>
      <c r="Z571" s="10">
        <f>'[1]Opioid Fatal ODs NVSS'!Q$5</f>
        <v>1160.8864572605562</v>
      </c>
      <c r="AA571" s="10">
        <f>'[1]Opioid Fatal ODs NVSS'!R$5</f>
        <v>2911.2554899048941</v>
      </c>
      <c r="AB571" s="10">
        <f>'[1]Opioid Fatal ODs NVSS'!S$5</f>
        <v>6080.8027591258697</v>
      </c>
      <c r="AC571" s="10">
        <f>'[1]Opioid Fatal ODs NVSS'!T$5</f>
        <v>8394.3031861327163</v>
      </c>
      <c r="AD571" s="10">
        <f>'[1]Opioid Fatal ODs NVSS'!U$5</f>
        <v>9335.4257644283825</v>
      </c>
      <c r="AE571" s="10">
        <f>'[1]Opioid Fatal ODs NVSS'!V$5</f>
        <v>8982.6506462770794</v>
      </c>
      <c r="AF571" s="1"/>
      <c r="AG571" s="1"/>
      <c r="AH571" s="1"/>
      <c r="AI571" s="1"/>
      <c r="AJ571" s="1"/>
      <c r="AK571" s="1"/>
      <c r="AL571" s="1"/>
      <c r="AM571" s="1"/>
      <c r="AN571" s="1"/>
      <c r="AO571" s="1"/>
      <c r="AP571" s="1"/>
    </row>
    <row r="572" spans="1:42" ht="28.8" x14ac:dyDescent="0.55000000000000004">
      <c r="A572" t="s">
        <v>412</v>
      </c>
      <c r="B572" s="1" t="s">
        <v>1676</v>
      </c>
      <c r="C572" t="s">
        <v>160</v>
      </c>
      <c r="D572" t="s">
        <v>487</v>
      </c>
      <c r="E572" t="s">
        <v>313</v>
      </c>
      <c r="F572" s="1" t="s">
        <v>1677</v>
      </c>
      <c r="I572" s="1" t="s">
        <v>1675</v>
      </c>
      <c r="K572" s="6">
        <f>'[1]Opioid Fatal ODs NVSS'!B$4</f>
        <v>1058.5833639368343</v>
      </c>
      <c r="L572" s="6">
        <f>'[1]Opioid Fatal ODs NVSS'!C$4</f>
        <v>1098.062489329008</v>
      </c>
      <c r="M572" s="6">
        <f>'[1]Opioid Fatal ODs NVSS'!D$4</f>
        <v>1286.6011211729194</v>
      </c>
      <c r="N572" s="6">
        <f>'[1]Opioid Fatal ODs NVSS'!E$4</f>
        <v>1664.3349324029655</v>
      </c>
      <c r="O572" s="6">
        <f>'[1]Opioid Fatal ODs NVSS'!F$4</f>
        <v>1751.0321006927504</v>
      </c>
      <c r="P572" s="6">
        <f>'[1]Opioid Fatal ODs NVSS'!G$4</f>
        <v>1987.0878890923359</v>
      </c>
      <c r="Q572" s="6">
        <f>'[1]Opioid Fatal ODs NVSS'!H$4</f>
        <v>2029.3447044823483</v>
      </c>
      <c r="R572" s="6">
        <f>'[1]Opioid Fatal ODs NVSS'!I$4</f>
        <v>2971.7568499837294</v>
      </c>
      <c r="S572" s="6">
        <f>'[1]Opioid Fatal ODs NVSS'!J$4</f>
        <v>2487.195653497291</v>
      </c>
      <c r="T572" s="6">
        <f>'[1]Opioid Fatal ODs NVSS'!K$4</f>
        <v>2582.8688817229067</v>
      </c>
      <c r="U572" s="6">
        <f>'[1]Opioid Fatal ODs NVSS'!L$4</f>
        <v>3256.2827661312276</v>
      </c>
      <c r="V572" s="6">
        <f>'[1]Opioid Fatal ODs NVSS'!M$4</f>
        <v>3265.8301287061645</v>
      </c>
      <c r="W572" s="6">
        <f>'[1]Opioid Fatal ODs NVSS'!N$4</f>
        <v>2905.5460006782619</v>
      </c>
      <c r="X572" s="6">
        <f>'[1]Opioid Fatal ODs NVSS'!O$4</f>
        <v>2822.7150647256863</v>
      </c>
      <c r="Y572" s="6">
        <f>'[1]Opioid Fatal ODs NVSS'!P$4</f>
        <v>3137.7520248147512</v>
      </c>
      <c r="Z572" s="6">
        <f>'[1]Opioid Fatal ODs NVSS'!Q$4</f>
        <v>4784.0352729145216</v>
      </c>
      <c r="AA572" s="6">
        <f>'[1]Opioid Fatal ODs NVSS'!R$4</f>
        <v>7256.6321526746497</v>
      </c>
      <c r="AB572" s="6">
        <f>'[1]Opioid Fatal ODs NVSS'!S$4</f>
        <v>14188.194408497131</v>
      </c>
      <c r="AC572" s="6">
        <f>'[1]Opioid Fatal ODs NVSS'!T$4</f>
        <v>21041.159135223159</v>
      </c>
      <c r="AD572" s="6">
        <f>'[1]Opioid Fatal ODs NVSS'!U$4</f>
        <v>22833.065374045142</v>
      </c>
      <c r="AE572" s="6">
        <f>'[1]Opioid Fatal ODs NVSS'!V$4</f>
        <v>28216.687905819526</v>
      </c>
      <c r="AF572" s="1"/>
      <c r="AG572" s="1"/>
      <c r="AH572" s="1"/>
      <c r="AI572" s="1"/>
      <c r="AJ572" s="1"/>
      <c r="AK572" s="1"/>
      <c r="AL572" s="1"/>
      <c r="AM572" s="1"/>
      <c r="AN572" s="1"/>
      <c r="AO572" s="1"/>
      <c r="AP572" s="1"/>
    </row>
    <row r="573" spans="1:42" x14ac:dyDescent="0.55000000000000004">
      <c r="A573" t="s">
        <v>138</v>
      </c>
      <c r="B573" s="1" t="s">
        <v>1678</v>
      </c>
      <c r="C573" t="s">
        <v>140</v>
      </c>
      <c r="D573" t="s">
        <v>141</v>
      </c>
      <c r="E573" t="s">
        <v>623</v>
      </c>
      <c r="F573" s="1" t="s">
        <v>1679</v>
      </c>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row>
    <row r="574" spans="1:42" x14ac:dyDescent="0.55000000000000004">
      <c r="A574" t="s">
        <v>138</v>
      </c>
      <c r="B574" s="1" t="s">
        <v>1680</v>
      </c>
      <c r="C574" t="s">
        <v>140</v>
      </c>
      <c r="D574" t="s">
        <v>141</v>
      </c>
      <c r="E574" t="s">
        <v>623</v>
      </c>
      <c r="F574" s="1" t="s">
        <v>1681</v>
      </c>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row>
    <row r="575" spans="1:42" ht="28.8" x14ac:dyDescent="0.55000000000000004">
      <c r="A575" t="s">
        <v>138</v>
      </c>
      <c r="B575" s="1" t="s">
        <v>1682</v>
      </c>
      <c r="C575" t="s">
        <v>140</v>
      </c>
      <c r="D575" t="s">
        <v>141</v>
      </c>
      <c r="E575" t="s">
        <v>146</v>
      </c>
      <c r="F575" s="1" t="s">
        <v>1683</v>
      </c>
      <c r="H575" s="1" t="s">
        <v>296</v>
      </c>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row>
    <row r="576" spans="1:42" ht="28.8" x14ac:dyDescent="0.55000000000000004">
      <c r="A576" t="s">
        <v>138</v>
      </c>
      <c r="B576" s="1" t="s">
        <v>1684</v>
      </c>
      <c r="C576" t="s">
        <v>140</v>
      </c>
      <c r="D576" t="s">
        <v>141</v>
      </c>
      <c r="E576" t="s">
        <v>313</v>
      </c>
      <c r="F576" s="1" t="s">
        <v>1685</v>
      </c>
      <c r="H576" s="1" t="s">
        <v>296</v>
      </c>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row>
    <row r="577" spans="1:42" x14ac:dyDescent="0.55000000000000004">
      <c r="A577" t="s">
        <v>138</v>
      </c>
      <c r="B577" s="1" t="s">
        <v>1686</v>
      </c>
      <c r="C577" t="s">
        <v>140</v>
      </c>
      <c r="D577" t="s">
        <v>141</v>
      </c>
      <c r="E577" t="s">
        <v>1687</v>
      </c>
      <c r="F577" s="1" t="s">
        <v>1688</v>
      </c>
      <c r="H577" s="1" t="s">
        <v>296</v>
      </c>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row>
    <row r="578" spans="1:42" ht="43.2" x14ac:dyDescent="0.55000000000000004">
      <c r="A578" t="s">
        <v>155</v>
      </c>
      <c r="B578" s="1" t="s">
        <v>1689</v>
      </c>
      <c r="C578" t="s">
        <v>160</v>
      </c>
      <c r="D578" t="s">
        <v>161</v>
      </c>
      <c r="E578" t="s">
        <v>1687</v>
      </c>
      <c r="F578" s="1" t="s">
        <v>1690</v>
      </c>
      <c r="H578" s="1" t="s">
        <v>1691</v>
      </c>
      <c r="I578" s="1" t="s">
        <v>451</v>
      </c>
      <c r="K578" s="10">
        <f>'[1]Opioid Rx Data IQVIA SH'!B$4</f>
        <v>156716600</v>
      </c>
      <c r="L578" s="10">
        <f>'[1]Opioid Rx Data IQVIA SH'!C$4</f>
        <v>167976040</v>
      </c>
      <c r="M578" s="10">
        <f>'[1]Opioid Rx Data IQVIA SH'!D$4</f>
        <v>183715880</v>
      </c>
      <c r="N578" s="10">
        <f>'[1]Opioid Rx Data IQVIA SH'!E$4</f>
        <v>187651428</v>
      </c>
      <c r="O578" s="10">
        <f>'[1]Opioid Rx Data IQVIA SH'!F$4</f>
        <v>194953119</v>
      </c>
      <c r="P578" s="10">
        <f>'[1]Opioid Rx Data IQVIA SH'!G$4</f>
        <v>204027579</v>
      </c>
      <c r="Q578" s="10">
        <f>'[1]Opioid Rx Data IQVIA SH'!H$4</f>
        <v>211944467</v>
      </c>
      <c r="R578" s="10">
        <f>'[1]Opioid Rx Data IQVIA SH'!I$4</f>
        <v>224458726</v>
      </c>
      <c r="S578" s="10">
        <f>'[1]Opioid Rx Data IQVIA SH'!J$4</f>
        <v>237583497</v>
      </c>
      <c r="T578" s="10">
        <f>'[1]Opioid Rx Data IQVIA SH'!K$4</f>
        <v>246965271</v>
      </c>
      <c r="U578" s="10">
        <f>'[1]Opioid Rx Data IQVIA SH'!L$4</f>
        <v>253048448</v>
      </c>
      <c r="V578" s="10">
        <f>'[1]Opioid Rx Data IQVIA SH'!M$4</f>
        <v>259934115</v>
      </c>
      <c r="W578" s="10">
        <f>'[1]Opioid Rx Data IQVIA SH'!N$4</f>
        <v>260625937</v>
      </c>
      <c r="X578" s="10">
        <f>'[1]Opioid Rx Data IQVIA SH'!O$4</f>
        <v>263067911</v>
      </c>
      <c r="Y578" s="10">
        <f>'[1]Opioid Rx Data IQVIA SH'!P$4</f>
        <v>253919348</v>
      </c>
      <c r="Z578" s="10">
        <f>'[1]Opioid Rx Data IQVIA SH'!Q$4</f>
        <v>246326325</v>
      </c>
      <c r="AA578" s="10">
        <f>'[1]Opioid Rx Data IQVIA SH'!R$4</f>
        <v>229140550</v>
      </c>
      <c r="AB578" s="10">
        <f>'[1]Opioid Rx Data IQVIA SH'!S$4</f>
        <v>217313967</v>
      </c>
      <c r="AC578" s="10">
        <f>'[1]Opioid Rx Data IQVIA SH'!T$4</f>
        <v>193782638</v>
      </c>
      <c r="AD578" s="10">
        <f>'[1]Opioid Rx Data IQVIA SH'!U$4</f>
        <v>169863949</v>
      </c>
      <c r="AE578" s="10">
        <f>'[1]Opioid Rx Data IQVIA SH'!V$4</f>
        <v>154658303</v>
      </c>
      <c r="AF578" s="10">
        <f>'[1]Opioid Rx Data IQVIA SH'!W$4</f>
        <v>144174733</v>
      </c>
      <c r="AG578" s="1"/>
      <c r="AH578" s="1"/>
      <c r="AI578" s="1"/>
      <c r="AJ578" s="1"/>
      <c r="AK578" s="1"/>
      <c r="AL578" s="1"/>
      <c r="AM578" s="1"/>
      <c r="AN578" s="1"/>
      <c r="AO578" s="1"/>
      <c r="AP578" s="1"/>
    </row>
    <row r="579" spans="1:42" ht="28.8" x14ac:dyDescent="0.55000000000000004">
      <c r="A579" t="s">
        <v>138</v>
      </c>
      <c r="B579" s="1" t="s">
        <v>1692</v>
      </c>
      <c r="C579" t="s">
        <v>140</v>
      </c>
      <c r="D579" t="s">
        <v>170</v>
      </c>
      <c r="E579" t="s">
        <v>313</v>
      </c>
      <c r="F579" s="1" t="s">
        <v>1693</v>
      </c>
      <c r="H579" s="1" t="s">
        <v>1694</v>
      </c>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row>
    <row r="580" spans="1:42" ht="28.8" x14ac:dyDescent="0.55000000000000004">
      <c r="A580" t="s">
        <v>412</v>
      </c>
      <c r="B580" s="1" t="s">
        <v>1695</v>
      </c>
      <c r="C580" t="s">
        <v>160</v>
      </c>
      <c r="D580" t="s">
        <v>487</v>
      </c>
      <c r="E580" t="s">
        <v>313</v>
      </c>
      <c r="F580" s="1" t="s">
        <v>1696</v>
      </c>
      <c r="H580" s="1" t="s">
        <v>1697</v>
      </c>
      <c r="I580" s="1" t="s">
        <v>607</v>
      </c>
      <c r="K580" s="1">
        <f>'[1]Initiation Data'!B$2</f>
        <v>1910000</v>
      </c>
      <c r="L580" s="1">
        <f>'[1]Initiation Data'!C$2</f>
        <v>2462000</v>
      </c>
      <c r="M580" s="1">
        <f>'[1]Initiation Data'!D$2</f>
        <v>2394500</v>
      </c>
      <c r="N580" s="1">
        <f>'[1]Initiation Data'!E$2</f>
        <v>2320000</v>
      </c>
      <c r="O580" s="1">
        <f>'[1]Initiation Data'!F$2</f>
        <v>2456000</v>
      </c>
      <c r="P580" s="1">
        <f>'[1]Initiation Data'!G$2</f>
        <v>2422000</v>
      </c>
      <c r="Q580" s="1">
        <f>'[1]Initiation Data'!H$2</f>
        <v>2193000</v>
      </c>
      <c r="R580" s="1">
        <f>'[1]Initiation Data'!I$2</f>
        <v>2155000</v>
      </c>
      <c r="S580" s="1">
        <f>'[1]Initiation Data'!J$2</f>
        <v>2159000</v>
      </c>
      <c r="T580" s="1">
        <f>'[1]Initiation Data'!K$2</f>
        <v>2189000</v>
      </c>
      <c r="U580" s="1">
        <f>'[1]Initiation Data'!L$2</f>
        <v>2193000</v>
      </c>
      <c r="V580" s="1">
        <f>'[1]Initiation Data'!M$2</f>
        <v>2013000</v>
      </c>
      <c r="W580" s="1">
        <f>'[1]Initiation Data'!N$2</f>
        <v>1888000</v>
      </c>
      <c r="X580" s="1">
        <f>'[1]Initiation Data'!O$2</f>
        <v>1880000</v>
      </c>
      <c r="Y580" s="1">
        <f>'[1]Initiation Data'!P$2</f>
        <v>1539000</v>
      </c>
      <c r="Z580" s="1">
        <f>'[1]Initiation Data'!Q$2</f>
        <v>1425000</v>
      </c>
      <c r="AA580" s="1">
        <f>'[1]Initiation Data'!R$2</f>
        <v>2126000</v>
      </c>
      <c r="AB580" s="1">
        <f>'[1]Initiation Data'!S$2</f>
        <v>2139000</v>
      </c>
      <c r="AC580" s="1">
        <f>'[1]Initiation Data'!T$2</f>
        <v>2010000</v>
      </c>
      <c r="AD580" s="1">
        <f>'[1]Initiation Data'!U$2</f>
        <v>1908000</v>
      </c>
      <c r="AE580" s="1">
        <f>'[1]Initiation Data'!V$2</f>
        <v>1607000</v>
      </c>
      <c r="AF580" s="1"/>
      <c r="AG580" s="1"/>
      <c r="AH580" s="1"/>
      <c r="AI580" s="1"/>
      <c r="AJ580" s="1"/>
      <c r="AK580" s="1"/>
      <c r="AL580" s="1"/>
      <c r="AM580" s="1"/>
      <c r="AN580" s="1"/>
      <c r="AO580" s="1"/>
      <c r="AP580" s="1"/>
    </row>
    <row r="581" spans="1:42" ht="43.2" x14ac:dyDescent="0.55000000000000004">
      <c r="A581" t="s">
        <v>412</v>
      </c>
      <c r="B581" s="1" t="s">
        <v>1698</v>
      </c>
      <c r="C581" t="s">
        <v>140</v>
      </c>
      <c r="D581" t="s">
        <v>141</v>
      </c>
      <c r="E581" t="s">
        <v>313</v>
      </c>
      <c r="F581" s="1" t="s">
        <v>1699</v>
      </c>
      <c r="G581" s="1" t="s">
        <v>197</v>
      </c>
      <c r="H581" s="1" t="s">
        <v>1700</v>
      </c>
      <c r="I581" s="1" t="s">
        <v>607</v>
      </c>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row>
    <row r="582" spans="1:42" ht="28.8" x14ac:dyDescent="0.55000000000000004">
      <c r="A582" t="s">
        <v>138</v>
      </c>
      <c r="B582" s="1" t="s">
        <v>1701</v>
      </c>
      <c r="C582" t="s">
        <v>140</v>
      </c>
      <c r="D582" t="s">
        <v>141</v>
      </c>
      <c r="E582" t="s">
        <v>1351</v>
      </c>
      <c r="F582" s="1" t="s">
        <v>1702</v>
      </c>
      <c r="H582" s="1" t="s">
        <v>296</v>
      </c>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row>
    <row r="583" spans="1:42" ht="43.2" x14ac:dyDescent="0.55000000000000004">
      <c r="A583" t="s">
        <v>155</v>
      </c>
      <c r="B583" s="1" t="s">
        <v>1703</v>
      </c>
      <c r="C583" t="s">
        <v>160</v>
      </c>
      <c r="D583" t="s">
        <v>161</v>
      </c>
      <c r="E583" t="s">
        <v>1351</v>
      </c>
      <c r="F583" s="1" t="s">
        <v>1704</v>
      </c>
      <c r="H583" s="1" t="s">
        <v>1705</v>
      </c>
      <c r="I583" s="1" t="s">
        <v>451</v>
      </c>
      <c r="K583" s="10">
        <f>'[1]Opioid Rx Data IQVIA SH'!B$5</f>
        <v>83860335346.247116</v>
      </c>
      <c r="L583" s="10">
        <f>'[1]Opioid Rx Data IQVIA SH'!C$5</f>
        <v>88243037645.415298</v>
      </c>
      <c r="M583" s="10">
        <f>'[1]Opioid Rx Data IQVIA SH'!D$5</f>
        <v>104432410000.00002</v>
      </c>
      <c r="N583" s="10">
        <f>'[1]Opioid Rx Data IQVIA SH'!E$5</f>
        <v>113914397673</v>
      </c>
      <c r="O583" s="10">
        <f>'[1]Opioid Rx Data IQVIA SH'!F$5</f>
        <v>128182380208</v>
      </c>
      <c r="P583" s="10">
        <f>'[1]Opioid Rx Data IQVIA SH'!G$5</f>
        <v>141266597589</v>
      </c>
      <c r="Q583" s="10">
        <f>'[1]Opioid Rx Data IQVIA SH'!H$5</f>
        <v>152741116253</v>
      </c>
      <c r="R583" s="10">
        <f>'[1]Opioid Rx Data IQVIA SH'!I$5</f>
        <v>172377484435</v>
      </c>
      <c r="S583" s="10">
        <f>'[1]Opioid Rx Data IQVIA SH'!J$5</f>
        <v>194816933897</v>
      </c>
      <c r="T583" s="10">
        <f>'[1]Opioid Rx Data IQVIA SH'!K$5</f>
        <v>214803554568</v>
      </c>
      <c r="U583" s="10">
        <f>'[1]Opioid Rx Data IQVIA SH'!L$5</f>
        <v>227757668789</v>
      </c>
      <c r="V583" s="10">
        <f>'[1]Opioid Rx Data IQVIA SH'!M$5</f>
        <v>245404960604</v>
      </c>
      <c r="W583" s="10">
        <f>'[1]Opioid Rx Data IQVIA SH'!N$5</f>
        <v>246463188398</v>
      </c>
      <c r="X583" s="10">
        <f>'[1]Opioid Rx Data IQVIA SH'!O$5</f>
        <v>239867616739</v>
      </c>
      <c r="Y583" s="10">
        <f>'[1]Opioid Rx Data IQVIA SH'!P$5</f>
        <v>228965844787</v>
      </c>
      <c r="Z583" s="10">
        <f>'[1]Opioid Rx Data IQVIA SH'!Q$5</f>
        <v>221271525079</v>
      </c>
      <c r="AA583" s="10">
        <f>'[1]Opioid Rx Data IQVIA SH'!R$5</f>
        <v>209409702158</v>
      </c>
      <c r="AB583" s="10">
        <f>'[1]Opioid Rx Data IQVIA SH'!S$5</f>
        <v>197124327717</v>
      </c>
      <c r="AC583" s="10">
        <f>'[1]Opioid Rx Data IQVIA SH'!T$5</f>
        <v>170285611746</v>
      </c>
      <c r="AD583" s="10">
        <f>'[1]Opioid Rx Data IQVIA SH'!U$5</f>
        <v>141100706124</v>
      </c>
      <c r="AE583" s="10">
        <f>'[1]Opioid Rx Data IQVIA SH'!V$5</f>
        <v>120407890118</v>
      </c>
      <c r="AF583" s="10">
        <f>'[1]Opioid Rx Data IQVIA SH'!W$5</f>
        <v>110314545203</v>
      </c>
      <c r="AG583" s="1"/>
      <c r="AH583" s="1"/>
      <c r="AI583" s="1"/>
      <c r="AJ583" s="1"/>
      <c r="AK583" s="1"/>
      <c r="AL583" s="1"/>
      <c r="AM583" s="1"/>
      <c r="AN583" s="1"/>
      <c r="AO583" s="1"/>
      <c r="AP583" s="1"/>
    </row>
    <row r="584" spans="1:42" ht="43.2" x14ac:dyDescent="0.55000000000000004">
      <c r="A584" t="s">
        <v>138</v>
      </c>
      <c r="B584" s="1" t="s">
        <v>1706</v>
      </c>
      <c r="C584" t="s">
        <v>140</v>
      </c>
      <c r="D584" t="s">
        <v>141</v>
      </c>
      <c r="E584" t="s">
        <v>273</v>
      </c>
      <c r="F584" s="1" t="s">
        <v>1707</v>
      </c>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row>
    <row r="585" spans="1:42" ht="28.8" x14ac:dyDescent="0.55000000000000004">
      <c r="A585" t="s">
        <v>138</v>
      </c>
      <c r="B585" s="1" t="s">
        <v>1708</v>
      </c>
      <c r="C585" t="s">
        <v>140</v>
      </c>
      <c r="D585" t="s">
        <v>141</v>
      </c>
      <c r="E585" t="s">
        <v>235</v>
      </c>
      <c r="F585" s="1" t="s">
        <v>1709</v>
      </c>
      <c r="H585" s="1" t="s">
        <v>1710</v>
      </c>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row>
    <row r="586" spans="1:42" ht="43.2" x14ac:dyDescent="0.55000000000000004">
      <c r="A586" t="s">
        <v>138</v>
      </c>
      <c r="B586" s="1" t="s">
        <v>1711</v>
      </c>
      <c r="C586" t="s">
        <v>140</v>
      </c>
      <c r="D586" t="s">
        <v>141</v>
      </c>
      <c r="E586" t="s">
        <v>235</v>
      </c>
      <c r="F586" s="1" t="s">
        <v>1712</v>
      </c>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row>
    <row r="587" spans="1:42" ht="57.6" x14ac:dyDescent="0.55000000000000004">
      <c r="A587" t="s">
        <v>138</v>
      </c>
      <c r="B587" s="1" t="s">
        <v>1713</v>
      </c>
      <c r="C587" t="s">
        <v>140</v>
      </c>
      <c r="D587" t="s">
        <v>141</v>
      </c>
      <c r="E587" t="s">
        <v>235</v>
      </c>
      <c r="F587" s="1" t="s">
        <v>1714</v>
      </c>
      <c r="H587" s="1" t="s">
        <v>1715</v>
      </c>
      <c r="I587" s="1" t="s">
        <v>416</v>
      </c>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row>
    <row r="588" spans="1:42" ht="28.8" x14ac:dyDescent="0.55000000000000004">
      <c r="A588" t="s">
        <v>412</v>
      </c>
      <c r="B588" s="1" t="s">
        <v>1716</v>
      </c>
      <c r="C588" t="s">
        <v>140</v>
      </c>
      <c r="D588" t="s">
        <v>141</v>
      </c>
      <c r="E588" t="s">
        <v>273</v>
      </c>
      <c r="F588" s="1" t="s">
        <v>1717</v>
      </c>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row>
    <row r="589" spans="1:42" ht="28.8" x14ac:dyDescent="0.55000000000000004">
      <c r="A589" t="s">
        <v>138</v>
      </c>
      <c r="B589" s="1" t="s">
        <v>1718</v>
      </c>
      <c r="C589" t="s">
        <v>140</v>
      </c>
      <c r="D589" t="s">
        <v>141</v>
      </c>
      <c r="E589" t="s">
        <v>142</v>
      </c>
      <c r="F589" s="1" t="s">
        <v>1719</v>
      </c>
      <c r="H589" s="1" t="s">
        <v>1720</v>
      </c>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row>
    <row r="590" spans="1:42" ht="28.8" x14ac:dyDescent="0.55000000000000004">
      <c r="A590" t="s">
        <v>138</v>
      </c>
      <c r="B590" s="1" t="s">
        <v>1721</v>
      </c>
      <c r="C590" t="s">
        <v>140</v>
      </c>
      <c r="D590" t="s">
        <v>141</v>
      </c>
      <c r="E590" t="s">
        <v>142</v>
      </c>
      <c r="F590" s="1" t="s">
        <v>1722</v>
      </c>
      <c r="H590" s="1" t="s">
        <v>1723</v>
      </c>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row>
    <row r="591" spans="1:42" ht="28.8" x14ac:dyDescent="0.55000000000000004">
      <c r="A591" t="s">
        <v>138</v>
      </c>
      <c r="B591" s="1" t="s">
        <v>1724</v>
      </c>
      <c r="C591" t="s">
        <v>140</v>
      </c>
      <c r="D591" t="s">
        <v>141</v>
      </c>
      <c r="E591" t="s">
        <v>142</v>
      </c>
      <c r="F591" s="1" t="s">
        <v>1725</v>
      </c>
      <c r="H591" s="1" t="s">
        <v>1726</v>
      </c>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row>
    <row r="592" spans="1:42" ht="28.8" x14ac:dyDescent="0.55000000000000004">
      <c r="A592" t="s">
        <v>138</v>
      </c>
      <c r="B592" s="1" t="s">
        <v>1727</v>
      </c>
      <c r="C592" t="s">
        <v>316</v>
      </c>
      <c r="D592" t="s">
        <v>141</v>
      </c>
      <c r="E592" t="s">
        <v>273</v>
      </c>
      <c r="F592" s="1" t="s">
        <v>1728</v>
      </c>
      <c r="H592" s="1" t="s">
        <v>1729</v>
      </c>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row>
    <row r="593" spans="1:42" x14ac:dyDescent="0.55000000000000004">
      <c r="A593" t="s">
        <v>138</v>
      </c>
      <c r="B593" s="1" t="s">
        <v>1730</v>
      </c>
      <c r="C593" t="s">
        <v>140</v>
      </c>
      <c r="D593" t="s">
        <v>141</v>
      </c>
      <c r="E593" t="s">
        <v>273</v>
      </c>
      <c r="F593" s="1" t="s">
        <v>1731</v>
      </c>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row>
    <row r="594" spans="1:42" ht="28.8" x14ac:dyDescent="0.55000000000000004">
      <c r="A594" t="s">
        <v>138</v>
      </c>
      <c r="B594" s="1" t="s">
        <v>1732</v>
      </c>
      <c r="C594" t="s">
        <v>140</v>
      </c>
      <c r="D594" t="s">
        <v>141</v>
      </c>
      <c r="E594" t="s">
        <v>146</v>
      </c>
      <c r="F594" s="1" t="s">
        <v>1733</v>
      </c>
      <c r="H594" s="1" t="s">
        <v>1734</v>
      </c>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row>
    <row r="595" spans="1:42" ht="57.6" x14ac:dyDescent="0.55000000000000004">
      <c r="A595" t="s">
        <v>138</v>
      </c>
      <c r="B595" s="1" t="s">
        <v>1735</v>
      </c>
      <c r="C595" t="s">
        <v>140</v>
      </c>
      <c r="D595" t="s">
        <v>141</v>
      </c>
      <c r="E595" t="s">
        <v>146</v>
      </c>
      <c r="F595" s="1" t="s">
        <v>1736</v>
      </c>
      <c r="H595" s="1" t="s">
        <v>1737</v>
      </c>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row>
    <row r="596" spans="1:42" ht="57.6" x14ac:dyDescent="0.55000000000000004">
      <c r="A596" t="s">
        <v>412</v>
      </c>
      <c r="B596" s="1" t="s">
        <v>1738</v>
      </c>
      <c r="C596" t="s">
        <v>160</v>
      </c>
      <c r="D596" t="s">
        <v>487</v>
      </c>
      <c r="E596" t="s">
        <v>623</v>
      </c>
      <c r="F596" s="1" t="s">
        <v>1739</v>
      </c>
      <c r="H596" s="1" t="s">
        <v>1740</v>
      </c>
      <c r="I596" s="1" t="s">
        <v>1741</v>
      </c>
      <c r="J596" s="1" t="s">
        <v>1742</v>
      </c>
      <c r="K596" s="1">
        <f>'[1]Buprenorphine IQVIA'!B$3</f>
        <v>0</v>
      </c>
      <c r="L596" s="1">
        <f>'[1]Buprenorphine IQVIA'!C$3</f>
        <v>0</v>
      </c>
      <c r="M596" s="1">
        <f>'[1]Buprenorphine IQVIA'!D$3</f>
        <v>0</v>
      </c>
      <c r="N596" s="1">
        <f>'[1]Buprenorphine IQVIA'!E$3</f>
        <v>0</v>
      </c>
      <c r="O596" s="1">
        <f>'[1]Buprenorphine IQVIA'!F$3</f>
        <v>19026</v>
      </c>
      <c r="P596" s="1">
        <f>'[1]Buprenorphine IQVIA'!G$3</f>
        <v>63174</v>
      </c>
      <c r="Q596" s="1">
        <f>'[1]Buprenorphine IQVIA'!H$3</f>
        <v>108325</v>
      </c>
      <c r="R596" s="1">
        <f>'[1]Buprenorphine IQVIA'!I$3</f>
        <v>170005</v>
      </c>
      <c r="S596" s="1">
        <f>'[1]Buprenorphine IQVIA'!J$3</f>
        <v>288677</v>
      </c>
      <c r="T596" s="1">
        <f>'[1]Buprenorphine IQVIA'!K$3</f>
        <v>436904</v>
      </c>
      <c r="U596" s="1">
        <f>'[1]Buprenorphine IQVIA'!L$3</f>
        <v>517292</v>
      </c>
      <c r="V596" s="1">
        <f>'[1]Buprenorphine IQVIA'!M$3</f>
        <v>603494</v>
      </c>
      <c r="W596" s="1">
        <f>'[1]Buprenorphine IQVIA'!N$3</f>
        <v>710244</v>
      </c>
      <c r="X596" s="1">
        <f>'[1]Buprenorphine IQVIA'!O$3</f>
        <v>730890</v>
      </c>
      <c r="Y596" s="1">
        <f>'[1]Buprenorphine IQVIA'!P$3</f>
        <v>774276</v>
      </c>
      <c r="Z596" s="1">
        <f>'[1]Buprenorphine IQVIA'!Q$3</f>
        <v>861312</v>
      </c>
      <c r="AA596" s="1">
        <f>'[1]Buprenorphine IQVIA'!R$3</f>
        <v>914792</v>
      </c>
      <c r="AB596" s="1">
        <f>'[1]Buprenorphine IQVIA'!S$3</f>
        <v>1003521</v>
      </c>
      <c r="AC596" s="1">
        <f>'[1]Buprenorphine IQVIA'!T$3</f>
        <v>1113512</v>
      </c>
      <c r="AD596" s="1">
        <f>'[1]Buprenorphine IQVIA'!U$3</f>
        <v>1186830</v>
      </c>
      <c r="AE596" s="1">
        <f>'[1]Buprenorphine IQVIA'!V$3</f>
        <v>1295524</v>
      </c>
      <c r="AF596" s="1"/>
      <c r="AG596" s="1"/>
      <c r="AH596" s="1"/>
      <c r="AI596" s="1"/>
      <c r="AJ596" s="1"/>
      <c r="AK596" s="1"/>
      <c r="AL596" s="1"/>
      <c r="AM596" s="1"/>
      <c r="AN596" s="1"/>
      <c r="AO596" s="1"/>
      <c r="AP596" s="1"/>
    </row>
    <row r="597" spans="1:42" x14ac:dyDescent="0.55000000000000004">
      <c r="A597" t="s">
        <v>138</v>
      </c>
      <c r="B597" s="1" t="s">
        <v>1743</v>
      </c>
      <c r="C597" t="s">
        <v>188</v>
      </c>
      <c r="D597" t="s">
        <v>141</v>
      </c>
      <c r="E597" t="s">
        <v>264</v>
      </c>
      <c r="F597" s="1" t="s">
        <v>1744</v>
      </c>
      <c r="H597" s="1" t="s">
        <v>309</v>
      </c>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row>
    <row r="598" spans="1:42" ht="201.6" x14ac:dyDescent="0.55000000000000004">
      <c r="A598" t="s">
        <v>138</v>
      </c>
      <c r="B598" s="1" t="s">
        <v>1745</v>
      </c>
      <c r="C598" t="s">
        <v>150</v>
      </c>
      <c r="D598" t="s">
        <v>175</v>
      </c>
      <c r="E598" t="s">
        <v>281</v>
      </c>
      <c r="F598" s="1">
        <v>0.61</v>
      </c>
      <c r="G598" s="1" t="s">
        <v>521</v>
      </c>
      <c r="H598" s="1" t="s">
        <v>1746</v>
      </c>
      <c r="I598" s="1" t="s">
        <v>1747</v>
      </c>
      <c r="J598" s="1" t="s">
        <v>1748</v>
      </c>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row>
    <row r="599" spans="1:42" ht="115.2" x14ac:dyDescent="0.55000000000000004">
      <c r="A599" t="s">
        <v>138</v>
      </c>
      <c r="B599" s="1" t="s">
        <v>1749</v>
      </c>
      <c r="C599" t="s">
        <v>150</v>
      </c>
      <c r="D599" t="s">
        <v>175</v>
      </c>
      <c r="E599" t="s">
        <v>281</v>
      </c>
      <c r="F599" s="1">
        <v>1</v>
      </c>
      <c r="G599" s="1" t="s">
        <v>521</v>
      </c>
      <c r="H599" s="1" t="s">
        <v>1750</v>
      </c>
      <c r="I599" s="1" t="s">
        <v>1751</v>
      </c>
      <c r="J599" s="1" t="s">
        <v>1748</v>
      </c>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row>
    <row r="600" spans="1:42" ht="57.6" x14ac:dyDescent="0.55000000000000004">
      <c r="A600" t="s">
        <v>688</v>
      </c>
      <c r="B600" s="1" t="s">
        <v>1752</v>
      </c>
      <c r="C600" t="s">
        <v>140</v>
      </c>
      <c r="D600" t="s">
        <v>170</v>
      </c>
      <c r="E600" t="s">
        <v>281</v>
      </c>
      <c r="F600" s="1" t="s">
        <v>1753</v>
      </c>
      <c r="H600" s="1" t="s">
        <v>1754</v>
      </c>
      <c r="J600" s="1" t="s">
        <v>619</v>
      </c>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row>
    <row r="601" spans="1:42" ht="43.2" x14ac:dyDescent="0.55000000000000004">
      <c r="A601" t="s">
        <v>138</v>
      </c>
      <c r="B601" s="1" t="s">
        <v>1755</v>
      </c>
      <c r="C601" t="s">
        <v>150</v>
      </c>
      <c r="D601" t="s">
        <v>175</v>
      </c>
      <c r="E601" t="s">
        <v>281</v>
      </c>
      <c r="F601" s="1">
        <v>0.22</v>
      </c>
      <c r="G601" s="1" t="s">
        <v>521</v>
      </c>
      <c r="H601" s="1" t="s">
        <v>1756</v>
      </c>
      <c r="I601" s="1" t="s">
        <v>1757</v>
      </c>
      <c r="J601" s="1" t="s">
        <v>1758</v>
      </c>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row>
    <row r="602" spans="1:42" ht="28.8" x14ac:dyDescent="0.55000000000000004">
      <c r="A602" t="s">
        <v>138</v>
      </c>
      <c r="B602" s="1" t="s">
        <v>1759</v>
      </c>
      <c r="C602" t="s">
        <v>140</v>
      </c>
      <c r="D602" t="s">
        <v>141</v>
      </c>
      <c r="E602" t="s">
        <v>273</v>
      </c>
      <c r="F602" s="1" t="s">
        <v>1760</v>
      </c>
      <c r="H602" s="1" t="s">
        <v>309</v>
      </c>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row>
    <row r="603" spans="1:42" ht="28.8" x14ac:dyDescent="0.55000000000000004">
      <c r="A603" t="s">
        <v>138</v>
      </c>
      <c r="B603" s="1" t="s">
        <v>1761</v>
      </c>
      <c r="C603" t="s">
        <v>140</v>
      </c>
      <c r="D603" t="s">
        <v>141</v>
      </c>
      <c r="E603" t="s">
        <v>146</v>
      </c>
      <c r="F603" s="1" t="s">
        <v>1762</v>
      </c>
      <c r="H603" s="1" t="s">
        <v>1763</v>
      </c>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row>
    <row r="604" spans="1:42" ht="57.6" x14ac:dyDescent="0.55000000000000004">
      <c r="A604" t="s">
        <v>138</v>
      </c>
      <c r="B604" s="1" t="s">
        <v>1764</v>
      </c>
      <c r="C604" t="s">
        <v>140</v>
      </c>
      <c r="D604" t="s">
        <v>141</v>
      </c>
      <c r="E604" t="s">
        <v>146</v>
      </c>
      <c r="F604" s="1" t="s">
        <v>1765</v>
      </c>
      <c r="H604" s="1" t="s">
        <v>1766</v>
      </c>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row>
    <row r="605" spans="1:42" ht="129.6" x14ac:dyDescent="0.55000000000000004">
      <c r="A605" t="s">
        <v>138</v>
      </c>
      <c r="B605" s="1" t="s">
        <v>1767</v>
      </c>
      <c r="C605" t="s">
        <v>140</v>
      </c>
      <c r="D605" t="s">
        <v>141</v>
      </c>
      <c r="E605" t="s">
        <v>146</v>
      </c>
      <c r="F605" s="1" t="s">
        <v>1768</v>
      </c>
      <c r="H605" s="1" t="s">
        <v>1769</v>
      </c>
      <c r="J605" s="1" t="s">
        <v>1770</v>
      </c>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row>
    <row r="606" spans="1:42" ht="28.8" x14ac:dyDescent="0.55000000000000004">
      <c r="A606" t="s">
        <v>138</v>
      </c>
      <c r="B606" s="1" t="s">
        <v>1771</v>
      </c>
      <c r="C606" t="s">
        <v>140</v>
      </c>
      <c r="D606" t="s">
        <v>141</v>
      </c>
      <c r="E606" t="s">
        <v>313</v>
      </c>
      <c r="F606" s="1" t="s">
        <v>1772</v>
      </c>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row>
    <row r="607" spans="1:42" ht="28.8" x14ac:dyDescent="0.55000000000000004">
      <c r="A607" t="s">
        <v>138</v>
      </c>
      <c r="B607" s="1" t="s">
        <v>1773</v>
      </c>
      <c r="C607" t="s">
        <v>140</v>
      </c>
      <c r="D607" t="s">
        <v>141</v>
      </c>
      <c r="E607" t="s">
        <v>623</v>
      </c>
      <c r="F607" s="1" t="s">
        <v>1774</v>
      </c>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row>
    <row r="608" spans="1:42" ht="43.2" x14ac:dyDescent="0.55000000000000004">
      <c r="A608" t="s">
        <v>138</v>
      </c>
      <c r="B608" s="1" t="s">
        <v>1775</v>
      </c>
      <c r="C608" t="s">
        <v>140</v>
      </c>
      <c r="D608" t="s">
        <v>141</v>
      </c>
      <c r="E608" t="s">
        <v>313</v>
      </c>
      <c r="F608" s="1" t="s">
        <v>1776</v>
      </c>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row>
    <row r="609" spans="1:42" ht="28.8" x14ac:dyDescent="0.55000000000000004">
      <c r="A609" t="s">
        <v>138</v>
      </c>
      <c r="B609" s="1" t="s">
        <v>1777</v>
      </c>
      <c r="C609" t="s">
        <v>140</v>
      </c>
      <c r="D609" t="s">
        <v>141</v>
      </c>
      <c r="E609" t="s">
        <v>313</v>
      </c>
      <c r="F609" s="1" t="s">
        <v>1778</v>
      </c>
      <c r="H609" s="1" t="s">
        <v>1779</v>
      </c>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row>
    <row r="610" spans="1:42" x14ac:dyDescent="0.55000000000000004">
      <c r="A610" t="s">
        <v>138</v>
      </c>
      <c r="B610" s="1" t="s">
        <v>1780</v>
      </c>
      <c r="C610" t="s">
        <v>140</v>
      </c>
      <c r="D610" t="s">
        <v>175</v>
      </c>
      <c r="E610" t="s">
        <v>146</v>
      </c>
      <c r="F610" s="1" t="s">
        <v>1781</v>
      </c>
      <c r="H610" s="1" t="s">
        <v>309</v>
      </c>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row>
    <row r="611" spans="1:42" ht="28.8" x14ac:dyDescent="0.55000000000000004">
      <c r="A611" t="s">
        <v>138</v>
      </c>
      <c r="B611" s="1" t="s">
        <v>1782</v>
      </c>
      <c r="C611" t="s">
        <v>316</v>
      </c>
      <c r="D611" t="s">
        <v>292</v>
      </c>
      <c r="E611" t="s">
        <v>313</v>
      </c>
      <c r="F611" s="1" t="s">
        <v>1783</v>
      </c>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row>
    <row r="612" spans="1:42" ht="28.8" x14ac:dyDescent="0.55000000000000004">
      <c r="A612" t="s">
        <v>138</v>
      </c>
      <c r="B612" s="1" t="s">
        <v>1784</v>
      </c>
      <c r="C612" t="s">
        <v>140</v>
      </c>
      <c r="D612" t="s">
        <v>141</v>
      </c>
      <c r="E612" t="s">
        <v>142</v>
      </c>
      <c r="F612" s="1" t="s">
        <v>1785</v>
      </c>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row>
    <row r="613" spans="1:42" ht="28.8" x14ac:dyDescent="0.55000000000000004">
      <c r="A613" t="s">
        <v>138</v>
      </c>
      <c r="B613" s="1" t="s">
        <v>1786</v>
      </c>
      <c r="C613" t="s">
        <v>140</v>
      </c>
      <c r="D613" t="s">
        <v>141</v>
      </c>
      <c r="E613" t="s">
        <v>142</v>
      </c>
      <c r="F613" s="1" t="s">
        <v>1787</v>
      </c>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row>
    <row r="614" spans="1:42" ht="28.8" x14ac:dyDescent="0.55000000000000004">
      <c r="A614" t="s">
        <v>138</v>
      </c>
      <c r="B614" s="1" t="s">
        <v>1788</v>
      </c>
      <c r="C614" t="s">
        <v>140</v>
      </c>
      <c r="D614" t="s">
        <v>141</v>
      </c>
      <c r="E614" t="s">
        <v>142</v>
      </c>
      <c r="F614" s="1" t="s">
        <v>1789</v>
      </c>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row>
    <row r="615" spans="1:42" ht="28.8" x14ac:dyDescent="0.55000000000000004">
      <c r="A615" t="s">
        <v>138</v>
      </c>
      <c r="B615" s="1" t="s">
        <v>1790</v>
      </c>
      <c r="C615" t="s">
        <v>316</v>
      </c>
      <c r="D615" t="s">
        <v>292</v>
      </c>
      <c r="E615" t="s">
        <v>313</v>
      </c>
      <c r="F615" s="1" t="s">
        <v>1791</v>
      </c>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row>
    <row r="616" spans="1:42" ht="28.8" x14ac:dyDescent="0.55000000000000004">
      <c r="A616" t="s">
        <v>138</v>
      </c>
      <c r="B616" s="1" t="s">
        <v>1792</v>
      </c>
      <c r="C616" t="s">
        <v>316</v>
      </c>
      <c r="D616" t="s">
        <v>292</v>
      </c>
      <c r="E616" t="s">
        <v>313</v>
      </c>
      <c r="F616" s="1" t="s">
        <v>1793</v>
      </c>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row>
    <row r="617" spans="1:42" ht="28.8" x14ac:dyDescent="0.55000000000000004">
      <c r="A617" t="s">
        <v>138</v>
      </c>
      <c r="B617" s="1" t="s">
        <v>1794</v>
      </c>
      <c r="C617" t="s">
        <v>140</v>
      </c>
      <c r="D617" t="s">
        <v>141</v>
      </c>
      <c r="E617" t="s">
        <v>623</v>
      </c>
      <c r="F617" s="1" t="s">
        <v>1795</v>
      </c>
      <c r="H617" s="1" t="s">
        <v>1796</v>
      </c>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row>
    <row r="618" spans="1:42" ht="28.8" x14ac:dyDescent="0.55000000000000004">
      <c r="A618" t="s">
        <v>138</v>
      </c>
      <c r="B618" s="1" t="s">
        <v>1797</v>
      </c>
      <c r="C618" t="s">
        <v>316</v>
      </c>
      <c r="D618" t="s">
        <v>292</v>
      </c>
      <c r="E618" t="s">
        <v>623</v>
      </c>
      <c r="F618" s="1" t="s">
        <v>1798</v>
      </c>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row>
    <row r="619" spans="1:42" ht="43.2" x14ac:dyDescent="0.55000000000000004">
      <c r="A619" t="s">
        <v>138</v>
      </c>
      <c r="B619" s="1" t="s">
        <v>1799</v>
      </c>
      <c r="C619" t="s">
        <v>140</v>
      </c>
      <c r="D619" t="s">
        <v>141</v>
      </c>
      <c r="E619" t="s">
        <v>320</v>
      </c>
      <c r="F619" s="1" t="s">
        <v>1800</v>
      </c>
      <c r="H619" s="1" t="s">
        <v>1801</v>
      </c>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row>
    <row r="620" spans="1:42" ht="57.6" x14ac:dyDescent="0.55000000000000004">
      <c r="A620" t="s">
        <v>138</v>
      </c>
      <c r="B620" s="1" t="s">
        <v>1802</v>
      </c>
      <c r="C620" t="s">
        <v>140</v>
      </c>
      <c r="D620" t="s">
        <v>141</v>
      </c>
      <c r="E620" t="s">
        <v>320</v>
      </c>
      <c r="F620" s="1" t="s">
        <v>1803</v>
      </c>
      <c r="H620" s="1" t="s">
        <v>1804</v>
      </c>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row>
    <row r="621" spans="1:42" ht="57.6" x14ac:dyDescent="0.55000000000000004">
      <c r="A621" t="s">
        <v>138</v>
      </c>
      <c r="B621" s="1" t="s">
        <v>1805</v>
      </c>
      <c r="C621" t="s">
        <v>140</v>
      </c>
      <c r="D621" t="s">
        <v>141</v>
      </c>
      <c r="E621" t="s">
        <v>320</v>
      </c>
      <c r="F621" s="1" t="s">
        <v>1806</v>
      </c>
      <c r="H621" s="1" t="s">
        <v>1807</v>
      </c>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row>
    <row r="622" spans="1:42" ht="28.8" x14ac:dyDescent="0.55000000000000004">
      <c r="A622" t="s">
        <v>138</v>
      </c>
      <c r="B622" s="1" t="s">
        <v>1808</v>
      </c>
      <c r="C622" t="s">
        <v>316</v>
      </c>
      <c r="D622" t="s">
        <v>292</v>
      </c>
      <c r="E622" t="s">
        <v>623</v>
      </c>
      <c r="F622" s="1" t="s">
        <v>1809</v>
      </c>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row>
    <row r="623" spans="1:42" ht="28.8" x14ac:dyDescent="0.55000000000000004">
      <c r="A623" t="s">
        <v>138</v>
      </c>
      <c r="B623" s="1" t="s">
        <v>1810</v>
      </c>
      <c r="C623" t="s">
        <v>316</v>
      </c>
      <c r="D623" t="s">
        <v>292</v>
      </c>
      <c r="E623" t="s">
        <v>623</v>
      </c>
      <c r="F623" s="1" t="s">
        <v>1811</v>
      </c>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row>
    <row r="624" spans="1:42" ht="43.2" x14ac:dyDescent="0.55000000000000004">
      <c r="A624" t="s">
        <v>138</v>
      </c>
      <c r="B624" s="1" t="s">
        <v>1812</v>
      </c>
      <c r="C624" t="s">
        <v>140</v>
      </c>
      <c r="D624" t="s">
        <v>141</v>
      </c>
      <c r="E624" t="s">
        <v>313</v>
      </c>
      <c r="F624" s="1" t="s">
        <v>1813</v>
      </c>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row>
    <row r="625" spans="1:42" ht="43.2" x14ac:dyDescent="0.55000000000000004">
      <c r="A625" t="s">
        <v>138</v>
      </c>
      <c r="B625" s="1" t="s">
        <v>1814</v>
      </c>
      <c r="C625" t="s">
        <v>140</v>
      </c>
      <c r="D625" t="s">
        <v>141</v>
      </c>
      <c r="E625" t="s">
        <v>313</v>
      </c>
      <c r="F625" s="1" t="s">
        <v>1815</v>
      </c>
      <c r="H625" s="1" t="s">
        <v>1816</v>
      </c>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row>
    <row r="626" spans="1:42" ht="28.8" x14ac:dyDescent="0.55000000000000004">
      <c r="A626" t="s">
        <v>138</v>
      </c>
      <c r="B626" s="1" t="s">
        <v>1817</v>
      </c>
      <c r="C626" t="s">
        <v>316</v>
      </c>
      <c r="D626" t="s">
        <v>292</v>
      </c>
      <c r="E626" t="s">
        <v>623</v>
      </c>
      <c r="F626" s="1" t="s">
        <v>1818</v>
      </c>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row>
    <row r="627" spans="1:42" ht="57.6" x14ac:dyDescent="0.55000000000000004">
      <c r="A627" t="s">
        <v>138</v>
      </c>
      <c r="B627" s="1" t="s">
        <v>1819</v>
      </c>
      <c r="C627" t="s">
        <v>140</v>
      </c>
      <c r="D627" t="s">
        <v>141</v>
      </c>
      <c r="E627" t="s">
        <v>320</v>
      </c>
      <c r="F627" s="1" t="s">
        <v>1820</v>
      </c>
      <c r="H627" s="1" t="s">
        <v>1821</v>
      </c>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row>
    <row r="628" spans="1:42" ht="57.6" x14ac:dyDescent="0.55000000000000004">
      <c r="A628" t="s">
        <v>138</v>
      </c>
      <c r="B628" s="1" t="s">
        <v>1822</v>
      </c>
      <c r="C628" t="s">
        <v>140</v>
      </c>
      <c r="D628" t="s">
        <v>141</v>
      </c>
      <c r="E628" t="s">
        <v>320</v>
      </c>
      <c r="F628" s="1" t="s">
        <v>1823</v>
      </c>
      <c r="H628" s="1" t="s">
        <v>1824</v>
      </c>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row>
    <row r="629" spans="1:42" ht="57.6" x14ac:dyDescent="0.55000000000000004">
      <c r="A629" t="s">
        <v>138</v>
      </c>
      <c r="B629" s="1" t="s">
        <v>1825</v>
      </c>
      <c r="C629" t="s">
        <v>140</v>
      </c>
      <c r="D629" t="s">
        <v>141</v>
      </c>
      <c r="E629" t="s">
        <v>320</v>
      </c>
      <c r="F629" s="1" t="s">
        <v>1826</v>
      </c>
      <c r="H629" s="1" t="s">
        <v>1827</v>
      </c>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row>
    <row r="630" spans="1:42" ht="28.8" x14ac:dyDescent="0.55000000000000004">
      <c r="A630" t="s">
        <v>138</v>
      </c>
      <c r="B630" s="1" t="s">
        <v>1828</v>
      </c>
      <c r="C630" t="s">
        <v>316</v>
      </c>
      <c r="D630" t="s">
        <v>292</v>
      </c>
      <c r="E630" t="s">
        <v>623</v>
      </c>
      <c r="F630" s="1" t="s">
        <v>1829</v>
      </c>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row>
    <row r="631" spans="1:42" ht="28.8" x14ac:dyDescent="0.55000000000000004">
      <c r="A631" t="s">
        <v>138</v>
      </c>
      <c r="B631" s="1" t="s">
        <v>1830</v>
      </c>
      <c r="C631" t="s">
        <v>316</v>
      </c>
      <c r="D631" t="s">
        <v>292</v>
      </c>
      <c r="E631" t="s">
        <v>623</v>
      </c>
      <c r="F631" s="1" t="s">
        <v>1831</v>
      </c>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row>
    <row r="632" spans="1:42" ht="28.8" x14ac:dyDescent="0.55000000000000004">
      <c r="A632" t="s">
        <v>138</v>
      </c>
      <c r="B632" s="1" t="s">
        <v>1832</v>
      </c>
      <c r="C632" t="s">
        <v>140</v>
      </c>
      <c r="D632" t="s">
        <v>141</v>
      </c>
      <c r="E632" t="s">
        <v>313</v>
      </c>
      <c r="F632" s="1" t="s">
        <v>1833</v>
      </c>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row>
    <row r="633" spans="1:42" ht="57.6" x14ac:dyDescent="0.55000000000000004">
      <c r="A633" t="s">
        <v>138</v>
      </c>
      <c r="B633" s="1" t="s">
        <v>1834</v>
      </c>
      <c r="C633" t="s">
        <v>1835</v>
      </c>
      <c r="D633" t="s">
        <v>141</v>
      </c>
      <c r="E633" t="s">
        <v>313</v>
      </c>
      <c r="F633" s="1" t="s">
        <v>1836</v>
      </c>
      <c r="H633" s="1" t="s">
        <v>1837</v>
      </c>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row>
    <row r="634" spans="1:42" ht="115.2" x14ac:dyDescent="0.55000000000000004">
      <c r="A634" t="s">
        <v>138</v>
      </c>
      <c r="B634" s="1" t="s">
        <v>1838</v>
      </c>
      <c r="C634" t="s">
        <v>150</v>
      </c>
      <c r="D634" t="s">
        <v>141</v>
      </c>
      <c r="E634" t="s">
        <v>391</v>
      </c>
      <c r="F634" s="1">
        <v>8.3000000000000004E-2</v>
      </c>
      <c r="H634" s="1" t="s">
        <v>1839</v>
      </c>
      <c r="I634" s="1" t="s">
        <v>1840</v>
      </c>
      <c r="J634" s="1" t="s">
        <v>1841</v>
      </c>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row>
    <row r="635" spans="1:42" ht="57.6" x14ac:dyDescent="0.55000000000000004">
      <c r="A635" t="s">
        <v>138</v>
      </c>
      <c r="B635" s="1" t="s">
        <v>1842</v>
      </c>
      <c r="C635" t="s">
        <v>140</v>
      </c>
      <c r="D635" t="s">
        <v>170</v>
      </c>
      <c r="E635" t="s">
        <v>264</v>
      </c>
      <c r="F635" s="1" t="s">
        <v>1843</v>
      </c>
      <c r="H635" s="1" t="s">
        <v>1844</v>
      </c>
      <c r="J635" s="1" t="s">
        <v>619</v>
      </c>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row>
    <row r="636" spans="1:42" x14ac:dyDescent="0.55000000000000004">
      <c r="A636" t="s">
        <v>412</v>
      </c>
      <c r="B636" s="1" t="s">
        <v>1845</v>
      </c>
      <c r="C636" t="s">
        <v>140</v>
      </c>
      <c r="D636" t="s">
        <v>141</v>
      </c>
      <c r="E636" t="s">
        <v>273</v>
      </c>
      <c r="F636" s="1" t="s">
        <v>1846</v>
      </c>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row>
    <row r="637" spans="1:42" ht="72" x14ac:dyDescent="0.55000000000000004">
      <c r="A637" t="s">
        <v>412</v>
      </c>
      <c r="B637" s="1" t="s">
        <v>1847</v>
      </c>
      <c r="C637" t="s">
        <v>160</v>
      </c>
      <c r="D637" t="s">
        <v>161</v>
      </c>
      <c r="E637" t="s">
        <v>273</v>
      </c>
      <c r="F637" s="1" t="s">
        <v>1848</v>
      </c>
      <c r="H637" s="1" t="s">
        <v>1849</v>
      </c>
      <c r="I637" s="1" t="s">
        <v>1850</v>
      </c>
      <c r="J637" s="1" t="s">
        <v>1851</v>
      </c>
      <c r="K637" s="13">
        <f>'[1]Methadone NSSATS'!B$3</f>
        <v>159053.5</v>
      </c>
      <c r="L637" s="13">
        <f>'[1]Methadone NSSATS'!C$3</f>
        <v>172497</v>
      </c>
      <c r="M637" s="13">
        <f>'[1]Methadone NSSATS'!D$3</f>
        <v>198998.5</v>
      </c>
      <c r="N637" s="13">
        <f>'[1]Methadone NSSATS'!E$3</f>
        <v>225500</v>
      </c>
      <c r="O637" s="13">
        <f>'[1]Methadone NSSATS'!F$3</f>
        <v>227003</v>
      </c>
      <c r="P637" s="13">
        <f>'[1]Methadone NSSATS'!G$3</f>
        <v>240961</v>
      </c>
      <c r="Q637" s="13">
        <f>'[1]Methadone NSSATS'!H$3</f>
        <v>235836</v>
      </c>
      <c r="R637" s="13">
        <f>'[1]Methadone NSSATS'!I$3</f>
        <v>258752</v>
      </c>
      <c r="S637" s="13">
        <f>'[1]Methadone NSSATS'!J$3</f>
        <v>262684</v>
      </c>
      <c r="T637" s="13">
        <f>'[1]Methadone NSSATS'!K$3</f>
        <v>268071</v>
      </c>
      <c r="U637" s="13">
        <f>'[1]Methadone NSSATS'!L$3</f>
        <v>283177</v>
      </c>
      <c r="V637" s="13">
        <f>'[1]Methadone NSSATS'!M$3</f>
        <v>299643</v>
      </c>
      <c r="W637" s="13">
        <f>'[1]Methadone NSSATS'!N$3</f>
        <v>306440</v>
      </c>
      <c r="X637" s="13">
        <f>'[1]Methadone NSSATS'!O$3</f>
        <v>311718</v>
      </c>
      <c r="Y637" s="13">
        <f>'[1]Methadone NSSATS'!P$3</f>
        <v>330308</v>
      </c>
      <c r="Z637" s="13">
        <f>'[1]Methadone NSSATS'!Q$3</f>
        <v>343576</v>
      </c>
      <c r="AA637" s="13">
        <f>'[1]Methadone NSSATS'!R$3</f>
        <v>356843</v>
      </c>
      <c r="AB637" s="13">
        <f>'[1]Methadone NSSATS'!S$3</f>
        <v>345443</v>
      </c>
      <c r="AC637" s="13">
        <f>'[1]Methadone NSSATS'!T$3</f>
        <v>382867</v>
      </c>
      <c r="AD637" s="13">
        <f>'[1]Methadone NSSATS'!U$3</f>
        <v>395708.5</v>
      </c>
      <c r="AE637" s="13">
        <f>'[1]Methadone NSSATS'!V$3</f>
        <v>408550</v>
      </c>
      <c r="AF637" s="13">
        <f>'[1]Methadone NSSATS'!W$3</f>
        <v>311531</v>
      </c>
      <c r="AG637" s="1"/>
      <c r="AH637" s="1"/>
      <c r="AI637" s="1"/>
      <c r="AJ637" s="1"/>
      <c r="AK637" s="1"/>
      <c r="AL637" s="1"/>
      <c r="AM637" s="1"/>
      <c r="AN637" s="1"/>
      <c r="AO637" s="1"/>
      <c r="AP637" s="1"/>
    </row>
    <row r="638" spans="1:42" x14ac:dyDescent="0.55000000000000004">
      <c r="A638" t="s">
        <v>412</v>
      </c>
      <c r="B638" s="1" t="s">
        <v>1852</v>
      </c>
      <c r="C638" t="s">
        <v>160</v>
      </c>
      <c r="D638" t="s">
        <v>161</v>
      </c>
      <c r="E638" t="s">
        <v>235</v>
      </c>
      <c r="F638" s="1" t="s">
        <v>1853</v>
      </c>
      <c r="H638" s="1" t="s">
        <v>1854</v>
      </c>
      <c r="I638" s="1" t="s">
        <v>1855</v>
      </c>
      <c r="J638" s="1" t="s">
        <v>1856</v>
      </c>
      <c r="K638" s="6">
        <f>'[1]Vivitrol IQVIA'!B$2</f>
        <v>0</v>
      </c>
      <c r="L638" s="6">
        <f>'[1]Vivitrol IQVIA'!C$2</f>
        <v>0</v>
      </c>
      <c r="M638" s="6">
        <f>'[1]Vivitrol IQVIA'!D$2</f>
        <v>0</v>
      </c>
      <c r="N638" s="6">
        <f>'[1]Vivitrol IQVIA'!E$2</f>
        <v>0</v>
      </c>
      <c r="O638" s="6">
        <f>'[1]Vivitrol IQVIA'!F$2</f>
        <v>0</v>
      </c>
      <c r="P638" s="6">
        <f>'[1]Vivitrol IQVIA'!G$2</f>
        <v>0</v>
      </c>
      <c r="Q638" s="6">
        <f>'[1]Vivitrol IQVIA'!H$2</f>
        <v>0</v>
      </c>
      <c r="R638" s="6">
        <f>'[1]Vivitrol IQVIA'!I$2</f>
        <v>0</v>
      </c>
      <c r="S638" s="6">
        <f>'[1]Vivitrol IQVIA'!J$2</f>
        <v>0</v>
      </c>
      <c r="T638" s="6">
        <f>'[1]Vivitrol IQVIA'!K$2</f>
        <v>0</v>
      </c>
      <c r="U638" s="6">
        <f>'[1]Vivitrol IQVIA'!L$2</f>
        <v>0</v>
      </c>
      <c r="V638" s="6">
        <f>'[1]Vivitrol IQVIA'!M$2</f>
        <v>434.77083333333331</v>
      </c>
      <c r="W638" s="6">
        <f>'[1]Vivitrol IQVIA'!N$2</f>
        <v>1543.5208333333333</v>
      </c>
      <c r="X638" s="6">
        <f>'[1]Vivitrol IQVIA'!O$2</f>
        <v>2990.2708333333335</v>
      </c>
      <c r="Y638" s="6">
        <f>'[1]Vivitrol IQVIA'!P$2</f>
        <v>4705.6875</v>
      </c>
      <c r="Z638" s="6">
        <f>'[1]Vivitrol IQVIA'!Q$2</f>
        <v>6685.270833333333</v>
      </c>
      <c r="AA638" s="6">
        <f>'[1]Vivitrol IQVIA'!R$2</f>
        <v>10849.4375</v>
      </c>
      <c r="AB638" s="6">
        <f>'[1]Vivitrol IQVIA'!S$2</f>
        <v>19529.104166666668</v>
      </c>
      <c r="AC638" s="6">
        <f>'[1]Vivitrol IQVIA'!T$2</f>
        <v>26956.604166666668</v>
      </c>
      <c r="AD638" s="6">
        <f>'[1]Vivitrol IQVIA'!U$2</f>
        <v>30646.604166666668</v>
      </c>
      <c r="AE638" s="6">
        <f>'[1]Vivitrol IQVIA'!V$2</f>
        <v>32227.1875</v>
      </c>
      <c r="AF638" s="6">
        <f>'[1]Vivitrol IQVIA'!W$2</f>
        <v>28917.104166666668</v>
      </c>
      <c r="AG638" s="1"/>
      <c r="AH638" s="1"/>
      <c r="AI638" s="1"/>
      <c r="AJ638" s="1"/>
      <c r="AK638" s="1"/>
      <c r="AL638" s="1"/>
      <c r="AM638" s="1"/>
      <c r="AN638" s="1"/>
      <c r="AO638" s="1"/>
      <c r="AP638" s="1"/>
    </row>
    <row r="639" spans="1:42" ht="86.4" x14ac:dyDescent="0.55000000000000004">
      <c r="A639" t="s">
        <v>138</v>
      </c>
      <c r="B639" s="1" t="s">
        <v>1857</v>
      </c>
      <c r="C639" t="s">
        <v>150</v>
      </c>
      <c r="D639" t="s">
        <v>175</v>
      </c>
      <c r="E639" t="s">
        <v>146</v>
      </c>
      <c r="F639" s="1">
        <v>0.12139999999999999</v>
      </c>
      <c r="G639" s="1" t="s">
        <v>197</v>
      </c>
      <c r="H639" s="1" t="s">
        <v>1858</v>
      </c>
      <c r="I639" s="1" t="s">
        <v>1859</v>
      </c>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row>
    <row r="640" spans="1:42" ht="86.4" x14ac:dyDescent="0.55000000000000004">
      <c r="A640" t="s">
        <v>138</v>
      </c>
      <c r="B640" s="1" t="s">
        <v>1860</v>
      </c>
      <c r="C640" t="s">
        <v>140</v>
      </c>
      <c r="D640" t="s">
        <v>141</v>
      </c>
      <c r="E640" t="s">
        <v>146</v>
      </c>
      <c r="F640" s="1" t="s">
        <v>1861</v>
      </c>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row>
    <row r="641" spans="1:42" ht="57.6" x14ac:dyDescent="0.55000000000000004">
      <c r="A641" t="s">
        <v>138</v>
      </c>
      <c r="B641" s="1" t="s">
        <v>1862</v>
      </c>
      <c r="C641" t="s">
        <v>140</v>
      </c>
      <c r="D641" t="s">
        <v>175</v>
      </c>
      <c r="E641" t="s">
        <v>152</v>
      </c>
      <c r="F641" s="1" t="s">
        <v>1863</v>
      </c>
      <c r="G641" s="1" t="s">
        <v>197</v>
      </c>
      <c r="H641" s="1" t="s">
        <v>1864</v>
      </c>
      <c r="I641" s="1" t="s">
        <v>1865</v>
      </c>
      <c r="J641" s="1" t="s">
        <v>1866</v>
      </c>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row>
    <row r="642" spans="1:42" ht="57.6" x14ac:dyDescent="0.55000000000000004">
      <c r="A642" t="s">
        <v>138</v>
      </c>
      <c r="B642" s="1" t="s">
        <v>1867</v>
      </c>
      <c r="C642" t="s">
        <v>150</v>
      </c>
      <c r="D642" t="s">
        <v>175</v>
      </c>
      <c r="E642" t="s">
        <v>152</v>
      </c>
      <c r="F642" s="1">
        <v>0.55000000000000004</v>
      </c>
      <c r="G642" s="1" t="s">
        <v>1289</v>
      </c>
      <c r="H642" s="1" t="s">
        <v>1868</v>
      </c>
      <c r="I642" s="1" t="s">
        <v>1869</v>
      </c>
      <c r="J642" s="1" t="s">
        <v>1870</v>
      </c>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row>
    <row r="643" spans="1:42" ht="57.6" x14ac:dyDescent="0.55000000000000004">
      <c r="A643" t="s">
        <v>138</v>
      </c>
      <c r="B643" s="1" t="s">
        <v>1871</v>
      </c>
      <c r="C643" t="s">
        <v>150</v>
      </c>
      <c r="D643" t="s">
        <v>175</v>
      </c>
      <c r="E643" t="s">
        <v>152</v>
      </c>
      <c r="F643" s="1">
        <v>0.625</v>
      </c>
      <c r="G643" s="1" t="s">
        <v>1289</v>
      </c>
      <c r="H643" s="1" t="s">
        <v>1872</v>
      </c>
      <c r="I643" s="1" t="s">
        <v>1873</v>
      </c>
      <c r="J643" s="1" t="s">
        <v>1874</v>
      </c>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row>
    <row r="644" spans="1:42" ht="57.6" x14ac:dyDescent="0.55000000000000004">
      <c r="A644" t="s">
        <v>138</v>
      </c>
      <c r="B644" s="1" t="s">
        <v>1875</v>
      </c>
      <c r="C644" t="s">
        <v>188</v>
      </c>
      <c r="D644" t="s">
        <v>141</v>
      </c>
      <c r="E644" t="s">
        <v>146</v>
      </c>
      <c r="F644" s="1" t="s">
        <v>1876</v>
      </c>
      <c r="H644" s="1" t="s">
        <v>309</v>
      </c>
      <c r="J644" s="1" t="s">
        <v>1877</v>
      </c>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row>
    <row r="645" spans="1:42" ht="43.2" x14ac:dyDescent="0.55000000000000004">
      <c r="A645" t="s">
        <v>138</v>
      </c>
      <c r="B645" s="1" t="s">
        <v>1878</v>
      </c>
      <c r="C645" t="s">
        <v>188</v>
      </c>
      <c r="D645" t="s">
        <v>141</v>
      </c>
      <c r="E645" t="s">
        <v>146</v>
      </c>
      <c r="F645" s="1" t="s">
        <v>1879</v>
      </c>
      <c r="H645" s="1" t="s">
        <v>309</v>
      </c>
      <c r="J645" s="1" t="s">
        <v>1880</v>
      </c>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row>
    <row r="646" spans="1:42" ht="28.8" x14ac:dyDescent="0.55000000000000004">
      <c r="A646" t="s">
        <v>138</v>
      </c>
      <c r="B646" s="1" t="s">
        <v>1881</v>
      </c>
      <c r="C646" t="s">
        <v>188</v>
      </c>
      <c r="D646" t="s">
        <v>141</v>
      </c>
      <c r="E646" t="s">
        <v>146</v>
      </c>
      <c r="F646" s="1" t="s">
        <v>1882</v>
      </c>
      <c r="H646" s="1" t="s">
        <v>1883</v>
      </c>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row>
    <row r="647" spans="1:42" ht="57.6" x14ac:dyDescent="0.55000000000000004">
      <c r="A647" t="s">
        <v>138</v>
      </c>
      <c r="B647" s="1" t="s">
        <v>1884</v>
      </c>
      <c r="C647" t="s">
        <v>150</v>
      </c>
      <c r="D647" t="s">
        <v>175</v>
      </c>
      <c r="E647" t="s">
        <v>152</v>
      </c>
      <c r="F647" s="1">
        <v>0.8</v>
      </c>
      <c r="G647" s="1" t="s">
        <v>1289</v>
      </c>
      <c r="H647" s="1" t="s">
        <v>1885</v>
      </c>
      <c r="I647" s="1" t="s">
        <v>1869</v>
      </c>
      <c r="J647" s="1" t="s">
        <v>1886</v>
      </c>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row>
    <row r="648" spans="1:42" ht="28.8" x14ac:dyDescent="0.55000000000000004">
      <c r="A648" t="s">
        <v>138</v>
      </c>
      <c r="B648" s="1" t="s">
        <v>1887</v>
      </c>
      <c r="C648" t="s">
        <v>188</v>
      </c>
      <c r="D648" t="s">
        <v>175</v>
      </c>
      <c r="E648" t="s">
        <v>146</v>
      </c>
      <c r="F648" s="1" t="s">
        <v>1888</v>
      </c>
      <c r="G648" s="1" t="s">
        <v>1289</v>
      </c>
      <c r="H648" s="1" t="s">
        <v>1889</v>
      </c>
      <c r="I648" s="1" t="s">
        <v>1890</v>
      </c>
      <c r="J648" s="1" t="s">
        <v>1891</v>
      </c>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row>
    <row r="649" spans="1:42" ht="144" x14ac:dyDescent="0.55000000000000004">
      <c r="A649" t="s">
        <v>138</v>
      </c>
      <c r="B649" s="1" t="s">
        <v>804</v>
      </c>
      <c r="C649" t="s">
        <v>150</v>
      </c>
      <c r="D649" t="s">
        <v>175</v>
      </c>
      <c r="E649" t="s">
        <v>146</v>
      </c>
      <c r="F649" s="1">
        <v>0.15</v>
      </c>
      <c r="G649" s="1" t="s">
        <v>1892</v>
      </c>
      <c r="H649" s="1" t="s">
        <v>1893</v>
      </c>
      <c r="I649" s="1" t="s">
        <v>1894</v>
      </c>
      <c r="J649" s="1" t="s">
        <v>1895</v>
      </c>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row>
    <row r="650" spans="1:42" ht="57.6" x14ac:dyDescent="0.55000000000000004">
      <c r="A650" t="s">
        <v>138</v>
      </c>
      <c r="B650" s="1" t="s">
        <v>1896</v>
      </c>
      <c r="C650" t="s">
        <v>150</v>
      </c>
      <c r="D650" t="s">
        <v>175</v>
      </c>
      <c r="E650" t="s">
        <v>152</v>
      </c>
      <c r="F650" s="1">
        <v>0.16159999999999999</v>
      </c>
      <c r="G650" s="1" t="s">
        <v>197</v>
      </c>
      <c r="H650" s="1" t="s">
        <v>1897</v>
      </c>
      <c r="I650" s="1" t="s">
        <v>1859</v>
      </c>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row>
    <row r="651" spans="1:42" ht="100.8" x14ac:dyDescent="0.55000000000000004">
      <c r="A651" t="s">
        <v>138</v>
      </c>
      <c r="B651" s="1" t="s">
        <v>1898</v>
      </c>
      <c r="C651" t="s">
        <v>140</v>
      </c>
      <c r="D651" t="s">
        <v>141</v>
      </c>
      <c r="E651" t="s">
        <v>146</v>
      </c>
      <c r="F651" s="1" t="s">
        <v>1899</v>
      </c>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row>
    <row r="652" spans="1:42" ht="43.2" x14ac:dyDescent="0.55000000000000004">
      <c r="A652" t="s">
        <v>138</v>
      </c>
      <c r="B652" s="1" t="s">
        <v>1900</v>
      </c>
      <c r="C652" t="s">
        <v>140</v>
      </c>
      <c r="D652" t="s">
        <v>141</v>
      </c>
      <c r="E652" t="s">
        <v>1008</v>
      </c>
      <c r="F652" s="1" t="s">
        <v>1901</v>
      </c>
      <c r="H652" s="1" t="s">
        <v>1902</v>
      </c>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row>
    <row r="653" spans="1:42" ht="144" x14ac:dyDescent="0.55000000000000004">
      <c r="A653" t="s">
        <v>138</v>
      </c>
      <c r="B653" s="1" t="s">
        <v>1903</v>
      </c>
      <c r="C653" t="s">
        <v>150</v>
      </c>
      <c r="D653" t="s">
        <v>175</v>
      </c>
      <c r="E653" t="s">
        <v>152</v>
      </c>
      <c r="F653" s="1">
        <v>4.843</v>
      </c>
      <c r="G653" s="1" t="s">
        <v>197</v>
      </c>
      <c r="H653" s="1" t="s">
        <v>1904</v>
      </c>
      <c r="I653" s="1" t="s">
        <v>1905</v>
      </c>
      <c r="J653" s="1" t="s">
        <v>1906</v>
      </c>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row>
    <row r="654" spans="1:42" ht="28.8" x14ac:dyDescent="0.55000000000000004">
      <c r="A654" t="s">
        <v>138</v>
      </c>
      <c r="B654" s="1" t="s">
        <v>1907</v>
      </c>
      <c r="C654" t="s">
        <v>140</v>
      </c>
      <c r="D654" t="s">
        <v>175</v>
      </c>
      <c r="E654" t="s">
        <v>142</v>
      </c>
      <c r="F654" s="1" t="s">
        <v>1908</v>
      </c>
      <c r="G654" s="1" t="s">
        <v>153</v>
      </c>
      <c r="H654" s="1" t="s">
        <v>1909</v>
      </c>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row>
    <row r="655" spans="1:42" ht="28.8" x14ac:dyDescent="0.55000000000000004">
      <c r="A655" t="s">
        <v>138</v>
      </c>
      <c r="B655" s="1" t="s">
        <v>1910</v>
      </c>
      <c r="C655" t="s">
        <v>150</v>
      </c>
      <c r="D655" t="s">
        <v>175</v>
      </c>
      <c r="E655" t="s">
        <v>1008</v>
      </c>
      <c r="G655" s="1" t="s">
        <v>153</v>
      </c>
      <c r="H655" s="1" t="s">
        <v>1909</v>
      </c>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row>
    <row r="656" spans="1:42" ht="57.6" x14ac:dyDescent="0.55000000000000004">
      <c r="A656" t="s">
        <v>138</v>
      </c>
      <c r="B656" s="1" t="s">
        <v>1911</v>
      </c>
      <c r="C656" t="s">
        <v>140</v>
      </c>
      <c r="D656" t="s">
        <v>170</v>
      </c>
      <c r="E656" t="s">
        <v>142</v>
      </c>
      <c r="F656" s="1" t="s">
        <v>1912</v>
      </c>
      <c r="H656" s="1" t="s">
        <v>1913</v>
      </c>
      <c r="J656" s="1" t="s">
        <v>619</v>
      </c>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row>
    <row r="657" spans="1:42" ht="28.8" x14ac:dyDescent="0.55000000000000004">
      <c r="A657" t="s">
        <v>138</v>
      </c>
      <c r="B657" s="1" t="s">
        <v>1914</v>
      </c>
      <c r="C657" t="s">
        <v>140</v>
      </c>
      <c r="D657" t="s">
        <v>141</v>
      </c>
      <c r="E657" t="s">
        <v>142</v>
      </c>
      <c r="F657" s="1" t="s">
        <v>1915</v>
      </c>
      <c r="H657" s="1" t="s">
        <v>1916</v>
      </c>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row>
    <row r="658" spans="1:42" ht="115.2" x14ac:dyDescent="0.55000000000000004">
      <c r="A658" t="s">
        <v>138</v>
      </c>
      <c r="B658" s="1" t="s">
        <v>1917</v>
      </c>
      <c r="C658" t="s">
        <v>140</v>
      </c>
      <c r="D658" t="s">
        <v>141</v>
      </c>
      <c r="E658" t="s">
        <v>146</v>
      </c>
      <c r="F658" s="1" t="s">
        <v>1918</v>
      </c>
      <c r="H658" s="1" t="s">
        <v>1919</v>
      </c>
      <c r="J658" s="1" t="s">
        <v>1920</v>
      </c>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row>
    <row r="659" spans="1:42" ht="72" x14ac:dyDescent="0.55000000000000004">
      <c r="A659" t="s">
        <v>138</v>
      </c>
      <c r="B659" s="1" t="s">
        <v>1921</v>
      </c>
      <c r="C659" t="s">
        <v>150</v>
      </c>
      <c r="D659" t="s">
        <v>175</v>
      </c>
      <c r="E659" t="s">
        <v>1593</v>
      </c>
      <c r="F659" s="1">
        <v>2.5</v>
      </c>
      <c r="G659" s="1" t="s">
        <v>1922</v>
      </c>
      <c r="H659" s="1" t="s">
        <v>1923</v>
      </c>
      <c r="I659" s="1" t="s">
        <v>1924</v>
      </c>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row>
    <row r="660" spans="1:42" ht="72" x14ac:dyDescent="0.55000000000000004">
      <c r="A660" t="s">
        <v>138</v>
      </c>
      <c r="B660" s="1" t="s">
        <v>1925</v>
      </c>
      <c r="C660" t="s">
        <v>150</v>
      </c>
      <c r="D660" t="s">
        <v>175</v>
      </c>
      <c r="E660" t="s">
        <v>152</v>
      </c>
      <c r="F660" s="1">
        <v>2.5</v>
      </c>
      <c r="G660" s="1" t="s">
        <v>1922</v>
      </c>
      <c r="H660" s="1" t="s">
        <v>1926</v>
      </c>
      <c r="I660" s="1" t="s">
        <v>1924</v>
      </c>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row>
    <row r="661" spans="1:42" ht="72" x14ac:dyDescent="0.55000000000000004">
      <c r="A661" t="s">
        <v>138</v>
      </c>
      <c r="B661" s="1" t="s">
        <v>1927</v>
      </c>
      <c r="C661" t="s">
        <v>150</v>
      </c>
      <c r="D661" t="s">
        <v>175</v>
      </c>
      <c r="E661" t="s">
        <v>1008</v>
      </c>
      <c r="F661" s="1">
        <v>2</v>
      </c>
      <c r="G661" s="1" t="s">
        <v>1922</v>
      </c>
      <c r="H661" s="1" t="s">
        <v>1928</v>
      </c>
      <c r="I661" s="1" t="s">
        <v>1924</v>
      </c>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row>
    <row r="662" spans="1:42" ht="28.8" x14ac:dyDescent="0.55000000000000004">
      <c r="A662" t="s">
        <v>138</v>
      </c>
      <c r="B662" s="1" t="s">
        <v>1929</v>
      </c>
      <c r="C662" t="s">
        <v>150</v>
      </c>
      <c r="D662" t="s">
        <v>175</v>
      </c>
      <c r="E662" t="s">
        <v>146</v>
      </c>
      <c r="F662" s="1">
        <v>0.85</v>
      </c>
      <c r="G662" s="1" t="s">
        <v>1289</v>
      </c>
      <c r="H662" s="1" t="s">
        <v>1930</v>
      </c>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row>
    <row r="663" spans="1:42" ht="43.2" x14ac:dyDescent="0.55000000000000004">
      <c r="A663" t="s">
        <v>155</v>
      </c>
      <c r="B663" s="1" t="s">
        <v>1931</v>
      </c>
      <c r="C663" t="s">
        <v>140</v>
      </c>
      <c r="D663" t="s">
        <v>183</v>
      </c>
      <c r="E663" t="s">
        <v>235</v>
      </c>
      <c r="F663" s="1" t="s">
        <v>1932</v>
      </c>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row>
    <row r="664" spans="1:42" ht="100.8" x14ac:dyDescent="0.55000000000000004">
      <c r="A664" t="s">
        <v>155</v>
      </c>
      <c r="B664" s="1" t="s">
        <v>1933</v>
      </c>
      <c r="C664" t="s">
        <v>140</v>
      </c>
      <c r="D664" t="s">
        <v>141</v>
      </c>
      <c r="E664" t="s">
        <v>235</v>
      </c>
      <c r="F664" s="1" t="s">
        <v>1934</v>
      </c>
      <c r="H664" s="1" t="s">
        <v>1935</v>
      </c>
      <c r="J664" s="1" t="s">
        <v>1936</v>
      </c>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row>
    <row r="665" spans="1:42" ht="28.8" x14ac:dyDescent="0.55000000000000004">
      <c r="A665" t="s">
        <v>155</v>
      </c>
      <c r="B665" s="1" t="s">
        <v>1937</v>
      </c>
      <c r="C665" t="s">
        <v>150</v>
      </c>
      <c r="D665" t="s">
        <v>175</v>
      </c>
      <c r="E665" t="s">
        <v>146</v>
      </c>
      <c r="F665" s="1">
        <v>0.88</v>
      </c>
      <c r="G665" s="1" t="s">
        <v>197</v>
      </c>
      <c r="H665" s="1" t="s">
        <v>1938</v>
      </c>
      <c r="I665" s="1" t="s">
        <v>1939</v>
      </c>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row>
    <row r="666" spans="1:42" x14ac:dyDescent="0.55000000000000004">
      <c r="A666" t="s">
        <v>229</v>
      </c>
      <c r="B666" s="1" t="s">
        <v>1940</v>
      </c>
      <c r="C666" t="s">
        <v>150</v>
      </c>
      <c r="D666" t="s">
        <v>231</v>
      </c>
      <c r="E666" t="s">
        <v>146</v>
      </c>
      <c r="F666" s="1" t="s">
        <v>1941</v>
      </c>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row>
    <row r="667" spans="1:42" x14ac:dyDescent="0.55000000000000004">
      <c r="A667" t="s">
        <v>229</v>
      </c>
      <c r="B667" s="1" t="s">
        <v>1942</v>
      </c>
      <c r="C667" t="s">
        <v>150</v>
      </c>
      <c r="D667" t="s">
        <v>231</v>
      </c>
      <c r="E667" t="s">
        <v>146</v>
      </c>
      <c r="F667" s="1" t="s">
        <v>1943</v>
      </c>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row>
    <row r="668" spans="1:42" ht="43.2" x14ac:dyDescent="0.55000000000000004">
      <c r="A668" t="s">
        <v>229</v>
      </c>
      <c r="B668" s="1" t="s">
        <v>1944</v>
      </c>
      <c r="C668" t="s">
        <v>188</v>
      </c>
      <c r="D668" t="s">
        <v>231</v>
      </c>
      <c r="E668" t="s">
        <v>146</v>
      </c>
      <c r="F668" s="1" t="s">
        <v>1945</v>
      </c>
      <c r="I668" s="1" t="s">
        <v>1946</v>
      </c>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row>
    <row r="669" spans="1:42" ht="43.2" x14ac:dyDescent="0.55000000000000004">
      <c r="A669" t="s">
        <v>138</v>
      </c>
      <c r="B669" s="1" t="s">
        <v>1947</v>
      </c>
      <c r="D669" s="33"/>
      <c r="G669" s="3"/>
      <c r="J669" s="3" t="s">
        <v>1948</v>
      </c>
      <c r="K669" s="1">
        <f>'[1]Opioid Rx Data IQVIA SH'!B$7</f>
        <v>50608436.274199456</v>
      </c>
      <c r="L669" s="1">
        <f>'[1]Opioid Rx Data IQVIA SH'!C$7</f>
        <v>54244443.255739212</v>
      </c>
      <c r="M669" s="1">
        <f>'[1]Opioid Rx Data IQVIA SH'!D$7</f>
        <v>59327304.226472974</v>
      </c>
      <c r="N669" s="1">
        <f>'[1]Opioid Rx Data IQVIA SH'!E$7</f>
        <v>60598209.351788692</v>
      </c>
      <c r="O669" s="1">
        <f>'[1]Opioid Rx Data IQVIA SH'!F$7</f>
        <v>62956141.84692575</v>
      </c>
      <c r="P669" s="1">
        <f>'[1]Opioid Rx Data IQVIA SH'!G$7</f>
        <v>65886554.008960731</v>
      </c>
      <c r="Q669" s="1">
        <f>'[1]Opioid Rx Data IQVIA SH'!H$7</f>
        <v>68443151.853975073</v>
      </c>
      <c r="R669" s="1">
        <f>'[1]Opioid Rx Data IQVIA SH'!I$7</f>
        <v>72484377.091890693</v>
      </c>
      <c r="S669" s="1">
        <f>'[1]Opioid Rx Data IQVIA SH'!J$7</f>
        <v>71731564.967042297</v>
      </c>
      <c r="T669" s="1">
        <f>'[1]Opioid Rx Data IQVIA SH'!K$7</f>
        <v>71966640.718910307</v>
      </c>
      <c r="U669" s="1">
        <f>'[1]Opioid Rx Data IQVIA SH'!L$7</f>
        <v>70242672.282253996</v>
      </c>
      <c r="V669" s="1">
        <f>'[1]Opioid Rx Data IQVIA SH'!M$7</f>
        <v>72196826.934210598</v>
      </c>
      <c r="W669" s="1">
        <f>'[1]Opioid Rx Data IQVIA SH'!N$7</f>
        <v>72354218.425861493</v>
      </c>
      <c r="X669" s="1">
        <f>'[1]Opioid Rx Data IQVIA SH'!O$7</f>
        <v>72620520.514616698</v>
      </c>
      <c r="Y669" s="1">
        <f>'[1]Opioid Rx Data IQVIA SH'!P$7</f>
        <v>69782268.831006601</v>
      </c>
      <c r="Z669" s="1">
        <f>'[1]Opioid Rx Data IQVIA SH'!Q$7</f>
        <v>68451960.146435499</v>
      </c>
      <c r="AA669" s="1">
        <f>'[1]Opioid Rx Data IQVIA SH'!R$7</f>
        <v>67098851.729051702</v>
      </c>
      <c r="AB669" s="1">
        <f>'[1]Opioid Rx Data IQVIA SH'!S$7</f>
        <v>64662029.880932502</v>
      </c>
      <c r="AC669" s="1">
        <f>'[1]Opioid Rx Data IQVIA SH'!T$7</f>
        <v>57543442.3193608</v>
      </c>
      <c r="AD669" s="1">
        <f>'[1]Opioid Rx Data IQVIA SH'!U$7</f>
        <v>50847486.582352601</v>
      </c>
      <c r="AE669" s="1">
        <f>'[1]Opioid Rx Data IQVIA SH'!V$7</f>
        <v>45900215</v>
      </c>
      <c r="AF669" s="1"/>
      <c r="AG669" s="1"/>
      <c r="AH669" s="1"/>
      <c r="AI669" s="1"/>
      <c r="AJ669" s="1"/>
      <c r="AK669" s="1"/>
      <c r="AL669" s="1"/>
      <c r="AM669" s="1"/>
      <c r="AN669" s="1"/>
      <c r="AO669" s="1"/>
      <c r="AP669" s="1"/>
    </row>
  </sheetData>
  <phoneticPr fontId="18" type="noConversion"/>
  <pageMargins left="0.7" right="0.7" top="0.75" bottom="0.75" header="0.3" footer="0.3"/>
  <pageSetup orientation="portrait" r:id="rId1"/>
  <ignoredErrors>
    <ignoredError sqref="G9 G14 G4"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40A3E-6950-48E2-BC1D-E1D7F3E9B137}">
  <dimension ref="A1:AG15"/>
  <sheetViews>
    <sheetView zoomScale="85" workbookViewId="0">
      <selection activeCell="B9" sqref="B9"/>
    </sheetView>
  </sheetViews>
  <sheetFormatPr defaultRowHeight="14.4" x14ac:dyDescent="0.55000000000000004"/>
  <cols>
    <col min="1" max="1" width="37.41796875" bestFit="1" customWidth="1"/>
    <col min="2" max="3" width="16.83984375" bestFit="1" customWidth="1"/>
    <col min="4" max="23" width="17.83984375" bestFit="1" customWidth="1"/>
    <col min="24" max="33" width="11.68359375" bestFit="1" customWidth="1"/>
  </cols>
  <sheetData>
    <row r="1" spans="1:33" x14ac:dyDescent="0.55000000000000004">
      <c r="A1" s="24" t="s">
        <v>1949</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c r="V1" s="25">
        <v>2019</v>
      </c>
      <c r="W1" s="25">
        <v>2020</v>
      </c>
      <c r="X1" s="25">
        <v>2021</v>
      </c>
      <c r="Y1" s="25">
        <v>2022</v>
      </c>
      <c r="Z1" s="25">
        <v>2023</v>
      </c>
      <c r="AA1" s="25">
        <v>2024</v>
      </c>
      <c r="AB1" s="25">
        <v>2025</v>
      </c>
      <c r="AC1" s="25">
        <v>2026</v>
      </c>
      <c r="AD1" s="25">
        <v>2027</v>
      </c>
      <c r="AE1" s="25">
        <v>2028</v>
      </c>
      <c r="AF1" s="25">
        <v>2029</v>
      </c>
      <c r="AG1" s="25">
        <v>2030</v>
      </c>
    </row>
    <row r="2" spans="1:33" x14ac:dyDescent="0.55000000000000004">
      <c r="A2" s="26" t="s">
        <v>276</v>
      </c>
      <c r="B2" s="27">
        <f>VLOOKUP($A:$A,Variables!$B:$AP,10,FALSE)</f>
        <v>0</v>
      </c>
      <c r="C2" s="27">
        <f>VLOOKUP($A:$A,Variables!$B:$AP,11,FALSE)</f>
        <v>0</v>
      </c>
      <c r="D2" s="27">
        <f>VLOOKUP($A:$A,Variables!$B:$AP,12,FALSE)</f>
        <v>0</v>
      </c>
      <c r="E2" s="27">
        <f>VLOOKUP($A:$A,Variables!$B:$AP,13,FALSE)</f>
        <v>0</v>
      </c>
      <c r="F2" s="27">
        <f>VLOOKUP($A:$A,Variables!$B:$AP,14,FALSE)</f>
        <v>1893</v>
      </c>
      <c r="G2" s="27">
        <f>VLOOKUP($A:$A,Variables!$B:$AP,15,FALSE)</f>
        <v>3256</v>
      </c>
      <c r="H2" s="27">
        <f>VLOOKUP($A:$A,Variables!$B:$AP,16,FALSE)</f>
        <v>5484</v>
      </c>
      <c r="I2" s="27">
        <f>VLOOKUP($A:$A,Variables!$B:$AP,17,FALSE)</f>
        <v>8555.5</v>
      </c>
      <c r="J2" s="27">
        <f>VLOOKUP($A:$A,Variables!$B:$AP,18,FALSE)</f>
        <v>10637</v>
      </c>
      <c r="K2" s="27">
        <f>VLOOKUP($A:$A,Variables!$B:$AP,19,FALSE)</f>
        <v>14365.333333333332</v>
      </c>
      <c r="L2" s="27">
        <f>VLOOKUP($A:$A,Variables!$B:$AP,20,FALSE)</f>
        <v>15817.5</v>
      </c>
      <c r="M2" s="27">
        <f>VLOOKUP($A:$A,Variables!$B:$AP,21,FALSE)</f>
        <v>18023.5</v>
      </c>
      <c r="N2" s="27">
        <f>VLOOKUP($A:$A,Variables!$B:$AP,22,FALSE)</f>
        <v>20148</v>
      </c>
      <c r="O2" s="27">
        <f>VLOOKUP($A:$A,Variables!$B:$AP,23,FALSE)</f>
        <v>22198</v>
      </c>
      <c r="P2" s="27">
        <f>VLOOKUP($A:$A,Variables!$B:$AP,24,FALSE)</f>
        <v>23629</v>
      </c>
      <c r="Q2" s="27">
        <f>VLOOKUP($A:$A,Variables!$B:$AP,25,FALSE)</f>
        <v>25738</v>
      </c>
      <c r="R2" s="27">
        <f>VLOOKUP($A:$A,Variables!$B:$AP,26,FALSE)</f>
        <v>28930.5</v>
      </c>
      <c r="S2" s="27">
        <f>VLOOKUP($A:$A,Variables!$B:$AP,27,FALSE)</f>
        <v>32122.999999999996</v>
      </c>
      <c r="T2" s="27">
        <f>VLOOKUP($A:$A,Variables!$B:$AP,28,FALSE)</f>
        <v>42037</v>
      </c>
      <c r="U2" s="27">
        <f>VLOOKUP($A:$A,Variables!$B:$AP,29,FALSE)</f>
        <v>57426.5</v>
      </c>
      <c r="V2" s="27">
        <f>VLOOKUP($A:$A,Variables!$B:$AP,30,FALSE)</f>
        <v>66800</v>
      </c>
      <c r="W2" s="27">
        <f>VLOOKUP($A:$A,Variables!$B:$AP,31,FALSE)</f>
        <v>94223</v>
      </c>
    </row>
    <row r="3" spans="1:33" x14ac:dyDescent="0.55000000000000004">
      <c r="A3" s="26" t="s">
        <v>398</v>
      </c>
      <c r="B3" s="27">
        <f>VLOOKUP(A:A,Variables!B:AP,10,FALSE)</f>
        <v>0</v>
      </c>
      <c r="C3" s="27">
        <f>VLOOKUP($A:$A,Variables!$B:$AP,11,FALSE)</f>
        <v>0</v>
      </c>
      <c r="D3" s="27">
        <f>VLOOKUP($A:$A,Variables!$B:$AP,12,FALSE)</f>
        <v>0</v>
      </c>
      <c r="E3" s="27">
        <f>VLOOKUP($A:$A,Variables!$B:$AP,13,FALSE)</f>
        <v>0</v>
      </c>
      <c r="F3" s="27">
        <f>VLOOKUP($A:$A,Variables!$B:$AP,14,FALSE)</f>
        <v>0</v>
      </c>
      <c r="G3" s="27">
        <f>VLOOKUP($A:$A,Variables!$B:$AP,15,FALSE)</f>
        <v>0</v>
      </c>
      <c r="H3" s="27">
        <f>VLOOKUP($A:$A,Variables!$B:$AP,16,FALSE)</f>
        <v>0</v>
      </c>
      <c r="I3" s="27">
        <f>VLOOKUP($A:$A,Variables!$B:$AP,17,FALSE)</f>
        <v>0</v>
      </c>
      <c r="J3" s="27">
        <f>VLOOKUP($A:$A,Variables!$B:$AP,18,FALSE)</f>
        <v>1.0755202244563947E-2</v>
      </c>
      <c r="K3" s="27">
        <f>VLOOKUP($A:$A,Variables!$B:$AP,19,FALSE)</f>
        <v>5.6314948870589696E-3</v>
      </c>
      <c r="L3" s="27">
        <f>VLOOKUP($A:$A,Variables!$B:$AP,20,FALSE)</f>
        <v>5.7798856433668722E-3</v>
      </c>
      <c r="M3" s="27">
        <f>VLOOKUP($A:$A,Variables!$B:$AP,21,FALSE)</f>
        <v>6.1042036175059195E-3</v>
      </c>
      <c r="N3" s="27">
        <f>VLOOKUP($A:$A,Variables!$B:$AP,22,FALSE)</f>
        <v>5.3814787439894363E-3</v>
      </c>
      <c r="O3" s="27">
        <f>VLOOKUP($A:$A,Variables!$B:$AP,23,FALSE)</f>
        <v>0</v>
      </c>
      <c r="P3" s="27">
        <f>VLOOKUP($A:$A,Variables!$B:$AP,24,FALSE)</f>
        <v>6.4060575890166902E-3</v>
      </c>
      <c r="Q3" s="27">
        <f>VLOOKUP($A:$A,Variables!$B:$AP,25,FALSE)</f>
        <v>2.7908994218554105E-2</v>
      </c>
      <c r="R3" s="27">
        <f>VLOOKUP($A:$A,Variables!$B:$AP,26,FALSE)</f>
        <v>8.2317311449785074E-2</v>
      </c>
      <c r="S3" s="27">
        <f>VLOOKUP($A:$A,Variables!$B:$AP,27,FALSE)</f>
        <v>0.18473601770824541</v>
      </c>
      <c r="T3" s="27">
        <f>VLOOKUP($A:$A,Variables!$B:$AP,28,FALSE)</f>
        <v>0.32210083779712445</v>
      </c>
      <c r="U3" s="27">
        <f>VLOOKUP($A:$A,Variables!$B:$AP,29,FALSE)</f>
        <v>0.40610436550278561</v>
      </c>
      <c r="V3" s="27">
        <f>VLOOKUP($A:$A,Variables!$B:$AP,30,FALSE)</f>
        <v>0.47271690770965785</v>
      </c>
      <c r="W3" s="27">
        <f>VLOOKUP($A:$A,Variables!$B:$AP,31,FALSE)</f>
        <v>0.53636894162713789</v>
      </c>
    </row>
    <row r="4" spans="1:33" x14ac:dyDescent="0.55000000000000004">
      <c r="A4" s="26" t="s">
        <v>478</v>
      </c>
      <c r="B4" s="27">
        <f>VLOOKUP(A:A,Variables!B:AP,10,FALSE)</f>
        <v>1.1166666666666667</v>
      </c>
      <c r="C4" s="27">
        <f>VLOOKUP($A:$A,Variables!$B:$AP,11,FALSE)</f>
        <v>1.1378691983122362</v>
      </c>
      <c r="D4" s="27">
        <f>VLOOKUP($A:$A,Variables!$B:$AP,12,FALSE)</f>
        <v>1.130801687763713</v>
      </c>
      <c r="E4" s="27">
        <f>VLOOKUP($A:$A,Variables!$B:$AP,13,FALSE)</f>
        <v>0.94704641350210972</v>
      </c>
      <c r="F4" s="27">
        <f>VLOOKUP($A:$A,Variables!$B:$AP,14,FALSE)</f>
        <v>1.0177215189873416</v>
      </c>
      <c r="G4" s="27">
        <f>VLOOKUP($A:$A,Variables!$B:$AP,15,FALSE)</f>
        <v>0.9753164556962024</v>
      </c>
      <c r="H4" s="27">
        <f>VLOOKUP($A:$A,Variables!$B:$AP,16,FALSE)</f>
        <v>0.81983122362869199</v>
      </c>
      <c r="I4" s="27">
        <f>VLOOKUP($A:$A,Variables!$B:$AP,17,FALSE)</f>
        <v>0.89050632911392402</v>
      </c>
      <c r="J4" s="27">
        <f>VLOOKUP($A:$A,Variables!$B:$AP,18,FALSE)</f>
        <v>0.84810126582278478</v>
      </c>
      <c r="K4" s="27">
        <f>VLOOKUP($A:$A,Variables!$B:$AP,19,FALSE)</f>
        <v>0.75384316237189009</v>
      </c>
      <c r="L4" s="27">
        <f>VLOOKUP($A:$A,Variables!$B:$AP,20,FALSE)</f>
        <v>0.71368850500333314</v>
      </c>
      <c r="M4" s="27">
        <f>VLOOKUP($A:$A,Variables!$B:$AP,21,FALSE)</f>
        <v>0.76106533480047445</v>
      </c>
      <c r="N4" s="27">
        <f>VLOOKUP($A:$A,Variables!$B:$AP,22,FALSE)</f>
        <v>0.62318032241313726</v>
      </c>
      <c r="O4" s="27">
        <f>VLOOKUP($A:$A,Variables!$B:$AP,23,FALSE)</f>
        <v>0.65617947485189854</v>
      </c>
      <c r="P4" s="27">
        <f>VLOOKUP($A:$A,Variables!$B:$AP,24,FALSE)</f>
        <v>0.6908647104684591</v>
      </c>
      <c r="Q4" s="27">
        <f>VLOOKUP($A:$A,Variables!$B:$AP,25,FALSE)</f>
        <v>0.71288547231011723</v>
      </c>
      <c r="R4" s="27">
        <f>VLOOKUP($A:$A,Variables!$B:$AP,26,FALSE)</f>
        <v>0.59976676400988693</v>
      </c>
      <c r="S4" s="27">
        <f>VLOOKUP($A:$A,Variables!$B:$AP,27,FALSE)</f>
        <v>0.54882297113524636</v>
      </c>
      <c r="T4" s="27">
        <f>VLOOKUP($A:$A,Variables!$B:$AP,28,FALSE)</f>
        <v>0.53736690874896442</v>
      </c>
      <c r="U4" s="27">
        <f>VLOOKUP($A:$A,Variables!$B:$AP,29,FALSE)</f>
        <v>0.54408739565454922</v>
      </c>
      <c r="V4" s="27">
        <f>VLOOKUP($A:$A,Variables!$B:$AP,30,FALSE)</f>
        <v>0.54408739565454922</v>
      </c>
      <c r="W4" s="27"/>
    </row>
    <row r="5" spans="1:33" x14ac:dyDescent="0.55000000000000004">
      <c r="A5" s="26" t="s">
        <v>1947</v>
      </c>
      <c r="B5" s="28">
        <f>VLOOKUP(A:A,Variables!B:AP,10,FALSE)</f>
        <v>50608436.274199456</v>
      </c>
      <c r="C5" s="28">
        <f>VLOOKUP($A:$A,Variables!$B:$AP,11,FALSE)</f>
        <v>54244443.255739212</v>
      </c>
      <c r="D5" s="28">
        <f>VLOOKUP($A:$A,Variables!$B:$AP,12,FALSE)</f>
        <v>59327304.226472974</v>
      </c>
      <c r="E5" s="28">
        <f>VLOOKUP($A:$A,Variables!$B:$AP,13,FALSE)</f>
        <v>60598209.351788692</v>
      </c>
      <c r="F5" s="28">
        <f>VLOOKUP($A:$A,Variables!$B:$AP,14,FALSE)</f>
        <v>62956141.84692575</v>
      </c>
      <c r="G5" s="28">
        <f>VLOOKUP($A:$A,Variables!$B:$AP,15,FALSE)</f>
        <v>65886554.008960731</v>
      </c>
      <c r="H5" s="28">
        <f>VLOOKUP($A:$A,Variables!$B:$AP,16,FALSE)</f>
        <v>68443151.853975073</v>
      </c>
      <c r="I5" s="28">
        <f>VLOOKUP($A:$A,Variables!$B:$AP,17,FALSE)</f>
        <v>72484377.091890693</v>
      </c>
      <c r="J5" s="28">
        <f>VLOOKUP($A:$A,Variables!$B:$AP,18,FALSE)</f>
        <v>71731564.967042297</v>
      </c>
      <c r="K5" s="28">
        <f>VLOOKUP($A:$A,Variables!$B:$AP,19,FALSE)</f>
        <v>71966640.718910307</v>
      </c>
      <c r="L5" s="28">
        <f>VLOOKUP($A:$A,Variables!$B:$AP,20,FALSE)</f>
        <v>70242672.282253996</v>
      </c>
      <c r="M5" s="28">
        <f>VLOOKUP($A:$A,Variables!$B:$AP,21,FALSE)</f>
        <v>72196826.934210598</v>
      </c>
      <c r="N5" s="28">
        <f>VLOOKUP($A:$A,Variables!$B:$AP,22,FALSE)</f>
        <v>72354218.425861493</v>
      </c>
      <c r="O5" s="28">
        <f>VLOOKUP($A:$A,Variables!$B:$AP,23,FALSE)</f>
        <v>72620520.514616698</v>
      </c>
      <c r="P5" s="28">
        <f>VLOOKUP($A:$A,Variables!$B:$AP,24,FALSE)</f>
        <v>69782268.831006601</v>
      </c>
      <c r="Q5" s="28">
        <f>VLOOKUP($A:$A,Variables!$B:$AP,25,FALSE)</f>
        <v>68451960.146435499</v>
      </c>
      <c r="R5" s="28">
        <f>VLOOKUP($A:$A,Variables!$B:$AP,26,FALSE)</f>
        <v>67098851.729051702</v>
      </c>
      <c r="S5" s="28">
        <f>VLOOKUP($A:$A,Variables!$B:$AP,27,FALSE)</f>
        <v>64662029.880932502</v>
      </c>
      <c r="T5" s="28">
        <f>VLOOKUP($A:$A,Variables!$B:$AP,28,FALSE)</f>
        <v>57543442.3193608</v>
      </c>
      <c r="U5" s="28">
        <f>VLOOKUP($A:$A,Variables!$B:$AP,29,FALSE)</f>
        <v>50847486.582352601</v>
      </c>
      <c r="V5" s="28">
        <f>VLOOKUP($A:$A,Variables!$B:$AP,30,FALSE)</f>
        <v>45900215</v>
      </c>
      <c r="W5" s="27"/>
    </row>
    <row r="6" spans="1:33" x14ac:dyDescent="0.55000000000000004">
      <c r="A6" s="26" t="s">
        <v>1027</v>
      </c>
      <c r="B6" s="28">
        <f>VLOOKUP(A:A,Variables!B:AP,10,FALSE)</f>
        <v>50615800.308805212</v>
      </c>
      <c r="C6" s="28">
        <f>VLOOKUP($A:$A,Variables!$B:$AP,11,FALSE)</f>
        <v>55268292.708259083</v>
      </c>
      <c r="D6" s="28">
        <f>VLOOKUP($A:$A,Variables!$B:$AP,12,FALSE)</f>
        <v>61600655.974125087</v>
      </c>
      <c r="E6" s="28">
        <f>VLOOKUP($A:$A,Variables!$B:$AP,13,FALSE)</f>
        <v>64144383.982784502</v>
      </c>
      <c r="F6" s="28">
        <f>VLOOKUP($A:$A,Variables!$B:$AP,14,FALSE)</f>
        <v>67962522.71045579</v>
      </c>
      <c r="G6" s="28">
        <f>VLOOKUP($A:$A,Variables!$B:$AP,15,FALSE)</f>
        <v>72565755.505764052</v>
      </c>
      <c r="H6" s="28">
        <f>VLOOKUP($A:$A,Variables!$B:$AP,16,FALSE)</f>
        <v>76938987.677525371</v>
      </c>
      <c r="I6" s="28">
        <f>VLOOKUP($A:$A,Variables!$B:$AP,17,FALSE)</f>
        <v>83200866.264006272</v>
      </c>
      <c r="J6" s="28">
        <f>VLOOKUP($A:$A,Variables!$B:$AP,18,FALSE)</f>
        <v>89963829.540194139</v>
      </c>
      <c r="K6" s="28">
        <f>VLOOKUP($A:$A,Variables!$B:$AP,19,FALSE)</f>
        <v>95576169.900532424</v>
      </c>
      <c r="L6" s="28">
        <f>VLOOKUP($A:$A,Variables!$B:$AP,20,FALSE)</f>
        <v>100503576.55517608</v>
      </c>
      <c r="M6" s="28">
        <f>VLOOKUP($A:$A,Variables!$B:$AP,21,FALSE)</f>
        <v>109073194.77822027</v>
      </c>
      <c r="N6" s="28">
        <f>VLOOKUP($A:$A,Variables!$B:$AP,22,FALSE)</f>
        <v>109066341.52647889</v>
      </c>
      <c r="O6" s="28">
        <f>VLOOKUP($A:$A,Variables!$B:$AP,23,FALSE)</f>
        <v>114059108.02698019</v>
      </c>
      <c r="P6" s="28">
        <f>VLOOKUP($A:$A,Variables!$B:$AP,24,FALSE)</f>
        <v>109256435.34644848</v>
      </c>
      <c r="Q6" s="28">
        <f>VLOOKUP($A:$A,Variables!$B:$AP,25,FALSE)</f>
        <v>112819821.18383473</v>
      </c>
      <c r="R6" s="28">
        <f>VLOOKUP($A:$A,Variables!$B:$AP,26,FALSE)</f>
        <v>108159505.44816807</v>
      </c>
      <c r="S6" s="28">
        <f>VLOOKUP($A:$A,Variables!$B:$AP,27,FALSE)</f>
        <v>105696730.38438496</v>
      </c>
      <c r="T6" s="28">
        <f>VLOOKUP($A:$A,Variables!$B:$AP,28,FALSE)</f>
        <v>99733895.461657792</v>
      </c>
      <c r="U6" s="28">
        <f>VLOOKUP($A:$A,Variables!$B:$AP,29,FALSE)</f>
        <v>88986086.68498829</v>
      </c>
      <c r="V6" s="28">
        <f>VLOOKUP($A:$A,Variables!$B:$AP,30,FALSE)</f>
        <v>78456550.964611903</v>
      </c>
      <c r="W6" s="27"/>
    </row>
    <row r="7" spans="1:33" x14ac:dyDescent="0.55000000000000004">
      <c r="A7" s="26" t="s">
        <v>1156</v>
      </c>
      <c r="B7" s="28">
        <f>VLOOKUP(A:A,Variables!B:AP,10,FALSE)</f>
        <v>221122575</v>
      </c>
      <c r="C7" s="28">
        <f>VLOOKUP($A:$A,Variables!$B:$AP,11,FALSE)</f>
        <v>223279598</v>
      </c>
      <c r="D7" s="28">
        <f>VLOOKUP($A:$A,Variables!$B:$AP,12,FALSE)</f>
        <v>225635789</v>
      </c>
      <c r="E7" s="28">
        <f>VLOOKUP($A:$A,Variables!$B:$AP,13,FALSE)</f>
        <v>235143245</v>
      </c>
      <c r="F7" s="28">
        <f>VLOOKUP($A:$A,Variables!$B:$AP,14,FALSE)</f>
        <v>237682009</v>
      </c>
      <c r="G7" s="28">
        <f>VLOOKUP($A:$A,Variables!$B:$AP,15,FALSE)</f>
        <v>240514815</v>
      </c>
      <c r="H7" s="28">
        <f>VLOOKUP($A:$A,Variables!$B:$AP,16,FALSE)</f>
        <v>243220283</v>
      </c>
      <c r="I7" s="28">
        <f>VLOOKUP($A:$A,Variables!$B:$AP,17,FALSE)</f>
        <v>246021656</v>
      </c>
      <c r="J7" s="28">
        <f>VLOOKUP($A:$A,Variables!$B:$AP,18,FALSE)</f>
        <v>247845207</v>
      </c>
      <c r="K7" s="28">
        <f>VLOOKUP($A:$A,Variables!$B:$AP,19,FALSE)</f>
        <v>249815089</v>
      </c>
      <c r="L7" s="28">
        <f>VLOOKUP($A:$A,Variables!$B:$AP,20,FALSE)</f>
        <v>251815533</v>
      </c>
      <c r="M7" s="28">
        <f>VLOOKUP($A:$A,Variables!$B:$AP,21,FALSE)</f>
        <v>253619107</v>
      </c>
      <c r="N7" s="28">
        <f>VLOOKUP($A:$A,Variables!$B:$AP,22,FALSE)</f>
        <v>257598944</v>
      </c>
      <c r="O7" s="28">
        <f>VLOOKUP($A:$A,Variables!$B:$AP,23,FALSE)</f>
        <v>260057325</v>
      </c>
      <c r="P7" s="28">
        <f>VLOOKUP($A:$A,Variables!$B:$AP,24,FALSE)</f>
        <v>262391455</v>
      </c>
      <c r="Q7" s="28">
        <f>VLOOKUP($A:$A,Variables!$B:$AP,25,FALSE)</f>
        <v>265122864</v>
      </c>
      <c r="R7" s="28">
        <f>VLOOKUP($A:$A,Variables!$B:$AP,26,FALSE)</f>
        <v>267694489</v>
      </c>
      <c r="S7" s="28">
        <f>VLOOKUP($A:$A,Variables!$B:$AP,27,FALSE)</f>
        <v>269430135</v>
      </c>
      <c r="T7" s="28">
        <f>VLOOKUP($A:$A,Variables!$B:$AP,28,FALSE)</f>
        <v>272103335</v>
      </c>
      <c r="U7" s="28">
        <f>VLOOKUP($A:$A,Variables!$B:$AP,29,FALSE)</f>
        <v>273753043</v>
      </c>
      <c r="V7" s="28">
        <f>VLOOKUP($A:$A,Variables!$B:$AP,30,FALSE)</f>
        <v>275221248</v>
      </c>
      <c r="W7" s="28">
        <f>VLOOKUP($A:$A,Variables!$B:$AP,31,FALSE)</f>
        <v>277196227.0557394</v>
      </c>
      <c r="X7" s="28">
        <f>VLOOKUP($A:$A,Variables!$B:$AP,32,FALSE)</f>
        <v>279162039.54202181</v>
      </c>
      <c r="Y7" s="28">
        <f>VLOOKUP($A:$A,Variables!$B:$AP,31,FALSE)</f>
        <v>277196227.0557394</v>
      </c>
      <c r="Z7" s="28">
        <f>VLOOKUP($A:$A,Variables!$B:$AP,31,FALSE)</f>
        <v>277196227.0557394</v>
      </c>
      <c r="AA7" s="28">
        <f>VLOOKUP($A:$A,Variables!$B:$AP,31,FALSE)</f>
        <v>277196227.0557394</v>
      </c>
      <c r="AB7" s="28">
        <f>VLOOKUP($A:$A,Variables!$B:$AP,31,FALSE)</f>
        <v>277196227.0557394</v>
      </c>
      <c r="AC7" s="28">
        <f>VLOOKUP($A:$A,Variables!$B:$AP,31,FALSE)</f>
        <v>277196227.0557394</v>
      </c>
      <c r="AD7" s="28">
        <f>VLOOKUP($A:$A,Variables!$B:$AP,31,FALSE)</f>
        <v>277196227.0557394</v>
      </c>
      <c r="AE7" s="28">
        <f>VLOOKUP($A:$A,Variables!$B:$AP,31,FALSE)</f>
        <v>277196227.0557394</v>
      </c>
      <c r="AF7" s="28">
        <f>VLOOKUP($A:$A,Variables!$B:$AP,31,FALSE)</f>
        <v>277196227.0557394</v>
      </c>
      <c r="AG7" s="28">
        <f>VLOOKUP($A:$A,Variables!$B:$AP,31,FALSE)</f>
        <v>277196227.0557394</v>
      </c>
    </row>
    <row r="8" spans="1:33" x14ac:dyDescent="0.55000000000000004">
      <c r="A8" s="26" t="s">
        <v>1703</v>
      </c>
      <c r="B8" s="28">
        <f>VLOOKUP(A:A,Variables!B:AP,10,FALSE)</f>
        <v>83860335346.247116</v>
      </c>
      <c r="C8" s="28">
        <f>VLOOKUP($A:$A,Variables!$B:$AP,11,FALSE)</f>
        <v>88243037645.415298</v>
      </c>
      <c r="D8" s="28">
        <f>VLOOKUP($A:$A,Variables!$B:$AP,12,FALSE)</f>
        <v>104432410000.00002</v>
      </c>
      <c r="E8" s="28">
        <f>VLOOKUP($A:$A,Variables!$B:$AP,13,FALSE)</f>
        <v>113914397673</v>
      </c>
      <c r="F8" s="28">
        <f>VLOOKUP($A:$A,Variables!$B:$AP,14,FALSE)</f>
        <v>128182380208</v>
      </c>
      <c r="G8" s="28">
        <f>VLOOKUP($A:$A,Variables!$B:$AP,15,FALSE)</f>
        <v>141266597589</v>
      </c>
      <c r="H8" s="28">
        <f>VLOOKUP($A:$A,Variables!$B:$AP,16,FALSE)</f>
        <v>152741116253</v>
      </c>
      <c r="I8" s="28">
        <f>VLOOKUP($A:$A,Variables!$B:$AP,17,FALSE)</f>
        <v>172377484435</v>
      </c>
      <c r="J8" s="28">
        <f>VLOOKUP($A:$A,Variables!$B:$AP,18,FALSE)</f>
        <v>194816933897</v>
      </c>
      <c r="K8" s="28">
        <f>VLOOKUP($A:$A,Variables!$B:$AP,19,FALSE)</f>
        <v>214803554568</v>
      </c>
      <c r="L8" s="28">
        <f>VLOOKUP($A:$A,Variables!$B:$AP,20,FALSE)</f>
        <v>227757668789</v>
      </c>
      <c r="M8" s="28">
        <f>VLOOKUP($A:$A,Variables!$B:$AP,21,FALSE)</f>
        <v>245404960604</v>
      </c>
      <c r="N8" s="28">
        <f>VLOOKUP($A:$A,Variables!$B:$AP,22,FALSE)</f>
        <v>246463188398</v>
      </c>
      <c r="O8" s="28">
        <f>VLOOKUP($A:$A,Variables!$B:$AP,23,FALSE)</f>
        <v>239867616739</v>
      </c>
      <c r="P8" s="28">
        <f>VLOOKUP($A:$A,Variables!$B:$AP,24,FALSE)</f>
        <v>228965844787</v>
      </c>
      <c r="Q8" s="28">
        <f>VLOOKUP($A:$A,Variables!$B:$AP,25,FALSE)</f>
        <v>221271525079</v>
      </c>
      <c r="R8" s="28">
        <f>VLOOKUP($A:$A,Variables!$B:$AP,26,FALSE)</f>
        <v>209409702158</v>
      </c>
      <c r="S8" s="28">
        <f>VLOOKUP($A:$A,Variables!$B:$AP,27,FALSE)</f>
        <v>197124327717</v>
      </c>
      <c r="T8" s="28">
        <f>VLOOKUP($A:$A,Variables!$B:$AP,28,FALSE)</f>
        <v>170285611746</v>
      </c>
      <c r="U8" s="28">
        <f>VLOOKUP($A:$A,Variables!$B:$AP,29,FALSE)</f>
        <v>141100706124</v>
      </c>
      <c r="V8" s="28">
        <f>VLOOKUP($A:$A,Variables!$B:$AP,30,FALSE)</f>
        <v>120407890118</v>
      </c>
      <c r="W8" s="28">
        <f>VLOOKUP($A:$A,Variables!$B:$AP,31,FALSE)</f>
        <v>110314545203</v>
      </c>
    </row>
    <row r="9" spans="1:33" x14ac:dyDescent="0.55000000000000004">
      <c r="A9" s="26" t="s">
        <v>1689</v>
      </c>
      <c r="B9" s="28">
        <f>VLOOKUP(A:A,Variables!B:AP,10,FALSE)</f>
        <v>156716600</v>
      </c>
      <c r="C9" s="28">
        <f>VLOOKUP($A:$A,Variables!$B:$AP,11,FALSE)</f>
        <v>167976040</v>
      </c>
      <c r="D9" s="28">
        <f>VLOOKUP($A:$A,Variables!$B:$AP,12,FALSE)</f>
        <v>183715880</v>
      </c>
      <c r="E9" s="28">
        <f>VLOOKUP($A:$A,Variables!$B:$AP,13,FALSE)</f>
        <v>187651428</v>
      </c>
      <c r="F9" s="28">
        <f>VLOOKUP($A:$A,Variables!$B:$AP,14,FALSE)</f>
        <v>194953119</v>
      </c>
      <c r="G9" s="28">
        <f>VLOOKUP($A:$A,Variables!$B:$AP,15,FALSE)</f>
        <v>204027579</v>
      </c>
      <c r="H9" s="28">
        <f>VLOOKUP($A:$A,Variables!$B:$AP,16,FALSE)</f>
        <v>211944467</v>
      </c>
      <c r="I9" s="28">
        <f>VLOOKUP($A:$A,Variables!$B:$AP,17,FALSE)</f>
        <v>224458726</v>
      </c>
      <c r="J9" s="28">
        <f>VLOOKUP($A:$A,Variables!$B:$AP,18,FALSE)</f>
        <v>237583497</v>
      </c>
      <c r="K9" s="28">
        <f>VLOOKUP($A:$A,Variables!$B:$AP,19,FALSE)</f>
        <v>246965271</v>
      </c>
      <c r="L9" s="28">
        <f>VLOOKUP($A:$A,Variables!$B:$AP,20,FALSE)</f>
        <v>253048448</v>
      </c>
      <c r="M9" s="28">
        <f>VLOOKUP($A:$A,Variables!$B:$AP,21,FALSE)</f>
        <v>259934115</v>
      </c>
      <c r="N9" s="28">
        <f>VLOOKUP($A:$A,Variables!$B:$AP,22,FALSE)</f>
        <v>260625937</v>
      </c>
      <c r="O9" s="28">
        <f>VLOOKUP($A:$A,Variables!$B:$AP,23,FALSE)</f>
        <v>263067911</v>
      </c>
      <c r="P9" s="28">
        <f>VLOOKUP($A:$A,Variables!$B:$AP,24,FALSE)</f>
        <v>253919348</v>
      </c>
      <c r="Q9" s="28">
        <f>VLOOKUP($A:$A,Variables!$B:$AP,25,FALSE)</f>
        <v>246326325</v>
      </c>
      <c r="R9" s="28">
        <f>VLOOKUP($A:$A,Variables!$B:$AP,26,FALSE)</f>
        <v>229140550</v>
      </c>
      <c r="S9" s="28">
        <f>VLOOKUP($A:$A,Variables!$B:$AP,27,FALSE)</f>
        <v>217313967</v>
      </c>
      <c r="T9" s="28">
        <f>VLOOKUP($A:$A,Variables!$B:$AP,28,FALSE)</f>
        <v>193782638</v>
      </c>
      <c r="U9" s="28">
        <f>VLOOKUP($A:$A,Variables!$B:$AP,29,FALSE)</f>
        <v>169863949</v>
      </c>
      <c r="V9" s="28">
        <f>VLOOKUP($A:$A,Variables!$B:$AP,30,FALSE)</f>
        <v>154658303</v>
      </c>
      <c r="W9" s="28">
        <f>VLOOKUP($A:$A,Variables!$B:$AP,31,FALSE)</f>
        <v>144174733</v>
      </c>
    </row>
    <row r="10" spans="1:33" x14ac:dyDescent="0.55000000000000004">
      <c r="A10" s="26" t="s">
        <v>159</v>
      </c>
      <c r="B10" s="27">
        <f>VLOOKUP(A:A,Variables!B:AP,10,FALSE)</f>
        <v>0</v>
      </c>
      <c r="C10" s="27">
        <f>VLOOKUP($A:$A,Variables!$B:$AP,11,FALSE)</f>
        <v>0</v>
      </c>
      <c r="D10" s="27">
        <f>VLOOKUP($A:$A,Variables!$B:$AP,12,FALSE)</f>
        <v>0</v>
      </c>
      <c r="E10" s="27">
        <f>VLOOKUP($A:$A,Variables!$B:$AP,13,FALSE)</f>
        <v>0</v>
      </c>
      <c r="F10" s="27">
        <f>VLOOKUP($A:$A,Variables!$B:$AP,14,FALSE)</f>
        <v>0</v>
      </c>
      <c r="G10" s="27">
        <f>VLOOKUP($A:$A,Variables!$B:$AP,15,FALSE)</f>
        <v>0</v>
      </c>
      <c r="H10" s="27">
        <f>VLOOKUP($A:$A,Variables!$B:$AP,16,FALSE)</f>
        <v>0</v>
      </c>
      <c r="I10" s="27">
        <f>VLOOKUP($A:$A,Variables!$B:$AP,17,FALSE)</f>
        <v>0</v>
      </c>
      <c r="J10" s="27">
        <f>VLOOKUP($A:$A,Variables!$B:$AP,18,FALSE)</f>
        <v>0</v>
      </c>
      <c r="K10" s="27">
        <f>VLOOKUP($A:$A,Variables!$B:$AP,19,FALSE)</f>
        <v>0</v>
      </c>
      <c r="L10" s="27">
        <f>VLOOKUP($A:$A,Variables!$B:$AP,20,FALSE)</f>
        <v>1.2868150677794213E-4</v>
      </c>
      <c r="M10" s="27">
        <f>VLOOKUP($A:$A,Variables!$B:$AP,21,FALSE)</f>
        <v>3.0440046129983321E-2</v>
      </c>
      <c r="N10" s="27">
        <f>VLOOKUP($A:$A,Variables!$B:$AP,22,FALSE)</f>
        <v>0.10357235362782942</v>
      </c>
      <c r="O10" s="27">
        <f>VLOOKUP($A:$A,Variables!$B:$AP,23,FALSE)</f>
        <v>9.0387600251146713E-2</v>
      </c>
      <c r="P10" s="27">
        <f>VLOOKUP($A:$A,Variables!$B:$AP,24,FALSE)</f>
        <v>8.5121503878147764E-2</v>
      </c>
      <c r="Q10" s="27">
        <f>VLOOKUP($A:$A,Variables!$B:$AP,25,FALSE)</f>
        <v>7.9822156563950336E-2</v>
      </c>
      <c r="R10" s="27">
        <f>VLOOKUP($A:$A,Variables!$B:$AP,26,FALSE)</f>
        <v>7.5699132306866743E-2</v>
      </c>
      <c r="S10" s="27">
        <f>VLOOKUP($A:$A,Variables!$B:$AP,27,FALSE)</f>
        <v>7.0648063363307451E-2</v>
      </c>
      <c r="T10" s="27">
        <f>VLOOKUP($A:$A,Variables!$B:$AP,28,FALSE)</f>
        <v>6.5304469508482815E-2</v>
      </c>
      <c r="U10" s="27">
        <f>VLOOKUP($A:$A,Variables!$B:$AP,29,FALSE)</f>
        <v>6.2178924571006849E-2</v>
      </c>
      <c r="V10" s="27">
        <f>VLOOKUP($A:$A,Variables!$B:$AP,30,FALSE)</f>
        <v>5.5745186078936089E-2</v>
      </c>
      <c r="W10" s="27">
        <f>VLOOKUP($A:$A,Variables!$B:$AP,31,FALSE)</f>
        <v>4.9272336100354815E-2</v>
      </c>
    </row>
    <row r="11" spans="1:33" x14ac:dyDescent="0.55000000000000004">
      <c r="A11" s="26" t="s">
        <v>448</v>
      </c>
      <c r="B11" s="27">
        <f>VLOOKUP(A:A,Variables!B:AP,10,FALSE)</f>
        <v>0.43750800000000001</v>
      </c>
      <c r="C11" s="27">
        <f>VLOOKUP($A:$A,Variables!$B:$AP,11,FALSE)</f>
        <v>0.37236187999999998</v>
      </c>
      <c r="D11" s="27">
        <f>VLOOKUP($A:$A,Variables!$B:$AP,12,FALSE)</f>
        <v>0.425927</v>
      </c>
      <c r="E11" s="27">
        <f>VLOOKUP($A:$A,Variables!$B:$AP,13,FALSE)</f>
        <v>0.54781630921420243</v>
      </c>
      <c r="F11" s="27">
        <f>VLOOKUP($A:$A,Variables!$B:$AP,14,FALSE)</f>
        <v>0.37322058915059531</v>
      </c>
      <c r="G11" s="27">
        <f>VLOOKUP($A:$A,Variables!$B:$AP,15,FALSE)</f>
        <v>0.39139012189107308</v>
      </c>
      <c r="H11" s="27">
        <f>VLOOKUP($A:$A,Variables!$B:$AP,16,FALSE)</f>
        <v>0.4877997957950449</v>
      </c>
      <c r="I11" s="27">
        <f>VLOOKUP($A:$A,Variables!$B:$AP,17,FALSE)</f>
        <v>0.57803937794552485</v>
      </c>
      <c r="J11" s="27">
        <f>VLOOKUP($A:$A,Variables!$B:$AP,18,FALSE)</f>
        <v>0.72162230278590955</v>
      </c>
      <c r="K11" s="27">
        <f>VLOOKUP($A:$A,Variables!$B:$AP,19,FALSE)</f>
        <v>0.42434660061496415</v>
      </c>
      <c r="L11" s="27">
        <f>VLOOKUP($A:$A,Variables!$B:$AP,20,FALSE)</f>
        <v>0.67685122298409983</v>
      </c>
      <c r="M11" s="27">
        <f>VLOOKUP($A:$A,Variables!$B:$AP,21,FALSE)</f>
        <v>0.47542778169279082</v>
      </c>
      <c r="N11" s="27">
        <f>VLOOKUP($A:$A,Variables!$B:$AP,22,FALSE)</f>
        <v>0.47088840431370804</v>
      </c>
      <c r="O11" s="27">
        <f>VLOOKUP($A:$A,Variables!$B:$AP,23,FALSE)</f>
        <v>0.48412019742862716</v>
      </c>
      <c r="P11" s="27">
        <f>VLOOKUP($A:$A,Variables!$B:$AP,24,FALSE)</f>
        <v>0.70006800322385654</v>
      </c>
      <c r="Q11" s="27">
        <f>VLOOKUP($A:$A,Variables!$B:$AP,25,FALSE)</f>
        <v>0.45505317441636534</v>
      </c>
      <c r="R11" s="27">
        <f>VLOOKUP($A:$A,Variables!$B:$AP,26,FALSE)</f>
        <v>0.59043335257408602</v>
      </c>
      <c r="S11" s="27">
        <f>VLOOKUP($A:$A,Variables!$B:$AP,27,FALSE)</f>
        <v>0.35116056083220265</v>
      </c>
      <c r="T11" s="27">
        <f>VLOOKUP($A:$A,Variables!$B:$AP,28,FALSE)</f>
        <v>0.52275756557215547</v>
      </c>
      <c r="U11" s="27">
        <f>VLOOKUP($A:$A,Variables!$B:$AP,29,FALSE)</f>
        <v>0.39097376936899497</v>
      </c>
      <c r="V11" s="27">
        <f>VLOOKUP($A:$A,Variables!$B:$AP,30,FALSE)</f>
        <v>0.24577347467820138</v>
      </c>
      <c r="W11" s="27"/>
    </row>
    <row r="12" spans="1:33" x14ac:dyDescent="0.55000000000000004">
      <c r="A12" s="26" t="s">
        <v>442</v>
      </c>
      <c r="B12" s="27">
        <f>VLOOKUP(A:A,Variables!B:AP,10,FALSE)</f>
        <v>0.43670399999999998</v>
      </c>
      <c r="C12" s="27">
        <f>VLOOKUP($A:$A,Variables!$B:$AP,11,FALSE)</f>
        <v>0.49432921499999999</v>
      </c>
      <c r="D12" s="27">
        <f>VLOOKUP($A:$A,Variables!$B:$AP,12,FALSE)</f>
        <v>0.50452300000000005</v>
      </c>
      <c r="E12" s="27">
        <f>VLOOKUP($A:$A,Variables!$B:$AP,13,FALSE)</f>
        <v>0.54729355857175399</v>
      </c>
      <c r="F12" s="27">
        <f>VLOOKUP($A:$A,Variables!$B:$AP,14,FALSE)</f>
        <v>0.49471869236209659</v>
      </c>
      <c r="G12" s="27">
        <f>VLOOKUP($A:$A,Variables!$B:$AP,15,FALSE)</f>
        <v>0.48028834290951389</v>
      </c>
      <c r="H12" s="27">
        <f>VLOOKUP($A:$A,Variables!$B:$AP,16,FALSE)</f>
        <v>0.66885667204562727</v>
      </c>
      <c r="I12" s="27">
        <f>VLOOKUP($A:$A,Variables!$B:$AP,17,FALSE)</f>
        <v>0.70146781191003083</v>
      </c>
      <c r="J12" s="27">
        <f>VLOOKUP($A:$A,Variables!$B:$AP,18,FALSE)</f>
        <v>0.74580695055343416</v>
      </c>
      <c r="K12" s="27">
        <f>VLOOKUP($A:$A,Variables!$B:$AP,19,FALSE)</f>
        <v>0.74834445129301319</v>
      </c>
      <c r="L12" s="27">
        <f>VLOOKUP($A:$A,Variables!$B:$AP,20,FALSE)</f>
        <v>0.66145609367690361</v>
      </c>
      <c r="M12" s="27">
        <f>VLOOKUP($A:$A,Variables!$B:$AP,21,FALSE)</f>
        <v>0.69965780468544359</v>
      </c>
      <c r="N12" s="27">
        <f>VLOOKUP($A:$A,Variables!$B:$AP,22,FALSE)</f>
        <v>0.71452291733487705</v>
      </c>
      <c r="O12" s="27">
        <f>VLOOKUP($A:$A,Variables!$B:$AP,23,FALSE)</f>
        <v>0.7760462196226775</v>
      </c>
      <c r="P12" s="27">
        <f>VLOOKUP($A:$A,Variables!$B:$AP,24,FALSE)</f>
        <v>0.79410502351272672</v>
      </c>
      <c r="Q12" s="27">
        <f>VLOOKUP($A:$A,Variables!$B:$AP,25,FALSE)</f>
        <v>0.66357395438209221</v>
      </c>
      <c r="R12" s="27">
        <f>VLOOKUP($A:$A,Variables!$B:$AP,26,FALSE)</f>
        <v>0.73309701196862065</v>
      </c>
      <c r="S12" s="27">
        <f>VLOOKUP($A:$A,Variables!$B:$AP,27,FALSE)</f>
        <v>0.7640260708441472</v>
      </c>
      <c r="T12" s="27">
        <f>VLOOKUP($A:$A,Variables!$B:$AP,28,FALSE)</f>
        <v>0.63545225442936903</v>
      </c>
      <c r="U12" s="27">
        <f>VLOOKUP($A:$A,Variables!$B:$AP,29,FALSE)</f>
        <v>0.70188431548236752</v>
      </c>
      <c r="V12" s="27">
        <f>VLOOKUP($A:$A,Variables!$B:$AP,30,FALSE)</f>
        <v>0.63945444153182096</v>
      </c>
      <c r="W12" s="27"/>
    </row>
    <row r="13" spans="1:33" x14ac:dyDescent="0.55000000000000004">
      <c r="A13" s="26" t="s">
        <v>854</v>
      </c>
      <c r="B13" s="28">
        <f>VLOOKUP(A:A,Variables!B:AP,10,FALSE)</f>
        <v>1103.5</v>
      </c>
      <c r="C13" s="28">
        <f>VLOOKUP($A:$A,Variables!$B:$AP,11,FALSE)</f>
        <v>3310.5</v>
      </c>
      <c r="D13" s="28">
        <f>VLOOKUP($A:$A,Variables!$B:$AP,12,FALSE)</f>
        <v>4414</v>
      </c>
      <c r="E13" s="28">
        <f>VLOOKUP($A:$A,Variables!$B:$AP,13,FALSE)</f>
        <v>5517.5</v>
      </c>
      <c r="F13" s="28">
        <f>VLOOKUP($A:$A,Variables!$B:$AP,14,FALSE)</f>
        <v>9350.5</v>
      </c>
      <c r="G13" s="28">
        <f>VLOOKUP($A:$A,Variables!$B:$AP,15,FALSE)</f>
        <v>13113.5</v>
      </c>
      <c r="H13" s="28">
        <f>VLOOKUP($A:$A,Variables!$B:$AP,16,FALSE)</f>
        <v>14940.499999999998</v>
      </c>
      <c r="I13" s="28">
        <f>VLOOKUP($A:$A,Variables!$B:$AP,17,FALSE)</f>
        <v>24726.499999999996</v>
      </c>
      <c r="J13" s="28">
        <f>VLOOKUP($A:$A,Variables!$B:$AP,18,FALSE)</f>
        <v>26676.499999999996</v>
      </c>
      <c r="K13" s="28">
        <f>VLOOKUP($A:$A,Variables!$B:$AP,19,FALSE)</f>
        <v>35490.999999999993</v>
      </c>
      <c r="L13" s="28">
        <f>VLOOKUP($A:$A,Variables!$B:$AP,20,FALSE)</f>
        <v>39442</v>
      </c>
      <c r="M13" s="28">
        <f>VLOOKUP($A:$A,Variables!$B:$AP,21,FALSE)</f>
        <v>47435</v>
      </c>
      <c r="N13" s="28">
        <f>VLOOKUP($A:$A,Variables!$B:$AP,22,FALSE)</f>
        <v>49586</v>
      </c>
      <c r="O13" s="28">
        <f>VLOOKUP($A:$A,Variables!$B:$AP,23,FALSE)</f>
        <v>69053</v>
      </c>
      <c r="P13" s="28">
        <f>VLOOKUP($A:$A,Variables!$B:$AP,24,FALSE)</f>
        <v>141502</v>
      </c>
      <c r="Q13" s="28">
        <f>VLOOKUP($A:$A,Variables!$B:$AP,25,FALSE)</f>
        <v>211278.68817204301</v>
      </c>
      <c r="R13" s="28">
        <f>VLOOKUP($A:$A,Variables!$B:$AP,26,FALSE)</f>
        <v>325817.17840212741</v>
      </c>
      <c r="S13" s="28">
        <f>VLOOKUP($A:$A,Variables!$B:$AP,27,FALSE)</f>
        <v>573797.06734074547</v>
      </c>
      <c r="T13" s="28">
        <f>VLOOKUP($A:$A,Variables!$B:$AP,28,FALSE)</f>
        <v>916335.75439076754</v>
      </c>
      <c r="U13" s="28">
        <f>VLOOKUP($A:$A,Variables!$B:$AP,29,FALSE)</f>
        <v>1500485.9526574665</v>
      </c>
      <c r="V13" s="28">
        <f>VLOOKUP($A:$A,Variables!$B:$AP,30,FALSE)</f>
        <v>1931149</v>
      </c>
      <c r="W13" s="28">
        <f>VLOOKUP($A:$A,Variables!$B:$AP,31,FALSE)</f>
        <v>2303624</v>
      </c>
    </row>
    <row r="14" spans="1:33" x14ac:dyDescent="0.55000000000000004">
      <c r="A14" s="26" t="s">
        <v>1852</v>
      </c>
      <c r="B14" s="28">
        <f>VLOOKUP(A:A,Variables!B:AP,10,FALSE)</f>
        <v>0</v>
      </c>
      <c r="C14" s="28">
        <f>VLOOKUP($A:$A,Variables!$B:$AP,11,FALSE)</f>
        <v>0</v>
      </c>
      <c r="D14" s="28">
        <f>VLOOKUP($A:$A,Variables!$B:$AP,12,FALSE)</f>
        <v>0</v>
      </c>
      <c r="E14" s="28">
        <f>VLOOKUP($A:$A,Variables!$B:$AP,13,FALSE)</f>
        <v>0</v>
      </c>
      <c r="F14" s="28">
        <f>VLOOKUP($A:$A,Variables!$B:$AP,14,FALSE)</f>
        <v>0</v>
      </c>
      <c r="G14" s="28">
        <f>VLOOKUP($A:$A,Variables!$B:$AP,15,FALSE)</f>
        <v>0</v>
      </c>
      <c r="H14" s="28">
        <f>VLOOKUP($A:$A,Variables!$B:$AP,16,FALSE)</f>
        <v>0</v>
      </c>
      <c r="I14" s="28">
        <f>VLOOKUP($A:$A,Variables!$B:$AP,17,FALSE)</f>
        <v>0</v>
      </c>
      <c r="J14" s="28">
        <f>VLOOKUP($A:$A,Variables!$B:$AP,18,FALSE)</f>
        <v>0</v>
      </c>
      <c r="K14" s="28">
        <f>VLOOKUP($A:$A,Variables!$B:$AP,19,FALSE)</f>
        <v>0</v>
      </c>
      <c r="L14" s="28">
        <f>VLOOKUP($A:$A,Variables!$B:$AP,20,FALSE)</f>
        <v>0</v>
      </c>
      <c r="M14" s="28">
        <f>VLOOKUP($A:$A,Variables!$B:$AP,21,FALSE)</f>
        <v>434.77083333333331</v>
      </c>
      <c r="N14" s="28">
        <f>VLOOKUP($A:$A,Variables!$B:$AP,22,FALSE)</f>
        <v>1543.5208333333333</v>
      </c>
      <c r="O14" s="28">
        <f>VLOOKUP($A:$A,Variables!$B:$AP,23,FALSE)</f>
        <v>2990.2708333333335</v>
      </c>
      <c r="P14" s="28">
        <f>VLOOKUP($A:$A,Variables!$B:$AP,24,FALSE)</f>
        <v>4705.6875</v>
      </c>
      <c r="Q14" s="28">
        <f>VLOOKUP($A:$A,Variables!$B:$AP,25,FALSE)</f>
        <v>6685.270833333333</v>
      </c>
      <c r="R14" s="28">
        <f>VLOOKUP($A:$A,Variables!$B:$AP,26,FALSE)</f>
        <v>10849.4375</v>
      </c>
      <c r="S14" s="28">
        <f>VLOOKUP($A:$A,Variables!$B:$AP,27,FALSE)</f>
        <v>19529.104166666668</v>
      </c>
      <c r="T14" s="28">
        <f>VLOOKUP($A:$A,Variables!$B:$AP,28,FALSE)</f>
        <v>26956.604166666668</v>
      </c>
      <c r="U14" s="28">
        <f>VLOOKUP($A:$A,Variables!$B:$AP,29,FALSE)</f>
        <v>30646.604166666668</v>
      </c>
      <c r="V14" s="28">
        <f>VLOOKUP($A:$A,Variables!$B:$AP,30,FALSE)</f>
        <v>32227.1875</v>
      </c>
      <c r="W14" s="28">
        <f>VLOOKUP($A:$A,Variables!$B:$AP,31,FALSE)</f>
        <v>28917.104166666668</v>
      </c>
    </row>
    <row r="15" spans="1:33" x14ac:dyDescent="0.55000000000000004">
      <c r="A15" s="26" t="s">
        <v>1847</v>
      </c>
      <c r="B15" s="28">
        <f>VLOOKUP(A:A,Variables!B:AP,10,FALSE)</f>
        <v>159053.5</v>
      </c>
      <c r="C15" s="28">
        <f>VLOOKUP($A:$A,Variables!$B:$AP,11,FALSE)</f>
        <v>172497</v>
      </c>
      <c r="D15" s="28">
        <f>VLOOKUP($A:$A,Variables!$B:$AP,12,FALSE)</f>
        <v>198998.5</v>
      </c>
      <c r="E15" s="28">
        <f>VLOOKUP($A:$A,Variables!$B:$AP,13,FALSE)</f>
        <v>225500</v>
      </c>
      <c r="F15" s="28">
        <f>VLOOKUP($A:$A,Variables!$B:$AP,14,FALSE)</f>
        <v>227003</v>
      </c>
      <c r="G15" s="28">
        <f>VLOOKUP($A:$A,Variables!$B:$AP,15,FALSE)</f>
        <v>240961</v>
      </c>
      <c r="H15" s="28">
        <f>VLOOKUP($A:$A,Variables!$B:$AP,16,FALSE)</f>
        <v>235836</v>
      </c>
      <c r="I15" s="28">
        <f>VLOOKUP($A:$A,Variables!$B:$AP,17,FALSE)</f>
        <v>258752</v>
      </c>
      <c r="J15" s="28">
        <f>VLOOKUP($A:$A,Variables!$B:$AP,18,FALSE)</f>
        <v>262684</v>
      </c>
      <c r="K15" s="28">
        <f>VLOOKUP($A:$A,Variables!$B:$AP,19,FALSE)</f>
        <v>268071</v>
      </c>
      <c r="L15" s="28">
        <f>VLOOKUP($A:$A,Variables!$B:$AP,20,FALSE)</f>
        <v>283177</v>
      </c>
      <c r="M15" s="28">
        <f>VLOOKUP($A:$A,Variables!$B:$AP,21,FALSE)</f>
        <v>299643</v>
      </c>
      <c r="N15" s="28">
        <f>VLOOKUP($A:$A,Variables!$B:$AP,22,FALSE)</f>
        <v>306440</v>
      </c>
      <c r="O15" s="28">
        <f>VLOOKUP($A:$A,Variables!$B:$AP,23,FALSE)</f>
        <v>311718</v>
      </c>
      <c r="P15" s="28">
        <f>VLOOKUP($A:$A,Variables!$B:$AP,24,FALSE)</f>
        <v>330308</v>
      </c>
      <c r="Q15" s="28">
        <f>VLOOKUP($A:$A,Variables!$B:$AP,25,FALSE)</f>
        <v>343576</v>
      </c>
      <c r="R15" s="28">
        <f>VLOOKUP($A:$A,Variables!$B:$AP,26,FALSE)</f>
        <v>356843</v>
      </c>
      <c r="S15" s="28">
        <f>VLOOKUP($A:$A,Variables!$B:$AP,27,FALSE)</f>
        <v>345443</v>
      </c>
      <c r="T15" s="28">
        <f>VLOOKUP($A:$A,Variables!$B:$AP,28,FALSE)</f>
        <v>382867</v>
      </c>
      <c r="U15" s="28">
        <f>VLOOKUP($A:$A,Variables!$B:$AP,29,FALSE)</f>
        <v>395708.5</v>
      </c>
      <c r="V15" s="28">
        <f>VLOOKUP($A:$A,Variables!$B:$AP,30,FALSE)</f>
        <v>408550</v>
      </c>
      <c r="W15" s="28">
        <f>VLOOKUP($A:$A,Variables!$B:$AP,31,FALSE)</f>
        <v>311531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A9709-1215-4C13-8E7B-5F9DD9690526}">
  <dimension ref="A1:AG20"/>
  <sheetViews>
    <sheetView workbookViewId="0">
      <selection activeCell="E20" sqref="E20"/>
    </sheetView>
  </sheetViews>
  <sheetFormatPr defaultRowHeight="14.4" x14ac:dyDescent="0.55000000000000004"/>
  <cols>
    <col min="1" max="1" width="41.41796875" bestFit="1" customWidth="1"/>
    <col min="2" max="22" width="14.26171875" bestFit="1" customWidth="1"/>
  </cols>
  <sheetData>
    <row r="1" spans="1:33" x14ac:dyDescent="0.55000000000000004">
      <c r="A1" s="24" t="s">
        <v>1949</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c r="V1" s="25">
        <v>2019</v>
      </c>
      <c r="W1" s="25">
        <v>2020</v>
      </c>
      <c r="X1" s="25">
        <v>2021</v>
      </c>
      <c r="Y1" s="25">
        <v>2022</v>
      </c>
      <c r="Z1" s="25">
        <v>2023</v>
      </c>
      <c r="AA1" s="25">
        <v>2024</v>
      </c>
      <c r="AB1" s="25">
        <v>2025</v>
      </c>
      <c r="AC1" s="25">
        <v>2026</v>
      </c>
      <c r="AD1" s="25">
        <v>2027</v>
      </c>
      <c r="AE1" s="25">
        <v>2028</v>
      </c>
      <c r="AF1" s="25">
        <v>2029</v>
      </c>
      <c r="AG1" s="25">
        <v>2030</v>
      </c>
    </row>
    <row r="2" spans="1:33" x14ac:dyDescent="0.55000000000000004">
      <c r="A2" s="26" t="s">
        <v>512</v>
      </c>
      <c r="B2" s="28">
        <f>VLOOKUP($A:$A,Variables!$B:$AP,10,FALSE)</f>
        <v>737348.72370526451</v>
      </c>
      <c r="C2" s="28">
        <f>VLOOKUP($A:$A,Variables!$B:$AP,11,FALSE)</f>
        <v>670983.54912418628</v>
      </c>
      <c r="D2" s="28">
        <f>VLOOKUP($A:$A,Variables!$B:$AP,12,FALSE)</f>
        <v>732226.9959257741</v>
      </c>
      <c r="E2" s="28">
        <f>VLOOKUP($A:$A,Variables!$B:$AP,13,FALSE)</f>
        <v>764684.39245923271</v>
      </c>
      <c r="F2" s="28">
        <f>VLOOKUP($A:$A,Variables!$B:$AP,14,FALSE)</f>
        <v>673043.85125278018</v>
      </c>
      <c r="G2" s="28">
        <f>VLOOKUP($A:$A,Variables!$B:$AP,15,FALSE)</f>
        <v>882617.72652719344</v>
      </c>
      <c r="H2" s="28">
        <f>VLOOKUP($A:$A,Variables!$B:$AP,16,FALSE)</f>
        <v>728787.3099795162</v>
      </c>
      <c r="I2" s="28">
        <f>VLOOKUP($A:$A,Variables!$B:$AP,17,FALSE)</f>
        <v>995374.01559201255</v>
      </c>
      <c r="J2" s="28">
        <f>VLOOKUP($A:$A,Variables!$B:$AP,18,FALSE)</f>
        <v>772412.62550478789</v>
      </c>
      <c r="K2" s="28">
        <f>VLOOKUP($A:$A,Variables!$B:$AP,19,FALSE)</f>
        <v>1024666.0100058218</v>
      </c>
      <c r="L2" s="28">
        <f>VLOOKUP($A:$A,Variables!$B:$AP,20,FALSE)</f>
        <v>1316792.5968868218</v>
      </c>
      <c r="M2" s="28">
        <f>VLOOKUP($A:$A,Variables!$B:$AP,21,FALSE)</f>
        <v>1335599.830687297</v>
      </c>
      <c r="N2" s="28">
        <f>VLOOKUP($A:$A,Variables!$B:$AP,22,FALSE)</f>
        <v>1590808.859871615</v>
      </c>
      <c r="O2" s="28">
        <f>VLOOKUP($A:$A,Variables!$B:$AP,23,FALSE)</f>
        <v>1565981.4445320296</v>
      </c>
      <c r="P2" s="28">
        <f>VLOOKUP($A:$A,Variables!$B:$AP,24,FALSE)</f>
        <v>1667232.4977665495</v>
      </c>
      <c r="Q2" s="28">
        <f>VLOOKUP($A:$A,Variables!$B:$AP,25,FALSE)</f>
        <v>1936510.395643299</v>
      </c>
      <c r="R2" s="28">
        <f>VLOOKUP($A:$A,Variables!$B:$AP,26,FALSE)</f>
        <v>1923866.4588087033</v>
      </c>
      <c r="S2" s="28">
        <f>VLOOKUP($A:$A,Variables!$B:$AP,27,FALSE)</f>
        <v>2011537.1025247658</v>
      </c>
      <c r="T2" s="28">
        <f>VLOOKUP($A:$A,Variables!$B:$AP,28,FALSE)</f>
        <v>2193782.1536960565</v>
      </c>
      <c r="U2" s="28">
        <f>VLOOKUP($A:$A,Variables!$B:$AP,29,FALSE)</f>
        <v>1843790.2663262156</v>
      </c>
      <c r="V2" s="28">
        <f>VLOOKUP($A:$A,Variables!$B:$AP,30,FALSE)</f>
        <v>1420678.8406968592</v>
      </c>
    </row>
    <row r="3" spans="1:33" x14ac:dyDescent="0.55000000000000004">
      <c r="A3" s="26" t="s">
        <v>633</v>
      </c>
      <c r="B3" s="28">
        <f>VLOOKUP(A:A,Variables!B:AP,10,FALSE)</f>
        <v>90224.942963405862</v>
      </c>
      <c r="C3" s="28">
        <f>VLOOKUP($A:$A,Variables!$B:$AP,11,FALSE)</f>
        <v>98900.418248348738</v>
      </c>
      <c r="D3" s="28">
        <f>VLOOKUP($A:$A,Variables!$B:$AP,12,FALSE)</f>
        <v>133602.31938812023</v>
      </c>
      <c r="E3" s="28">
        <f>VLOOKUP($A:$A,Variables!$B:$AP,13,FALSE)</f>
        <v>101503.06083383159</v>
      </c>
      <c r="F3" s="28">
        <f>VLOOKUP($A:$A,Variables!$B:$AP,14,FALSE)</f>
        <v>79814.372621474424</v>
      </c>
      <c r="G3" s="28">
        <f>VLOOKUP($A:$A,Variables!$B:$AP,15,FALSE)</f>
        <v>96611.100450833866</v>
      </c>
      <c r="H3" s="28">
        <f>VLOOKUP($A:$A,Variables!$B:$AP,16,FALSE)</f>
        <v>88423.719056695409</v>
      </c>
      <c r="I3" s="28">
        <f>VLOOKUP($A:$A,Variables!$B:$AP,17,FALSE)</f>
        <v>94288.557565557843</v>
      </c>
      <c r="J3" s="28">
        <f>VLOOKUP($A:$A,Variables!$B:$AP,18,FALSE)</f>
        <v>111050.9677994348</v>
      </c>
      <c r="K3" s="28">
        <f>VLOOKUP($A:$A,Variables!$B:$AP,19,FALSE)</f>
        <v>108269.93155608705</v>
      </c>
      <c r="L3" s="28">
        <f>VLOOKUP($A:$A,Variables!$B:$AP,20,FALSE)</f>
        <v>174538.59656024375</v>
      </c>
      <c r="M3" s="28">
        <f>VLOOKUP($A:$A,Variables!$B:$AP,21,FALSE)</f>
        <v>190897.38890086298</v>
      </c>
      <c r="N3" s="28">
        <f>VLOOKUP($A:$A,Variables!$B:$AP,22,FALSE)</f>
        <v>239293.91003065923</v>
      </c>
      <c r="O3" s="28">
        <f>VLOOKUP($A:$A,Variables!$B:$AP,23,FALSE)</f>
        <v>232252.40236486623</v>
      </c>
      <c r="P3" s="28">
        <f>VLOOKUP($A:$A,Variables!$B:$AP,24,FALSE)</f>
        <v>251606.76922860506</v>
      </c>
      <c r="Q3" s="28">
        <f>VLOOKUP($A:$A,Variables!$B:$AP,25,FALSE)</f>
        <v>252320.80786155901</v>
      </c>
      <c r="R3" s="28">
        <f>VLOOKUP($A:$A,Variables!$B:$AP,26,FALSE)</f>
        <v>160675.98613825691</v>
      </c>
      <c r="S3" s="28">
        <f>VLOOKUP($A:$A,Variables!$B:$AP,27,FALSE)</f>
        <v>202332.72328521241</v>
      </c>
      <c r="T3" s="28">
        <f>VLOOKUP($A:$A,Variables!$B:$AP,28,FALSE)</f>
        <v>88100.217645512384</v>
      </c>
      <c r="U3" s="28">
        <f>VLOOKUP($A:$A,Variables!$B:$AP,29,FALSE)</f>
        <v>135611.93252714758</v>
      </c>
      <c r="V3" s="28">
        <f>VLOOKUP($A:$A,Variables!$B:$AP,30,FALSE)</f>
        <v>56912.285300718584</v>
      </c>
    </row>
    <row r="4" spans="1:33" x14ac:dyDescent="0.55000000000000004">
      <c r="A4" s="26" t="s">
        <v>615</v>
      </c>
      <c r="B4" s="28">
        <f>VLOOKUP(A:A,Variables!B:AP,10,FALSE)</f>
        <v>108892.17254204156</v>
      </c>
      <c r="C4" s="28">
        <f>VLOOKUP($A:$A,Variables!$B:$AP,11,FALSE)</f>
        <v>119362.5737480071</v>
      </c>
      <c r="D4" s="28">
        <f>VLOOKUP($A:$A,Variables!$B:$AP,12,FALSE)</f>
        <v>161244.17857186924</v>
      </c>
      <c r="E4" s="28">
        <f>VLOOKUP($A:$A,Variables!$B:$AP,13,FALSE)</f>
        <v>122503.69410979676</v>
      </c>
      <c r="F4" s="28">
        <f>VLOOKUP($A:$A,Variables!$B:$AP,14,FALSE)</f>
        <v>96327.691094882932</v>
      </c>
      <c r="G4" s="28">
        <f>VLOOKUP($A:$A,Variables!$B:$AP,15,FALSE)</f>
        <v>135255.54063116742</v>
      </c>
      <c r="H4" s="28">
        <f>VLOOKUP($A:$A,Variables!$B:$AP,16,FALSE)</f>
        <v>123793.20667937357</v>
      </c>
      <c r="I4" s="28">
        <f>VLOOKUP($A:$A,Variables!$B:$AP,17,FALSE)</f>
        <v>68573.496411314802</v>
      </c>
      <c r="J4" s="28">
        <f>VLOOKUP($A:$A,Variables!$B:$AP,18,FALSE)</f>
        <v>80764.340217770761</v>
      </c>
      <c r="K4" s="28">
        <f>VLOOKUP($A:$A,Variables!$B:$AP,19,FALSE)</f>
        <v>96239.939160966256</v>
      </c>
      <c r="L4" s="28">
        <f>VLOOKUP($A:$A,Variables!$B:$AP,20,FALSE)</f>
        <v>155145.41916466111</v>
      </c>
      <c r="M4" s="28">
        <f>VLOOKUP($A:$A,Variables!$B:$AP,21,FALSE)</f>
        <v>92721.588894704881</v>
      </c>
      <c r="N4" s="28">
        <f>VLOOKUP($A:$A,Variables!$B:$AP,22,FALSE)</f>
        <v>116228.47058632018</v>
      </c>
      <c r="O4" s="28">
        <f>VLOOKUP($A:$A,Variables!$B:$AP,23,FALSE)</f>
        <v>74439.872552841727</v>
      </c>
      <c r="P4" s="28">
        <f>VLOOKUP($A:$A,Variables!$B:$AP,24,FALSE)</f>
        <v>80643.195265578557</v>
      </c>
      <c r="Q4" s="28">
        <f>VLOOKUP($A:$A,Variables!$B:$AP,25,FALSE)</f>
        <v>163787.19106802953</v>
      </c>
      <c r="R4" s="28">
        <f>VLOOKUP($A:$A,Variables!$B:$AP,26,FALSE)</f>
        <v>104298.44714237729</v>
      </c>
      <c r="S4" s="28">
        <f>VLOOKUP($A:$A,Variables!$B:$AP,27,FALSE)</f>
        <v>131338.78529040102</v>
      </c>
      <c r="T4" s="28">
        <f>VLOOKUP($A:$A,Variables!$B:$AP,28,FALSE)</f>
        <v>49172.214499820861</v>
      </c>
      <c r="U4" s="28">
        <f>VLOOKUP($A:$A,Variables!$B:$AP,29,FALSE)</f>
        <v>103493.31692861259</v>
      </c>
      <c r="V4" s="28">
        <f>VLOOKUP($A:$A,Variables!$B:$AP,30,FALSE)</f>
        <v>66397.666184171685</v>
      </c>
    </row>
    <row r="5" spans="1:33" x14ac:dyDescent="0.55000000000000004">
      <c r="A5" s="26" t="s">
        <v>626</v>
      </c>
      <c r="B5" s="28">
        <f>VLOOKUP(A:A,Variables!B:AP,10,FALSE)</f>
        <v>124448.19719090464</v>
      </c>
      <c r="C5" s="28">
        <f>VLOOKUP($A:$A,Variables!$B:$AP,11,FALSE)</f>
        <v>136414.36999772242</v>
      </c>
      <c r="D5" s="28">
        <f>VLOOKUP($A:$A,Variables!$B:$AP,12,FALSE)</f>
        <v>184279.06122499343</v>
      </c>
      <c r="E5" s="28">
        <f>VLOOKUP($A:$A,Variables!$B:$AP,13,FALSE)</f>
        <v>140004.22183976774</v>
      </c>
      <c r="F5" s="28">
        <f>VLOOKUP($A:$A,Variables!$B:$AP,14,FALSE)</f>
        <v>110088.78982272335</v>
      </c>
      <c r="G5" s="28">
        <f>VLOOKUP($A:$A,Variables!$B:$AP,15,FALSE)</f>
        <v>135255.54063116742</v>
      </c>
      <c r="H5" s="28">
        <f>VLOOKUP($A:$A,Variables!$B:$AP,16,FALSE)</f>
        <v>123793.20667937357</v>
      </c>
      <c r="I5" s="28">
        <f>VLOOKUP($A:$A,Variables!$B:$AP,17,FALSE)</f>
        <v>117146.3897026628</v>
      </c>
      <c r="J5" s="28">
        <f>VLOOKUP($A:$A,Variables!$B:$AP,18,FALSE)</f>
        <v>137972.41453869175</v>
      </c>
      <c r="K5" s="28">
        <f>VLOOKUP($A:$A,Variables!$B:$AP,19,FALSE)</f>
        <v>156389.90113657017</v>
      </c>
      <c r="L5" s="28">
        <f>VLOOKUP($A:$A,Variables!$B:$AP,20,FALSE)</f>
        <v>252111.30614257435</v>
      </c>
      <c r="M5" s="28">
        <f>VLOOKUP($A:$A,Variables!$B:$AP,21,FALSE)</f>
        <v>158172.12223214359</v>
      </c>
      <c r="N5" s="28">
        <f>VLOOKUP($A:$A,Variables!$B:$AP,22,FALSE)</f>
        <v>198272.0968825462</v>
      </c>
      <c r="O5" s="28">
        <f>VLOOKUP($A:$A,Variables!$B:$AP,23,FALSE)</f>
        <v>178655.69412682016</v>
      </c>
      <c r="P5" s="28">
        <f>VLOOKUP($A:$A,Variables!$B:$AP,24,FALSE)</f>
        <v>193543.6686373885</v>
      </c>
      <c r="Q5" s="28">
        <f>VLOOKUP($A:$A,Variables!$B:$AP,25,FALSE)</f>
        <v>243467.4461822061</v>
      </c>
      <c r="R5" s="28">
        <f>VLOOKUP($A:$A,Variables!$B:$AP,26,FALSE)</f>
        <v>155038.23223866898</v>
      </c>
      <c r="S5" s="28">
        <f>VLOOKUP($A:$A,Variables!$B:$AP,27,FALSE)</f>
        <v>195233.32948573129</v>
      </c>
      <c r="T5" s="28">
        <f>VLOOKUP($A:$A,Variables!$B:$AP,28,FALSE)</f>
        <v>114735.16716624868</v>
      </c>
      <c r="U5" s="28">
        <f>VLOOKUP($A:$A,Variables!$B:$AP,29,FALSE)</f>
        <v>124905.72732763592</v>
      </c>
      <c r="V5" s="28">
        <f>VLOOKUP($A:$A,Variables!$B:$AP,30,FALSE)</f>
        <v>32250.295003740532</v>
      </c>
    </row>
    <row r="6" spans="1:33" x14ac:dyDescent="0.55000000000000004">
      <c r="A6" s="26" t="s">
        <v>644</v>
      </c>
      <c r="B6" s="28">
        <f>VLOOKUP(A:A,Variables!B:AP,10,FALSE)</f>
        <v>1622960.8532816693</v>
      </c>
      <c r="C6" s="28">
        <f>VLOOKUP($A:$A,Variables!$B:$AP,11,FALSE)</f>
        <v>2092005.0370573141</v>
      </c>
      <c r="D6" s="28">
        <f>VLOOKUP($A:$A,Variables!$B:$AP,12,FALSE)</f>
        <v>2034649.0906717053</v>
      </c>
      <c r="E6" s="28">
        <f>VLOOKUP($A:$A,Variables!$B:$AP,13,FALSE)</f>
        <v>1971345.1202164779</v>
      </c>
      <c r="F6" s="28">
        <f>VLOOKUP($A:$A,Variables!$B:$AP,14,FALSE)</f>
        <v>2086906.7307119267</v>
      </c>
      <c r="G6" s="28">
        <f>VLOOKUP($A:$A,Variables!$B:$AP,15,FALSE)</f>
        <v>2058016.3280880644</v>
      </c>
      <c r="H6" s="28">
        <f>VLOOKUP($A:$A,Variables!$B:$AP,16,FALSE)</f>
        <v>1863430.9692391104</v>
      </c>
      <c r="I6" s="28">
        <f>VLOOKUP($A:$A,Variables!$B:$AP,17,FALSE)</f>
        <v>1831141.6957183233</v>
      </c>
      <c r="J6" s="28">
        <f>VLOOKUP($A:$A,Variables!$B:$AP,18,FALSE)</f>
        <v>1834540.5666152481</v>
      </c>
      <c r="K6" s="28">
        <f>VLOOKUP($A:$A,Variables!$B:$AP,19,FALSE)</f>
        <v>1860032.0983421854</v>
      </c>
      <c r="L6" s="28">
        <f>VLOOKUP($A:$A,Variables!$B:$AP,20,FALSE)</f>
        <v>1863430.9692391104</v>
      </c>
      <c r="M6" s="28">
        <f>VLOOKUP($A:$A,Variables!$B:$AP,21,FALSE)</f>
        <v>1710481.7788774869</v>
      </c>
      <c r="N6" s="28">
        <f>VLOOKUP($A:$A,Variables!$B:$AP,22,FALSE)</f>
        <v>1604267.063348582</v>
      </c>
      <c r="O6" s="28">
        <f>VLOOKUP($A:$A,Variables!$B:$AP,23,FALSE)</f>
        <v>1597469.321554732</v>
      </c>
      <c r="P6" s="28">
        <f>VLOOKUP($A:$A,Variables!$B:$AP,24,FALSE)</f>
        <v>1307715.5775918791</v>
      </c>
      <c r="Q6" s="28">
        <f>VLOOKUP($A:$A,Variables!$B:$AP,25,FALSE)</f>
        <v>1210847.7570295176</v>
      </c>
      <c r="R6" s="28">
        <f>VLOOKUP($A:$A,Variables!$B:$AP,26,FALSE)</f>
        <v>1163513.1208599422</v>
      </c>
      <c r="S6" s="28">
        <f>VLOOKUP($A:$A,Variables!$B:$AP,27,FALSE)</f>
        <v>1170627.7354277594</v>
      </c>
      <c r="T6" s="28">
        <f>VLOOKUP($A:$A,Variables!$B:$AP,28,FALSE)</f>
        <v>1100028.8677932662</v>
      </c>
      <c r="U6" s="28">
        <f>VLOOKUP($A:$A,Variables!$B:$AP,29,FALSE)</f>
        <v>1044206.5073380854</v>
      </c>
      <c r="V6" s="28">
        <f>VLOOKUP($A:$A,Variables!$B:$AP,30,FALSE)</f>
        <v>879475.81619093462</v>
      </c>
      <c r="W6" s="8"/>
      <c r="X6" s="8"/>
      <c r="Y6" s="8"/>
      <c r="Z6" s="8"/>
      <c r="AA6" s="8"/>
      <c r="AB6" s="8"/>
      <c r="AC6" s="8"/>
      <c r="AD6" s="8"/>
    </row>
    <row r="7" spans="1:33" x14ac:dyDescent="0.55000000000000004">
      <c r="A7" s="26" t="s">
        <v>651</v>
      </c>
      <c r="B7" s="28">
        <f>VLOOKUP(A:A,Variables!B:AP,10,FALSE)</f>
        <v>287039.14671833068</v>
      </c>
      <c r="C7" s="28">
        <f>VLOOKUP($A:$A,Variables!$B:$AP,11,FALSE)</f>
        <v>369994.96294268593</v>
      </c>
      <c r="D7" s="28">
        <f>VLOOKUP($A:$A,Variables!$B:$AP,12,FALSE)</f>
        <v>359850.90932829469</v>
      </c>
      <c r="E7" s="28">
        <f>VLOOKUP($A:$A,Variables!$B:$AP,13,FALSE)</f>
        <v>348654.8797835221</v>
      </c>
      <c r="F7" s="28">
        <f>VLOOKUP($A:$A,Variables!$B:$AP,14,FALSE)</f>
        <v>369093.26928807341</v>
      </c>
      <c r="G7" s="28">
        <f>VLOOKUP($A:$A,Variables!$B:$AP,15,FALSE)</f>
        <v>363983.67191193555</v>
      </c>
      <c r="H7" s="28">
        <f>VLOOKUP($A:$A,Variables!$B:$AP,16,FALSE)</f>
        <v>329569.03076088964</v>
      </c>
      <c r="I7" s="28">
        <f>VLOOKUP($A:$A,Variables!$B:$AP,17,FALSE)</f>
        <v>323858.30428167677</v>
      </c>
      <c r="J7" s="28">
        <f>VLOOKUP($A:$A,Variables!$B:$AP,18,FALSE)</f>
        <v>324459.43338475178</v>
      </c>
      <c r="K7" s="28">
        <f>VLOOKUP($A:$A,Variables!$B:$AP,19,FALSE)</f>
        <v>328967.90165781457</v>
      </c>
      <c r="L7" s="28">
        <f>VLOOKUP($A:$A,Variables!$B:$AP,20,FALSE)</f>
        <v>329569.03076088964</v>
      </c>
      <c r="M7" s="28">
        <f>VLOOKUP($A:$A,Variables!$B:$AP,21,FALSE)</f>
        <v>302518.22112251294</v>
      </c>
      <c r="N7" s="28">
        <f>VLOOKUP($A:$A,Variables!$B:$AP,22,FALSE)</f>
        <v>283732.93665141799</v>
      </c>
      <c r="O7" s="28">
        <f>VLOOKUP($A:$A,Variables!$B:$AP,23,FALSE)</f>
        <v>282530.6784452679</v>
      </c>
      <c r="P7" s="28">
        <f>VLOOKUP($A:$A,Variables!$B:$AP,24,FALSE)</f>
        <v>231284.42240812091</v>
      </c>
      <c r="Q7" s="28">
        <f>VLOOKUP($A:$A,Variables!$B:$AP,25,FALSE)</f>
        <v>214152.24297048233</v>
      </c>
      <c r="R7" s="28">
        <f>VLOOKUP($A:$A,Variables!$B:$AP,26,FALSE)</f>
        <v>962486.87914005783</v>
      </c>
      <c r="S7" s="28">
        <f>VLOOKUP($A:$A,Variables!$B:$AP,27,FALSE)</f>
        <v>968372.26457224065</v>
      </c>
      <c r="T7" s="28">
        <f>VLOOKUP($A:$A,Variables!$B:$AP,28,FALSE)</f>
        <v>909971.13220673392</v>
      </c>
      <c r="U7" s="28">
        <f>VLOOKUP($A:$A,Variables!$B:$AP,29,FALSE)</f>
        <v>863793.49266191456</v>
      </c>
      <c r="V7" s="28">
        <f>VLOOKUP($A:$A,Variables!$B:$AP,30,FALSE)</f>
        <v>727524.18380906538</v>
      </c>
    </row>
    <row r="8" spans="1:33" x14ac:dyDescent="0.55000000000000004">
      <c r="A8" s="26" t="s">
        <v>731</v>
      </c>
      <c r="B8" s="28">
        <f>VLOOKUP(A:A,Variables!B:AP,10,FALSE)</f>
        <v>356879.47284337127</v>
      </c>
      <c r="C8" s="28">
        <f>VLOOKUP($A:$A,Variables!$B:$AP,11,FALSE)</f>
        <v>370784.72326854634</v>
      </c>
      <c r="D8" s="28">
        <f>VLOOKUP($A:$A,Variables!$B:$AP,12,FALSE)</f>
        <v>637207.65505353943</v>
      </c>
      <c r="E8" s="28">
        <f>VLOOKUP($A:$A,Variables!$B:$AP,13,FALSE)</f>
        <v>451003.37782476825</v>
      </c>
      <c r="F8" s="28">
        <f>VLOOKUP($A:$A,Variables!$B:$AP,14,FALSE)</f>
        <v>349907.88483673678</v>
      </c>
      <c r="G8" s="28">
        <f>VLOOKUP($A:$A,Variables!$B:$AP,15,FALSE)</f>
        <v>397415.9841143646</v>
      </c>
      <c r="H8" s="28">
        <f>VLOOKUP($A:$A,Variables!$B:$AP,16,FALSE)</f>
        <v>447929.5073541528</v>
      </c>
      <c r="I8" s="28">
        <f>VLOOKUP($A:$A,Variables!$B:$AP,17,FALSE)</f>
        <v>616584.81539219653</v>
      </c>
      <c r="J8" s="28">
        <f>VLOOKUP($A:$A,Variables!$B:$AP,18,FALSE)</f>
        <v>320958.12296520267</v>
      </c>
      <c r="K8" s="28">
        <f>VLOOKUP($A:$A,Variables!$B:$AP,19,FALSE)</f>
        <v>437111.8478133335</v>
      </c>
      <c r="L8" s="28">
        <f>VLOOKUP($A:$A,Variables!$B:$AP,20,FALSE)</f>
        <v>668803.27893350006</v>
      </c>
      <c r="M8" s="28">
        <f>VLOOKUP($A:$A,Variables!$B:$AP,21,FALSE)</f>
        <v>454736.82374049543</v>
      </c>
      <c r="N8" s="28">
        <f>VLOOKUP($A:$A,Variables!$B:$AP,22,FALSE)</f>
        <v>419471.31586152274</v>
      </c>
      <c r="O8" s="28">
        <f>VLOOKUP($A:$A,Variables!$B:$AP,23,FALSE)</f>
        <v>414767.17400770652</v>
      </c>
      <c r="P8" s="28">
        <f>VLOOKUP($A:$A,Variables!$B:$AP,24,FALSE)</f>
        <v>494109.12212676782</v>
      </c>
      <c r="Q8" s="28">
        <f>VLOOKUP($A:$A,Variables!$B:$AP,25,FALSE)</f>
        <v>872375.63989838201</v>
      </c>
      <c r="R8" s="28">
        <f>VLOOKUP($A:$A,Variables!$B:$AP,26,FALSE)</f>
        <v>571335.45089358359</v>
      </c>
      <c r="S8" s="28">
        <f>VLOOKUP($A:$A,Variables!$B:$AP,27,FALSE)</f>
        <v>859859.26246590668</v>
      </c>
      <c r="T8" s="28">
        <f>VLOOKUP($A:$A,Variables!$B:$AP,28,FALSE)</f>
        <v>805294.95040755463</v>
      </c>
      <c r="U8" s="28">
        <f>VLOOKUP($A:$A,Variables!$B:$AP,29,FALSE)</f>
        <v>808561.71558381582</v>
      </c>
      <c r="V8" s="28">
        <f>VLOOKUP($A:$A,Variables!$B:$AP,30,FALSE)</f>
        <v>832913.11656914616</v>
      </c>
    </row>
    <row r="9" spans="1:33" x14ac:dyDescent="0.55000000000000004">
      <c r="A9" s="26" t="s">
        <v>1381</v>
      </c>
      <c r="B9" s="28">
        <f>VLOOKUP(A:A,Variables!B:AP,10,FALSE)</f>
        <v>5590140.5</v>
      </c>
      <c r="C9" s="28">
        <f>VLOOKUP($A:$A,Variables!$B:$AP,11,FALSE)</f>
        <v>5586577.2699999996</v>
      </c>
      <c r="D9" s="28">
        <f>VLOOKUP($A:$A,Variables!$B:$AP,12,FALSE)</f>
        <v>6933347.4800000004</v>
      </c>
      <c r="E9" s="28">
        <f>VLOOKUP($A:$A,Variables!$B:$AP,13,FALSE)</f>
        <v>9225312</v>
      </c>
      <c r="F9" s="28">
        <f>VLOOKUP($A:$A,Variables!$B:$AP,14,FALSE)</f>
        <v>10003110</v>
      </c>
      <c r="G9" s="28">
        <f>VLOOKUP($A:$A,Variables!$B:$AP,15,FALSE)</f>
        <v>9389311</v>
      </c>
      <c r="H9" s="28">
        <f>VLOOKUP($A:$A,Variables!$B:$AP,16,FALSE)</f>
        <v>9709431</v>
      </c>
      <c r="I9" s="28">
        <f>VLOOKUP($A:$A,Variables!$B:$AP,17,FALSE)</f>
        <v>10191551</v>
      </c>
      <c r="J9" s="28">
        <f>VLOOKUP($A:$A,Variables!$B:$AP,18,FALSE)</f>
        <v>10292408</v>
      </c>
      <c r="K9" s="28">
        <f>VLOOKUP($A:$A,Variables!$B:$AP,19,FALSE)</f>
        <v>9795118</v>
      </c>
      <c r="L9" s="28">
        <f>VLOOKUP($A:$A,Variables!$B:$AP,20,FALSE)</f>
        <v>9965813</v>
      </c>
      <c r="M9" s="28">
        <f>VLOOKUP($A:$A,Variables!$B:$AP,21,FALSE)</f>
        <v>9823494</v>
      </c>
      <c r="N9" s="28">
        <f>VLOOKUP($A:$A,Variables!$B:$AP,22,FALSE)</f>
        <v>8794760</v>
      </c>
      <c r="O9" s="28">
        <f>VLOOKUP($A:$A,Variables!$B:$AP,23,FALSE)</f>
        <v>9898266</v>
      </c>
      <c r="P9" s="28">
        <f>VLOOKUP($A:$A,Variables!$B:$AP,24,FALSE)</f>
        <v>8543367</v>
      </c>
      <c r="Q9" s="28">
        <f>VLOOKUP($A:$A,Variables!$B:$AP,25,FALSE)</f>
        <v>7654608</v>
      </c>
      <c r="R9" s="28">
        <f>VLOOKUP($A:$A,Variables!$B:$AP,26,FALSE)</f>
        <v>9631764</v>
      </c>
      <c r="S9" s="28">
        <f>VLOOKUP($A:$A,Variables!$B:$AP,27,FALSE)</f>
        <v>8783829</v>
      </c>
      <c r="T9" s="28">
        <f>VLOOKUP($A:$A,Variables!$B:$AP,28,FALSE)</f>
        <v>8379498</v>
      </c>
      <c r="U9" s="28">
        <f>VLOOKUP($A:$A,Variables!$B:$AP,29,FALSE)</f>
        <v>7663420</v>
      </c>
      <c r="V9" s="28">
        <f>VLOOKUP($A:$A,Variables!$B:$AP,30,FALSE)</f>
        <v>7798728</v>
      </c>
    </row>
    <row r="10" spans="1:33" x14ac:dyDescent="0.55000000000000004">
      <c r="A10" s="26" t="s">
        <v>1413</v>
      </c>
      <c r="B10" s="28">
        <f>VLOOKUP(A:A,Variables!B:AP,10,FALSE)</f>
        <v>770417.1</v>
      </c>
      <c r="C10" s="28">
        <f>VLOOKUP($A:$A,Variables!$B:$AP,11,FALSE)</f>
        <v>757479.11</v>
      </c>
      <c r="D10" s="28">
        <f>VLOOKUP($A:$A,Variables!$B:$AP,12,FALSE)</f>
        <v>1109094.96</v>
      </c>
      <c r="E10" s="28">
        <f>VLOOKUP($A:$A,Variables!$B:$AP,13,FALSE)</f>
        <v>1665919</v>
      </c>
      <c r="F10" s="28">
        <f>VLOOKUP($A:$A,Variables!$B:$AP,14,FALSE)</f>
        <v>1578238</v>
      </c>
      <c r="G10" s="28">
        <f>VLOOKUP($A:$A,Variables!$B:$AP,15,FALSE)</f>
        <v>1806262</v>
      </c>
      <c r="H10" s="28">
        <f>VLOOKUP($A:$A,Variables!$B:$AP,16,FALSE)</f>
        <v>1754593</v>
      </c>
      <c r="I10" s="28">
        <f>VLOOKUP($A:$A,Variables!$B:$AP,17,FALSE)</f>
        <v>1768853</v>
      </c>
      <c r="J10" s="28">
        <f>VLOOKUP($A:$A,Variables!$B:$AP,18,FALSE)</f>
        <v>1967314</v>
      </c>
      <c r="K10" s="28">
        <f>VLOOKUP($A:$A,Variables!$B:$AP,19,FALSE)</f>
        <v>1912898</v>
      </c>
      <c r="L10" s="28">
        <f>VLOOKUP($A:$A,Variables!$B:$AP,20,FALSE)</f>
        <v>2039042</v>
      </c>
      <c r="M10" s="28">
        <f>VLOOKUP($A:$A,Variables!$B:$AP,21,FALSE)</f>
        <v>2140500</v>
      </c>
      <c r="N10" s="28">
        <f>VLOOKUP($A:$A,Variables!$B:$AP,22,FALSE)</f>
        <v>1898575</v>
      </c>
      <c r="O10" s="28">
        <f>VLOOKUP($A:$A,Variables!$B:$AP,23,FALSE)</f>
        <v>2301337</v>
      </c>
      <c r="P10" s="28">
        <f>VLOOKUP($A:$A,Variables!$B:$AP,24,FALSE)</f>
        <v>1935811</v>
      </c>
      <c r="Q10" s="28">
        <f>VLOOKUP($A:$A,Variables!$B:$AP,25,FALSE)</f>
        <v>2015605</v>
      </c>
      <c r="R10" s="28">
        <f>VLOOKUP($A:$A,Variables!$B:$AP,26,FALSE)</f>
        <v>2181670</v>
      </c>
      <c r="S10" s="28">
        <f>VLOOKUP($A:$A,Variables!$B:$AP,27,FALSE)</f>
        <v>2178982</v>
      </c>
      <c r="T10" s="28">
        <f>VLOOKUP($A:$A,Variables!$B:$AP,28,FALSE)</f>
        <v>1804716</v>
      </c>
      <c r="U10" s="28">
        <f>VLOOKUP($A:$A,Variables!$B:$AP,29,FALSE)</f>
        <v>1782701</v>
      </c>
      <c r="V10" s="28">
        <f>VLOOKUP($A:$A,Variables!$B:$AP,30,FALSE)</f>
        <v>1581223</v>
      </c>
    </row>
    <row r="11" spans="1:33" x14ac:dyDescent="0.55000000000000004">
      <c r="A11" s="26" t="s">
        <v>1428</v>
      </c>
      <c r="B11" s="28">
        <f>VLOOKUP(A:A,Variables!B:AP,10,FALSE)</f>
        <v>37111.385763806698</v>
      </c>
      <c r="C11" s="28">
        <f>VLOOKUP($A:$A,Variables!$B:$AP,11,FALSE)</f>
        <v>21928.612370368439</v>
      </c>
      <c r="D11" s="28">
        <f>VLOOKUP($A:$A,Variables!$B:$AP,12,FALSE)</f>
        <v>74780.455011275131</v>
      </c>
      <c r="E11" s="28">
        <f>VLOOKUP($A:$A,Variables!$B:$AP,13,FALSE)</f>
        <v>108749.05711527202</v>
      </c>
      <c r="F11" s="28">
        <f>VLOOKUP($A:$A,Variables!$B:$AP,14,FALSE)</f>
        <v>55584.787275317554</v>
      </c>
      <c r="G11" s="28">
        <f>VLOOKUP($A:$A,Variables!$B:$AP,15,FALSE)</f>
        <v>117961.33491232873</v>
      </c>
      <c r="H11" s="28">
        <f>VLOOKUP($A:$A,Variables!$B:$AP,16,FALSE)</f>
        <v>71442.598802368579</v>
      </c>
      <c r="I11" s="28">
        <f>VLOOKUP($A:$A,Variables!$B:$AP,17,FALSE)</f>
        <v>87060.847549827129</v>
      </c>
      <c r="J11" s="28">
        <f>VLOOKUP($A:$A,Variables!$B:$AP,18,FALSE)</f>
        <v>150572.98498620529</v>
      </c>
      <c r="K11" s="28">
        <f>VLOOKUP($A:$A,Variables!$B:$AP,19,FALSE)</f>
        <v>156782.95002603144</v>
      </c>
      <c r="L11" s="28">
        <f>VLOOKUP($A:$A,Variables!$B:$AP,20,FALSE)</f>
        <v>224460.99086337516</v>
      </c>
      <c r="M11" s="28">
        <f>VLOOKUP($A:$A,Variables!$B:$AP,21,FALSE)</f>
        <v>326888.07956134918</v>
      </c>
      <c r="N11" s="28">
        <f>VLOOKUP($A:$A,Variables!$B:$AP,22,FALSE)</f>
        <v>147533.33776981744</v>
      </c>
      <c r="O11" s="28">
        <f>VLOOKUP($A:$A,Variables!$B:$AP,23,FALSE)</f>
        <v>164063.16956169935</v>
      </c>
      <c r="P11" s="28">
        <f>VLOOKUP($A:$A,Variables!$B:$AP,24,FALSE)</f>
        <v>156537.16483657941</v>
      </c>
      <c r="Q11" s="28">
        <f>VLOOKUP($A:$A,Variables!$B:$AP,25,FALSE)</f>
        <v>341831.19683904713</v>
      </c>
      <c r="R11" s="28">
        <f>VLOOKUP($A:$A,Variables!$B:$AP,26,FALSE)</f>
        <v>264583.08963772282</v>
      </c>
      <c r="S11" s="28">
        <f>VLOOKUP($A:$A,Variables!$B:$AP,27,FALSE)</f>
        <v>165522.32467376272</v>
      </c>
      <c r="T11" s="28">
        <f>VLOOKUP($A:$A,Variables!$B:$AP,28,FALSE)</f>
        <v>113888.76765925638</v>
      </c>
      <c r="U11" s="28">
        <f>VLOOKUP($A:$A,Variables!$B:$AP,29,FALSE)</f>
        <v>120244.95933078184</v>
      </c>
      <c r="V11" s="28">
        <f>VLOOKUP($A:$A,Variables!$B:$AP,30,FALSE)</f>
        <v>72522.186912999678</v>
      </c>
    </row>
    <row r="12" spans="1:33" x14ac:dyDescent="0.55000000000000004">
      <c r="A12" s="26" t="s">
        <v>1950</v>
      </c>
      <c r="B12" s="29">
        <f>VLOOKUP(A:A,Variables!B:AP,10,FALSE)</f>
        <v>0</v>
      </c>
      <c r="C12" s="29">
        <f>VLOOKUP($A:$A,Variables!$B:$AP,11,FALSE)</f>
        <v>0</v>
      </c>
      <c r="D12" s="29">
        <f>VLOOKUP($A:$A,Variables!$B:$AP,12,FALSE)</f>
        <v>0</v>
      </c>
      <c r="E12" s="29">
        <f>VLOOKUP($A:$A,Variables!$B:$AP,13,FALSE)</f>
        <v>0</v>
      </c>
      <c r="F12" s="29">
        <f>VLOOKUP($A:$A,Variables!$B:$AP,14,FALSE)</f>
        <v>0</v>
      </c>
      <c r="G12" s="29">
        <f>VLOOKUP($A:$A,Variables!$B:$AP,15,FALSE)</f>
        <v>0</v>
      </c>
      <c r="H12" s="29">
        <f>VLOOKUP($A:$A,Variables!$B:$AP,16,FALSE)</f>
        <v>0</v>
      </c>
      <c r="I12" s="29">
        <f>VLOOKUP($A:$A,Variables!$B:$AP,17,FALSE)</f>
        <v>0</v>
      </c>
      <c r="J12" s="29">
        <f>VLOOKUP($A:$A,Variables!$B:$AP,18,FALSE)</f>
        <v>0</v>
      </c>
      <c r="K12" s="29">
        <f>VLOOKUP($A:$A,Variables!$B:$AP,19,FALSE)</f>
        <v>0</v>
      </c>
      <c r="L12" s="29">
        <f>VLOOKUP($A:$A,Variables!$B:$AP,20,FALSE)</f>
        <v>0</v>
      </c>
      <c r="M12" s="29">
        <f>VLOOKUP($A:$A,Variables!$B:$AP,21,FALSE)</f>
        <v>0.74272494700000002</v>
      </c>
      <c r="N12" s="29">
        <f>VLOOKUP($A:$A,Variables!$B:$AP,22,FALSE)</f>
        <v>0.73415333699999996</v>
      </c>
      <c r="O12" s="29">
        <f>VLOOKUP($A:$A,Variables!$B:$AP,23,FALSE)</f>
        <v>0.830865674</v>
      </c>
      <c r="P12" s="29">
        <f>VLOOKUP($A:$A,Variables!$B:$AP,24,FALSE)</f>
        <v>0.82803807399999996</v>
      </c>
      <c r="Q12" s="29">
        <f>VLOOKUP($A:$A,Variables!$B:$AP,25,FALSE)</f>
        <v>0.77878078799999995</v>
      </c>
      <c r="R12" s="29">
        <f>VLOOKUP($A:$A,Variables!$B:$AP,26,FALSE)</f>
        <v>0.77209737700000003</v>
      </c>
      <c r="S12" s="29">
        <f>VLOOKUP($A:$A,Variables!$B:$AP,27,FALSE)</f>
        <v>0.76544734000000003</v>
      </c>
      <c r="T12" s="29">
        <f>VLOOKUP($A:$A,Variables!$B:$AP,28,FALSE)</f>
        <v>0.74997359900000005</v>
      </c>
      <c r="U12" s="29">
        <f>VLOOKUP($A:$A,Variables!$B:$AP,29,FALSE)</f>
        <v>0.76687717099999997</v>
      </c>
      <c r="V12" s="29">
        <f>VLOOKUP($A:$A,Variables!$B:$AP,30,FALSE)</f>
        <v>0.76687717099999997</v>
      </c>
    </row>
    <row r="13" spans="1:33" x14ac:dyDescent="0.55000000000000004">
      <c r="A13" s="26" t="s">
        <v>1608</v>
      </c>
      <c r="B13" s="28">
        <f>VLOOKUP(A:A,Variables!B:AP,10,FALSE)</f>
        <v>323565.31269635208</v>
      </c>
      <c r="C13" s="28">
        <f>VLOOKUP($A:$A,Variables!$B:$AP,11,FALSE)</f>
        <v>354677.36199407821</v>
      </c>
      <c r="D13" s="28">
        <f>VLOOKUP($A:$A,Variables!$B:$AP,12,FALSE)</f>
        <v>479125.55918498285</v>
      </c>
      <c r="E13" s="28">
        <f>VLOOKUP($A:$A,Variables!$B:$AP,13,FALSE)</f>
        <v>364010.97678339609</v>
      </c>
      <c r="F13" s="28">
        <f>VLOOKUP($A:$A,Variables!$B:$AP,14,FALSE)</f>
        <v>286230.85353908071</v>
      </c>
      <c r="G13" s="28">
        <f>VLOOKUP($A:$A,Variables!$B:$AP,15,FALSE)</f>
        <v>367122.18171316868</v>
      </c>
      <c r="H13" s="28">
        <f>VLOOKUP($A:$A,Variables!$B:$AP,16,FALSE)</f>
        <v>336010.13241544255</v>
      </c>
      <c r="I13" s="28">
        <f>VLOOKUP($A:$A,Variables!$B:$AP,17,FALSE)</f>
        <v>280008.44367953547</v>
      </c>
      <c r="J13" s="28">
        <f>VLOOKUP($A:$A,Variables!$B:$AP,18,FALSE)</f>
        <v>329787.72255589732</v>
      </c>
      <c r="K13" s="28">
        <f>VLOOKUP($A:$A,Variables!$B:$AP,19,FALSE)</f>
        <v>360899.77185362345</v>
      </c>
      <c r="L13" s="28">
        <f>VLOOKUP($A:$A,Variables!$B:$AP,20,FALSE)</f>
        <v>581795.32186747924</v>
      </c>
      <c r="M13" s="28">
        <f>VLOOKUP($A:$A,Variables!$B:$AP,21,FALSE)</f>
        <v>441791.10002771148</v>
      </c>
      <c r="N13" s="28">
        <f>VLOOKUP($A:$A,Variables!$B:$AP,22,FALSE)</f>
        <v>553794.47749952564</v>
      </c>
      <c r="O13" s="28">
        <f>VLOOKUP($A:$A,Variables!$B:$AP,23,FALSE)</f>
        <v>485347.96904452809</v>
      </c>
      <c r="P13" s="28">
        <f>VLOOKUP($A:$A,Variables!$B:$AP,24,FALSE)</f>
        <v>525793.63313157216</v>
      </c>
      <c r="Q13" s="28">
        <f>VLOOKUP($A:$A,Variables!$B:$AP,25,FALSE)</f>
        <v>659575.44511179463</v>
      </c>
      <c r="R13" s="28">
        <f>VLOOKUP($A:$A,Variables!$B:$AP,26,FALSE)</f>
        <v>420012.66551930318</v>
      </c>
      <c r="S13" s="28">
        <f>VLOOKUP($A:$A,Variables!$B:$AP,27,FALSE)</f>
        <v>528904.83806134469</v>
      </c>
      <c r="T13" s="28">
        <f>VLOOKUP($A:$A,Variables!$B:$AP,28,FALSE)</f>
        <v>252007.5993115819</v>
      </c>
      <c r="U13" s="28">
        <f>VLOOKUP($A:$A,Variables!$B:$AP,29,FALSE)</f>
        <v>364010.97678339609</v>
      </c>
      <c r="V13" s="28">
        <f>VLOOKUP($A:$A,Variables!$B:$AP,30,FALSE)</f>
        <v>155560.2464886308</v>
      </c>
    </row>
    <row r="14" spans="1:33" x14ac:dyDescent="0.55000000000000004">
      <c r="A14" s="26" t="s">
        <v>1646</v>
      </c>
      <c r="B14" s="28">
        <f>VLOOKUP(A:A,Variables!B:AP,10,FALSE)</f>
        <v>2870.7596401028277</v>
      </c>
      <c r="C14" s="28">
        <f>VLOOKUP($A:$A,Variables!$B:$AP,11,FALSE)</f>
        <v>2618.6778214102783</v>
      </c>
      <c r="D14" s="28">
        <f>VLOOKUP($A:$A,Variables!$B:$AP,12,FALSE)</f>
        <v>2394.2800057496047</v>
      </c>
      <c r="E14" s="28">
        <f>VLOOKUP($A:$A,Variables!$B:$AP,13,FALSE)</f>
        <v>2679.8392935019624</v>
      </c>
      <c r="F14" s="28">
        <f>VLOOKUP($A:$A,Variables!$B:$AP,14,FALSE)</f>
        <v>2606.3050053663774</v>
      </c>
      <c r="G14" s="28">
        <f>VLOOKUP($A:$A,Variables!$B:$AP,15,FALSE)</f>
        <v>2237.1267765280322</v>
      </c>
      <c r="H14" s="28">
        <f>VLOOKUP($A:$A,Variables!$B:$AP,16,FALSE)</f>
        <v>2330.7795319317729</v>
      </c>
      <c r="I14" s="28">
        <f>VLOOKUP($A:$A,Variables!$B:$AP,17,FALSE)</f>
        <v>2263.1599739668077</v>
      </c>
      <c r="J14" s="28">
        <f>VLOOKUP($A:$A,Variables!$B:$AP,18,FALSE)</f>
        <v>2697.3812016801608</v>
      </c>
      <c r="K14" s="28">
        <f>VLOOKUP($A:$A,Variables!$B:$AP,19,FALSE)</f>
        <v>3433.6430381204655</v>
      </c>
      <c r="L14" s="28">
        <f>VLOOKUP($A:$A,Variables!$B:$AP,20,FALSE)</f>
        <v>3615.2430710590797</v>
      </c>
      <c r="M14" s="28">
        <f>VLOOKUP($A:$A,Variables!$B:$AP,21,FALSE)</f>
        <v>3294.4584440623207</v>
      </c>
      <c r="N14" s="28">
        <f>VLOOKUP($A:$A,Variables!$B:$AP,22,FALSE)</f>
        <v>4814.9048011239765</v>
      </c>
      <c r="O14" s="28">
        <f>VLOOKUP($A:$A,Variables!$B:$AP,23,FALSE)</f>
        <v>6441.6934894968945</v>
      </c>
      <c r="P14" s="28">
        <f>VLOOKUP($A:$A,Variables!$B:$AP,24,FALSE)</f>
        <v>8691.5731087368604</v>
      </c>
      <c r="Q14" s="28">
        <f>VLOOKUP($A:$A,Variables!$B:$AP,25,FALSE)</f>
        <v>10045.523392673238</v>
      </c>
      <c r="R14" s="28">
        <f>VLOOKUP($A:$A,Variables!$B:$AP,26,FALSE)</f>
        <v>10780.562671806376</v>
      </c>
      <c r="S14" s="28">
        <f>VLOOKUP($A:$A,Variables!$B:$AP,27,FALSE)</f>
        <v>10031.407789036748</v>
      </c>
      <c r="T14" s="28">
        <f>VLOOKUP($A:$A,Variables!$B:$AP,28,FALSE)</f>
        <v>7603.2975937948622</v>
      </c>
      <c r="U14" s="28">
        <f>VLOOKUP($A:$A,Variables!$B:$AP,29,FALSE)</f>
        <v>6055.7969314665343</v>
      </c>
      <c r="V14" s="28">
        <f>VLOOKUP($A:$A,Variables!$B:$AP,30,FALSE)</f>
        <v>5344.9308817282599</v>
      </c>
    </row>
    <row r="15" spans="1:33" x14ac:dyDescent="0.55000000000000004">
      <c r="A15" s="26" t="s">
        <v>1650</v>
      </c>
      <c r="B15" s="28">
        <f>VLOOKUP($A:$A,Variables!$B:$AP,10,FALSE)</f>
        <v>4098.1241278002208</v>
      </c>
      <c r="C15" s="28">
        <f>VLOOKUP($A:$A,Variables!$B:$AP,11,FALSE)</f>
        <v>4665.3283250811</v>
      </c>
      <c r="D15" s="28">
        <f>VLOOKUP($A:$A,Variables!$B:$AP,12,FALSE)</f>
        <v>5784.2417708782523</v>
      </c>
      <c r="E15" s="28">
        <f>VLOOKUP($A:$A,Variables!$B:$AP,13,FALSE)</f>
        <v>7542.8179241168773</v>
      </c>
      <c r="F15" s="28">
        <f>VLOOKUP($A:$A,Variables!$B:$AP,14,FALSE)</f>
        <v>8574.2373890135623</v>
      </c>
      <c r="G15" s="28">
        <f>VLOOKUP($A:$A,Variables!$B:$AP,15,FALSE)</f>
        <v>9535.136803557416</v>
      </c>
      <c r="H15" s="28">
        <f>VLOOKUP($A:$A,Variables!$B:$AP,16,FALSE)</f>
        <v>10534.791193970646</v>
      </c>
      <c r="I15" s="28">
        <f>VLOOKUP($A:$A,Variables!$B:$AP,17,FALSE)</f>
        <v>12213.27959648552</v>
      </c>
      <c r="J15" s="28">
        <f>VLOOKUP($A:$A,Variables!$B:$AP,18,FALSE)</f>
        <v>13350.172399099045</v>
      </c>
      <c r="K15" s="28">
        <f>VLOOKUP($A:$A,Variables!$B:$AP,19,FALSE)</f>
        <v>13585.234135667397</v>
      </c>
      <c r="L15" s="28">
        <f>VLOOKUP($A:$A,Variables!$B:$AP,20,FALSE)</f>
        <v>13542.390634358835</v>
      </c>
      <c r="M15" s="28">
        <f>VLOOKUP($A:$A,Variables!$B:$AP,21,FALSE)</f>
        <v>14509.050440310562</v>
      </c>
      <c r="N15" s="28">
        <f>VLOOKUP($A:$A,Variables!$B:$AP,22,FALSE)</f>
        <v>15049.067971513008</v>
      </c>
      <c r="O15" s="28">
        <f>VLOOKUP($A:$A,Variables!$B:$AP,23,FALSE)</f>
        <v>13854.762198302433</v>
      </c>
      <c r="P15" s="28">
        <f>VLOOKUP($A:$A,Variables!$B:$AP,24,FALSE)</f>
        <v>13006.523134585559</v>
      </c>
      <c r="Q15" s="28">
        <f>VLOOKUP($A:$A,Variables!$B:$AP,25,FALSE)</f>
        <v>12728.554877151684</v>
      </c>
      <c r="R15" s="28">
        <f>VLOOKUP($A:$A,Variables!$B:$AP,26,FALSE)</f>
        <v>12254.54968561408</v>
      </c>
      <c r="S15" s="28">
        <f>VLOOKUP($A:$A,Variables!$B:$AP,27,FALSE)</f>
        <v>12132.595043340252</v>
      </c>
      <c r="T15" s="28">
        <f>VLOOKUP($A:$A,Variables!$B:$AP,28,FALSE)</f>
        <v>10843.240084849263</v>
      </c>
      <c r="U15" s="28">
        <f>VLOOKUP($A:$A,Variables!$B:$AP,29,FALSE)</f>
        <v>8871.7119300599425</v>
      </c>
      <c r="V15" s="28">
        <f>VLOOKUP($A:$A,Variables!$B:$AP,30,FALSE)</f>
        <v>7633.7305661751316</v>
      </c>
    </row>
    <row r="16" spans="1:33" x14ac:dyDescent="0.55000000000000004">
      <c r="A16" s="26" t="s">
        <v>1676</v>
      </c>
      <c r="B16" s="28">
        <f>VLOOKUP(A:A,Variables!B:AP,10,FALSE)</f>
        <v>1058.5833639368343</v>
      </c>
      <c r="C16" s="28">
        <f>VLOOKUP($A:$A,Variables!$B:$AP,11,FALSE)</f>
        <v>1098.062489329008</v>
      </c>
      <c r="D16" s="28">
        <f>VLOOKUP($A:$A,Variables!$B:$AP,12,FALSE)</f>
        <v>1286.6011211729194</v>
      </c>
      <c r="E16" s="28">
        <f>VLOOKUP($A:$A,Variables!$B:$AP,13,FALSE)</f>
        <v>1664.3349324029655</v>
      </c>
      <c r="F16" s="28">
        <f>VLOOKUP($A:$A,Variables!$B:$AP,14,FALSE)</f>
        <v>1751.0321006927504</v>
      </c>
      <c r="G16" s="28">
        <f>VLOOKUP($A:$A,Variables!$B:$AP,15,FALSE)</f>
        <v>1987.0878890923359</v>
      </c>
      <c r="H16" s="28">
        <f>VLOOKUP($A:$A,Variables!$B:$AP,16,FALSE)</f>
        <v>2029.3447044823483</v>
      </c>
      <c r="I16" s="28">
        <f>VLOOKUP($A:$A,Variables!$B:$AP,17,FALSE)</f>
        <v>2971.7568499837294</v>
      </c>
      <c r="J16" s="28">
        <f>VLOOKUP($A:$A,Variables!$B:$AP,18,FALSE)</f>
        <v>2487.195653497291</v>
      </c>
      <c r="K16" s="28">
        <f>VLOOKUP($A:$A,Variables!$B:$AP,19,FALSE)</f>
        <v>2582.8688817229067</v>
      </c>
      <c r="L16" s="28">
        <f>VLOOKUP($A:$A,Variables!$B:$AP,20,FALSE)</f>
        <v>3256.2827661312276</v>
      </c>
      <c r="M16" s="28">
        <f>VLOOKUP($A:$A,Variables!$B:$AP,21,FALSE)</f>
        <v>3265.8301287061645</v>
      </c>
      <c r="N16" s="28">
        <f>VLOOKUP($A:$A,Variables!$B:$AP,22,FALSE)</f>
        <v>2905.5460006782619</v>
      </c>
      <c r="O16" s="28">
        <f>VLOOKUP($A:$A,Variables!$B:$AP,23,FALSE)</f>
        <v>2822.7150647256863</v>
      </c>
      <c r="P16" s="28">
        <f>VLOOKUP($A:$A,Variables!$B:$AP,24,FALSE)</f>
        <v>3137.7520248147512</v>
      </c>
      <c r="Q16" s="28">
        <f>VLOOKUP($A:$A,Variables!$B:$AP,25,FALSE)</f>
        <v>4784.0352729145216</v>
      </c>
      <c r="R16" s="28">
        <f>VLOOKUP($A:$A,Variables!$B:$AP,26,FALSE)</f>
        <v>7256.6321526746497</v>
      </c>
      <c r="S16" s="28">
        <f>VLOOKUP($A:$A,Variables!$B:$AP,27,FALSE)</f>
        <v>14188.194408497131</v>
      </c>
      <c r="T16" s="28">
        <f>VLOOKUP($A:$A,Variables!$B:$AP,28,FALSE)</f>
        <v>21041.159135223159</v>
      </c>
      <c r="U16" s="28">
        <f>VLOOKUP($A:$A,Variables!$B:$AP,29,FALSE)</f>
        <v>22833.065374045142</v>
      </c>
      <c r="V16" s="28">
        <f>VLOOKUP($A:$A,Variables!$B:$AP,30,FALSE)</f>
        <v>28216.687905819526</v>
      </c>
    </row>
    <row r="17" spans="1:22" x14ac:dyDescent="0.55000000000000004">
      <c r="A17" s="26" t="s">
        <v>1673</v>
      </c>
      <c r="B17" s="28">
        <f>VLOOKUP(A:A,Variables!B:AP,10,FALSE)</f>
        <v>35.532868160117516</v>
      </c>
      <c r="C17" s="28">
        <f>VLOOKUP($A:$A,Variables!$B:$AP,11,FALSE)</f>
        <v>35.931364179614135</v>
      </c>
      <c r="D17" s="28">
        <f>VLOOKUP($A:$A,Variables!$B:$AP,12,FALSE)</f>
        <v>36.877102199223806</v>
      </c>
      <c r="E17" s="28">
        <f>VLOOKUP($A:$A,Variables!$B:$AP,13,FALSE)</f>
        <v>39.007849978194507</v>
      </c>
      <c r="F17" s="28">
        <f>VLOOKUP($A:$A,Variables!$B:$AP,14,FALSE)</f>
        <v>35.42550492730998</v>
      </c>
      <c r="G17" s="28">
        <f>VLOOKUP($A:$A,Variables!$B:$AP,15,FALSE)</f>
        <v>27.648530822216408</v>
      </c>
      <c r="H17" s="28">
        <f>VLOOKUP($A:$A,Variables!$B:$AP,16,FALSE)</f>
        <v>64.084569615232056</v>
      </c>
      <c r="I17" s="28">
        <f>VLOOKUP($A:$A,Variables!$B:$AP,17,FALSE)</f>
        <v>140.80357956394403</v>
      </c>
      <c r="J17" s="28">
        <f>VLOOKUP($A:$A,Variables!$B:$AP,18,FALSE)</f>
        <v>28.250745723503986</v>
      </c>
      <c r="K17" s="28">
        <f>VLOOKUP($A:$A,Variables!$B:$AP,19,FALSE)</f>
        <v>45.253944489231834</v>
      </c>
      <c r="L17" s="28">
        <f>VLOOKUP($A:$A,Variables!$B:$AP,20,FALSE)</f>
        <v>59.083528450857607</v>
      </c>
      <c r="M17" s="28">
        <f>VLOOKUP($A:$A,Variables!$B:$AP,21,FALSE)</f>
        <v>61.660986920952531</v>
      </c>
      <c r="N17" s="28">
        <f>VLOOKUP($A:$A,Variables!$B:$AP,22,FALSE)</f>
        <v>77.481226684753651</v>
      </c>
      <c r="O17" s="28">
        <f>VLOOKUP($A:$A,Variables!$B:$AP,23,FALSE)</f>
        <v>106.82924747498696</v>
      </c>
      <c r="P17" s="28">
        <f>VLOOKUP($A:$A,Variables!$B:$AP,24,FALSE)</f>
        <v>279.15173186282959</v>
      </c>
      <c r="Q17" s="28">
        <f>VLOOKUP($A:$A,Variables!$B:$AP,25,FALSE)</f>
        <v>1160.8864572605562</v>
      </c>
      <c r="R17" s="28">
        <f>VLOOKUP($A:$A,Variables!$B:$AP,26,FALSE)</f>
        <v>2911.2554899048941</v>
      </c>
      <c r="S17" s="28">
        <f>VLOOKUP($A:$A,Variables!$B:$AP,27,FALSE)</f>
        <v>6080.8027591258697</v>
      </c>
      <c r="T17" s="28">
        <f>VLOOKUP($A:$A,Variables!$B:$AP,28,FALSE)</f>
        <v>8394.3031861327163</v>
      </c>
      <c r="U17" s="28">
        <f>VLOOKUP($A:$A,Variables!$B:$AP,29,FALSE)</f>
        <v>9335.4257644283825</v>
      </c>
      <c r="V17" s="28">
        <f>VLOOKUP($A:$A,Variables!$B:$AP,30,FALSE)</f>
        <v>8982.6506462770794</v>
      </c>
    </row>
    <row r="18" spans="1:22" x14ac:dyDescent="0.55000000000000004">
      <c r="A18" s="26" t="s">
        <v>1695</v>
      </c>
      <c r="B18" s="28">
        <f>VLOOKUP(A:A,Variables!B:AP,10,FALSE)</f>
        <v>1910000</v>
      </c>
      <c r="C18" s="28">
        <f>VLOOKUP($A:$A,Variables!$B:$AP,11,FALSE)</f>
        <v>2462000</v>
      </c>
      <c r="D18" s="28">
        <f>VLOOKUP($A:$A,Variables!$B:$AP,12,FALSE)</f>
        <v>2394500</v>
      </c>
      <c r="E18" s="28">
        <f>VLOOKUP($A:$A,Variables!$B:$AP,13,FALSE)</f>
        <v>2320000</v>
      </c>
      <c r="F18" s="28">
        <f>VLOOKUP($A:$A,Variables!$B:$AP,14,FALSE)</f>
        <v>2456000</v>
      </c>
      <c r="G18" s="28">
        <f>VLOOKUP($A:$A,Variables!$B:$AP,15,FALSE)</f>
        <v>2422000</v>
      </c>
      <c r="H18" s="28">
        <f>VLOOKUP($A:$A,Variables!$B:$AP,16,FALSE)</f>
        <v>2193000</v>
      </c>
      <c r="I18" s="28">
        <f>VLOOKUP($A:$A,Variables!$B:$AP,17,FALSE)</f>
        <v>2155000</v>
      </c>
      <c r="J18" s="28">
        <f>VLOOKUP($A:$A,Variables!$B:$AP,18,FALSE)</f>
        <v>2159000</v>
      </c>
      <c r="K18" s="28">
        <f>VLOOKUP($A:$A,Variables!$B:$AP,19,FALSE)</f>
        <v>2189000</v>
      </c>
      <c r="L18" s="28">
        <f>VLOOKUP($A:$A,Variables!$B:$AP,20,FALSE)</f>
        <v>2193000</v>
      </c>
      <c r="M18" s="28">
        <f>VLOOKUP($A:$A,Variables!$B:$AP,21,FALSE)</f>
        <v>2013000</v>
      </c>
      <c r="N18" s="28">
        <f>VLOOKUP($A:$A,Variables!$B:$AP,22,FALSE)</f>
        <v>1888000</v>
      </c>
      <c r="O18" s="28">
        <f>VLOOKUP($A:$A,Variables!$B:$AP,23,FALSE)</f>
        <v>1880000</v>
      </c>
      <c r="P18" s="28">
        <f>VLOOKUP($A:$A,Variables!$B:$AP,24,FALSE)</f>
        <v>1539000</v>
      </c>
      <c r="Q18" s="28">
        <f>VLOOKUP($A:$A,Variables!$B:$AP,25,FALSE)</f>
        <v>1425000</v>
      </c>
      <c r="R18" s="28">
        <f>VLOOKUP($A:$A,Variables!$B:$AP,26,FALSE)</f>
        <v>2126000</v>
      </c>
      <c r="S18" s="28">
        <f>VLOOKUP($A:$A,Variables!$B:$AP,27,FALSE)</f>
        <v>2139000</v>
      </c>
      <c r="T18" s="28">
        <f>VLOOKUP($A:$A,Variables!$B:$AP,28,FALSE)</f>
        <v>2010000</v>
      </c>
      <c r="U18" s="28">
        <f>VLOOKUP($A:$A,Variables!$B:$AP,29,FALSE)</f>
        <v>1908000</v>
      </c>
      <c r="V18" s="28">
        <f>VLOOKUP($A:$A,Variables!$B:$AP,30,FALSE)</f>
        <v>1607000</v>
      </c>
    </row>
    <row r="19" spans="1:22" x14ac:dyDescent="0.55000000000000004">
      <c r="A19" s="26" t="s">
        <v>1738</v>
      </c>
      <c r="B19" s="28">
        <f>VLOOKUP(A:A,Variables!B:AP,10,FALSE)</f>
        <v>0</v>
      </c>
      <c r="C19" s="28">
        <f>VLOOKUP($A:$A,Variables!$B:$AP,11,FALSE)</f>
        <v>0</v>
      </c>
      <c r="D19" s="28">
        <f>VLOOKUP($A:$A,Variables!$B:$AP,12,FALSE)</f>
        <v>0</v>
      </c>
      <c r="E19" s="28">
        <f>VLOOKUP($A:$A,Variables!$B:$AP,13,FALSE)</f>
        <v>0</v>
      </c>
      <c r="F19" s="28">
        <f>VLOOKUP($A:$A,Variables!$B:$AP,14,FALSE)</f>
        <v>19026</v>
      </c>
      <c r="G19" s="28">
        <f>VLOOKUP($A:$A,Variables!$B:$AP,15,FALSE)</f>
        <v>63174</v>
      </c>
      <c r="H19" s="28">
        <f>VLOOKUP($A:$A,Variables!$B:$AP,16,FALSE)</f>
        <v>108325</v>
      </c>
      <c r="I19" s="28">
        <f>VLOOKUP($A:$A,Variables!$B:$AP,17,FALSE)</f>
        <v>170005</v>
      </c>
      <c r="J19" s="28">
        <f>VLOOKUP($A:$A,Variables!$B:$AP,18,FALSE)</f>
        <v>288677</v>
      </c>
      <c r="K19" s="28">
        <f>VLOOKUP($A:$A,Variables!$B:$AP,19,FALSE)</f>
        <v>436904</v>
      </c>
      <c r="L19" s="28">
        <f>VLOOKUP($A:$A,Variables!$B:$AP,20,FALSE)</f>
        <v>517292</v>
      </c>
      <c r="M19" s="28">
        <f>VLOOKUP($A:$A,Variables!$B:$AP,21,FALSE)</f>
        <v>603494</v>
      </c>
      <c r="N19" s="28">
        <f>VLOOKUP($A:$A,Variables!$B:$AP,22,FALSE)</f>
        <v>710244</v>
      </c>
      <c r="O19" s="28">
        <f>VLOOKUP($A:$A,Variables!$B:$AP,23,FALSE)</f>
        <v>730890</v>
      </c>
      <c r="P19" s="28">
        <f>VLOOKUP($A:$A,Variables!$B:$AP,24,FALSE)</f>
        <v>774276</v>
      </c>
      <c r="Q19" s="28">
        <f>VLOOKUP($A:$A,Variables!$B:$AP,25,FALSE)</f>
        <v>861312</v>
      </c>
      <c r="R19" s="28">
        <f>VLOOKUP($A:$A,Variables!$B:$AP,26,FALSE)</f>
        <v>914792</v>
      </c>
      <c r="S19" s="28">
        <f>VLOOKUP($A:$A,Variables!$B:$AP,27,FALSE)</f>
        <v>1003521</v>
      </c>
      <c r="T19" s="28">
        <f>VLOOKUP($A:$A,Variables!$B:$AP,28,FALSE)</f>
        <v>1113512</v>
      </c>
      <c r="U19" s="28">
        <f>VLOOKUP($A:$A,Variables!$B:$AP,29,FALSE)</f>
        <v>1186830</v>
      </c>
      <c r="V19" s="28">
        <f>VLOOKUP($A:$A,Variables!$B:$AP,30,FALSE)</f>
        <v>1295524</v>
      </c>
    </row>
    <row r="20" spans="1:22" x14ac:dyDescent="0.55000000000000004">
      <c r="A20" s="26" t="s">
        <v>517</v>
      </c>
      <c r="B20" s="28">
        <f>VLOOKUP(A:A,Variables!B:AP,10,FALSE)</f>
        <v>0</v>
      </c>
      <c r="C20" s="28">
        <f>VLOOKUP($A:$A,Variables!$B:$AP,11,FALSE)</f>
        <v>0</v>
      </c>
      <c r="D20" s="28">
        <f>VLOOKUP($A:$A,Variables!$B:$AP,12,FALSE)</f>
        <v>0</v>
      </c>
      <c r="E20" s="28">
        <f>VLOOKUP($A:$A,Variables!$B:$AP,13,FALSE)</f>
        <v>0</v>
      </c>
      <c r="F20" s="28">
        <f>VLOOKUP($A:$A,Variables!$B:$AP,14,FALSE)</f>
        <v>0</v>
      </c>
      <c r="G20" s="28">
        <f>VLOOKUP($A:$A,Variables!$B:$AP,15,FALSE)</f>
        <v>0</v>
      </c>
      <c r="H20" s="28">
        <f>VLOOKUP($A:$A,Variables!$B:$AP,16,FALSE)</f>
        <v>0</v>
      </c>
      <c r="I20" s="28">
        <f>VLOOKUP($A:$A,Variables!$B:$AP,17,FALSE)</f>
        <v>0</v>
      </c>
      <c r="J20" s="28">
        <f>VLOOKUP($A:$A,Variables!$B:$AP,18,FALSE)</f>
        <v>0</v>
      </c>
      <c r="K20" s="28">
        <f>VLOOKUP($A:$A,Variables!$B:$AP,19,FALSE)</f>
        <v>0</v>
      </c>
      <c r="L20" s="28">
        <f>VLOOKUP($A:$A,Variables!$B:$AP,20,FALSE)</f>
        <v>0</v>
      </c>
      <c r="M20" s="28">
        <f>VLOOKUP($A:$A,Variables!$B:$AP,21,FALSE)</f>
        <v>0</v>
      </c>
      <c r="N20" s="28">
        <f>VLOOKUP($A:$A,Variables!$B:$AP,22,FALSE)</f>
        <v>0</v>
      </c>
      <c r="O20" s="28">
        <f>VLOOKUP($A:$A,Variables!$B:$AP,23,FALSE)</f>
        <v>0</v>
      </c>
      <c r="P20" s="28">
        <f>VLOOKUP($A:$A,Variables!$B:$AP,24,FALSE)</f>
        <v>0</v>
      </c>
      <c r="Q20" s="28">
        <f>VLOOKUP($A:$A,Variables!$B:$AP,25,FALSE)</f>
        <v>0</v>
      </c>
      <c r="R20" s="28">
        <f>VLOOKUP($A:$A,Variables!$B:$AP,26,FALSE)</f>
        <v>0</v>
      </c>
      <c r="S20" s="28">
        <f>VLOOKUP($A:$A,Variables!$B:$AP,27,FALSE)</f>
        <v>0</v>
      </c>
      <c r="T20" s="28">
        <f>VLOOKUP($A:$A,Variables!$B:$AP,28,FALSE)</f>
        <v>0</v>
      </c>
      <c r="U20" s="28">
        <f>VLOOKUP($A:$A,Variables!$B:$AP,29,FALSE)</f>
        <v>0</v>
      </c>
      <c r="V20" s="28">
        <f>VLOOKUP($A:$A,Variables!$B:$AP,30,FALSE)</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3AF5C-BD0B-40D7-88C4-D763338E4FE8}">
  <dimension ref="A1:AI34"/>
  <sheetViews>
    <sheetView workbookViewId="0">
      <selection sqref="A1:AI34"/>
    </sheetView>
  </sheetViews>
  <sheetFormatPr defaultColWidth="8.68359375" defaultRowHeight="14.4" x14ac:dyDescent="0.55000000000000004"/>
  <sheetData>
    <row r="1" spans="1:35" x14ac:dyDescent="0.55000000000000004">
      <c r="A1" t="s">
        <v>1949</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c r="X1">
        <v>2020</v>
      </c>
      <c r="Y1">
        <v>2021</v>
      </c>
      <c r="Z1">
        <v>2022</v>
      </c>
      <c r="AA1">
        <v>2023</v>
      </c>
      <c r="AB1">
        <v>2024</v>
      </c>
      <c r="AC1">
        <v>2025</v>
      </c>
      <c r="AD1">
        <v>2026</v>
      </c>
      <c r="AE1">
        <v>2027</v>
      </c>
      <c r="AF1">
        <v>2028</v>
      </c>
      <c r="AG1">
        <v>2029</v>
      </c>
      <c r="AH1">
        <v>2030</v>
      </c>
      <c r="AI1">
        <v>2031</v>
      </c>
    </row>
    <row r="2" spans="1:35" x14ac:dyDescent="0.55000000000000004">
      <c r="A2" t="s">
        <v>686</v>
      </c>
      <c r="B2" t="s">
        <v>1951</v>
      </c>
      <c r="C2">
        <v>1</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55000000000000004">
      <c r="A3" t="s">
        <v>686</v>
      </c>
      <c r="B3" t="s">
        <v>1952</v>
      </c>
      <c r="C3">
        <v>0</v>
      </c>
      <c r="D3">
        <v>1</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55000000000000004">
      <c r="A4" t="s">
        <v>686</v>
      </c>
      <c r="B4" t="s">
        <v>1953</v>
      </c>
      <c r="C4">
        <v>0</v>
      </c>
      <c r="D4">
        <v>0</v>
      </c>
      <c r="E4">
        <v>1</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x14ac:dyDescent="0.55000000000000004">
      <c r="A5" t="s">
        <v>686</v>
      </c>
      <c r="B5" t="s">
        <v>1954</v>
      </c>
      <c r="C5">
        <v>0</v>
      </c>
      <c r="D5">
        <v>0</v>
      </c>
      <c r="E5">
        <v>0</v>
      </c>
      <c r="F5">
        <v>1</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55000000000000004">
      <c r="A6" t="s">
        <v>686</v>
      </c>
      <c r="B6" t="s">
        <v>1955</v>
      </c>
      <c r="C6">
        <v>0</v>
      </c>
      <c r="D6">
        <v>0</v>
      </c>
      <c r="E6">
        <v>0</v>
      </c>
      <c r="F6">
        <v>0</v>
      </c>
      <c r="G6">
        <v>1</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55000000000000004">
      <c r="A7" t="s">
        <v>686</v>
      </c>
      <c r="B7" t="s">
        <v>1956</v>
      </c>
      <c r="C7">
        <v>0</v>
      </c>
      <c r="D7">
        <v>0</v>
      </c>
      <c r="E7">
        <v>0</v>
      </c>
      <c r="F7">
        <v>0</v>
      </c>
      <c r="G7">
        <v>0</v>
      </c>
      <c r="H7">
        <v>1</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55000000000000004">
      <c r="A8" t="s">
        <v>686</v>
      </c>
      <c r="B8" t="s">
        <v>1957</v>
      </c>
      <c r="C8">
        <v>0</v>
      </c>
      <c r="D8">
        <v>0</v>
      </c>
      <c r="E8">
        <v>0</v>
      </c>
      <c r="F8">
        <v>0</v>
      </c>
      <c r="G8">
        <v>0</v>
      </c>
      <c r="H8">
        <v>0</v>
      </c>
      <c r="I8">
        <v>1</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55000000000000004">
      <c r="A9" t="s">
        <v>686</v>
      </c>
      <c r="B9" t="s">
        <v>1958</v>
      </c>
      <c r="C9">
        <v>0</v>
      </c>
      <c r="D9">
        <v>0</v>
      </c>
      <c r="E9">
        <v>0</v>
      </c>
      <c r="F9">
        <v>0</v>
      </c>
      <c r="G9">
        <v>0</v>
      </c>
      <c r="H9">
        <v>0</v>
      </c>
      <c r="I9">
        <v>0</v>
      </c>
      <c r="J9">
        <v>1</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55000000000000004">
      <c r="A10" t="s">
        <v>686</v>
      </c>
      <c r="B10" t="s">
        <v>1959</v>
      </c>
      <c r="C10">
        <v>0</v>
      </c>
      <c r="D10">
        <v>0</v>
      </c>
      <c r="E10">
        <v>0</v>
      </c>
      <c r="F10">
        <v>0</v>
      </c>
      <c r="G10">
        <v>0</v>
      </c>
      <c r="H10">
        <v>0</v>
      </c>
      <c r="I10">
        <v>0</v>
      </c>
      <c r="J10">
        <v>0</v>
      </c>
      <c r="K10">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55000000000000004">
      <c r="A11" t="s">
        <v>686</v>
      </c>
      <c r="B11" t="s">
        <v>1960</v>
      </c>
      <c r="C11">
        <v>0</v>
      </c>
      <c r="D11">
        <v>0</v>
      </c>
      <c r="E11">
        <v>0</v>
      </c>
      <c r="F11">
        <v>0</v>
      </c>
      <c r="G11">
        <v>0</v>
      </c>
      <c r="H11">
        <v>0</v>
      </c>
      <c r="I11">
        <v>0</v>
      </c>
      <c r="J11">
        <v>0</v>
      </c>
      <c r="K11">
        <v>0</v>
      </c>
      <c r="L11">
        <v>1</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row r="12" spans="1:35" x14ac:dyDescent="0.55000000000000004">
      <c r="A12" t="s">
        <v>686</v>
      </c>
      <c r="B12" t="s">
        <v>1961</v>
      </c>
      <c r="C12">
        <v>0</v>
      </c>
      <c r="D12">
        <v>0</v>
      </c>
      <c r="E12">
        <v>0</v>
      </c>
      <c r="F12">
        <v>0</v>
      </c>
      <c r="G12">
        <v>0</v>
      </c>
      <c r="H12">
        <v>0</v>
      </c>
      <c r="I12">
        <v>0</v>
      </c>
      <c r="J12">
        <v>0</v>
      </c>
      <c r="K12">
        <v>0</v>
      </c>
      <c r="L12">
        <v>0</v>
      </c>
      <c r="M12">
        <v>1</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row>
    <row r="13" spans="1:35" x14ac:dyDescent="0.55000000000000004">
      <c r="A13" t="s">
        <v>686</v>
      </c>
      <c r="B13" t="s">
        <v>1962</v>
      </c>
      <c r="C13">
        <v>0</v>
      </c>
      <c r="D13">
        <v>0</v>
      </c>
      <c r="E13">
        <v>0</v>
      </c>
      <c r="F13">
        <v>0</v>
      </c>
      <c r="G13">
        <v>0</v>
      </c>
      <c r="H13">
        <v>0</v>
      </c>
      <c r="I13">
        <v>0</v>
      </c>
      <c r="J13">
        <v>0</v>
      </c>
      <c r="K13">
        <v>0</v>
      </c>
      <c r="L13">
        <v>0</v>
      </c>
      <c r="M13">
        <v>0</v>
      </c>
      <c r="N13">
        <v>1</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row>
    <row r="14" spans="1:35" x14ac:dyDescent="0.55000000000000004">
      <c r="A14" t="s">
        <v>686</v>
      </c>
      <c r="B14" t="s">
        <v>1963</v>
      </c>
      <c r="C14">
        <v>0</v>
      </c>
      <c r="D14">
        <v>0</v>
      </c>
      <c r="E14">
        <v>0</v>
      </c>
      <c r="F14">
        <v>0</v>
      </c>
      <c r="G14">
        <v>0</v>
      </c>
      <c r="H14">
        <v>0</v>
      </c>
      <c r="I14">
        <v>0</v>
      </c>
      <c r="J14">
        <v>0</v>
      </c>
      <c r="K14">
        <v>0</v>
      </c>
      <c r="L14">
        <v>0</v>
      </c>
      <c r="M14">
        <v>0</v>
      </c>
      <c r="N14">
        <v>0</v>
      </c>
      <c r="O14">
        <v>1</v>
      </c>
      <c r="P14">
        <v>0</v>
      </c>
      <c r="Q14">
        <v>0</v>
      </c>
      <c r="R14">
        <v>0</v>
      </c>
      <c r="S14">
        <v>0</v>
      </c>
      <c r="T14">
        <v>0</v>
      </c>
      <c r="U14">
        <v>0</v>
      </c>
      <c r="V14">
        <v>0</v>
      </c>
      <c r="W14">
        <v>0</v>
      </c>
      <c r="X14">
        <v>0</v>
      </c>
      <c r="Y14">
        <v>0</v>
      </c>
      <c r="Z14">
        <v>0</v>
      </c>
      <c r="AA14">
        <v>0</v>
      </c>
      <c r="AB14">
        <v>0</v>
      </c>
      <c r="AC14">
        <v>0</v>
      </c>
      <c r="AD14">
        <v>0</v>
      </c>
      <c r="AE14">
        <v>0</v>
      </c>
      <c r="AF14">
        <v>0</v>
      </c>
      <c r="AG14">
        <v>0</v>
      </c>
      <c r="AH14">
        <v>0</v>
      </c>
      <c r="AI14">
        <v>0</v>
      </c>
    </row>
    <row r="15" spans="1:35" x14ac:dyDescent="0.55000000000000004">
      <c r="A15" t="s">
        <v>686</v>
      </c>
      <c r="B15" t="s">
        <v>1964</v>
      </c>
      <c r="C15">
        <v>0</v>
      </c>
      <c r="D15">
        <v>0</v>
      </c>
      <c r="E15">
        <v>0</v>
      </c>
      <c r="F15">
        <v>0</v>
      </c>
      <c r="G15">
        <v>0</v>
      </c>
      <c r="H15">
        <v>0</v>
      </c>
      <c r="I15">
        <v>0</v>
      </c>
      <c r="J15">
        <v>0</v>
      </c>
      <c r="K15">
        <v>0</v>
      </c>
      <c r="L15">
        <v>0</v>
      </c>
      <c r="M15">
        <v>0</v>
      </c>
      <c r="N15">
        <v>0</v>
      </c>
      <c r="O15">
        <v>0</v>
      </c>
      <c r="P15">
        <v>1</v>
      </c>
      <c r="Q15">
        <v>0</v>
      </c>
      <c r="R15">
        <v>0</v>
      </c>
      <c r="S15">
        <v>0</v>
      </c>
      <c r="T15">
        <v>0</v>
      </c>
      <c r="U15">
        <v>0</v>
      </c>
      <c r="V15">
        <v>0</v>
      </c>
      <c r="W15">
        <v>0</v>
      </c>
      <c r="X15">
        <v>0</v>
      </c>
      <c r="Y15">
        <v>0</v>
      </c>
      <c r="Z15">
        <v>0</v>
      </c>
      <c r="AA15">
        <v>0</v>
      </c>
      <c r="AB15">
        <v>0</v>
      </c>
      <c r="AC15">
        <v>0</v>
      </c>
      <c r="AD15">
        <v>0</v>
      </c>
      <c r="AE15">
        <v>0</v>
      </c>
      <c r="AF15">
        <v>0</v>
      </c>
      <c r="AG15">
        <v>0</v>
      </c>
      <c r="AH15">
        <v>0</v>
      </c>
      <c r="AI15">
        <v>0</v>
      </c>
    </row>
    <row r="16" spans="1:35" x14ac:dyDescent="0.55000000000000004">
      <c r="A16" t="s">
        <v>686</v>
      </c>
      <c r="B16" t="s">
        <v>1965</v>
      </c>
      <c r="C16">
        <v>0</v>
      </c>
      <c r="D16">
        <v>0</v>
      </c>
      <c r="E16">
        <v>0</v>
      </c>
      <c r="F16">
        <v>0</v>
      </c>
      <c r="G16">
        <v>0</v>
      </c>
      <c r="H16">
        <v>0</v>
      </c>
      <c r="I16">
        <v>0</v>
      </c>
      <c r="J16">
        <v>0</v>
      </c>
      <c r="K16">
        <v>0</v>
      </c>
      <c r="L16">
        <v>0</v>
      </c>
      <c r="M16">
        <v>0</v>
      </c>
      <c r="N16">
        <v>0</v>
      </c>
      <c r="O16">
        <v>0</v>
      </c>
      <c r="P16">
        <v>0</v>
      </c>
      <c r="Q16">
        <v>1</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55000000000000004">
      <c r="A17" t="s">
        <v>686</v>
      </c>
      <c r="B17" t="s">
        <v>1966</v>
      </c>
      <c r="C17">
        <v>0</v>
      </c>
      <c r="D17">
        <v>0</v>
      </c>
      <c r="E17">
        <v>0</v>
      </c>
      <c r="F17">
        <v>0</v>
      </c>
      <c r="G17">
        <v>0</v>
      </c>
      <c r="H17">
        <v>0</v>
      </c>
      <c r="I17">
        <v>0</v>
      </c>
      <c r="J17">
        <v>0</v>
      </c>
      <c r="K17">
        <v>0</v>
      </c>
      <c r="L17">
        <v>0</v>
      </c>
      <c r="M17">
        <v>0</v>
      </c>
      <c r="N17">
        <v>0</v>
      </c>
      <c r="O17">
        <v>0</v>
      </c>
      <c r="P17">
        <v>0</v>
      </c>
      <c r="Q17">
        <v>0</v>
      </c>
      <c r="R17">
        <v>1</v>
      </c>
      <c r="S17">
        <v>0</v>
      </c>
      <c r="T17">
        <v>0</v>
      </c>
      <c r="U17">
        <v>0</v>
      </c>
      <c r="V17">
        <v>0</v>
      </c>
      <c r="W17">
        <v>0</v>
      </c>
      <c r="X17">
        <v>0</v>
      </c>
      <c r="Y17">
        <v>0</v>
      </c>
      <c r="Z17">
        <v>0</v>
      </c>
      <c r="AA17">
        <v>0</v>
      </c>
      <c r="AB17">
        <v>0</v>
      </c>
      <c r="AC17">
        <v>0</v>
      </c>
      <c r="AD17">
        <v>0</v>
      </c>
      <c r="AE17">
        <v>0</v>
      </c>
      <c r="AF17">
        <v>0</v>
      </c>
      <c r="AG17">
        <v>0</v>
      </c>
      <c r="AH17">
        <v>0</v>
      </c>
      <c r="AI17">
        <v>0</v>
      </c>
    </row>
    <row r="18" spans="1:35" x14ac:dyDescent="0.55000000000000004">
      <c r="A18" t="s">
        <v>686</v>
      </c>
      <c r="B18" t="s">
        <v>1967</v>
      </c>
      <c r="C18">
        <v>0</v>
      </c>
      <c r="D18">
        <v>0</v>
      </c>
      <c r="E18">
        <v>0</v>
      </c>
      <c r="F18">
        <v>0</v>
      </c>
      <c r="G18">
        <v>0</v>
      </c>
      <c r="H18">
        <v>0</v>
      </c>
      <c r="I18">
        <v>0</v>
      </c>
      <c r="J18">
        <v>0</v>
      </c>
      <c r="K18">
        <v>0</v>
      </c>
      <c r="L18">
        <v>0</v>
      </c>
      <c r="M18">
        <v>0</v>
      </c>
      <c r="N18">
        <v>0</v>
      </c>
      <c r="O18">
        <v>0</v>
      </c>
      <c r="P18">
        <v>0</v>
      </c>
      <c r="Q18">
        <v>0</v>
      </c>
      <c r="R18">
        <v>0</v>
      </c>
      <c r="S18">
        <v>1</v>
      </c>
      <c r="T18">
        <v>0</v>
      </c>
      <c r="U18">
        <v>0</v>
      </c>
      <c r="V18">
        <v>0</v>
      </c>
      <c r="W18">
        <v>0</v>
      </c>
      <c r="X18">
        <v>0</v>
      </c>
      <c r="Y18">
        <v>0</v>
      </c>
      <c r="Z18">
        <v>0</v>
      </c>
      <c r="AA18">
        <v>0</v>
      </c>
      <c r="AB18">
        <v>0</v>
      </c>
      <c r="AC18">
        <v>0</v>
      </c>
      <c r="AD18">
        <v>0</v>
      </c>
      <c r="AE18">
        <v>0</v>
      </c>
      <c r="AF18">
        <v>0</v>
      </c>
      <c r="AG18">
        <v>0</v>
      </c>
      <c r="AH18">
        <v>0</v>
      </c>
      <c r="AI18">
        <v>0</v>
      </c>
    </row>
    <row r="19" spans="1:35" x14ac:dyDescent="0.55000000000000004">
      <c r="A19" t="s">
        <v>686</v>
      </c>
      <c r="B19" t="s">
        <v>1968</v>
      </c>
      <c r="C19">
        <v>0</v>
      </c>
      <c r="D19">
        <v>0</v>
      </c>
      <c r="E19">
        <v>0</v>
      </c>
      <c r="F19">
        <v>0</v>
      </c>
      <c r="G19">
        <v>0</v>
      </c>
      <c r="H19">
        <v>0</v>
      </c>
      <c r="I19">
        <v>0</v>
      </c>
      <c r="J19">
        <v>0</v>
      </c>
      <c r="K19">
        <v>0</v>
      </c>
      <c r="L19">
        <v>0</v>
      </c>
      <c r="M19">
        <v>0</v>
      </c>
      <c r="N19">
        <v>0</v>
      </c>
      <c r="O19">
        <v>0</v>
      </c>
      <c r="P19">
        <v>0</v>
      </c>
      <c r="Q19">
        <v>0</v>
      </c>
      <c r="R19">
        <v>0</v>
      </c>
      <c r="S19">
        <v>0</v>
      </c>
      <c r="T19">
        <v>1</v>
      </c>
      <c r="U19">
        <v>0</v>
      </c>
      <c r="V19">
        <v>0</v>
      </c>
      <c r="W19">
        <v>0</v>
      </c>
      <c r="X19">
        <v>0</v>
      </c>
      <c r="Y19">
        <v>0</v>
      </c>
      <c r="Z19">
        <v>0</v>
      </c>
      <c r="AA19">
        <v>0</v>
      </c>
      <c r="AB19">
        <v>0</v>
      </c>
      <c r="AC19">
        <v>0</v>
      </c>
      <c r="AD19">
        <v>0</v>
      </c>
      <c r="AE19">
        <v>0</v>
      </c>
      <c r="AF19">
        <v>0</v>
      </c>
      <c r="AG19">
        <v>0</v>
      </c>
      <c r="AH19">
        <v>0</v>
      </c>
      <c r="AI19">
        <v>0</v>
      </c>
    </row>
    <row r="20" spans="1:35" x14ac:dyDescent="0.55000000000000004">
      <c r="A20" t="s">
        <v>686</v>
      </c>
      <c r="B20" t="s">
        <v>1969</v>
      </c>
      <c r="C20">
        <v>0</v>
      </c>
      <c r="D20">
        <v>0</v>
      </c>
      <c r="E20">
        <v>0</v>
      </c>
      <c r="F20">
        <v>0</v>
      </c>
      <c r="G20">
        <v>0</v>
      </c>
      <c r="H20">
        <v>0</v>
      </c>
      <c r="I20">
        <v>0</v>
      </c>
      <c r="J20">
        <v>0</v>
      </c>
      <c r="K20">
        <v>0</v>
      </c>
      <c r="L20">
        <v>0</v>
      </c>
      <c r="M20">
        <v>0</v>
      </c>
      <c r="N20">
        <v>0</v>
      </c>
      <c r="O20">
        <v>0</v>
      </c>
      <c r="P20">
        <v>0</v>
      </c>
      <c r="Q20">
        <v>0</v>
      </c>
      <c r="R20">
        <v>0</v>
      </c>
      <c r="S20">
        <v>0</v>
      </c>
      <c r="T20">
        <v>0</v>
      </c>
      <c r="U20">
        <v>1</v>
      </c>
      <c r="V20">
        <v>0</v>
      </c>
      <c r="W20">
        <v>0</v>
      </c>
      <c r="X20">
        <v>0</v>
      </c>
      <c r="Y20">
        <v>0</v>
      </c>
      <c r="Z20">
        <v>0</v>
      </c>
      <c r="AA20">
        <v>0</v>
      </c>
      <c r="AB20">
        <v>0</v>
      </c>
      <c r="AC20">
        <v>0</v>
      </c>
      <c r="AD20">
        <v>0</v>
      </c>
      <c r="AE20">
        <v>0</v>
      </c>
      <c r="AF20">
        <v>0</v>
      </c>
      <c r="AG20">
        <v>0</v>
      </c>
      <c r="AH20">
        <v>0</v>
      </c>
      <c r="AI20">
        <v>0</v>
      </c>
    </row>
    <row r="21" spans="1:35" x14ac:dyDescent="0.55000000000000004">
      <c r="A21" t="s">
        <v>686</v>
      </c>
      <c r="B21" t="s">
        <v>1970</v>
      </c>
      <c r="C21">
        <v>0</v>
      </c>
      <c r="D21">
        <v>0</v>
      </c>
      <c r="E21">
        <v>0</v>
      </c>
      <c r="F21">
        <v>0</v>
      </c>
      <c r="G21">
        <v>0</v>
      </c>
      <c r="H21">
        <v>0</v>
      </c>
      <c r="I21">
        <v>0</v>
      </c>
      <c r="J21">
        <v>0</v>
      </c>
      <c r="K21">
        <v>0</v>
      </c>
      <c r="L21">
        <v>0</v>
      </c>
      <c r="M21">
        <v>0</v>
      </c>
      <c r="N21">
        <v>0</v>
      </c>
      <c r="O21">
        <v>0</v>
      </c>
      <c r="P21">
        <v>0</v>
      </c>
      <c r="Q21">
        <v>0</v>
      </c>
      <c r="R21">
        <v>0</v>
      </c>
      <c r="S21">
        <v>0</v>
      </c>
      <c r="T21">
        <v>0</v>
      </c>
      <c r="U21">
        <v>0</v>
      </c>
      <c r="V21">
        <v>1</v>
      </c>
      <c r="W21">
        <v>0</v>
      </c>
      <c r="X21">
        <v>0</v>
      </c>
      <c r="Y21">
        <v>0</v>
      </c>
      <c r="Z21">
        <v>0</v>
      </c>
      <c r="AA21">
        <v>0</v>
      </c>
      <c r="AB21">
        <v>0</v>
      </c>
      <c r="AC21">
        <v>0</v>
      </c>
      <c r="AD21">
        <v>0</v>
      </c>
      <c r="AE21">
        <v>0</v>
      </c>
      <c r="AF21">
        <v>0</v>
      </c>
      <c r="AG21">
        <v>0</v>
      </c>
      <c r="AH21">
        <v>0</v>
      </c>
      <c r="AI21">
        <v>0</v>
      </c>
    </row>
    <row r="22" spans="1:35" x14ac:dyDescent="0.55000000000000004">
      <c r="A22" t="s">
        <v>686</v>
      </c>
      <c r="B22" t="s">
        <v>1971</v>
      </c>
      <c r="C22">
        <v>0</v>
      </c>
      <c r="D22">
        <v>0</v>
      </c>
      <c r="E22">
        <v>0</v>
      </c>
      <c r="F22">
        <v>0</v>
      </c>
      <c r="G22">
        <v>0</v>
      </c>
      <c r="H22">
        <v>0</v>
      </c>
      <c r="I22">
        <v>0</v>
      </c>
      <c r="J22">
        <v>0</v>
      </c>
      <c r="K22">
        <v>0</v>
      </c>
      <c r="L22">
        <v>0</v>
      </c>
      <c r="M22">
        <v>0</v>
      </c>
      <c r="N22">
        <v>0</v>
      </c>
      <c r="O22">
        <v>0</v>
      </c>
      <c r="P22">
        <v>0</v>
      </c>
      <c r="Q22">
        <v>0</v>
      </c>
      <c r="R22">
        <v>0</v>
      </c>
      <c r="S22">
        <v>0</v>
      </c>
      <c r="T22">
        <v>0</v>
      </c>
      <c r="U22">
        <v>0</v>
      </c>
      <c r="V22">
        <v>0</v>
      </c>
      <c r="W22">
        <v>1</v>
      </c>
      <c r="X22">
        <v>0</v>
      </c>
      <c r="Y22">
        <v>0</v>
      </c>
      <c r="Z22">
        <v>0</v>
      </c>
      <c r="AA22">
        <v>0</v>
      </c>
      <c r="AB22">
        <v>0</v>
      </c>
      <c r="AC22">
        <v>0</v>
      </c>
      <c r="AD22">
        <v>0</v>
      </c>
      <c r="AE22">
        <v>0</v>
      </c>
      <c r="AF22">
        <v>0</v>
      </c>
      <c r="AG22">
        <v>0</v>
      </c>
      <c r="AH22">
        <v>0</v>
      </c>
      <c r="AI22">
        <v>0</v>
      </c>
    </row>
    <row r="23" spans="1:35" x14ac:dyDescent="0.55000000000000004">
      <c r="A23" t="s">
        <v>686</v>
      </c>
      <c r="B23" t="s">
        <v>1972</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1</v>
      </c>
      <c r="Y23">
        <v>0</v>
      </c>
      <c r="Z23">
        <v>0</v>
      </c>
      <c r="AA23">
        <v>0</v>
      </c>
      <c r="AB23">
        <v>0</v>
      </c>
      <c r="AC23">
        <v>0</v>
      </c>
      <c r="AD23">
        <v>0</v>
      </c>
      <c r="AE23">
        <v>0</v>
      </c>
      <c r="AF23">
        <v>0</v>
      </c>
      <c r="AG23">
        <v>0</v>
      </c>
      <c r="AH23">
        <v>0</v>
      </c>
      <c r="AI23">
        <v>0</v>
      </c>
    </row>
    <row r="24" spans="1:35" x14ac:dyDescent="0.55000000000000004">
      <c r="A24" t="s">
        <v>686</v>
      </c>
      <c r="B24" t="s">
        <v>1973</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1</v>
      </c>
      <c r="Z24">
        <v>0</v>
      </c>
      <c r="AA24">
        <v>0</v>
      </c>
      <c r="AB24">
        <v>0</v>
      </c>
      <c r="AC24">
        <v>0</v>
      </c>
      <c r="AD24">
        <v>0</v>
      </c>
      <c r="AE24">
        <v>0</v>
      </c>
      <c r="AF24">
        <v>0</v>
      </c>
      <c r="AG24">
        <v>0</v>
      </c>
      <c r="AH24">
        <v>0</v>
      </c>
      <c r="AI24">
        <v>0</v>
      </c>
    </row>
    <row r="25" spans="1:35" x14ac:dyDescent="0.55000000000000004">
      <c r="A25" t="s">
        <v>686</v>
      </c>
      <c r="B25" t="s">
        <v>1974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1</v>
      </c>
      <c r="AA25">
        <v>0</v>
      </c>
      <c r="AB25">
        <v>0</v>
      </c>
      <c r="AC25">
        <v>0</v>
      </c>
      <c r="AD25">
        <v>0</v>
      </c>
      <c r="AE25">
        <v>0</v>
      </c>
      <c r="AF25">
        <v>0</v>
      </c>
      <c r="AG25">
        <v>0</v>
      </c>
      <c r="AH25">
        <v>0</v>
      </c>
      <c r="AI25">
        <v>0</v>
      </c>
    </row>
    <row r="26" spans="1:35" x14ac:dyDescent="0.55000000000000004">
      <c r="A26" t="s">
        <v>686</v>
      </c>
      <c r="B26" t="s">
        <v>1975</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1</v>
      </c>
      <c r="AB26">
        <v>0</v>
      </c>
      <c r="AC26">
        <v>0</v>
      </c>
      <c r="AD26">
        <v>0</v>
      </c>
      <c r="AE26">
        <v>0</v>
      </c>
      <c r="AF26">
        <v>0</v>
      </c>
      <c r="AG26">
        <v>0</v>
      </c>
      <c r="AH26">
        <v>0</v>
      </c>
      <c r="AI26">
        <v>0</v>
      </c>
    </row>
    <row r="27" spans="1:35" x14ac:dyDescent="0.55000000000000004">
      <c r="A27" t="s">
        <v>686</v>
      </c>
      <c r="B27" t="s">
        <v>1976</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1</v>
      </c>
      <c r="AC27">
        <v>0</v>
      </c>
      <c r="AD27">
        <v>0</v>
      </c>
      <c r="AE27">
        <v>0</v>
      </c>
      <c r="AF27">
        <v>0</v>
      </c>
      <c r="AG27">
        <v>0</v>
      </c>
      <c r="AH27">
        <v>0</v>
      </c>
      <c r="AI27">
        <v>0</v>
      </c>
    </row>
    <row r="28" spans="1:35" x14ac:dyDescent="0.55000000000000004">
      <c r="A28" t="s">
        <v>686</v>
      </c>
      <c r="B28" t="s">
        <v>1977</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1</v>
      </c>
      <c r="AD28">
        <v>0</v>
      </c>
      <c r="AE28">
        <v>0</v>
      </c>
      <c r="AF28">
        <v>0</v>
      </c>
      <c r="AG28">
        <v>0</v>
      </c>
      <c r="AH28">
        <v>0</v>
      </c>
      <c r="AI28">
        <v>0</v>
      </c>
    </row>
    <row r="29" spans="1:35" x14ac:dyDescent="0.55000000000000004">
      <c r="A29" t="s">
        <v>686</v>
      </c>
      <c r="B29" t="s">
        <v>1978</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1</v>
      </c>
      <c r="AE29">
        <v>0</v>
      </c>
      <c r="AF29">
        <v>0</v>
      </c>
      <c r="AG29">
        <v>0</v>
      </c>
      <c r="AH29">
        <v>0</v>
      </c>
      <c r="AI29">
        <v>0</v>
      </c>
    </row>
    <row r="30" spans="1:35" x14ac:dyDescent="0.55000000000000004">
      <c r="A30" t="s">
        <v>686</v>
      </c>
      <c r="B30" t="s">
        <v>1979</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1</v>
      </c>
      <c r="AF30">
        <v>0</v>
      </c>
      <c r="AG30">
        <v>0</v>
      </c>
      <c r="AH30">
        <v>0</v>
      </c>
      <c r="AI30">
        <v>0</v>
      </c>
    </row>
    <row r="31" spans="1:35" x14ac:dyDescent="0.55000000000000004">
      <c r="A31" t="s">
        <v>686</v>
      </c>
      <c r="B31" t="s">
        <v>1980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1</v>
      </c>
      <c r="AG31">
        <v>0</v>
      </c>
      <c r="AH31">
        <v>0</v>
      </c>
      <c r="AI31">
        <v>0</v>
      </c>
    </row>
    <row r="32" spans="1:35" x14ac:dyDescent="0.55000000000000004">
      <c r="A32" t="s">
        <v>686</v>
      </c>
      <c r="B32" t="s">
        <v>1981</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1</v>
      </c>
      <c r="AH32">
        <v>0</v>
      </c>
      <c r="AI32">
        <v>0</v>
      </c>
    </row>
    <row r="33" spans="1:35" x14ac:dyDescent="0.55000000000000004">
      <c r="A33" t="s">
        <v>686</v>
      </c>
      <c r="B33" t="s">
        <v>1982</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1</v>
      </c>
      <c r="AI33">
        <v>0</v>
      </c>
    </row>
    <row r="34" spans="1:35" x14ac:dyDescent="0.55000000000000004">
      <c r="A34" t="s">
        <v>686</v>
      </c>
      <c r="B34" t="s">
        <v>1983</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B9EB4-A650-4D34-A772-B2840A2A4FFB}">
  <dimension ref="A1:W49"/>
  <sheetViews>
    <sheetView workbookViewId="0">
      <selection activeCell="B2" sqref="B2"/>
    </sheetView>
  </sheetViews>
  <sheetFormatPr defaultColWidth="8.68359375" defaultRowHeight="14.4" x14ac:dyDescent="0.55000000000000004"/>
  <cols>
    <col min="1" max="1" width="41.41796875" bestFit="1" customWidth="1"/>
    <col min="2" max="2" width="11.68359375" bestFit="1" customWidth="1"/>
  </cols>
  <sheetData>
    <row r="1" spans="1:23" x14ac:dyDescent="0.55000000000000004">
      <c r="A1" t="s">
        <v>1949</v>
      </c>
      <c r="B1" t="s">
        <v>1984</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row>
    <row r="2" spans="1:23" x14ac:dyDescent="0.55000000000000004">
      <c r="A2" t="s">
        <v>512</v>
      </c>
      <c r="B2">
        <f t="shared" ref="B2:B19" si="0">_xlfn.STDEV.P(C2:V2)</f>
        <v>516170.43179138307</v>
      </c>
      <c r="C2" s="8">
        <f>validationtimeseries!B2</f>
        <v>737348.72370526451</v>
      </c>
      <c r="D2" s="8">
        <f>validationtimeseries!C2</f>
        <v>670983.54912418628</v>
      </c>
      <c r="E2" s="8">
        <f>validationtimeseries!D2</f>
        <v>732226.9959257741</v>
      </c>
      <c r="F2" s="8">
        <f>validationtimeseries!E2</f>
        <v>764684.39245923271</v>
      </c>
      <c r="G2" s="8">
        <f>validationtimeseries!F2</f>
        <v>673043.85125278018</v>
      </c>
      <c r="H2" s="8">
        <f>validationtimeseries!G2</f>
        <v>882617.72652719344</v>
      </c>
      <c r="I2" s="8">
        <f>validationtimeseries!H2</f>
        <v>728787.3099795162</v>
      </c>
      <c r="J2" s="8">
        <f>validationtimeseries!I2</f>
        <v>995374.01559201255</v>
      </c>
      <c r="K2" s="8">
        <f>validationtimeseries!J2</f>
        <v>772412.62550478789</v>
      </c>
      <c r="L2" s="8">
        <f>validationtimeseries!K2</f>
        <v>1024666.0100058218</v>
      </c>
      <c r="M2" s="8">
        <f>validationtimeseries!L2</f>
        <v>1316792.5968868218</v>
      </c>
      <c r="N2" s="8">
        <f>validationtimeseries!M2</f>
        <v>1335599.830687297</v>
      </c>
      <c r="O2" s="8">
        <f>validationtimeseries!N2</f>
        <v>1590808.859871615</v>
      </c>
      <c r="P2" s="8">
        <f>validationtimeseries!O2</f>
        <v>1565981.4445320296</v>
      </c>
      <c r="Q2" s="8">
        <f>validationtimeseries!P2</f>
        <v>1667232.4977665495</v>
      </c>
      <c r="R2" s="8">
        <f>validationtimeseries!Q2</f>
        <v>1936510.395643299</v>
      </c>
      <c r="S2" s="8">
        <f>validationtimeseries!R2</f>
        <v>1923866.4588087033</v>
      </c>
      <c r="T2" s="8">
        <f>validationtimeseries!S2</f>
        <v>2011537.1025247658</v>
      </c>
      <c r="U2" s="8">
        <f>validationtimeseries!T2</f>
        <v>2193782.1536960565</v>
      </c>
      <c r="V2" s="8">
        <f>validationtimeseries!U2</f>
        <v>1843790.2663262156</v>
      </c>
    </row>
    <row r="3" spans="1:23" x14ac:dyDescent="0.55000000000000004">
      <c r="A3" t="s">
        <v>633</v>
      </c>
      <c r="B3">
        <f t="shared" si="0"/>
        <v>59661.920817970284</v>
      </c>
      <c r="C3" s="8">
        <f>validationtimeseries!B3</f>
        <v>90224.942963405862</v>
      </c>
      <c r="D3" s="8">
        <f>validationtimeseries!C3</f>
        <v>98900.418248348738</v>
      </c>
      <c r="E3" s="8">
        <f>validationtimeseries!D3</f>
        <v>133602.31938812023</v>
      </c>
      <c r="F3" s="8">
        <f>validationtimeseries!E3</f>
        <v>101503.06083383159</v>
      </c>
      <c r="G3" s="8">
        <f>validationtimeseries!F3</f>
        <v>79814.372621474424</v>
      </c>
      <c r="H3" s="8">
        <f>validationtimeseries!G3</f>
        <v>96611.100450833866</v>
      </c>
      <c r="I3" s="8">
        <f>validationtimeseries!H3</f>
        <v>88423.719056695409</v>
      </c>
      <c r="J3" s="8">
        <f>validationtimeseries!I3</f>
        <v>94288.557565557843</v>
      </c>
      <c r="K3" s="8">
        <f>validationtimeseries!J3</f>
        <v>111050.9677994348</v>
      </c>
      <c r="L3" s="8">
        <f>validationtimeseries!K3</f>
        <v>108269.93155608705</v>
      </c>
      <c r="M3" s="8">
        <f>validationtimeseries!L3</f>
        <v>174538.59656024375</v>
      </c>
      <c r="N3" s="8">
        <f>validationtimeseries!M3</f>
        <v>190897.38890086298</v>
      </c>
      <c r="O3" s="8">
        <f>validationtimeseries!N3</f>
        <v>239293.91003065923</v>
      </c>
      <c r="P3" s="8">
        <f>validationtimeseries!O3</f>
        <v>232252.40236486623</v>
      </c>
      <c r="Q3" s="8">
        <f>validationtimeseries!P3</f>
        <v>251606.76922860506</v>
      </c>
      <c r="R3" s="8">
        <f>validationtimeseries!Q3</f>
        <v>252320.80786155901</v>
      </c>
      <c r="S3" s="8">
        <f>validationtimeseries!R3</f>
        <v>160675.98613825691</v>
      </c>
      <c r="T3" s="8">
        <f>validationtimeseries!S3</f>
        <v>202332.72328521241</v>
      </c>
      <c r="U3" s="8">
        <f>validationtimeseries!T3</f>
        <v>88100.217645512384</v>
      </c>
      <c r="V3" s="8">
        <f>validationtimeseries!U3</f>
        <v>135611.93252714758</v>
      </c>
    </row>
    <row r="4" spans="1:23" x14ac:dyDescent="0.55000000000000004">
      <c r="A4" t="s">
        <v>615</v>
      </c>
      <c r="B4">
        <f t="shared" si="0"/>
        <v>30215.109725939747</v>
      </c>
      <c r="C4" s="8">
        <f>validationtimeseries!B4</f>
        <v>108892.17254204156</v>
      </c>
      <c r="D4" s="8">
        <f>validationtimeseries!C4</f>
        <v>119362.5737480071</v>
      </c>
      <c r="E4" s="8">
        <f>validationtimeseries!D4</f>
        <v>161244.17857186924</v>
      </c>
      <c r="F4" s="8">
        <f>validationtimeseries!E4</f>
        <v>122503.69410979676</v>
      </c>
      <c r="G4" s="8">
        <f>validationtimeseries!F4</f>
        <v>96327.691094882932</v>
      </c>
      <c r="H4" s="8">
        <f>validationtimeseries!G4</f>
        <v>135255.54063116742</v>
      </c>
      <c r="I4" s="8">
        <f>validationtimeseries!H4</f>
        <v>123793.20667937357</v>
      </c>
      <c r="J4" s="8">
        <f>validationtimeseries!I4</f>
        <v>68573.496411314802</v>
      </c>
      <c r="K4" s="8">
        <f>validationtimeseries!J4</f>
        <v>80764.340217770761</v>
      </c>
      <c r="L4" s="8">
        <f>validationtimeseries!K4</f>
        <v>96239.939160966256</v>
      </c>
      <c r="M4" s="8">
        <f>validationtimeseries!L4</f>
        <v>155145.41916466111</v>
      </c>
      <c r="N4" s="8">
        <f>validationtimeseries!M4</f>
        <v>92721.588894704881</v>
      </c>
      <c r="O4" s="8">
        <f>validationtimeseries!N4</f>
        <v>116228.47058632018</v>
      </c>
      <c r="P4" s="8">
        <f>validationtimeseries!O4</f>
        <v>74439.872552841727</v>
      </c>
      <c r="Q4" s="8">
        <f>validationtimeseries!P4</f>
        <v>80643.195265578557</v>
      </c>
      <c r="R4" s="8">
        <f>validationtimeseries!Q4</f>
        <v>163787.19106802953</v>
      </c>
      <c r="S4" s="8">
        <f>validationtimeseries!R4</f>
        <v>104298.44714237729</v>
      </c>
      <c r="T4" s="8">
        <f>validationtimeseries!S4</f>
        <v>131338.78529040102</v>
      </c>
      <c r="U4" s="8">
        <f>validationtimeseries!T4</f>
        <v>49172.214499820861</v>
      </c>
      <c r="V4" s="8">
        <f>validationtimeseries!U4</f>
        <v>103493.31692861259</v>
      </c>
    </row>
    <row r="5" spans="1:23" x14ac:dyDescent="0.55000000000000004">
      <c r="A5" t="s">
        <v>626</v>
      </c>
      <c r="B5">
        <f t="shared" si="0"/>
        <v>40297.352615303338</v>
      </c>
      <c r="C5" s="8">
        <f>validationtimeseries!B5</f>
        <v>124448.19719090464</v>
      </c>
      <c r="D5" s="8">
        <f>validationtimeseries!C5</f>
        <v>136414.36999772242</v>
      </c>
      <c r="E5" s="8">
        <f>validationtimeseries!D5</f>
        <v>184279.06122499343</v>
      </c>
      <c r="F5" s="8">
        <f>validationtimeseries!E5</f>
        <v>140004.22183976774</v>
      </c>
      <c r="G5" s="8">
        <f>validationtimeseries!F5</f>
        <v>110088.78982272335</v>
      </c>
      <c r="H5" s="8">
        <f>validationtimeseries!G5</f>
        <v>135255.54063116742</v>
      </c>
      <c r="I5" s="8">
        <f>validationtimeseries!H5</f>
        <v>123793.20667937357</v>
      </c>
      <c r="J5" s="8">
        <f>validationtimeseries!I5</f>
        <v>117146.3897026628</v>
      </c>
      <c r="K5" s="8">
        <f>validationtimeseries!J5</f>
        <v>137972.41453869175</v>
      </c>
      <c r="L5" s="8">
        <f>validationtimeseries!K5</f>
        <v>156389.90113657017</v>
      </c>
      <c r="M5" s="8">
        <f>validationtimeseries!L5</f>
        <v>252111.30614257435</v>
      </c>
      <c r="N5" s="8">
        <f>validationtimeseries!M5</f>
        <v>158172.12223214359</v>
      </c>
      <c r="O5" s="8">
        <f>validationtimeseries!N5</f>
        <v>198272.0968825462</v>
      </c>
      <c r="P5" s="8">
        <f>validationtimeseries!O5</f>
        <v>178655.69412682016</v>
      </c>
      <c r="Q5" s="8">
        <f>validationtimeseries!P5</f>
        <v>193543.6686373885</v>
      </c>
      <c r="R5" s="8">
        <f>validationtimeseries!Q5</f>
        <v>243467.4461822061</v>
      </c>
      <c r="S5" s="8">
        <f>validationtimeseries!R5</f>
        <v>155038.23223866898</v>
      </c>
      <c r="T5" s="8">
        <f>validationtimeseries!S5</f>
        <v>195233.32948573129</v>
      </c>
      <c r="U5" s="8">
        <f>validationtimeseries!T5</f>
        <v>114735.16716624868</v>
      </c>
      <c r="V5" s="8">
        <f>validationtimeseries!U5</f>
        <v>124905.72732763592</v>
      </c>
    </row>
    <row r="6" spans="1:23" x14ac:dyDescent="0.55000000000000004">
      <c r="A6" t="s">
        <v>644</v>
      </c>
      <c r="B6">
        <f t="shared" si="0"/>
        <v>350797.23650624102</v>
      </c>
      <c r="C6" s="8">
        <f>validationtimeseries!B6</f>
        <v>1622960.8532816693</v>
      </c>
      <c r="D6" s="8">
        <f>validationtimeseries!C6</f>
        <v>2092005.0370573141</v>
      </c>
      <c r="E6" s="8">
        <f>validationtimeseries!D6</f>
        <v>2034649.0906717053</v>
      </c>
      <c r="F6" s="8">
        <f>validationtimeseries!E6</f>
        <v>1971345.1202164779</v>
      </c>
      <c r="G6" s="8">
        <f>validationtimeseries!F6</f>
        <v>2086906.7307119267</v>
      </c>
      <c r="H6" s="8">
        <f>validationtimeseries!G6</f>
        <v>2058016.3280880644</v>
      </c>
      <c r="I6" s="8">
        <f>validationtimeseries!H6</f>
        <v>1863430.9692391104</v>
      </c>
      <c r="J6" s="8">
        <f>validationtimeseries!I6</f>
        <v>1831141.6957183233</v>
      </c>
      <c r="K6" s="8">
        <f>validationtimeseries!J6</f>
        <v>1834540.5666152481</v>
      </c>
      <c r="L6" s="8">
        <f>validationtimeseries!K6</f>
        <v>1860032.0983421854</v>
      </c>
      <c r="M6" s="8">
        <f>validationtimeseries!L6</f>
        <v>1863430.9692391104</v>
      </c>
      <c r="N6" s="8">
        <f>validationtimeseries!M6</f>
        <v>1710481.7788774869</v>
      </c>
      <c r="O6" s="8">
        <f>validationtimeseries!N6</f>
        <v>1604267.063348582</v>
      </c>
      <c r="P6" s="8">
        <f>validationtimeseries!O6</f>
        <v>1597469.321554732</v>
      </c>
      <c r="Q6" s="8">
        <f>validationtimeseries!P6</f>
        <v>1307715.5775918791</v>
      </c>
      <c r="R6" s="8">
        <f>validationtimeseries!Q6</f>
        <v>1210847.7570295176</v>
      </c>
      <c r="S6" s="8">
        <f>validationtimeseries!R6</f>
        <v>1163513.1208599422</v>
      </c>
      <c r="T6" s="8">
        <f>validationtimeseries!S6</f>
        <v>1170627.7354277594</v>
      </c>
      <c r="U6" s="8">
        <f>validationtimeseries!T6</f>
        <v>1100028.8677932662</v>
      </c>
      <c r="V6" s="8">
        <f>validationtimeseries!U6</f>
        <v>1044206.5073380854</v>
      </c>
    </row>
    <row r="7" spans="1:23" x14ac:dyDescent="0.55000000000000004">
      <c r="A7" t="s">
        <v>651</v>
      </c>
      <c r="B7">
        <f t="shared" si="0"/>
        <v>248259.16751725459</v>
      </c>
      <c r="C7" s="8">
        <f>validationtimeseries!B7</f>
        <v>287039.14671833068</v>
      </c>
      <c r="D7" s="8">
        <f>validationtimeseries!C7</f>
        <v>369994.96294268593</v>
      </c>
      <c r="E7" s="8">
        <f>validationtimeseries!D7</f>
        <v>359850.90932829469</v>
      </c>
      <c r="F7" s="8">
        <f>validationtimeseries!E7</f>
        <v>348654.8797835221</v>
      </c>
      <c r="G7" s="8">
        <f>validationtimeseries!F7</f>
        <v>369093.26928807341</v>
      </c>
      <c r="H7" s="8">
        <f>validationtimeseries!G7</f>
        <v>363983.67191193555</v>
      </c>
      <c r="I7" s="8">
        <f>validationtimeseries!H7</f>
        <v>329569.03076088964</v>
      </c>
      <c r="J7" s="8">
        <f>validationtimeseries!I7</f>
        <v>323858.30428167677</v>
      </c>
      <c r="K7" s="8">
        <f>validationtimeseries!J7</f>
        <v>324459.43338475178</v>
      </c>
      <c r="L7" s="8">
        <f>validationtimeseries!K7</f>
        <v>328967.90165781457</v>
      </c>
      <c r="M7" s="8">
        <f>validationtimeseries!L7</f>
        <v>329569.03076088964</v>
      </c>
      <c r="N7" s="8">
        <f>validationtimeseries!M7</f>
        <v>302518.22112251294</v>
      </c>
      <c r="O7" s="8">
        <f>validationtimeseries!N7</f>
        <v>283732.93665141799</v>
      </c>
      <c r="P7" s="8">
        <f>validationtimeseries!O7</f>
        <v>282530.6784452679</v>
      </c>
      <c r="Q7" s="8">
        <f>validationtimeseries!P7</f>
        <v>231284.42240812091</v>
      </c>
      <c r="R7" s="8">
        <f>validationtimeseries!Q7</f>
        <v>214152.24297048233</v>
      </c>
      <c r="S7" s="8">
        <f>validationtimeseries!R7</f>
        <v>962486.87914005783</v>
      </c>
      <c r="T7" s="8">
        <f>validationtimeseries!S7</f>
        <v>968372.26457224065</v>
      </c>
      <c r="U7" s="8">
        <f>validationtimeseries!T7</f>
        <v>909971.13220673392</v>
      </c>
      <c r="V7" s="8">
        <f>validationtimeseries!U7</f>
        <v>863793.49266191456</v>
      </c>
    </row>
    <row r="8" spans="1:23" x14ac:dyDescent="0.55000000000000004">
      <c r="A8" t="s">
        <v>731</v>
      </c>
      <c r="B8">
        <f t="shared" si="0"/>
        <v>176246.60501185071</v>
      </c>
      <c r="C8" s="8">
        <f>validationtimeseries!B8</f>
        <v>356879.47284337127</v>
      </c>
      <c r="D8" s="8">
        <f>validationtimeseries!C8</f>
        <v>370784.72326854634</v>
      </c>
      <c r="E8" s="8">
        <f>validationtimeseries!D8</f>
        <v>637207.65505353943</v>
      </c>
      <c r="F8" s="8">
        <f>validationtimeseries!E8</f>
        <v>451003.37782476825</v>
      </c>
      <c r="G8" s="8">
        <f>validationtimeseries!F8</f>
        <v>349907.88483673678</v>
      </c>
      <c r="H8" s="8">
        <f>validationtimeseries!G8</f>
        <v>397415.9841143646</v>
      </c>
      <c r="I8" s="8">
        <f>validationtimeseries!H8</f>
        <v>447929.5073541528</v>
      </c>
      <c r="J8" s="8">
        <f>validationtimeseries!I8</f>
        <v>616584.81539219653</v>
      </c>
      <c r="K8" s="8">
        <f>validationtimeseries!J8</f>
        <v>320958.12296520267</v>
      </c>
      <c r="L8" s="8">
        <f>validationtimeseries!K8</f>
        <v>437111.8478133335</v>
      </c>
      <c r="M8" s="8">
        <f>validationtimeseries!L8</f>
        <v>668803.27893350006</v>
      </c>
      <c r="N8" s="8">
        <f>validationtimeseries!M8</f>
        <v>454736.82374049543</v>
      </c>
      <c r="O8" s="8">
        <f>validationtimeseries!N8</f>
        <v>419471.31586152274</v>
      </c>
      <c r="P8" s="8">
        <f>validationtimeseries!O8</f>
        <v>414767.17400770652</v>
      </c>
      <c r="Q8" s="8">
        <f>validationtimeseries!P8</f>
        <v>494109.12212676782</v>
      </c>
      <c r="R8" s="8">
        <f>validationtimeseries!Q8</f>
        <v>872375.63989838201</v>
      </c>
      <c r="S8" s="8">
        <f>validationtimeseries!R8</f>
        <v>571335.45089358359</v>
      </c>
      <c r="T8" s="8">
        <f>validationtimeseries!S8</f>
        <v>859859.26246590668</v>
      </c>
      <c r="U8" s="8">
        <f>validationtimeseries!T8</f>
        <v>805294.95040755463</v>
      </c>
      <c r="V8" s="8">
        <f>validationtimeseries!U8</f>
        <v>808561.71558381582</v>
      </c>
    </row>
    <row r="9" spans="1:23" x14ac:dyDescent="0.55000000000000004">
      <c r="A9" t="s">
        <v>1381</v>
      </c>
      <c r="B9">
        <f t="shared" si="0"/>
        <v>1400369.3346427185</v>
      </c>
      <c r="C9" s="8">
        <f>validationtimeseries!B9</f>
        <v>5590140.5</v>
      </c>
      <c r="D9" s="8">
        <f>validationtimeseries!C9</f>
        <v>5586577.2699999996</v>
      </c>
      <c r="E9" s="8">
        <f>validationtimeseries!D9</f>
        <v>6933347.4800000004</v>
      </c>
      <c r="F9" s="8">
        <f>validationtimeseries!E9</f>
        <v>9225312</v>
      </c>
      <c r="G9" s="8">
        <f>validationtimeseries!F9</f>
        <v>10003110</v>
      </c>
      <c r="H9" s="8">
        <f>validationtimeseries!G9</f>
        <v>9389311</v>
      </c>
      <c r="I9" s="8">
        <f>validationtimeseries!H9</f>
        <v>9709431</v>
      </c>
      <c r="J9" s="8">
        <f>validationtimeseries!I9</f>
        <v>10191551</v>
      </c>
      <c r="K9" s="8">
        <f>validationtimeseries!J9</f>
        <v>10292408</v>
      </c>
      <c r="L9" s="8">
        <f>validationtimeseries!K9</f>
        <v>9795118</v>
      </c>
      <c r="M9" s="8">
        <f>validationtimeseries!L9</f>
        <v>9965813</v>
      </c>
      <c r="N9" s="8">
        <f>validationtimeseries!M9</f>
        <v>9823494</v>
      </c>
      <c r="O9" s="8">
        <f>validationtimeseries!N9</f>
        <v>8794760</v>
      </c>
      <c r="P9" s="8">
        <f>validationtimeseries!O9</f>
        <v>9898266</v>
      </c>
      <c r="Q9" s="8">
        <f>validationtimeseries!P9</f>
        <v>8543367</v>
      </c>
      <c r="R9" s="8">
        <f>validationtimeseries!Q9</f>
        <v>7654608</v>
      </c>
      <c r="S9" s="8">
        <f>validationtimeseries!R9</f>
        <v>9631764</v>
      </c>
      <c r="T9" s="8">
        <f>validationtimeseries!S9</f>
        <v>8783829</v>
      </c>
      <c r="U9" s="8">
        <f>validationtimeseries!T9</f>
        <v>8379498</v>
      </c>
      <c r="V9" s="8">
        <f>validationtimeseries!U9</f>
        <v>7663420</v>
      </c>
    </row>
    <row r="10" spans="1:23" x14ac:dyDescent="0.55000000000000004">
      <c r="A10" t="s">
        <v>1413</v>
      </c>
      <c r="B10">
        <f t="shared" si="0"/>
        <v>418572.05396177759</v>
      </c>
      <c r="C10" s="8">
        <f>validationtimeseries!B10</f>
        <v>770417.1</v>
      </c>
      <c r="D10" s="8">
        <f>validationtimeseries!C10</f>
        <v>757479.11</v>
      </c>
      <c r="E10" s="8">
        <f>validationtimeseries!D10</f>
        <v>1109094.96</v>
      </c>
      <c r="F10" s="8">
        <f>validationtimeseries!E10</f>
        <v>1665919</v>
      </c>
      <c r="G10" s="8">
        <f>validationtimeseries!F10</f>
        <v>1578238</v>
      </c>
      <c r="H10" s="8">
        <f>validationtimeseries!G10</f>
        <v>1806262</v>
      </c>
      <c r="I10" s="8">
        <f>validationtimeseries!H10</f>
        <v>1754593</v>
      </c>
      <c r="J10" s="8">
        <f>validationtimeseries!I10</f>
        <v>1768853</v>
      </c>
      <c r="K10" s="8">
        <f>validationtimeseries!J10</f>
        <v>1967314</v>
      </c>
      <c r="L10" s="8">
        <f>validationtimeseries!K10</f>
        <v>1912898</v>
      </c>
      <c r="M10" s="8">
        <f>validationtimeseries!L10</f>
        <v>2039042</v>
      </c>
      <c r="N10" s="8">
        <f>validationtimeseries!M10</f>
        <v>2140500</v>
      </c>
      <c r="O10" s="8">
        <f>validationtimeseries!N10</f>
        <v>1898575</v>
      </c>
      <c r="P10" s="8">
        <f>validationtimeseries!O10</f>
        <v>2301337</v>
      </c>
      <c r="Q10" s="8">
        <f>validationtimeseries!P10</f>
        <v>1935811</v>
      </c>
      <c r="R10" s="8">
        <f>validationtimeseries!Q10</f>
        <v>2015605</v>
      </c>
      <c r="S10" s="8">
        <f>validationtimeseries!R10</f>
        <v>2181670</v>
      </c>
      <c r="T10" s="8">
        <f>validationtimeseries!S10</f>
        <v>2178982</v>
      </c>
      <c r="U10" s="8">
        <f>validationtimeseries!T10</f>
        <v>1804716</v>
      </c>
      <c r="V10" s="8">
        <f>validationtimeseries!U10</f>
        <v>1782701</v>
      </c>
    </row>
    <row r="11" spans="1:23" x14ac:dyDescent="0.55000000000000004">
      <c r="A11" t="s">
        <v>1428</v>
      </c>
      <c r="B11">
        <f t="shared" si="0"/>
        <v>85333.778966634956</v>
      </c>
      <c r="C11" s="8">
        <f>validationtimeseries!B11</f>
        <v>37111.385763806698</v>
      </c>
      <c r="D11" s="8">
        <f>validationtimeseries!C11</f>
        <v>21928.612370368439</v>
      </c>
      <c r="E11" s="8">
        <f>validationtimeseries!D11</f>
        <v>74780.455011275131</v>
      </c>
      <c r="F11" s="8">
        <f>validationtimeseries!E11</f>
        <v>108749.05711527202</v>
      </c>
      <c r="G11" s="8">
        <f>validationtimeseries!F11</f>
        <v>55584.787275317554</v>
      </c>
      <c r="H11" s="8">
        <f>validationtimeseries!G11</f>
        <v>117961.33491232873</v>
      </c>
      <c r="I11" s="8">
        <f>validationtimeseries!H11</f>
        <v>71442.598802368579</v>
      </c>
      <c r="J11" s="8">
        <f>validationtimeseries!I11</f>
        <v>87060.847549827129</v>
      </c>
      <c r="K11" s="8">
        <f>validationtimeseries!J11</f>
        <v>150572.98498620529</v>
      </c>
      <c r="L11" s="8">
        <f>validationtimeseries!K11</f>
        <v>156782.95002603144</v>
      </c>
      <c r="M11" s="8">
        <f>validationtimeseries!L11</f>
        <v>224460.99086337516</v>
      </c>
      <c r="N11" s="8">
        <f>validationtimeseries!M11</f>
        <v>326888.07956134918</v>
      </c>
      <c r="O11" s="8">
        <f>validationtimeseries!N11</f>
        <v>147533.33776981744</v>
      </c>
      <c r="P11" s="8">
        <f>validationtimeseries!O11</f>
        <v>164063.16956169935</v>
      </c>
      <c r="Q11" s="8">
        <f>validationtimeseries!P11</f>
        <v>156537.16483657941</v>
      </c>
      <c r="R11" s="8">
        <f>validationtimeseries!Q11</f>
        <v>341831.19683904713</v>
      </c>
      <c r="S11" s="8">
        <f>validationtimeseries!R11</f>
        <v>264583.08963772282</v>
      </c>
      <c r="T11" s="8">
        <f>validationtimeseries!S11</f>
        <v>165522.32467376272</v>
      </c>
      <c r="U11" s="8">
        <f>validationtimeseries!T11</f>
        <v>113888.76765925638</v>
      </c>
      <c r="V11" s="8">
        <f>validationtimeseries!U11</f>
        <v>120244.95933078184</v>
      </c>
    </row>
    <row r="12" spans="1:23" x14ac:dyDescent="0.55000000000000004">
      <c r="A12" s="26" t="s">
        <v>1950</v>
      </c>
      <c r="B12">
        <f t="shared" si="0"/>
        <v>3.2397458670761048E-2</v>
      </c>
      <c r="C12" s="8"/>
      <c r="D12" s="8"/>
      <c r="E12" s="8"/>
      <c r="F12" s="8"/>
      <c r="G12" s="8"/>
      <c r="H12" s="8"/>
      <c r="I12" s="8"/>
      <c r="J12" s="8"/>
      <c r="K12" s="8"/>
      <c r="L12" s="8"/>
      <c r="M12" s="8"/>
      <c r="N12" s="27">
        <f>validationtimeseries!M12</f>
        <v>0.74272494700000002</v>
      </c>
      <c r="O12" s="27">
        <f>validationtimeseries!N12</f>
        <v>0.73415333699999996</v>
      </c>
      <c r="P12" s="27">
        <f>validationtimeseries!O12</f>
        <v>0.830865674</v>
      </c>
      <c r="Q12" s="27">
        <f>validationtimeseries!P12</f>
        <v>0.82803807399999996</v>
      </c>
      <c r="R12" s="27">
        <f>validationtimeseries!Q12</f>
        <v>0.77878078799999995</v>
      </c>
      <c r="S12" s="27">
        <f>validationtimeseries!R12</f>
        <v>0.77209737700000003</v>
      </c>
      <c r="T12" s="27">
        <f>validationtimeseries!S12</f>
        <v>0.76544734000000003</v>
      </c>
      <c r="U12" s="27">
        <f>validationtimeseries!T12</f>
        <v>0.74997359900000005</v>
      </c>
      <c r="V12" s="27">
        <f>validationtimeseries!U12</f>
        <v>0.76687717099999997</v>
      </c>
    </row>
    <row r="13" spans="1:23" x14ac:dyDescent="0.55000000000000004">
      <c r="A13" t="s">
        <v>1608</v>
      </c>
      <c r="B13">
        <f t="shared" si="0"/>
        <v>109371.57617465947</v>
      </c>
      <c r="C13" s="8">
        <f>validationtimeseries!B13</f>
        <v>323565.31269635208</v>
      </c>
      <c r="D13" s="8">
        <f>validationtimeseries!C13</f>
        <v>354677.36199407821</v>
      </c>
      <c r="E13" s="8">
        <f>validationtimeseries!D13</f>
        <v>479125.55918498285</v>
      </c>
      <c r="F13" s="8">
        <f>validationtimeseries!E13</f>
        <v>364010.97678339609</v>
      </c>
      <c r="G13" s="8">
        <f>validationtimeseries!F13</f>
        <v>286230.85353908071</v>
      </c>
      <c r="H13" s="8">
        <f>validationtimeseries!G13</f>
        <v>367122.18171316868</v>
      </c>
      <c r="I13" s="8">
        <f>validationtimeseries!H13</f>
        <v>336010.13241544255</v>
      </c>
      <c r="J13" s="8">
        <f>validationtimeseries!I13</f>
        <v>280008.44367953547</v>
      </c>
      <c r="K13" s="8">
        <f>validationtimeseries!J13</f>
        <v>329787.72255589732</v>
      </c>
      <c r="L13" s="8">
        <f>validationtimeseries!K13</f>
        <v>360899.77185362345</v>
      </c>
      <c r="M13" s="8">
        <f>validationtimeseries!L13</f>
        <v>581795.32186747924</v>
      </c>
      <c r="N13" s="8">
        <f>validationtimeseries!M13</f>
        <v>441791.10002771148</v>
      </c>
      <c r="O13" s="8">
        <f>validationtimeseries!N13</f>
        <v>553794.47749952564</v>
      </c>
      <c r="P13" s="8">
        <f>validationtimeseries!O13</f>
        <v>485347.96904452809</v>
      </c>
      <c r="Q13" s="8">
        <f>validationtimeseries!P13</f>
        <v>525793.63313157216</v>
      </c>
      <c r="R13" s="8">
        <f>validationtimeseries!Q13</f>
        <v>659575.44511179463</v>
      </c>
      <c r="S13" s="8">
        <f>validationtimeseries!R13</f>
        <v>420012.66551930318</v>
      </c>
      <c r="T13" s="8">
        <f>validationtimeseries!S13</f>
        <v>528904.83806134469</v>
      </c>
      <c r="U13" s="8">
        <f>validationtimeseries!T13</f>
        <v>252007.5993115819</v>
      </c>
      <c r="V13" s="8">
        <f>validationtimeseries!U13</f>
        <v>364010.97678339609</v>
      </c>
    </row>
    <row r="14" spans="1:23" x14ac:dyDescent="0.55000000000000004">
      <c r="A14" t="s">
        <v>1646</v>
      </c>
      <c r="B14">
        <f t="shared" si="0"/>
        <v>2919.2996036969457</v>
      </c>
      <c r="C14" s="8">
        <f>validationtimeseries!B14</f>
        <v>2870.7596401028277</v>
      </c>
      <c r="D14" s="8">
        <f>validationtimeseries!C14</f>
        <v>2618.6778214102783</v>
      </c>
      <c r="E14" s="8">
        <f>validationtimeseries!D14</f>
        <v>2394.2800057496047</v>
      </c>
      <c r="F14" s="8">
        <f>validationtimeseries!E14</f>
        <v>2679.8392935019624</v>
      </c>
      <c r="G14" s="8">
        <f>validationtimeseries!F14</f>
        <v>2606.3050053663774</v>
      </c>
      <c r="H14" s="8">
        <f>validationtimeseries!G14</f>
        <v>2237.1267765280322</v>
      </c>
      <c r="I14" s="8">
        <f>validationtimeseries!H14</f>
        <v>2330.7795319317729</v>
      </c>
      <c r="J14" s="8">
        <f>validationtimeseries!I14</f>
        <v>2263.1599739668077</v>
      </c>
      <c r="K14" s="8">
        <f>validationtimeseries!J14</f>
        <v>2697.3812016801608</v>
      </c>
      <c r="L14" s="8">
        <f>validationtimeseries!K14</f>
        <v>3433.6430381204655</v>
      </c>
      <c r="M14" s="8">
        <f>validationtimeseries!L14</f>
        <v>3615.2430710590797</v>
      </c>
      <c r="N14" s="8">
        <f>validationtimeseries!M14</f>
        <v>3294.4584440623207</v>
      </c>
      <c r="O14" s="8">
        <f>validationtimeseries!N14</f>
        <v>4814.9048011239765</v>
      </c>
      <c r="P14" s="8">
        <f>validationtimeseries!O14</f>
        <v>6441.6934894968945</v>
      </c>
      <c r="Q14" s="8">
        <f>validationtimeseries!P14</f>
        <v>8691.5731087368604</v>
      </c>
      <c r="R14" s="8">
        <f>validationtimeseries!Q14</f>
        <v>10045.523392673238</v>
      </c>
      <c r="S14" s="8">
        <f>validationtimeseries!R14</f>
        <v>10780.562671806376</v>
      </c>
      <c r="T14" s="8">
        <f>validationtimeseries!S14</f>
        <v>10031.407789036748</v>
      </c>
      <c r="U14" s="8">
        <f>validationtimeseries!T14</f>
        <v>7603.2975937948622</v>
      </c>
      <c r="V14" s="8">
        <f>validationtimeseries!U14</f>
        <v>6055.7969314665343</v>
      </c>
    </row>
    <row r="15" spans="1:23" x14ac:dyDescent="0.55000000000000004">
      <c r="A15" t="s">
        <v>1650</v>
      </c>
      <c r="B15">
        <f t="shared" si="0"/>
        <v>3209.6708356521026</v>
      </c>
      <c r="C15" s="8">
        <f>validationtimeseries!B15</f>
        <v>4098.1241278002208</v>
      </c>
      <c r="D15" s="8">
        <f>validationtimeseries!C15</f>
        <v>4665.3283250811</v>
      </c>
      <c r="E15" s="8">
        <f>validationtimeseries!D15</f>
        <v>5784.2417708782523</v>
      </c>
      <c r="F15" s="8">
        <f>validationtimeseries!E15</f>
        <v>7542.8179241168773</v>
      </c>
      <c r="G15" s="8">
        <f>validationtimeseries!F15</f>
        <v>8574.2373890135623</v>
      </c>
      <c r="H15" s="8">
        <f>validationtimeseries!G15</f>
        <v>9535.136803557416</v>
      </c>
      <c r="I15" s="8">
        <f>validationtimeseries!H15</f>
        <v>10534.791193970646</v>
      </c>
      <c r="J15" s="8">
        <f>validationtimeseries!I15</f>
        <v>12213.27959648552</v>
      </c>
      <c r="K15" s="8">
        <f>validationtimeseries!J15</f>
        <v>13350.172399099045</v>
      </c>
      <c r="L15" s="8">
        <f>validationtimeseries!K15</f>
        <v>13585.234135667397</v>
      </c>
      <c r="M15" s="8">
        <f>validationtimeseries!L15</f>
        <v>13542.390634358835</v>
      </c>
      <c r="N15" s="8">
        <f>validationtimeseries!M15</f>
        <v>14509.050440310562</v>
      </c>
      <c r="O15" s="8">
        <f>validationtimeseries!N15</f>
        <v>15049.067971513008</v>
      </c>
      <c r="P15" s="8">
        <f>validationtimeseries!O15</f>
        <v>13854.762198302433</v>
      </c>
      <c r="Q15" s="8">
        <f>validationtimeseries!P15</f>
        <v>13006.523134585559</v>
      </c>
      <c r="R15" s="8">
        <f>validationtimeseries!Q15</f>
        <v>12728.554877151684</v>
      </c>
      <c r="S15" s="8">
        <f>validationtimeseries!R15</f>
        <v>12254.54968561408</v>
      </c>
      <c r="T15" s="8">
        <f>validationtimeseries!S15</f>
        <v>12132.595043340252</v>
      </c>
      <c r="U15" s="8">
        <f>validationtimeseries!T15</f>
        <v>10843.240084849263</v>
      </c>
      <c r="V15" s="8">
        <f>validationtimeseries!U15</f>
        <v>8871.7119300599425</v>
      </c>
    </row>
    <row r="16" spans="1:23" x14ac:dyDescent="0.55000000000000004">
      <c r="A16" t="s">
        <v>1985</v>
      </c>
      <c r="B16">
        <f t="shared" si="0"/>
        <v>6256.8967613991463</v>
      </c>
      <c r="C16" s="8">
        <f>validationtimeseries!B16</f>
        <v>1058.5833639368343</v>
      </c>
      <c r="D16" s="8">
        <f>validationtimeseries!C16</f>
        <v>1098.062489329008</v>
      </c>
      <c r="E16" s="8">
        <f>validationtimeseries!D16</f>
        <v>1286.6011211729194</v>
      </c>
      <c r="F16" s="8">
        <f>validationtimeseries!E16</f>
        <v>1664.3349324029655</v>
      </c>
      <c r="G16" s="8">
        <f>validationtimeseries!F16</f>
        <v>1751.0321006927504</v>
      </c>
      <c r="H16" s="8">
        <f>validationtimeseries!G16</f>
        <v>1987.0878890923359</v>
      </c>
      <c r="I16" s="8">
        <f>validationtimeseries!H16</f>
        <v>2029.3447044823483</v>
      </c>
      <c r="J16" s="8">
        <f>validationtimeseries!I16</f>
        <v>2971.7568499837294</v>
      </c>
      <c r="K16" s="8">
        <f>validationtimeseries!J16</f>
        <v>2487.195653497291</v>
      </c>
      <c r="L16" s="8">
        <f>validationtimeseries!K16</f>
        <v>2582.8688817229067</v>
      </c>
      <c r="M16" s="8">
        <f>validationtimeseries!L16</f>
        <v>3256.2827661312276</v>
      </c>
      <c r="N16" s="8">
        <f>validationtimeseries!M16</f>
        <v>3265.8301287061645</v>
      </c>
      <c r="O16" s="8">
        <f>validationtimeseries!N16</f>
        <v>2905.5460006782619</v>
      </c>
      <c r="P16" s="8">
        <f>validationtimeseries!O16</f>
        <v>2822.7150647256863</v>
      </c>
      <c r="Q16" s="8">
        <f>validationtimeseries!P16</f>
        <v>3137.7520248147512</v>
      </c>
      <c r="R16" s="8">
        <f>validationtimeseries!Q16</f>
        <v>4784.0352729145216</v>
      </c>
      <c r="S16" s="8">
        <f>validationtimeseries!R16</f>
        <v>7256.6321526746497</v>
      </c>
      <c r="T16" s="8">
        <f>validationtimeseries!S16</f>
        <v>14188.194408497131</v>
      </c>
      <c r="U16" s="8">
        <f>validationtimeseries!T16</f>
        <v>21041.159135223159</v>
      </c>
      <c r="V16" s="8">
        <f>validationtimeseries!U16</f>
        <v>22833.065374045142</v>
      </c>
    </row>
    <row r="17" spans="1:22" x14ac:dyDescent="0.55000000000000004">
      <c r="A17" t="s">
        <v>1673</v>
      </c>
      <c r="B17">
        <f t="shared" si="0"/>
        <v>2851.5695503914981</v>
      </c>
      <c r="C17" s="8">
        <f>validationtimeseries!B17</f>
        <v>35.532868160117516</v>
      </c>
      <c r="D17" s="8">
        <f>validationtimeseries!C17</f>
        <v>35.931364179614135</v>
      </c>
      <c r="E17" s="8">
        <f>validationtimeseries!D17</f>
        <v>36.877102199223806</v>
      </c>
      <c r="F17" s="8">
        <f>validationtimeseries!E17</f>
        <v>39.007849978194507</v>
      </c>
      <c r="G17" s="8">
        <f>validationtimeseries!F17</f>
        <v>35.42550492730998</v>
      </c>
      <c r="H17" s="8">
        <f>validationtimeseries!G17</f>
        <v>27.648530822216408</v>
      </c>
      <c r="I17" s="8">
        <f>validationtimeseries!H17</f>
        <v>64.084569615232056</v>
      </c>
      <c r="J17" s="8">
        <f>validationtimeseries!I17</f>
        <v>140.80357956394403</v>
      </c>
      <c r="K17" s="8">
        <f>validationtimeseries!J17</f>
        <v>28.250745723503986</v>
      </c>
      <c r="L17" s="8">
        <f>validationtimeseries!K17</f>
        <v>45.253944489231834</v>
      </c>
      <c r="M17" s="8">
        <f>validationtimeseries!L17</f>
        <v>59.083528450857607</v>
      </c>
      <c r="N17" s="8">
        <f>validationtimeseries!M17</f>
        <v>61.660986920952531</v>
      </c>
      <c r="O17" s="8">
        <f>validationtimeseries!N17</f>
        <v>77.481226684753651</v>
      </c>
      <c r="P17" s="8">
        <f>validationtimeseries!O17</f>
        <v>106.82924747498696</v>
      </c>
      <c r="Q17" s="8">
        <f>validationtimeseries!P17</f>
        <v>279.15173186282959</v>
      </c>
      <c r="R17" s="8">
        <f>validationtimeseries!Q17</f>
        <v>1160.8864572605562</v>
      </c>
      <c r="S17" s="8">
        <f>validationtimeseries!R17</f>
        <v>2911.2554899048941</v>
      </c>
      <c r="T17" s="8">
        <f>validationtimeseries!S17</f>
        <v>6080.8027591258697</v>
      </c>
      <c r="U17" s="8">
        <f>validationtimeseries!T17</f>
        <v>8394.3031861327163</v>
      </c>
      <c r="V17" s="8">
        <f>validationtimeseries!U17</f>
        <v>9335.4257644283825</v>
      </c>
    </row>
    <row r="18" spans="1:22" x14ac:dyDescent="0.55000000000000004">
      <c r="A18" t="s">
        <v>1695</v>
      </c>
      <c r="B18">
        <f t="shared" si="0"/>
        <v>272070.95926430664</v>
      </c>
      <c r="C18" s="8">
        <f>validationtimeseries!B18</f>
        <v>1910000</v>
      </c>
      <c r="D18" s="8">
        <f>validationtimeseries!C18</f>
        <v>2462000</v>
      </c>
      <c r="E18" s="8">
        <f>validationtimeseries!D18</f>
        <v>2394500</v>
      </c>
      <c r="F18" s="8">
        <f>validationtimeseries!E18</f>
        <v>2320000</v>
      </c>
      <c r="G18" s="8">
        <f>validationtimeseries!F18</f>
        <v>2456000</v>
      </c>
      <c r="H18" s="8">
        <f>validationtimeseries!G18</f>
        <v>2422000</v>
      </c>
      <c r="I18" s="8">
        <f>validationtimeseries!H18</f>
        <v>2193000</v>
      </c>
      <c r="J18" s="8">
        <f>validationtimeseries!I18</f>
        <v>2155000</v>
      </c>
      <c r="K18" s="8">
        <f>validationtimeseries!J18</f>
        <v>2159000</v>
      </c>
      <c r="L18" s="8">
        <f>validationtimeseries!K18</f>
        <v>2189000</v>
      </c>
      <c r="M18" s="8">
        <f>validationtimeseries!L18</f>
        <v>2193000</v>
      </c>
      <c r="N18" s="8">
        <f>validationtimeseries!M18</f>
        <v>2013000</v>
      </c>
      <c r="O18" s="8">
        <f>validationtimeseries!N18</f>
        <v>1888000</v>
      </c>
      <c r="P18" s="8">
        <f>validationtimeseries!O18</f>
        <v>1880000</v>
      </c>
      <c r="Q18" s="8">
        <f>validationtimeseries!P18</f>
        <v>1539000</v>
      </c>
      <c r="R18" s="8">
        <f>validationtimeseries!Q18</f>
        <v>1425000</v>
      </c>
      <c r="S18" s="8">
        <f>validationtimeseries!R18</f>
        <v>2126000</v>
      </c>
      <c r="T18" s="8">
        <f>validationtimeseries!S18</f>
        <v>2139000</v>
      </c>
      <c r="U18" s="8">
        <f>validationtimeseries!T18</f>
        <v>2010000</v>
      </c>
      <c r="V18" s="8">
        <f>validationtimeseries!U18</f>
        <v>1908000</v>
      </c>
    </row>
    <row r="19" spans="1:22" x14ac:dyDescent="0.55000000000000004">
      <c r="A19" t="s">
        <v>1738</v>
      </c>
      <c r="B19">
        <f t="shared" si="0"/>
        <v>406738.58728907193</v>
      </c>
      <c r="C19" s="8">
        <f>validationtimeseries!B19</f>
        <v>0</v>
      </c>
      <c r="D19" s="8">
        <f>validationtimeseries!C19</f>
        <v>0</v>
      </c>
      <c r="E19" s="8">
        <f>validationtimeseries!D19</f>
        <v>0</v>
      </c>
      <c r="F19" s="8">
        <f>validationtimeseries!E19</f>
        <v>0</v>
      </c>
      <c r="G19" s="8">
        <f>validationtimeseries!F19</f>
        <v>19026</v>
      </c>
      <c r="H19" s="8">
        <f>validationtimeseries!G19</f>
        <v>63174</v>
      </c>
      <c r="I19" s="8">
        <f>validationtimeseries!H19</f>
        <v>108325</v>
      </c>
      <c r="J19" s="8">
        <f>validationtimeseries!I19</f>
        <v>170005</v>
      </c>
      <c r="K19" s="8">
        <f>validationtimeseries!J19</f>
        <v>288677</v>
      </c>
      <c r="L19" s="8">
        <f>validationtimeseries!K19</f>
        <v>436904</v>
      </c>
      <c r="M19" s="8">
        <f>validationtimeseries!L19</f>
        <v>517292</v>
      </c>
      <c r="N19" s="8">
        <f>validationtimeseries!M19</f>
        <v>603494</v>
      </c>
      <c r="O19" s="8">
        <f>validationtimeseries!N19</f>
        <v>710244</v>
      </c>
      <c r="P19" s="8">
        <f>validationtimeseries!O19</f>
        <v>730890</v>
      </c>
      <c r="Q19" s="8">
        <f>validationtimeseries!P19</f>
        <v>774276</v>
      </c>
      <c r="R19" s="8">
        <f>validationtimeseries!Q19</f>
        <v>861312</v>
      </c>
      <c r="S19" s="8">
        <f>validationtimeseries!R19</f>
        <v>914792</v>
      </c>
      <c r="T19" s="8">
        <f>validationtimeseries!S19</f>
        <v>1003521</v>
      </c>
      <c r="U19" s="8">
        <f>validationtimeseries!T19</f>
        <v>1113512</v>
      </c>
      <c r="V19" s="8">
        <f>validationtimeseries!U19</f>
        <v>1186830</v>
      </c>
    </row>
    <row r="23" spans="1:22" x14ac:dyDescent="0.55000000000000004">
      <c r="A23" t="s">
        <v>1648</v>
      </c>
      <c r="B23">
        <f>B15</f>
        <v>3209.6708356521026</v>
      </c>
    </row>
    <row r="24" spans="1:22" x14ac:dyDescent="0.55000000000000004">
      <c r="A24" t="s">
        <v>1668</v>
      </c>
      <c r="B24">
        <f>_xlfn.STDEV.P(C24:L24)</f>
        <v>615.50532252400239</v>
      </c>
      <c r="C24">
        <f t="shared" ref="C24:L24" si="1">C16</f>
        <v>1058.5833639368343</v>
      </c>
      <c r="D24">
        <f t="shared" si="1"/>
        <v>1098.062489329008</v>
      </c>
      <c r="E24">
        <f t="shared" si="1"/>
        <v>1286.6011211729194</v>
      </c>
      <c r="F24">
        <f t="shared" si="1"/>
        <v>1664.3349324029655</v>
      </c>
      <c r="G24">
        <f t="shared" si="1"/>
        <v>1751.0321006927504</v>
      </c>
      <c r="H24">
        <f t="shared" si="1"/>
        <v>1987.0878890923359</v>
      </c>
      <c r="I24">
        <f t="shared" si="1"/>
        <v>2029.3447044823483</v>
      </c>
      <c r="J24">
        <f t="shared" si="1"/>
        <v>2971.7568499837294</v>
      </c>
      <c r="K24">
        <f t="shared" si="1"/>
        <v>2487.195653497291</v>
      </c>
      <c r="L24">
        <f t="shared" si="1"/>
        <v>2582.8688817229067</v>
      </c>
    </row>
    <row r="25" spans="1:22" x14ac:dyDescent="0.55000000000000004">
      <c r="A25" t="s">
        <v>1986</v>
      </c>
      <c r="B25">
        <f>_xlfn.STDEV.P(M25:V25)</f>
        <v>11823.381240740064</v>
      </c>
      <c r="M25">
        <f t="shared" ref="M25:V25" si="2">SUM(M14,M16,M17)</f>
        <v>6930.6093656411649</v>
      </c>
      <c r="N25">
        <f t="shared" si="2"/>
        <v>6621.9495596894376</v>
      </c>
      <c r="O25">
        <f t="shared" si="2"/>
        <v>7797.9320284869927</v>
      </c>
      <c r="P25">
        <f t="shared" si="2"/>
        <v>9371.2378016975672</v>
      </c>
      <c r="Q25">
        <f t="shared" si="2"/>
        <v>12108.476865414441</v>
      </c>
      <c r="R25">
        <f t="shared" si="2"/>
        <v>15990.445122848316</v>
      </c>
      <c r="S25">
        <f t="shared" si="2"/>
        <v>20948.450314385922</v>
      </c>
      <c r="T25">
        <f t="shared" si="2"/>
        <v>30300.40495665975</v>
      </c>
      <c r="U25">
        <f t="shared" si="2"/>
        <v>37038.759915150738</v>
      </c>
      <c r="V25">
        <f t="shared" si="2"/>
        <v>38224.288069940056</v>
      </c>
    </row>
    <row r="26" spans="1:22" x14ac:dyDescent="0.55000000000000004">
      <c r="A26" t="s">
        <v>1642</v>
      </c>
      <c r="B26">
        <f>_xlfn.STDEV.P(C26:V26)</f>
        <v>11772.504203014752</v>
      </c>
      <c r="C26">
        <f t="shared" ref="C26:V26" si="3">SUM(C14:C17)</f>
        <v>8063.0000000000009</v>
      </c>
      <c r="D26">
        <f t="shared" si="3"/>
        <v>8418</v>
      </c>
      <c r="E26">
        <f t="shared" si="3"/>
        <v>9502</v>
      </c>
      <c r="F26">
        <f t="shared" si="3"/>
        <v>11926</v>
      </c>
      <c r="G26">
        <f t="shared" si="3"/>
        <v>12967</v>
      </c>
      <c r="H26">
        <f t="shared" si="3"/>
        <v>13787</v>
      </c>
      <c r="I26">
        <f t="shared" si="3"/>
        <v>14959</v>
      </c>
      <c r="J26">
        <f t="shared" si="3"/>
        <v>17589</v>
      </c>
      <c r="K26">
        <f t="shared" si="3"/>
        <v>18563</v>
      </c>
      <c r="L26">
        <f t="shared" si="3"/>
        <v>19647</v>
      </c>
      <c r="M26">
        <f t="shared" si="3"/>
        <v>20473</v>
      </c>
      <c r="N26">
        <f t="shared" si="3"/>
        <v>21131.000000000004</v>
      </c>
      <c r="O26">
        <f t="shared" si="3"/>
        <v>22847.000000000004</v>
      </c>
      <c r="P26">
        <f t="shared" si="3"/>
        <v>23226</v>
      </c>
      <c r="Q26">
        <f t="shared" si="3"/>
        <v>25115</v>
      </c>
      <c r="R26">
        <f t="shared" si="3"/>
        <v>28719.000000000004</v>
      </c>
      <c r="S26">
        <f t="shared" si="3"/>
        <v>33203</v>
      </c>
      <c r="T26">
        <f t="shared" si="3"/>
        <v>42433.000000000007</v>
      </c>
      <c r="U26">
        <f t="shared" si="3"/>
        <v>47882</v>
      </c>
      <c r="V26">
        <f t="shared" si="3"/>
        <v>47096</v>
      </c>
    </row>
    <row r="32" spans="1:22" x14ac:dyDescent="0.55000000000000004">
      <c r="A32" s="26"/>
    </row>
    <row r="33" spans="1:1" x14ac:dyDescent="0.55000000000000004">
      <c r="A33" s="26"/>
    </row>
    <row r="34" spans="1:1" x14ac:dyDescent="0.55000000000000004">
      <c r="A34" s="26"/>
    </row>
    <row r="35" spans="1:1" x14ac:dyDescent="0.55000000000000004">
      <c r="A35" s="26"/>
    </row>
    <row r="36" spans="1:1" x14ac:dyDescent="0.55000000000000004">
      <c r="A36" s="26"/>
    </row>
    <row r="37" spans="1:1" x14ac:dyDescent="0.55000000000000004">
      <c r="A37" s="26"/>
    </row>
    <row r="38" spans="1:1" x14ac:dyDescent="0.55000000000000004">
      <c r="A38" s="26"/>
    </row>
    <row r="39" spans="1:1" x14ac:dyDescent="0.55000000000000004">
      <c r="A39" s="26"/>
    </row>
    <row r="40" spans="1:1" x14ac:dyDescent="0.55000000000000004">
      <c r="A40" s="26"/>
    </row>
    <row r="41" spans="1:1" x14ac:dyDescent="0.55000000000000004">
      <c r="A41" s="26"/>
    </row>
    <row r="42" spans="1:1" x14ac:dyDescent="0.55000000000000004">
      <c r="A42" s="26"/>
    </row>
    <row r="43" spans="1:1" x14ac:dyDescent="0.55000000000000004">
      <c r="A43" s="26"/>
    </row>
    <row r="44" spans="1:1" x14ac:dyDescent="0.55000000000000004">
      <c r="A44" s="26"/>
    </row>
    <row r="45" spans="1:1" x14ac:dyDescent="0.55000000000000004">
      <c r="A45" s="26"/>
    </row>
    <row r="46" spans="1:1" x14ac:dyDescent="0.55000000000000004">
      <c r="A46" s="26"/>
    </row>
    <row r="47" spans="1:1" x14ac:dyDescent="0.55000000000000004">
      <c r="A47" s="26"/>
    </row>
    <row r="48" spans="1:1" x14ac:dyDescent="0.55000000000000004">
      <c r="A48" s="26"/>
    </row>
    <row r="49" spans="1:1" x14ac:dyDescent="0.55000000000000004">
      <c r="A49" s="2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2" ma:contentTypeDescription="Create a new document." ma:contentTypeScope="" ma:versionID="ef9e81cc8ea135f7dd7143deedbca767">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f6f209b185d7905ebfc3951605bf0c4b"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C64007-5076-4DDD-B6B0-33978E9411D2}">
  <ds:schemaRefs>
    <ds:schemaRef ds:uri="http://schemas.microsoft.com/sharepoint/v3/contenttype/forms"/>
  </ds:schemaRefs>
</ds:datastoreItem>
</file>

<file path=customXml/itemProps2.xml><?xml version="1.0" encoding="utf-8"?>
<ds:datastoreItem xmlns:ds="http://schemas.openxmlformats.org/officeDocument/2006/customXml" ds:itemID="{69EF2185-4296-4909-B119-96ADB2CF963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28F4AF9-4E75-413A-803A-46FE3EDDF7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Variables</vt:lpstr>
      <vt:lpstr>inputtimeseries</vt:lpstr>
      <vt:lpstr>validationtimeseries</vt:lpstr>
      <vt:lpstr>YearSubs</vt:lpstr>
      <vt:lpstr>Calibration Weights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Celia</dc:creator>
  <cp:keywords/>
  <dc:description/>
  <cp:lastModifiedBy>Celia</cp:lastModifiedBy>
  <cp:revision/>
  <dcterms:created xsi:type="dcterms:W3CDTF">2021-07-09T19:49:47Z</dcterms:created>
  <dcterms:modified xsi:type="dcterms:W3CDTF">2021-07-30T00:16:36Z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