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8_{5E0DD726-EF92-42DB-AE9F-36875294863F}" xr6:coauthVersionLast="47" xr6:coauthVersionMax="47" xr10:uidLastSave="{00000000-0000-0000-0000-000000000000}"/>
  <bookViews>
    <workbookView xWindow="-96" yWindow="-96" windowWidth="23232" windowHeight="12552" tabRatio="920" firstSheet="8"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 name="Projections using 2019" sheetId="31" r:id="rId15"/>
  </sheets>
  <externalReferences>
    <externalReference r:id="rId16"/>
  </externalReferences>
  <definedNames>
    <definedName name="_xlnm._FilterDatabase" localSheetId="6" hidden="1">'[1]LEO Nx estimates'!$A$30:$U$35</definedName>
    <definedName name="test">#REF!</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B7" i="2"/>
  <c r="I12" i="2"/>
  <c r="J13" i="2"/>
  <c r="K13" i="2"/>
  <c r="L13" i="2"/>
  <c r="M13" i="2"/>
  <c r="N13" i="2"/>
  <c r="O13" i="2"/>
  <c r="P13" i="2"/>
  <c r="Q13" i="2"/>
  <c r="R13" i="2"/>
  <c r="S13" i="2"/>
  <c r="T13" i="2"/>
  <c r="U13" i="2"/>
  <c r="V13" i="2"/>
  <c r="I13" i="2"/>
  <c r="AF60" i="31"/>
  <c r="X49" i="31"/>
  <c r="Y49" i="31"/>
  <c r="Z49" i="31"/>
  <c r="AA49" i="31"/>
  <c r="AB49" i="31"/>
  <c r="AC49" i="31"/>
  <c r="AD49" i="31"/>
  <c r="AE49" i="31"/>
  <c r="AF49" i="31"/>
  <c r="AG49" i="31"/>
  <c r="AH49" i="31"/>
  <c r="W49" i="31"/>
  <c r="W52" i="31"/>
  <c r="A49" i="31"/>
  <c r="A42" i="31"/>
  <c r="B3" i="2"/>
  <c r="B49" i="31" s="1"/>
  <c r="C3" i="2"/>
  <c r="C49" i="31" s="1"/>
  <c r="D3" i="2"/>
  <c r="D49" i="31" s="1"/>
  <c r="E3" i="2"/>
  <c r="E49" i="31" s="1"/>
  <c r="F3" i="2"/>
  <c r="F49" i="31" s="1"/>
  <c r="G3" i="2"/>
  <c r="G49" i="31" s="1"/>
  <c r="H3" i="2"/>
  <c r="H49" i="31" s="1"/>
  <c r="J3" i="2"/>
  <c r="J49" i="31" s="1"/>
  <c r="K3" i="2"/>
  <c r="K49" i="31" s="1"/>
  <c r="L3" i="2"/>
  <c r="L49" i="31" s="1"/>
  <c r="M3" i="2"/>
  <c r="M49" i="31" s="1"/>
  <c r="N3" i="2"/>
  <c r="N49" i="31" s="1"/>
  <c r="O3" i="2"/>
  <c r="O49" i="31" s="1"/>
  <c r="P3" i="2"/>
  <c r="P49" i="31" s="1"/>
  <c r="Q3" i="2"/>
  <c r="Q49" i="31" s="1"/>
  <c r="R3" i="2"/>
  <c r="R49" i="31" s="1"/>
  <c r="S3" i="2"/>
  <c r="S49" i="31" s="1"/>
  <c r="T3" i="2"/>
  <c r="T49" i="31" s="1"/>
  <c r="U3" i="2"/>
  <c r="U49" i="31" s="1"/>
  <c r="V3" i="2"/>
  <c r="V49" i="31" s="1"/>
  <c r="W3" i="2"/>
  <c r="I3" i="2"/>
  <c r="I49" i="31" s="1"/>
  <c r="J12" i="2"/>
  <c r="K12" i="2"/>
  <c r="L12" i="2"/>
  <c r="M12" i="2"/>
  <c r="N12" i="2"/>
  <c r="O12" i="2"/>
  <c r="P12" i="2"/>
  <c r="Q12" i="2"/>
  <c r="R12" i="2"/>
  <c r="S12" i="2"/>
  <c r="T12" i="2"/>
  <c r="U12" i="2"/>
  <c r="V12" i="2"/>
  <c r="B13" i="2" l="1"/>
  <c r="C13" i="2"/>
  <c r="D13" i="2"/>
  <c r="E13" i="2"/>
  <c r="F13" i="2"/>
  <c r="G13" i="2"/>
  <c r="H13" i="2"/>
  <c r="C9" i="25"/>
  <c r="C7" i="25"/>
  <c r="W82" i="31" l="1"/>
  <c r="W79" i="31" s="1"/>
  <c r="AH65" i="31"/>
  <c r="X65" i="31"/>
  <c r="Y65" i="31"/>
  <c r="Z65" i="31"/>
  <c r="AA65" i="31"/>
  <c r="AB65" i="31"/>
  <c r="AC65" i="31"/>
  <c r="AD65" i="31"/>
  <c r="AE65" i="31"/>
  <c r="AF65" i="31"/>
  <c r="AG65" i="31"/>
  <c r="X55" i="31"/>
  <c r="Y55" i="31"/>
  <c r="Z55" i="31"/>
  <c r="AA55" i="31"/>
  <c r="AB55" i="31"/>
  <c r="AC55" i="31"/>
  <c r="AD55" i="31"/>
  <c r="AE55" i="31"/>
  <c r="AF55" i="31"/>
  <c r="AG55" i="31"/>
  <c r="AH55" i="31"/>
  <c r="W55" i="31"/>
  <c r="W75" i="31"/>
  <c r="X72" i="31" s="1"/>
  <c r="W68" i="31"/>
  <c r="W65" i="31" s="1"/>
  <c r="W58" i="31"/>
  <c r="W38" i="31"/>
  <c r="W35" i="31" s="1"/>
  <c r="W9" i="31"/>
  <c r="W6" i="31" s="1"/>
  <c r="AH79" i="31"/>
  <c r="AG79" i="31"/>
  <c r="AF79" i="31"/>
  <c r="AE79" i="31"/>
  <c r="AD79" i="31"/>
  <c r="AC79" i="31"/>
  <c r="AB79" i="31"/>
  <c r="AA79" i="31"/>
  <c r="Z79" i="31"/>
  <c r="Y79" i="31"/>
  <c r="X79" i="31"/>
  <c r="I79" i="31"/>
  <c r="H79" i="31"/>
  <c r="G79" i="31"/>
  <c r="F79" i="31"/>
  <c r="E79" i="31"/>
  <c r="D79" i="31"/>
  <c r="C79" i="31"/>
  <c r="B79" i="31"/>
  <c r="AH72" i="31"/>
  <c r="AG72" i="31"/>
  <c r="AF72" i="31"/>
  <c r="AE72" i="31"/>
  <c r="AD72" i="31"/>
  <c r="AC72" i="31"/>
  <c r="AB72" i="31"/>
  <c r="AA72" i="31"/>
  <c r="Z72" i="31"/>
  <c r="Y72" i="31"/>
  <c r="K72" i="31"/>
  <c r="J72" i="31"/>
  <c r="I72" i="31"/>
  <c r="H72" i="31"/>
  <c r="G72" i="31"/>
  <c r="F72" i="31"/>
  <c r="E72" i="31"/>
  <c r="D72" i="31"/>
  <c r="C72" i="31"/>
  <c r="B72" i="31"/>
  <c r="W45" i="31"/>
  <c r="AH42" i="31"/>
  <c r="AG42" i="31"/>
  <c r="AF42" i="31"/>
  <c r="AE42" i="31"/>
  <c r="AD42" i="31"/>
  <c r="AC42" i="31"/>
  <c r="AB42" i="31"/>
  <c r="AA42" i="31"/>
  <c r="Z42" i="31"/>
  <c r="Y42" i="31"/>
  <c r="X42" i="31"/>
  <c r="W42" i="31"/>
  <c r="AH35" i="31"/>
  <c r="AG35" i="31"/>
  <c r="AF35" i="31"/>
  <c r="AE35" i="31"/>
  <c r="AD35" i="31"/>
  <c r="AC35" i="31"/>
  <c r="AB35" i="31"/>
  <c r="AA35" i="31"/>
  <c r="Z35" i="31"/>
  <c r="Y35" i="31"/>
  <c r="X35" i="31"/>
  <c r="A35" i="31"/>
  <c r="W30" i="31"/>
  <c r="AH27" i="31"/>
  <c r="Z31" i="31" s="1"/>
  <c r="AG27" i="31"/>
  <c r="AF27" i="31"/>
  <c r="AE27" i="31"/>
  <c r="AD27" i="31"/>
  <c r="AC27" i="31"/>
  <c r="AB27" i="31"/>
  <c r="AA27" i="31"/>
  <c r="Z27" i="31"/>
  <c r="Y27" i="31"/>
  <c r="X27" i="31"/>
  <c r="W27" i="31"/>
  <c r="A27" i="31"/>
  <c r="W22" i="31"/>
  <c r="AH19" i="31"/>
  <c r="Z23" i="31" s="1"/>
  <c r="AG19" i="31"/>
  <c r="AF19" i="31"/>
  <c r="AE19" i="31"/>
  <c r="AD19" i="31"/>
  <c r="AC19" i="31"/>
  <c r="AB19" i="31"/>
  <c r="AA19" i="31"/>
  <c r="Z19" i="31"/>
  <c r="Y19" i="31"/>
  <c r="X19" i="31"/>
  <c r="W19" i="31"/>
  <c r="V19" i="31"/>
  <c r="T19" i="31"/>
  <c r="S19" i="31"/>
  <c r="R19" i="31"/>
  <c r="Q19" i="31"/>
  <c r="P19" i="31"/>
  <c r="O19" i="31"/>
  <c r="N19" i="31"/>
  <c r="M19" i="31"/>
  <c r="L19" i="31"/>
  <c r="K19" i="31"/>
  <c r="J19" i="31"/>
  <c r="I19" i="31"/>
  <c r="H19" i="31"/>
  <c r="G19" i="31"/>
  <c r="F19" i="31"/>
  <c r="E19" i="31"/>
  <c r="C19" i="31"/>
  <c r="W15" i="31"/>
  <c r="AH12" i="31"/>
  <c r="Z16" i="31" s="1"/>
  <c r="AG12" i="31"/>
  <c r="AF12" i="31"/>
  <c r="AE12" i="31"/>
  <c r="AD12" i="31"/>
  <c r="AC12" i="31"/>
  <c r="AB12" i="31"/>
  <c r="AA12" i="31"/>
  <c r="Z12" i="31"/>
  <c r="Y12" i="31"/>
  <c r="X12" i="31"/>
  <c r="W12" i="31"/>
  <c r="V12" i="31"/>
  <c r="T12" i="31"/>
  <c r="S12" i="31"/>
  <c r="R12" i="31"/>
  <c r="Q12" i="31"/>
  <c r="P12" i="31"/>
  <c r="O12" i="31"/>
  <c r="N12" i="31"/>
  <c r="M12" i="31"/>
  <c r="L12" i="31"/>
  <c r="K12" i="31"/>
  <c r="J12" i="31"/>
  <c r="I12" i="31"/>
  <c r="H12" i="31"/>
  <c r="G12" i="31"/>
  <c r="F12" i="31"/>
  <c r="E12" i="31"/>
  <c r="C12" i="31"/>
  <c r="A12" i="31"/>
  <c r="X6" i="31"/>
  <c r="AH6" i="31"/>
  <c r="AG6" i="31"/>
  <c r="AF6" i="31"/>
  <c r="AE6" i="31"/>
  <c r="AD6" i="31"/>
  <c r="AC6" i="31"/>
  <c r="AB6" i="31"/>
  <c r="AA6" i="31"/>
  <c r="Z6" i="31"/>
  <c r="Y6" i="31"/>
  <c r="D6" i="31"/>
  <c r="C6" i="31"/>
  <c r="B6" i="31"/>
  <c r="A6" i="31"/>
  <c r="W45" i="29"/>
  <c r="W42" i="29" s="1"/>
  <c r="W58" i="2"/>
  <c r="AF61" i="31" l="1"/>
  <c r="W72" i="31"/>
  <c r="AF62" i="31"/>
  <c r="Y63" i="29"/>
  <c r="Z63" i="29"/>
  <c r="AA63" i="29"/>
  <c r="AB63" i="29"/>
  <c r="AC63" i="29"/>
  <c r="AD63" i="29"/>
  <c r="AE63" i="29"/>
  <c r="AF63" i="29"/>
  <c r="AG63" i="29"/>
  <c r="AH35" i="29"/>
  <c r="Y35" i="29"/>
  <c r="Z35" i="29"/>
  <c r="AA35" i="29"/>
  <c r="AB35" i="29"/>
  <c r="AC35" i="29"/>
  <c r="AD35" i="29"/>
  <c r="AE35" i="29"/>
  <c r="AF35" i="29"/>
  <c r="AG35" i="29"/>
  <c r="W27" i="29"/>
  <c r="X38" i="29"/>
  <c r="X35" i="29" s="1"/>
  <c r="W30" i="29"/>
  <c r="W22" i="29"/>
  <c r="AD57" i="29" l="1"/>
  <c r="AE57" i="29"/>
  <c r="X80" i="29"/>
  <c r="X73" i="29"/>
  <c r="X70" i="29" s="1"/>
  <c r="X77" i="29"/>
  <c r="AH77" i="29"/>
  <c r="AG77" i="29"/>
  <c r="AF77" i="29"/>
  <c r="AE77" i="29"/>
  <c r="AD77" i="29"/>
  <c r="AC77" i="29"/>
  <c r="AB77" i="29"/>
  <c r="AA77" i="29"/>
  <c r="Z77" i="29"/>
  <c r="Y77" i="29"/>
  <c r="I77" i="29"/>
  <c r="H77" i="29"/>
  <c r="G77" i="29"/>
  <c r="F77" i="29"/>
  <c r="E77" i="29"/>
  <c r="D77" i="29"/>
  <c r="C77" i="29"/>
  <c r="B77" i="29"/>
  <c r="AH70" i="29"/>
  <c r="AG70" i="29"/>
  <c r="AF70" i="29"/>
  <c r="AE70" i="29"/>
  <c r="AD70" i="29"/>
  <c r="AC70" i="29"/>
  <c r="AB70" i="29"/>
  <c r="AA70" i="29"/>
  <c r="Z70" i="29"/>
  <c r="Y70" i="29"/>
  <c r="K70" i="29"/>
  <c r="J70" i="29"/>
  <c r="I70" i="29"/>
  <c r="H70" i="29"/>
  <c r="G70" i="29"/>
  <c r="F70" i="29"/>
  <c r="E70" i="29"/>
  <c r="D70" i="29"/>
  <c r="C70" i="29"/>
  <c r="B70" i="29"/>
  <c r="X66" i="29"/>
  <c r="X63" i="29" s="1"/>
  <c r="AH63" i="29"/>
  <c r="X52" i="29"/>
  <c r="X49" i="29" s="1"/>
  <c r="AH49" i="29"/>
  <c r="AG49" i="29"/>
  <c r="AG57" i="29" s="1"/>
  <c r="AF49" i="29"/>
  <c r="AF57" i="29" s="1"/>
  <c r="AE49" i="29"/>
  <c r="AD49" i="29"/>
  <c r="AC49" i="29"/>
  <c r="AC57" i="29" s="1"/>
  <c r="AB49" i="29"/>
  <c r="AB57" i="29" s="1"/>
  <c r="AA49" i="29"/>
  <c r="AA57" i="29" s="1"/>
  <c r="Z49" i="29"/>
  <c r="Z57" i="29" s="1"/>
  <c r="Y49" i="29"/>
  <c r="Y57" i="29" s="1"/>
  <c r="AH42" i="29"/>
  <c r="AF54" i="29" s="1"/>
  <c r="AG42" i="29"/>
  <c r="AF42" i="29"/>
  <c r="AE42" i="29"/>
  <c r="AD42" i="29"/>
  <c r="AC42" i="29"/>
  <c r="AB42" i="29"/>
  <c r="AA42" i="29"/>
  <c r="Z42" i="29"/>
  <c r="Y42" i="29"/>
  <c r="A42" i="29"/>
  <c r="A35" i="29"/>
  <c r="AH27" i="29"/>
  <c r="Z31" i="29" s="1"/>
  <c r="AG27" i="29"/>
  <c r="AF27" i="29"/>
  <c r="AE27" i="29"/>
  <c r="AD27" i="29"/>
  <c r="AC27" i="29"/>
  <c r="AB27" i="29"/>
  <c r="AA27" i="29"/>
  <c r="Z27" i="29"/>
  <c r="Y27" i="29"/>
  <c r="X27" i="29"/>
  <c r="A27" i="29"/>
  <c r="AH19" i="29"/>
  <c r="Z23" i="29" s="1"/>
  <c r="AG19" i="29"/>
  <c r="AF19" i="29"/>
  <c r="AE19" i="29"/>
  <c r="AD19" i="29"/>
  <c r="AC19" i="29"/>
  <c r="AB19" i="29"/>
  <c r="AA19" i="29"/>
  <c r="Z19" i="29"/>
  <c r="Y19" i="29"/>
  <c r="X19" i="29"/>
  <c r="W19" i="29"/>
  <c r="V19" i="29"/>
  <c r="T19" i="29"/>
  <c r="S19" i="29"/>
  <c r="R19" i="29"/>
  <c r="Q19" i="29"/>
  <c r="P19" i="29"/>
  <c r="O19" i="29"/>
  <c r="N19" i="29"/>
  <c r="M19" i="29"/>
  <c r="L19" i="29"/>
  <c r="K19" i="29"/>
  <c r="J19" i="29"/>
  <c r="I19" i="29"/>
  <c r="H19" i="29"/>
  <c r="G19" i="29"/>
  <c r="F19" i="29"/>
  <c r="E19" i="29"/>
  <c r="C19" i="29"/>
  <c r="W15" i="29"/>
  <c r="AH12" i="29"/>
  <c r="Z16" i="29" s="1"/>
  <c r="AG12" i="29"/>
  <c r="AF12" i="29"/>
  <c r="AE12" i="29"/>
  <c r="AD12" i="29"/>
  <c r="AC12" i="29"/>
  <c r="AB12" i="29"/>
  <c r="AA12" i="29"/>
  <c r="Z12" i="29"/>
  <c r="Y12" i="29"/>
  <c r="X12" i="29"/>
  <c r="W12" i="29"/>
  <c r="V12" i="29"/>
  <c r="T12" i="29"/>
  <c r="S12" i="29"/>
  <c r="R12" i="29"/>
  <c r="Q12" i="29"/>
  <c r="P12" i="29"/>
  <c r="O12" i="29"/>
  <c r="N12" i="29"/>
  <c r="M12" i="29"/>
  <c r="L12" i="29"/>
  <c r="K12" i="29"/>
  <c r="J12" i="29"/>
  <c r="I12" i="29"/>
  <c r="H12" i="29"/>
  <c r="G12" i="29"/>
  <c r="F12" i="29"/>
  <c r="E12" i="29"/>
  <c r="C12" i="29"/>
  <c r="A12" i="29"/>
  <c r="X9" i="29"/>
  <c r="X6" i="29" s="1"/>
  <c r="AH6" i="29"/>
  <c r="AG6" i="29"/>
  <c r="AF6" i="29"/>
  <c r="AE6" i="29"/>
  <c r="AD6" i="29"/>
  <c r="AC6" i="29"/>
  <c r="AB6" i="29"/>
  <c r="AA6" i="29"/>
  <c r="Z6" i="29"/>
  <c r="Y6" i="29"/>
  <c r="D6" i="29"/>
  <c r="C6" i="29"/>
  <c r="B6" i="29"/>
  <c r="A6" i="29"/>
  <c r="AH57" i="29" l="1"/>
  <c r="X57" i="29"/>
  <c r="AF55" i="29"/>
  <c r="C7" i="19"/>
  <c r="F7" i="19"/>
  <c r="G7" i="19"/>
  <c r="J7" i="19"/>
  <c r="K7" i="19"/>
  <c r="N7" i="19"/>
  <c r="O7" i="19"/>
  <c r="R7" i="19"/>
  <c r="S7" i="19"/>
  <c r="V7" i="19"/>
  <c r="W7" i="19"/>
  <c r="X71" i="19"/>
  <c r="B7" i="19" s="1"/>
  <c r="AR69" i="19"/>
  <c r="AS70" i="19" s="1"/>
  <c r="AS71" i="19" s="1"/>
  <c r="Y71" i="19"/>
  <c r="Z71" i="19"/>
  <c r="D7" i="19" s="1"/>
  <c r="AA71" i="19"/>
  <c r="E7" i="19" s="1"/>
  <c r="AB71" i="19"/>
  <c r="AC71" i="19"/>
  <c r="AD71" i="19"/>
  <c r="H7" i="19" s="1"/>
  <c r="AE71" i="19"/>
  <c r="I7" i="19" s="1"/>
  <c r="AF71" i="19"/>
  <c r="AG71" i="19"/>
  <c r="AH71" i="19"/>
  <c r="L7" i="19" s="1"/>
  <c r="AI71" i="19"/>
  <c r="M7" i="19" s="1"/>
  <c r="AJ71" i="19"/>
  <c r="AK71" i="19"/>
  <c r="AL71" i="19"/>
  <c r="P7" i="19" s="1"/>
  <c r="AM71" i="19"/>
  <c r="Q7" i="19" s="1"/>
  <c r="AN71" i="19"/>
  <c r="AO71" i="19"/>
  <c r="AP71" i="19"/>
  <c r="T7" i="19" s="1"/>
  <c r="AQ71" i="19"/>
  <c r="U7" i="19" s="1"/>
  <c r="AR71" i="19"/>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I27" i="31" l="1"/>
  <c r="I27" i="29"/>
  <c r="F27" i="31"/>
  <c r="F27" i="29"/>
  <c r="C27" i="31"/>
  <c r="C27" i="29"/>
  <c r="G27" i="31"/>
  <c r="G27" i="29"/>
  <c r="K27" i="31"/>
  <c r="K27" i="29"/>
  <c r="E27" i="31"/>
  <c r="E27" i="29"/>
  <c r="B27" i="31"/>
  <c r="B27" i="29"/>
  <c r="J27" i="31"/>
  <c r="J27" i="29"/>
  <c r="D27" i="31"/>
  <c r="D27" i="29"/>
  <c r="H27" i="31"/>
  <c r="H27" i="29"/>
  <c r="L27" i="31"/>
  <c r="L27" i="29"/>
  <c r="U27" i="31"/>
  <c r="U27" i="29"/>
  <c r="D16" i="22"/>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T27" i="31" l="1"/>
  <c r="T27" i="29"/>
  <c r="O27" i="31"/>
  <c r="O27" i="29"/>
  <c r="P27" i="31"/>
  <c r="P27" i="29"/>
  <c r="V27" i="31"/>
  <c r="V27" i="29"/>
  <c r="Q27" i="31"/>
  <c r="Q27" i="29"/>
  <c r="R27" i="31"/>
  <c r="R27" i="29"/>
  <c r="M27" i="31"/>
  <c r="M27" i="29"/>
  <c r="S27" i="31"/>
  <c r="S27" i="29"/>
  <c r="N27" i="31"/>
  <c r="N27" i="29"/>
  <c r="Q28" i="25"/>
  <c r="Q27" i="25"/>
  <c r="R27" i="25" s="1"/>
  <c r="AO2" i="25" s="1"/>
  <c r="C45" i="18"/>
  <c r="D45" i="18"/>
  <c r="E5" i="18"/>
  <c r="B5" i="18"/>
  <c r="B2" i="18"/>
  <c r="W17" i="18"/>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V35" i="31" l="1"/>
  <c r="V35" i="29"/>
  <c r="M39" i="2"/>
  <c r="L37" i="2"/>
  <c r="L46" i="2"/>
  <c r="M46" i="2"/>
  <c r="N46" i="2"/>
  <c r="O46" i="2"/>
  <c r="P46" i="2"/>
  <c r="Q46" i="2"/>
  <c r="R46" i="2"/>
  <c r="S46" i="2"/>
  <c r="T46" i="2"/>
  <c r="U46" i="2"/>
  <c r="V46" i="2"/>
  <c r="C4" i="2"/>
  <c r="D4" i="2"/>
  <c r="E4" i="2"/>
  <c r="F4" i="2"/>
  <c r="G4" i="2"/>
  <c r="H4" i="2"/>
  <c r="I4" i="2"/>
  <c r="J4" i="2"/>
  <c r="K4" i="2"/>
  <c r="L4" i="2"/>
  <c r="M4" i="2"/>
  <c r="N4" i="2"/>
  <c r="O4" i="2"/>
  <c r="P4" i="2"/>
  <c r="Q4" i="2"/>
  <c r="R4" i="2"/>
  <c r="S4" i="2"/>
  <c r="T4" i="2"/>
  <c r="U4" i="2"/>
  <c r="V4" i="2"/>
  <c r="W4" i="2"/>
  <c r="W49" i="29" s="1"/>
  <c r="B4" i="2"/>
  <c r="M38" i="2"/>
  <c r="B81" i="2"/>
  <c r="S55" i="31" l="1"/>
  <c r="S49" i="29"/>
  <c r="G55" i="31"/>
  <c r="G49" i="29"/>
  <c r="O55" i="31"/>
  <c r="O49" i="29"/>
  <c r="K55" i="31"/>
  <c r="K49" i="29"/>
  <c r="C55" i="31"/>
  <c r="C49" i="29"/>
  <c r="V55" i="31"/>
  <c r="V49" i="29"/>
  <c r="R55" i="31"/>
  <c r="R49" i="29"/>
  <c r="N55" i="31"/>
  <c r="N49" i="29"/>
  <c r="J55" i="31"/>
  <c r="J49" i="29"/>
  <c r="F55" i="31"/>
  <c r="F49" i="29"/>
  <c r="U55" i="31"/>
  <c r="U49" i="29"/>
  <c r="Q55" i="31"/>
  <c r="Q49" i="29"/>
  <c r="M55" i="31"/>
  <c r="M49" i="29"/>
  <c r="I55" i="31"/>
  <c r="I49" i="29"/>
  <c r="E55" i="31"/>
  <c r="E49" i="29"/>
  <c r="B55" i="31"/>
  <c r="B49" i="29"/>
  <c r="T55" i="31"/>
  <c r="T49" i="29"/>
  <c r="P55" i="31"/>
  <c r="P49" i="29"/>
  <c r="L55" i="31"/>
  <c r="L49" i="29"/>
  <c r="H55" i="31"/>
  <c r="H49" i="29"/>
  <c r="D55" i="31"/>
  <c r="D49" i="29"/>
  <c r="X40" i="2"/>
  <c r="X39" i="2"/>
  <c r="X38" i="2"/>
  <c r="X37" i="2"/>
  <c r="W52" i="2" l="1"/>
  <c r="W54" i="2" s="1"/>
  <c r="W5" i="2"/>
  <c r="W63" i="29" s="1"/>
  <c r="W57" i="29" s="1"/>
  <c r="W75" i="2" l="1"/>
  <c r="W70" i="29" s="1"/>
  <c r="L75" i="2"/>
  <c r="M32" i="2"/>
  <c r="N32" i="2"/>
  <c r="O32" i="2"/>
  <c r="P32" i="2"/>
  <c r="Q32" i="2"/>
  <c r="R32" i="2"/>
  <c r="S32" i="2"/>
  <c r="T32" i="2"/>
  <c r="U32" i="2"/>
  <c r="V32" i="2"/>
  <c r="X42" i="2" s="1"/>
  <c r="L32" i="2"/>
  <c r="L72" i="31" l="1"/>
  <c r="L70" i="29"/>
  <c r="X41" i="2"/>
  <c r="W6" i="2"/>
  <c r="V37" i="2"/>
  <c r="T41" i="2"/>
  <c r="T40" i="2"/>
  <c r="T39" i="2"/>
  <c r="T38" i="2"/>
  <c r="T37" i="2"/>
  <c r="S37" i="2"/>
  <c r="U37" i="2"/>
  <c r="U38" i="2"/>
  <c r="V38" i="2"/>
  <c r="U39" i="2"/>
  <c r="V39" i="2"/>
  <c r="U40" i="2"/>
  <c r="V40" i="2"/>
  <c r="U41" i="2"/>
  <c r="V41" i="2"/>
  <c r="O37" i="2"/>
  <c r="T52" i="2" l="1"/>
  <c r="T54" i="2" s="1"/>
  <c r="U52" i="2"/>
  <c r="U54" i="2" s="1"/>
  <c r="V52" i="2"/>
  <c r="V54"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101" i="2" l="1"/>
  <c r="B101" i="2"/>
  <c r="B97" i="2"/>
  <c r="D82" i="2" l="1"/>
  <c r="D83" i="2"/>
  <c r="D84" i="2"/>
  <c r="D85" i="2"/>
  <c r="D86" i="2"/>
  <c r="D87" i="2"/>
  <c r="D88" i="2"/>
  <c r="D89" i="2"/>
  <c r="D90" i="2"/>
  <c r="D81" i="2"/>
  <c r="C82" i="2"/>
  <c r="C83" i="2"/>
  <c r="C84" i="2"/>
  <c r="C85" i="2"/>
  <c r="C86" i="2"/>
  <c r="C87" i="2"/>
  <c r="C88" i="2"/>
  <c r="C89" i="2"/>
  <c r="C90" i="2"/>
  <c r="C81" i="2"/>
  <c r="B82" i="2"/>
  <c r="B83" i="2"/>
  <c r="B84" i="2"/>
  <c r="B85" i="2"/>
  <c r="B86" i="2"/>
  <c r="B87" i="2"/>
  <c r="B88" i="2"/>
  <c r="B89" i="2"/>
  <c r="B90" i="2"/>
  <c r="B91" i="2" l="1"/>
  <c r="B65" i="2" s="1"/>
  <c r="C91" i="2"/>
  <c r="C65" i="2" s="1"/>
  <c r="D91" i="2"/>
  <c r="D65"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F11" i="27"/>
  <c r="H11" i="27"/>
  <c r="E11" i="27"/>
  <c r="I11"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5" i="2"/>
  <c r="C5" i="2"/>
  <c r="D5" i="2"/>
  <c r="B6" i="2"/>
  <c r="C6" i="2"/>
  <c r="D6" i="2"/>
  <c r="U10" i="3"/>
  <c r="U11" i="3"/>
  <c r="U12" i="3"/>
  <c r="T10" i="3"/>
  <c r="T11" i="3"/>
  <c r="T12" i="3"/>
  <c r="S10" i="3"/>
  <c r="S11" i="3"/>
  <c r="S12" i="3"/>
  <c r="R10" i="3"/>
  <c r="Q10" i="3" s="1"/>
  <c r="R11" i="3"/>
  <c r="R12" i="3"/>
  <c r="B2" i="24"/>
  <c r="C2" i="24"/>
  <c r="D2" i="24"/>
  <c r="D65" i="31" l="1"/>
  <c r="D63" i="29"/>
  <c r="D57" i="29" s="1"/>
  <c r="C65" i="31"/>
  <c r="C63" i="29"/>
  <c r="C57" i="29" s="1"/>
  <c r="B65" i="31"/>
  <c r="B63" i="29"/>
  <c r="B57" i="29" s="1"/>
  <c r="B12" i="27"/>
  <c r="B2" i="27" s="1"/>
  <c r="R28" i="25"/>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B19" i="31" l="1"/>
  <c r="B12" i="31"/>
  <c r="B12" i="29"/>
  <c r="B19" i="29"/>
  <c r="D12" i="31"/>
  <c r="D19" i="31"/>
  <c r="D19" i="29"/>
  <c r="D12" i="29"/>
  <c r="W35" i="29"/>
  <c r="AC10" i="3"/>
  <c r="AG10" i="3" s="1"/>
  <c r="B54" i="3" s="1"/>
  <c r="B5" i="3" s="1"/>
  <c r="AC11" i="3"/>
  <c r="AG11" i="3" s="1"/>
  <c r="C54" i="3" s="1"/>
  <c r="C5" i="3" s="1"/>
  <c r="D35" i="24"/>
  <c r="E2" i="24" l="1"/>
  <c r="F2" i="24"/>
  <c r="G2" i="24"/>
  <c r="H2" i="24"/>
  <c r="I2" i="24"/>
  <c r="V75" i="2"/>
  <c r="Z36" i="24"/>
  <c r="X36" i="24"/>
  <c r="V36" i="24"/>
  <c r="T36" i="24"/>
  <c r="R36" i="24"/>
  <c r="P36" i="24"/>
  <c r="N36" i="24"/>
  <c r="L36" i="24"/>
  <c r="J36" i="24"/>
  <c r="H36" i="24"/>
  <c r="F36" i="24"/>
  <c r="D36" i="24"/>
  <c r="B36" i="24"/>
  <c r="V72" i="31" l="1"/>
  <c r="V70" i="29"/>
  <c r="V6" i="2"/>
  <c r="V5" i="2"/>
  <c r="V65" i="31" l="1"/>
  <c r="V63" i="29"/>
  <c r="V57" i="29" s="1"/>
  <c r="AB31" i="24"/>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K79" i="31" l="1"/>
  <c r="K77" i="29"/>
  <c r="O79" i="31"/>
  <c r="O77" i="29"/>
  <c r="P37" i="24"/>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V79" i="31" l="1"/>
  <c r="V77" i="29"/>
  <c r="M79" i="31"/>
  <c r="M77" i="29"/>
  <c r="J79" i="31"/>
  <c r="J77" i="29"/>
  <c r="P2" i="24"/>
  <c r="P79" i="31"/>
  <c r="P77" i="29"/>
  <c r="R79" i="31"/>
  <c r="R77" i="29"/>
  <c r="U79" i="31"/>
  <c r="U77" i="29"/>
  <c r="N2" i="24"/>
  <c r="N79" i="31"/>
  <c r="N77" i="29"/>
  <c r="S79" i="31"/>
  <c r="S77" i="29"/>
  <c r="S2" i="24"/>
  <c r="T79" i="31"/>
  <c r="T77" i="29"/>
  <c r="L79" i="31"/>
  <c r="L77" i="29"/>
  <c r="Q79" i="31"/>
  <c r="Q77" i="29"/>
  <c r="M2" i="24"/>
  <c r="V2" i="24"/>
  <c r="AB37" i="24"/>
  <c r="AC37" i="24" s="1"/>
  <c r="W41" i="24" s="1"/>
  <c r="W77" i="29"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8" i="2"/>
  <c r="N58" i="2"/>
  <c r="O58" i="2"/>
  <c r="P58" i="2"/>
  <c r="Q58" i="2"/>
  <c r="R58" i="2"/>
  <c r="S58" i="2"/>
  <c r="T58" i="2"/>
  <c r="U58" i="2"/>
  <c r="V58" i="2"/>
  <c r="L58"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P35" i="31" l="1"/>
  <c r="P35" i="29"/>
  <c r="L35" i="31"/>
  <c r="L35" i="29"/>
  <c r="U2" i="27"/>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V6" i="31" l="1"/>
  <c r="V6" i="29"/>
  <c r="T6" i="31"/>
  <c r="T6" i="29"/>
  <c r="U6" i="31"/>
  <c r="U6" i="29"/>
  <c r="U3" i="23"/>
  <c r="U12" i="31" l="1"/>
  <c r="U19" i="31"/>
  <c r="U19" i="29"/>
  <c r="U12" i="29"/>
  <c r="U70" i="9"/>
  <c r="W2" i="9" s="1"/>
  <c r="U71" i="9"/>
  <c r="W3" i="9" s="1"/>
  <c r="U72" i="9"/>
  <c r="W4" i="9" s="1"/>
  <c r="W5" i="9" l="1"/>
  <c r="W6" i="29" s="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W30" i="18" s="1"/>
  <c r="E4" i="18" s="1"/>
  <c r="E3" i="18" s="1"/>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75" i="2" l="1"/>
  <c r="U75" i="2"/>
  <c r="M75" i="2"/>
  <c r="N75" i="2"/>
  <c r="O75" i="2"/>
  <c r="P75" i="2"/>
  <c r="Q75" i="2"/>
  <c r="R75" i="2"/>
  <c r="S75" i="2"/>
  <c r="R72" i="31" l="1"/>
  <c r="R70" i="29"/>
  <c r="N72" i="31"/>
  <c r="N70" i="29"/>
  <c r="Q72" i="31"/>
  <c r="Q70" i="29"/>
  <c r="M72" i="31"/>
  <c r="M70" i="29"/>
  <c r="P72" i="31"/>
  <c r="P70" i="29"/>
  <c r="U72" i="31"/>
  <c r="U70" i="29"/>
  <c r="S72" i="31"/>
  <c r="S70" i="29"/>
  <c r="O72" i="31"/>
  <c r="O70" i="29"/>
  <c r="T72" i="31"/>
  <c r="T70" i="29"/>
  <c r="U5" i="2"/>
  <c r="T5" i="2"/>
  <c r="S5" i="2"/>
  <c r="O5" i="2"/>
  <c r="P5" i="2"/>
  <c r="Q5" i="2"/>
  <c r="R5" i="2"/>
  <c r="F5" i="2"/>
  <c r="G5" i="2"/>
  <c r="H5" i="2"/>
  <c r="I5" i="2"/>
  <c r="J5" i="2"/>
  <c r="K5" i="2"/>
  <c r="L5" i="2"/>
  <c r="M5" i="2"/>
  <c r="N5" i="2"/>
  <c r="E5" i="2"/>
  <c r="H65" i="31" l="1"/>
  <c r="H63" i="29"/>
  <c r="H57" i="29" s="1"/>
  <c r="K65" i="31"/>
  <c r="K63" i="29"/>
  <c r="K57" i="29" s="1"/>
  <c r="P65" i="31"/>
  <c r="P63" i="29"/>
  <c r="P57" i="29" s="1"/>
  <c r="O65" i="31"/>
  <c r="O63" i="29"/>
  <c r="O57" i="29" s="1"/>
  <c r="L65" i="31"/>
  <c r="L63" i="29"/>
  <c r="L57" i="29" s="1"/>
  <c r="Q65" i="31"/>
  <c r="Q63" i="29"/>
  <c r="Q57" i="29" s="1"/>
  <c r="T65" i="31"/>
  <c r="T63" i="29"/>
  <c r="T57" i="29" s="1"/>
  <c r="E65" i="31"/>
  <c r="E63" i="29"/>
  <c r="E57" i="29" s="1"/>
  <c r="G65" i="31"/>
  <c r="G63" i="29"/>
  <c r="G57" i="29" s="1"/>
  <c r="U65" i="31"/>
  <c r="U63" i="29"/>
  <c r="U57" i="29" s="1"/>
  <c r="N65" i="31"/>
  <c r="N63" i="29"/>
  <c r="N57" i="29" s="1"/>
  <c r="J65" i="31"/>
  <c r="J63" i="29"/>
  <c r="J57" i="29" s="1"/>
  <c r="F65" i="31"/>
  <c r="F63" i="29"/>
  <c r="F57" i="29" s="1"/>
  <c r="M65" i="31"/>
  <c r="M63" i="29"/>
  <c r="M57" i="29" s="1"/>
  <c r="I65" i="31"/>
  <c r="I63" i="29"/>
  <c r="I57" i="29" s="1"/>
  <c r="R65" i="31"/>
  <c r="R63" i="29"/>
  <c r="R57" i="29" s="1"/>
  <c r="S65" i="31"/>
  <c r="S63" i="29"/>
  <c r="S57" i="29" s="1"/>
  <c r="E6" i="2"/>
  <c r="F6" i="2"/>
  <c r="G6" i="2"/>
  <c r="H6" i="2"/>
  <c r="I6" i="2"/>
  <c r="J6" i="2"/>
  <c r="K6"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M35" i="31" l="1"/>
  <c r="M35" i="29"/>
  <c r="Q35" i="31"/>
  <c r="Q35" i="29"/>
  <c r="C19" i="25"/>
  <c r="R19" i="25" s="1"/>
  <c r="AG2" i="25" s="1"/>
  <c r="C23" i="25"/>
  <c r="R23" i="25" s="1"/>
  <c r="AK2" i="25" s="1"/>
  <c r="R35" i="31" l="1"/>
  <c r="R35" i="29"/>
  <c r="N35" i="31"/>
  <c r="N35" i="29"/>
  <c r="C24" i="25"/>
  <c r="R24" i="25" s="1"/>
  <c r="AL2" i="25" s="1"/>
  <c r="C20" i="25"/>
  <c r="R20" i="25" s="1"/>
  <c r="AH2" i="25" s="1"/>
  <c r="O35" i="31" l="1"/>
  <c r="O35" i="29"/>
  <c r="S35" i="31"/>
  <c r="S35" i="29"/>
  <c r="C25" i="25"/>
  <c r="R25" i="25" l="1"/>
  <c r="AM2" i="25" s="1"/>
  <c r="C26" i="25"/>
  <c r="R26" i="25"/>
  <c r="AN2" i="25" s="1"/>
  <c r="U35" i="31" l="1"/>
  <c r="U35" i="29"/>
  <c r="T35" i="31"/>
  <c r="T35" i="29"/>
  <c r="L362" i="19"/>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C46" i="18"/>
  <c r="D47" i="18"/>
  <c r="D48" i="18" s="1"/>
  <c r="C47" i="18"/>
  <c r="X22" i="20"/>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6" i="2"/>
  <c r="M6" i="2"/>
  <c r="N6" i="2"/>
  <c r="O6" i="2"/>
  <c r="P6" i="2"/>
  <c r="Q6" i="2"/>
  <c r="R6" i="2"/>
  <c r="S6" i="2"/>
  <c r="T6" i="2"/>
  <c r="U6"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E6" i="31" l="1"/>
  <c r="E6" i="29"/>
  <c r="G79" i="9"/>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I6" i="31" l="1"/>
  <c r="I6" i="29"/>
  <c r="H6" i="31"/>
  <c r="H6" i="29"/>
  <c r="L6" i="31"/>
  <c r="L6" i="29"/>
  <c r="N5" i="9"/>
  <c r="F6" i="31"/>
  <c r="F6" i="29"/>
  <c r="Q6" i="31"/>
  <c r="Q6" i="29"/>
  <c r="G6" i="31"/>
  <c r="G6" i="29"/>
  <c r="K6" i="31"/>
  <c r="K6" i="29"/>
  <c r="S5" i="9"/>
  <c r="P5" i="9"/>
  <c r="M5" i="9"/>
  <c r="O5" i="9"/>
  <c r="J5" i="9"/>
  <c r="Q80" i="9"/>
  <c r="S80" i="9"/>
  <c r="N80" i="9"/>
  <c r="L80" i="9"/>
  <c r="J80" i="9"/>
  <c r="H80" i="9"/>
  <c r="F80" i="9"/>
  <c r="C80" i="9"/>
  <c r="T80" i="9"/>
  <c r="O80" i="9"/>
  <c r="M80" i="9"/>
  <c r="K80" i="9"/>
  <c r="I80" i="9"/>
  <c r="G80" i="9"/>
  <c r="E80" i="9"/>
  <c r="R73" i="9"/>
  <c r="R80" i="9"/>
  <c r="P46" i="9"/>
  <c r="P71" i="9" s="1"/>
  <c r="P45" i="9"/>
  <c r="P70" i="9" s="1"/>
  <c r="R2" i="9" s="1"/>
  <c r="S6" i="31" l="1"/>
  <c r="S6" i="29"/>
  <c r="M6" i="31"/>
  <c r="M6" i="29"/>
  <c r="J6" i="31"/>
  <c r="J6" i="29"/>
  <c r="O6" i="31"/>
  <c r="O6" i="29"/>
  <c r="N6" i="31"/>
  <c r="N6" i="29"/>
  <c r="P6" i="31"/>
  <c r="P6" i="29"/>
  <c r="P78" i="9"/>
  <c r="R3" i="9"/>
  <c r="R5" i="9" s="1"/>
  <c r="P77" i="9"/>
  <c r="P73" i="9"/>
  <c r="R6" i="31" l="1"/>
  <c r="R6" i="29"/>
  <c r="P80" i="9"/>
  <c r="S41" i="2"/>
  <c r="R41" i="2"/>
  <c r="Q41" i="2"/>
  <c r="P41" i="2"/>
  <c r="O41" i="2"/>
  <c r="N41" i="2"/>
  <c r="M41" i="2"/>
  <c r="L41" i="2"/>
  <c r="S40" i="2"/>
  <c r="R40" i="2"/>
  <c r="Q40" i="2"/>
  <c r="P40" i="2"/>
  <c r="O40" i="2"/>
  <c r="N40" i="2"/>
  <c r="M40" i="2"/>
  <c r="L40" i="2"/>
  <c r="S39" i="2"/>
  <c r="R39" i="2"/>
  <c r="Q39" i="2"/>
  <c r="P39" i="2"/>
  <c r="O39" i="2"/>
  <c r="N39" i="2"/>
  <c r="L39" i="2"/>
  <c r="S38" i="2"/>
  <c r="R38" i="2"/>
  <c r="Q38" i="2"/>
  <c r="P38" i="2"/>
  <c r="O38" i="2"/>
  <c r="N38" i="2"/>
  <c r="L38" i="2"/>
  <c r="R37" i="2"/>
  <c r="Q37" i="2"/>
  <c r="P37" i="2"/>
  <c r="N37" i="2"/>
  <c r="M37" i="2"/>
  <c r="B37" i="2" l="1"/>
  <c r="M52" i="2"/>
  <c r="M54" i="2" s="1"/>
  <c r="S52" i="2"/>
  <c r="S54" i="2" s="1"/>
  <c r="O52" i="2"/>
  <c r="O54" i="2" s="1"/>
  <c r="L52" i="2"/>
  <c r="L54" i="2" s="1"/>
  <c r="R52" i="2"/>
  <c r="R54" i="2" s="1"/>
  <c r="Q52" i="2"/>
  <c r="Q54" i="2" s="1"/>
  <c r="N52" i="2"/>
  <c r="N54" i="2" s="1"/>
  <c r="P52" i="2"/>
  <c r="P54" i="2" s="1"/>
  <c r="C37" i="2"/>
  <c r="J41" i="2"/>
  <c r="J39" i="2"/>
  <c r="K39" i="2"/>
  <c r="B39" i="2"/>
  <c r="I39" i="2"/>
  <c r="D39" i="2"/>
  <c r="E39" i="2"/>
  <c r="F39" i="2"/>
  <c r="C39" i="2"/>
  <c r="G39" i="2"/>
  <c r="H39" i="2"/>
  <c r="K41" i="2"/>
  <c r="D41" i="2"/>
  <c r="B41" i="2"/>
  <c r="E41" i="2"/>
  <c r="F41" i="2"/>
  <c r="I41" i="2"/>
  <c r="G41" i="2"/>
  <c r="H41" i="2"/>
  <c r="C41" i="2"/>
  <c r="J38" i="2"/>
  <c r="K38" i="2"/>
  <c r="D38" i="2"/>
  <c r="B38" i="2"/>
  <c r="E38" i="2"/>
  <c r="C38" i="2"/>
  <c r="I38" i="2"/>
  <c r="F38" i="2"/>
  <c r="G38" i="2"/>
  <c r="H38" i="2"/>
  <c r="J40" i="2"/>
  <c r="B40" i="2"/>
  <c r="K40" i="2"/>
  <c r="D40" i="2"/>
  <c r="E40" i="2"/>
  <c r="F40" i="2"/>
  <c r="G40" i="2"/>
  <c r="C40" i="2"/>
  <c r="H40" i="2"/>
  <c r="I40" i="2"/>
  <c r="D37" i="2"/>
  <c r="H37" i="2"/>
  <c r="E37" i="2"/>
  <c r="G37" i="2"/>
  <c r="I37" i="2"/>
  <c r="J37" i="2"/>
  <c r="K37" i="2"/>
  <c r="F37" i="2"/>
  <c r="B46" i="2" l="1"/>
  <c r="B58" i="2" s="1"/>
  <c r="B52" i="2"/>
  <c r="F46" i="2"/>
  <c r="F58" i="2" s="1"/>
  <c r="H46" i="2"/>
  <c r="H58" i="2" s="1"/>
  <c r="C46" i="2"/>
  <c r="C58" i="2" s="1"/>
  <c r="K46" i="2"/>
  <c r="K58" i="2" s="1"/>
  <c r="J46" i="2"/>
  <c r="J58" i="2" s="1"/>
  <c r="G46" i="2"/>
  <c r="G58" i="2" s="1"/>
  <c r="D46" i="2"/>
  <c r="D58" i="2" s="1"/>
  <c r="I46" i="2"/>
  <c r="I58" i="2" s="1"/>
  <c r="E46" i="2"/>
  <c r="E58" i="2" s="1"/>
  <c r="G52" i="2"/>
  <c r="I52" i="2"/>
  <c r="H52" i="2"/>
  <c r="K52" i="2"/>
  <c r="E52" i="2"/>
  <c r="F52" i="2"/>
  <c r="D52" i="2"/>
  <c r="J52" i="2"/>
  <c r="C52" i="2"/>
  <c r="X52" i="2" l="1"/>
  <c r="Y52" i="2" s="1"/>
  <c r="B54" i="2"/>
  <c r="B53" i="2"/>
  <c r="F54" i="2"/>
  <c r="K54" i="2"/>
  <c r="H54" i="2"/>
  <c r="C54" i="2"/>
  <c r="I54" i="2"/>
  <c r="E54" i="2"/>
  <c r="G54" i="2"/>
  <c r="J54" i="2"/>
  <c r="D54" i="2"/>
  <c r="X54" i="2" l="1"/>
  <c r="Y54" i="2" s="1"/>
  <c r="L2" i="2"/>
  <c r="L42" i="31" s="1"/>
  <c r="W53" i="2"/>
  <c r="M2" i="2"/>
  <c r="M42" i="31" s="1"/>
  <c r="L42" i="29" l="1"/>
  <c r="M42" i="29"/>
  <c r="P53" i="2"/>
  <c r="R53" i="2"/>
  <c r="R2" i="2"/>
  <c r="R42" i="31" s="1"/>
  <c r="O2" i="2"/>
  <c r="O42" i="31" s="1"/>
  <c r="Q2" i="2"/>
  <c r="Q42" i="31" s="1"/>
  <c r="N2" i="2"/>
  <c r="N42" i="31" s="1"/>
  <c r="L53" i="2"/>
  <c r="N53" i="2"/>
  <c r="S2" i="2"/>
  <c r="S42" i="31" s="1"/>
  <c r="P2" i="2"/>
  <c r="P42" i="31" s="1"/>
  <c r="S53" i="2"/>
  <c r="Q53" i="2"/>
  <c r="O53" i="2"/>
  <c r="D2" i="2"/>
  <c r="D42" i="31" s="1"/>
  <c r="C53" i="2"/>
  <c r="G2" i="2"/>
  <c r="G42" i="31" s="1"/>
  <c r="M53" i="2"/>
  <c r="B2" i="2"/>
  <c r="B42" i="31" s="1"/>
  <c r="G42" i="29" l="1"/>
  <c r="O42" i="29"/>
  <c r="R42" i="29"/>
  <c r="B42" i="29"/>
  <c r="D42" i="29"/>
  <c r="P42" i="29"/>
  <c r="N42" i="29"/>
  <c r="S42" i="29"/>
  <c r="Q42" i="29"/>
  <c r="C2" i="2"/>
  <c r="C42" i="31" s="1"/>
  <c r="J2" i="2"/>
  <c r="J42" i="31" s="1"/>
  <c r="E53" i="2"/>
  <c r="E2" i="2"/>
  <c r="E42" i="31" s="1"/>
  <c r="G53" i="2"/>
  <c r="I2" i="2"/>
  <c r="I42" i="31" s="1"/>
  <c r="I53" i="2"/>
  <c r="D53" i="2"/>
  <c r="J53" i="2"/>
  <c r="K2" i="2"/>
  <c r="K42" i="31" s="1"/>
  <c r="F2" i="2"/>
  <c r="F42" i="31" s="1"/>
  <c r="K53" i="2"/>
  <c r="H2" i="2"/>
  <c r="H42" i="31" s="1"/>
  <c r="F53" i="2"/>
  <c r="H53" i="2"/>
  <c r="J42" i="29" l="1"/>
  <c r="K42" i="29"/>
  <c r="E42" i="29"/>
  <c r="I42" i="29"/>
  <c r="H42" i="29"/>
  <c r="C42" i="29"/>
  <c r="F42" i="29"/>
  <c r="V53" i="2"/>
  <c r="U53" i="2" l="1"/>
  <c r="U2" i="2"/>
  <c r="U42" i="31" s="1"/>
  <c r="T2" i="2"/>
  <c r="T42" i="31" s="1"/>
  <c r="T53" i="2"/>
  <c r="V2" i="2"/>
  <c r="V42" i="31" s="1"/>
  <c r="C10" i="25"/>
  <c r="C11" i="25" s="1"/>
  <c r="C12" i="25" s="1"/>
  <c r="T42" i="29" l="1"/>
  <c r="U42" i="29"/>
  <c r="V42" i="29"/>
  <c r="R10" i="25"/>
  <c r="X2" i="25" s="1"/>
  <c r="Q9" i="25"/>
  <c r="C13" i="25"/>
  <c r="R12" i="25"/>
  <c r="Z2" i="25" s="1"/>
  <c r="R11" i="25"/>
  <c r="Y2" i="25" s="1"/>
  <c r="E35" i="31" l="1"/>
  <c r="E35" i="29"/>
  <c r="F35" i="31"/>
  <c r="F35" i="29"/>
  <c r="G35" i="31"/>
  <c r="G35" i="29"/>
  <c r="R9" i="25"/>
  <c r="W2" i="25" s="1"/>
  <c r="R13" i="25"/>
  <c r="AA2" i="25" s="1"/>
  <c r="C14" i="25"/>
  <c r="D35" i="31" l="1"/>
  <c r="D35" i="29"/>
  <c r="H35" i="31"/>
  <c r="H35" i="29"/>
  <c r="C15" i="25"/>
  <c r="R14" i="25"/>
  <c r="AB2" i="25" s="1"/>
  <c r="I35" i="31" l="1"/>
  <c r="I35" i="29"/>
  <c r="C16" i="25"/>
  <c r="R15" i="25"/>
  <c r="AC2" i="25" s="1"/>
  <c r="J35" i="31" l="1"/>
  <c r="J35" i="29"/>
  <c r="C8" i="25"/>
  <c r="R16" i="25"/>
  <c r="AD2" i="25" s="1"/>
  <c r="K35" i="31" l="1"/>
  <c r="K35" i="29"/>
  <c r="Q8" i="25"/>
  <c r="Q7" i="25" s="1"/>
  <c r="R7" i="25" s="1"/>
  <c r="U2" i="25" s="1"/>
  <c r="B35" i="31" l="1"/>
  <c r="B35" i="29"/>
  <c r="R8" i="25"/>
  <c r="V2" i="25" s="1"/>
  <c r="C35" i="31" l="1"/>
  <c r="C35" i="29"/>
  <c r="X4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105" authorId="0" shapeId="0" xr:uid="{018578F1-A137-4636-A740-58C058FBC3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r>
      </text>
    </comment>
  </commentList>
</comments>
</file>

<file path=xl/sharedStrings.xml><?xml version="1.0" encoding="utf-8"?>
<sst xmlns="http://schemas.openxmlformats.org/spreadsheetml/2006/main" count="1870" uniqueCount="614">
  <si>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</si>
  <si>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</si>
  <si>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</si>
  <si>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</si>
  <si>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</si>
  <si>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</si>
  <si>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</si>
  <si>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</si>
  <si>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</si>
  <si>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</si>
  <si>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</si>
  <si>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</si>
  <si>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</si>
  <si>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</si>
  <si>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</si>
  <si>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</si>
  <si>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</si>
  <si>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</si>
  <si>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</si>
  <si>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</si>
  <si>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</si>
  <si>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</si>
  <si>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</si>
  <si>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</si>
  <si>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</si>
  <si>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</si>
  <si>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</si>
  <si>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</si>
  <si>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</si>
  <si>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</si>
  <si>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</si>
  <si>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</si>
  <si>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</si>
  <si>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</si>
  <si>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</si>
  <si>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</si>
  <si>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</si>
  <si>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</si>
  <si>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</si>
  <si>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</si>
  <si>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</si>
  <si>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</si>
  <si>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</si>
  <si>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</si>
  <si>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</si>
  <si>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</si>
  <si>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</si>
  <si>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</si>
  <si>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</si>
  <si>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</si>
  <si>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</si>
  <si>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</si>
  <si>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</si>
  <si>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</si>
  <si>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</si>
  <si>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</si>
  <si>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</si>
  <si>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</si>
  <si>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</si>
  <si>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</si>
  <si>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</si>
  <si>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</si>
  <si>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</si>
  <si>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</si>
  <si>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</si>
  <si>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</si>
  <si>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</si>
  <si>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</si>
  <si>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</si>
  <si>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</si>
  <si>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</si>
  <si>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</si>
  <si>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</si>
  <si>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</si>
  <si>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</si>
  <si>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</si>
  <si>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</si>
  <si>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</si>
  <si>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</si>
  <si>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</si>
  <si>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</si>
  <si>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</si>
  <si>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</si>
  <si>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</si>
  <si>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</si>
  <si>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</si>
  <si>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</si>
  <si>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</si>
  <si>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</si>
  <si>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</si>
  <si>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</si>
  <si>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</si>
  <si>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</si>
  <si>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</si>
  <si>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</si>
  <si>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</si>
  <si>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</si>
  <si>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</si>
  <si>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</si>
  <si>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</si>
  <si>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As of July 22, 2021: 103505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</si>
  <si>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</si>
  <si>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</si>
  <si>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</si>
  <si>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</si>
  <si>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</si>
  <si>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</si>
  <si>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</si>
  <si>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</si>
  <si>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</si>
  <si>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</si>
  <si>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</si>
  <si>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</si>
  <si>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</si>
  <si>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</si>
  <si>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</si>
  <si>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</si>
  <si>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</si>
  <si>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</si>
  <si>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</si>
  <si>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</si>
  <si>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</si>
  <si>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</si>
  <si>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</si>
  <si>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</si>
  <si>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</si>
  <si>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</si>
  <si>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</si>
  <si>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</si>
  <si>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</si>
  <si>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</si>
  <si>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</si>
  <si>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</si>
  <si>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</si>
  <si>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</si>
  <si>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</si>
  <si>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</si>
  <si>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</si>
  <si>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</si>
  <si>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</si>
  <si>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</si>
  <si>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</si>
  <si>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</si>
  <si>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</si>
  <si>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</si>
  <si>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</si>
  <si>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</si>
  <si>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</si>
  <si>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</si>
  <si>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</si>
  <si>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</si>
  <si>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</si>
  <si>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</si>
  <si>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</si>
  <si>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</si>
  <si>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</si>
  <si>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</si>
  <si>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</si>
  <si>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</si>
  <si>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</si>
  <si>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</si>
  <si>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</si>
  <si>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</si>
  <si>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</si>
  <si>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</si>
  <si>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</si>
  <si>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</si>
  <si>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</si>
  <si>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</si>
  <si>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</si>
  <si>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</si>
  <si>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</si>
  <si>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</si>
  <si>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</si>
  <si>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</si>
  <si>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</si>
  <si>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</si>
  <si>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</si>
  <si>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</si>
  <si>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</si>
  <si>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</si>
  <si>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</si>
  <si>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</si>
  <si>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</si>
  <si>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</si>
  <si>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</si>
  <si>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</si>
  <si>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</si>
  <si>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</si>
  <si>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</si>
  <si>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</si>
  <si>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</si>
  <si>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</si>
  <si>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</si>
  <si>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</si>
  <si>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</si>
  <si>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Doe-Simkins 2021**</t>
  </si>
  <si>
    <t>*Strong reason to believe 2020 slowed growth in Nx Rx  is an anomaly due to COVID</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</si>
  <si>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</si>
  <si>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</si>
  <si>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</si>
  <si>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2020 value: Maya Doe-Simkins report of Buyers' club purchases on 5/24/2021</t>
  </si>
  <si>
    <t>*During recent 12-month period (2009 or July 2009–June 2010)</t>
  </si>
  <si>
    <t>**Injectable only, through OSNN naloxone buyer's club</t>
  </si>
  <si>
    <t>% of all OD reversals that were for opioid other than Rx, from Wheeler 2015</t>
  </si>
  <si>
    <t>Additional data provided by OSE May 2021 but not used in model</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</si>
  <si>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</si>
  <si>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</si>
  <si>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</si>
  <si>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</si>
  <si>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</si>
  <si>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</si>
  <si>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</si>
  <si>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</si>
  <si>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</si>
  <si>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</si>
  <si>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</si>
  <si>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</si>
  <si>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</si>
  <si>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</si>
  <si>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</si>
  <si>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</si>
  <si>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</si>
  <si>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</si>
  <si>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</si>
  <si>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</si>
  <si>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</si>
  <si>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</si>
  <si>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</si>
  <si>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</si>
  <si>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</si>
  <si>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</si>
  <si>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</si>
  <si>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</si>
  <si>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</si>
  <si>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</si>
  <si>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</si>
  <si>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</si>
  <si>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</si>
  <si>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</si>
  <si>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</si>
  <si>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</si>
  <si>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</si>
  <si>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</si>
  <si>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</si>
  <si>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</si>
  <si>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</si>
  <si>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</si>
  <si>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</si>
  <si>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</si>
  <si>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</si>
  <si>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</si>
  <si>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</si>
  <si>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</si>
  <si>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</si>
  <si>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</si>
  <si>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</si>
  <si>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Patients receiving opioid prescription IQVIA TPT</t>
  </si>
  <si>
    <t>ADF fraction of prescribed Rx opioids base</t>
  </si>
  <si>
    <t xml:space="preserve">Patients receiving opioid prescription IQVIA </t>
  </si>
  <si>
    <t>All data were provided by OSE via Lukas Glos at FDA</t>
  </si>
  <si>
    <t>Estimated annual patients who received opioid analgesic prescriptions dispensed from U.S. outpatient retail pharmacies</t>
  </si>
  <si>
    <t>Avg Rx per patient (IQVIA NPA/TPT)</t>
  </si>
  <si>
    <t>***1999-2005 are calculated by carrying backwards the 2006 ratio of TPT patients to NPA total prescriptions, times the NPA total prescriptions</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</si>
  <si>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</si>
  <si>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</si>
  <si>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</si>
  <si>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</si>
  <si>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</si>
  <si>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</si>
  <si>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</si>
  <si>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</si>
  <si>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</si>
  <si>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</si>
  <si>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</si>
  <si>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</si>
  <si>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</si>
  <si>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</si>
  <si>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</si>
  <si>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</si>
  <si>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</si>
  <si>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</si>
  <si>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</si>
  <si>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If using trend for 2020 (do not recommend due to COVID: =@TREND($L30:$V30,$L29:$V29,W29))</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</si>
  <si>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</si>
  <si>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</si>
  <si>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</si>
  <si>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</si>
  <si>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</si>
  <si>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</si>
  <si>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Annual Nrx per person - Total Rx/Total People IQVIA SH</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</si>
  <si>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</si>
  <si>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</si>
  <si>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</si>
  <si>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</si>
  <si>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Average duration of use in years</t>
  </si>
  <si>
    <t>Duration of Use (in months)</t>
  </si>
  <si>
    <t>Person months of opioid use - Expected months of rx use per person *patients receiving opioid prescription</t>
  </si>
  <si>
    <t>Average duration of prescription</t>
  </si>
  <si>
    <t>Average duration of prescription in years</t>
  </si>
  <si>
    <t>Duration of Prescription (months)</t>
  </si>
  <si>
    <t>To calculate the number of patients receiving an opioid prescription per year, we then divide total prescriptions from IQVIA by the average annual Nrx per person</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</si>
  <si>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</si>
  <si>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</si>
  <si>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</si>
  <si>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</si>
  <si>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Estimated opioid analgesic oral morphine milligram equivalents* (MME) dispensed from U.S. outpatient pharmacies IQVIA</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</si>
  <si>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</si>
  <si>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</si>
  <si>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</si>
  <si>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</si>
  <si>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</si>
  <si>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</si>
  <si>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</si>
  <si>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</si>
  <si>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</si>
  <si>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</si>
  <si>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</si>
  <si>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</si>
  <si>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</si>
  <si>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</si>
  <si>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</si>
  <si>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</si>
  <si>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</si>
  <si>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t>ADF fraction of prescribed Rx opioids base IQVIA</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</si>
  <si>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</si>
  <si>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</si>
  <si>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</si>
  <si>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</si>
  <si>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</si>
  <si>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</si>
  <si>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</si>
  <si>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</si>
  <si>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</si>
  <si>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</si>
  <si>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</si>
  <si>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</si>
  <si>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</si>
  <si>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</si>
  <si>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</si>
  <si>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</si>
  <si>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</si>
  <si>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</si>
  <si>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</si>
  <si>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</si>
  <si>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</si>
  <si>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</si>
  <si>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</si>
  <si>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</si>
  <si>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</si>
  <si>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</si>
  <si>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</si>
  <si>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</si>
  <si>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</si>
  <si>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</si>
  <si>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</si>
  <si>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</si>
  <si>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</si>
  <si>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</si>
  <si>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</si>
  <si>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</si>
  <si>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</si>
  <si>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</si>
  <si>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</si>
  <si>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</si>
  <si>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</si>
  <si>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</si>
  <si>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</si>
  <si>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</si>
  <si>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</si>
  <si>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</si>
  <si>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</si>
  <si>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</si>
  <si>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</si>
  <si>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</si>
  <si>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</si>
  <si>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</si>
  <si>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</si>
  <si>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</si>
  <si>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</si>
  <si>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</si>
  <si>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</si>
  <si>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</si>
  <si>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</si>
  <si>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</si>
  <si>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</si>
  <si>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</si>
  <si>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</si>
  <si>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</si>
  <si>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</si>
  <si>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</si>
  <si>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</si>
  <si>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</si>
  <si>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</si>
  <si>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</si>
  <si>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</si>
  <si>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</si>
  <si>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</si>
  <si>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</si>
  <si>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</si>
  <si>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</si>
  <si>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</si>
  <si>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</si>
  <si>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</si>
  <si>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</si>
  <si>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</si>
  <si>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</si>
  <si>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</si>
  <si>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</si>
  <si>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</si>
  <si>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</si>
  <si>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</si>
  <si>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</si>
  <si>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</si>
  <si>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</si>
  <si>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</si>
  <si>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</si>
  <si>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</si>
  <si>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</si>
  <si>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</si>
  <si>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</si>
  <si>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</si>
  <si>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</si>
  <si>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</si>
  <si>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</si>
  <si>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</si>
  <si>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</si>
  <si>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</si>
  <si>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</si>
  <si>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</si>
  <si>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</si>
  <si>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</si>
  <si>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</si>
  <si>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</si>
  <si>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</si>
  <si>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</si>
  <si>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</si>
  <si>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</si>
  <si>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</si>
  <si>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</si>
  <si>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</si>
  <si>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</si>
  <si>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</si>
  <si>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</si>
  <si>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</si>
  <si>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</si>
  <si>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</si>
  <si>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</si>
  <si>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</si>
  <si>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</si>
  <si>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</si>
  <si>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</si>
  <si>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</si>
  <si>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</si>
  <si>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</si>
  <si>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</si>
  <si>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</si>
  <si>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</si>
  <si>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</si>
  <si>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</si>
  <si>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</si>
  <si>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</si>
  <si>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</si>
  <si>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</si>
  <si>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</si>
  <si>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</si>
  <si>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</si>
  <si>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</si>
  <si>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</si>
  <si>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</si>
  <si>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</si>
  <si>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</si>
  <si>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</si>
  <si>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</si>
  <si>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</si>
  <si>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</si>
  <si>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</si>
  <si>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</si>
  <si>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</si>
  <si>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</si>
  <si>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</si>
  <si>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</si>
  <si>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</si>
  <si>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</si>
  <si>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</si>
  <si>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</si>
  <si>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</si>
  <si>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</si>
  <si>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</si>
  <si>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</si>
  <si>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</si>
  <si>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</si>
  <si>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</si>
  <si>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</si>
  <si>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</si>
  <si>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</si>
  <si>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</si>
  <si>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</si>
  <si>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</si>
  <si>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</si>
  <si>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</si>
  <si>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</si>
  <si>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</si>
  <si>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</si>
  <si>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</si>
  <si>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</si>
  <si>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</si>
  <si>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</si>
  <si>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</si>
  <si>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</si>
  <si>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</si>
  <si>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</si>
  <si>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</si>
  <si>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</si>
  <si>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</si>
  <si>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</si>
  <si>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</si>
  <si>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</si>
  <si>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</si>
  <si>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</si>
  <si>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</si>
  <si>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</si>
  <si>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</si>
  <si>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</si>
  <si>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</si>
  <si>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</si>
  <si>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</si>
  <si>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</si>
  <si>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</si>
  <si>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</si>
  <si>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</si>
  <si>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</si>
  <si>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</si>
  <si>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</si>
  <si>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</si>
  <si>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</si>
  <si>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</si>
  <si>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</si>
  <si>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</si>
  <si>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</si>
  <si>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</si>
  <si>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</si>
  <si>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</si>
  <si>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</si>
  <si>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</si>
  <si>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</si>
  <si>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</si>
  <si>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</si>
  <si>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</si>
  <si>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</si>
  <si>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</si>
  <si>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</si>
  <si>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</si>
  <si>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</si>
  <si>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</si>
  <si>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</si>
  <si>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</si>
  <si>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</si>
  <si>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</si>
  <si>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</si>
  <si>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</si>
  <si>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</si>
  <si>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</si>
  <si>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</si>
  <si>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</si>
  <si>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VALUES PREVIOUSLY USED IN ERROR</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</si>
  <si>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</si>
  <si>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</si>
  <si>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</si>
  <si>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</si>
  <si>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</si>
  <si>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</si>
  <si>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</si>
  <si>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NOTE THIS HAS CHANGED DUE TO RAND TRANSCRIPTION ERROR SINCE MODEL RAN FOR PUBLICATIONS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</si>
  <si>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</si>
  <si>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</si>
  <si>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</si>
  <si>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</si>
  <si>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</si>
  <si>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</si>
  <si>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</si>
  <si>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</si>
  <si>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</si>
  <si>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</si>
  <si>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</si>
  <si>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</si>
  <si>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</si>
  <si>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slope</t>
  </si>
  <si>
    <t>intercept</t>
  </si>
  <si>
    <t>Number of years after 2019 including 2019</t>
  </si>
  <si>
    <t>logistic</t>
  </si>
  <si>
    <t>Number of years after 2016 including 2016</t>
  </si>
  <si>
    <t>Divided by 86.6% capacity utilization</t>
  </si>
  <si>
    <t>linear</t>
  </si>
  <si>
    <t>Number of years after 2017 including 2017</t>
  </si>
  <si>
    <t>Divided by 88% capacity utilization</t>
  </si>
  <si>
    <t>*IQVIA data show a drop in Viv units in 2020 which we attribute to COVID, so are not using it for projections.</t>
  </si>
  <si>
    <t>Number of years after 2018 including 2018</t>
  </si>
  <si>
    <t xml:space="preserve">*Note that 2020 IQVIA data has been received but the growth was minimal, and questions remain about whether that might be due to COVID. </t>
  </si>
  <si>
    <t>number of years after 2019 including 2019</t>
  </si>
  <si>
    <t># of opioid prescriptions</t>
  </si>
  <si>
    <t xml:space="preserve">Calculation for projections in 2031 </t>
  </si>
  <si>
    <t>Rx per person</t>
  </si>
  <si>
    <t>MME per rx</t>
  </si>
  <si>
    <t>MME per Rx</t>
  </si>
  <si>
    <t>MMEs</t>
  </si>
  <si>
    <t>ADF % of prescribed MMEs</t>
  </si>
  <si>
    <t>years since 2019 including 2019</t>
  </si>
  <si>
    <t>These were calculated to test whether the relative impacts of strategies change when projections are based on data only through 2019. We have not yet run a full model with all 2019 data. Prior to receiving 2020 data, we were using 2020 buprenorphine waivered providers data and fentanyl penetration data from NFLIS. Thus, these earlier versions of the model relied largely on 2019 data. We thus tested the effects of strategies when 2031 values were based on data only available through 2019. FOr buprenoprhine providers, it is not clear this makes sense, as projections estimate we would reach actual 2020 values in 2026. This is because these are cumulative figures that never decline. Nonetheless, implications did not change. Nor did they wi</t>
  </si>
  <si>
    <t>Number of years after 2017including 2017</t>
  </si>
  <si>
    <t>Rx per person IQVIA TPT</t>
  </si>
  <si>
    <t>Rx per person IQVIA SH</t>
  </si>
  <si>
    <t>number of years after 2018 including 2018</t>
  </si>
  <si>
    <t>years since 2016 including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</si>
</sst>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 numFmtId="175" formatCode="_(* #,##0.000_);_(* \(#,##0.000\);_(* &quot;-&quot;?_);_(@_)"/>
  </numFmts>
  <fonts count="8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42">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8" fillId="0" borderId="0" xfId="1" applyFont="1" applyAlignment="1">
      <alignment horizontal="left" vertical="center"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173" fontId="0" fillId="0" borderId="20" xfId="0" applyNumberFormat="1" applyBorder="1"/>
    <xf numFmtId="173" fontId="0" fillId="0" borderId="23"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3" fontId="78"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0" fontId="0" fillId="27" borderId="0" xfId="0" applyFill="1" applyBorder="1" applyAlignment="1">
      <alignment wrapText="1"/>
    </xf>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79" fillId="0" borderId="0" xfId="0" applyFont="1" applyFill="1" applyAlignment="1">
      <alignment wrapText="1"/>
    </xf>
    <xf numFmtId="2" fontId="79" fillId="0" borderId="0" xfId="1" applyNumberFormat="1" applyFont="1" applyFill="1" applyAlignment="1">
      <alignment horizontal="center" vertical="center"/>
    </xf>
    <xf numFmtId="0" fontId="16" fillId="0" borderId="0" xfId="0" applyFont="1"/>
    <xf numFmtId="0" fontId="16" fillId="0" borderId="0" xfId="0" applyFont="1" applyFill="1" applyBorder="1"/>
    <xf numFmtId="1" fontId="54" fillId="27" borderId="18" xfId="0" applyNumberFormat="1" applyFont="1" applyFill="1" applyBorder="1"/>
    <xf numFmtId="166" fontId="22" fillId="27" borderId="0" xfId="0" applyNumberFormat="1" applyFont="1" applyFill="1" applyBorder="1"/>
    <xf numFmtId="0" fontId="13" fillId="0" borderId="0" xfId="0" applyFont="1" applyFill="1" applyAlignment="1">
      <alignment wrapText="1"/>
    </xf>
    <xf numFmtId="3" fontId="13" fillId="0" borderId="0" xfId="0" applyNumberFormat="1" applyFont="1" applyFill="1"/>
    <xf numFmtId="0" fontId="39" fillId="0" borderId="0" xfId="0" applyFont="1"/>
    <xf numFmtId="0" fontId="3" fillId="4" borderId="0" xfId="0" applyFont="1" applyFill="1"/>
    <xf numFmtId="9" fontId="9" fillId="0" borderId="0" xfId="5" applyFont="1" applyFill="1" applyBorder="1" applyAlignment="1">
      <alignment horizontal="right"/>
    </xf>
    <xf numFmtId="0" fontId="0" fillId="0" borderId="0" xfId="0" applyAlignment="1">
      <alignment horizontal="left" vertical="top" wrapText="1"/>
    </xf>
    <xf numFmtId="0" fontId="0" fillId="9" borderId="0" xfId="0" applyFill="1" applyAlignment="1">
      <alignment vertical="center" wrapText="1"/>
    </xf>
    <xf numFmtId="0" fontId="2" fillId="0" borderId="0" xfId="0" applyFont="1" applyAlignment="1">
      <alignment horizontal="center" vertical="center" wrapText="1"/>
    </xf>
    <xf numFmtId="0" fontId="2" fillId="0" borderId="29" xfId="0" applyFont="1" applyBorder="1" applyAlignment="1">
      <alignment horizontal="center" vertical="center" wrapText="1"/>
    </xf>
    <xf numFmtId="0" fontId="8" fillId="0" borderId="20" xfId="1" applyFont="1" applyBorder="1" applyAlignment="1">
      <alignment horizontal="left" vertical="center" wrapText="1"/>
    </xf>
    <xf numFmtId="0" fontId="2" fillId="0" borderId="0" xfId="1" applyFont="1" applyAlignment="1">
      <alignment horizontal="center"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165" fontId="0" fillId="0" borderId="0" xfId="0" applyNumberFormat="1"/>
    <xf numFmtId="0" fontId="0" fillId="0" borderId="0" xfId="0" applyFill="1" applyAlignment="1">
      <alignment wrapText="1"/>
    </xf>
    <xf numFmtId="166" fontId="54" fillId="27" borderId="18" xfId="0" applyNumberFormat="1" applyFont="1" applyFill="1" applyBorder="1"/>
    <xf numFmtId="2" fontId="56" fillId="4" borderId="0" xfId="0" applyNumberFormat="1" applyFont="1" applyFill="1"/>
    <xf numFmtId="175" fontId="0" fillId="0" borderId="0" xfId="0" applyNumberFormat="1"/>
    <xf numFmtId="0" fontId="0" fillId="8" borderId="0" xfId="0" applyFill="1" applyBorder="1"/>
    <xf numFmtId="3" fontId="5" fillId="0" borderId="0" xfId="0" applyNumberFormat="1" applyFont="1" applyAlignment="1">
      <alignment wrapText="1"/>
    </xf>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0" xfId="0" applyFill="1" applyAlignment="1">
      <alignment vertical="center" wrapText="1"/>
    </xf>
    <xf numFmtId="0" fontId="0" fillId="9" borderId="5" xfId="0" applyFill="1" applyBorder="1" applyAlignment="1">
      <alignment vertical="center" wrapText="1"/>
    </xf>
    <xf numFmtId="0" fontId="26" fillId="0" borderId="0" xfId="0" applyFont="1" applyAlignment="1">
      <alignment horizontal="center"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wrapText="1"/>
    </xf>
    <xf numFmtId="0" fontId="2" fillId="0" borderId="31" xfId="0" applyFont="1" applyBorder="1" applyAlignment="1">
      <alignment horizontal="center"/>
    </xf>
    <xf numFmtId="0" fontId="2" fillId="0" borderId="0" xfId="0" applyFont="1" applyAlignment="1">
      <alignment horizontal="center"/>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41" fillId="0" borderId="0" xfId="0" applyFont="1" applyAlignment="1">
      <alignment horizontal="center" vertical="top"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2020'!$A$63</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2020'!$B$62:$W$62</c15:sqref>
                  </c15:fullRef>
                </c:ext>
              </c:extLst>
              <c:f>'Projections using 2020'!$T$62:$W$62</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2020'!$B$63:$W$63</c15:sqref>
                  </c15:fullRef>
                </c:ext>
              </c:extLst>
              <c:f>'Projections using 2020'!$T$63:$W$63</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2020'!$A$70</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2020'!$V$69:$W$69</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2020'!$B$70:$W$70</c15:sqref>
                  </c15:fullRef>
                </c:ext>
              </c:extLst>
              <c:f>'Projections using 2020'!$V$70:$W$70</c:f>
              <c:numCache>
                <c:formatCode>General</c:formatCode>
                <c:ptCount val="2"/>
                <c:pt idx="0" formatCode="0.00000">
                  <c:v>5.5745186078936089E-2</c:v>
                </c:pt>
                <c:pt idx="1" formatCode="0.00000">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General</c:formatCode>
                <c:ptCount val="2"/>
                <c:pt idx="0" formatCode="0.0000">
                  <c:v>0.47271690770965785</c:v>
                </c:pt>
                <c:pt idx="1" formatCode="0.0000">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108892.17254204156</c:v>
                </c:pt>
                <c:pt idx="1">
                  <c:v>119362.5737480071</c:v>
                </c:pt>
                <c:pt idx="2">
                  <c:v>161244.17857186924</c:v>
                </c:pt>
                <c:pt idx="3">
                  <c:v>122503.69410979676</c:v>
                </c:pt>
                <c:pt idx="4">
                  <c:v>96327.691094882932</c:v>
                </c:pt>
                <c:pt idx="5">
                  <c:v>135255.54063116742</c:v>
                </c:pt>
                <c:pt idx="6">
                  <c:v>123793.20667937357</c:v>
                </c:pt>
                <c:pt idx="7">
                  <c:v>68573.496411314802</c:v>
                </c:pt>
                <c:pt idx="8">
                  <c:v>80764.340217770761</c:v>
                </c:pt>
                <c:pt idx="9">
                  <c:v>96239.939160966256</c:v>
                </c:pt>
                <c:pt idx="10">
                  <c:v>155145.41916466111</c:v>
                </c:pt>
                <c:pt idx="11">
                  <c:v>92721.588894704881</c:v>
                </c:pt>
                <c:pt idx="12">
                  <c:v>116228.47058632018</c:v>
                </c:pt>
                <c:pt idx="13">
                  <c:v>74439.872552841727</c:v>
                </c:pt>
                <c:pt idx="14">
                  <c:v>80643.195265578557</c:v>
                </c:pt>
                <c:pt idx="15">
                  <c:v>163787.19106802953</c:v>
                </c:pt>
                <c:pt idx="16">
                  <c:v>104298.44714237729</c:v>
                </c:pt>
                <c:pt idx="17">
                  <c:v>131338.78529040102</c:v>
                </c:pt>
                <c:pt idx="18">
                  <c:v>49172.214499820861</c:v>
                </c:pt>
                <c:pt idx="19">
                  <c:v>103493.31692861259</c:v>
                </c:pt>
                <c:pt idx="20">
                  <c:v>66397.666184171685</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200741.84843861358</c:v>
                </c:pt>
                <c:pt idx="1">
                  <c:v>232718.6266369907</c:v>
                </c:pt>
                <c:pt idx="2">
                  <c:v>365803.7101595506</c:v>
                </c:pt>
                <c:pt idx="3">
                  <c:v>203936.37194166525</c:v>
                </c:pt>
                <c:pt idx="4">
                  <c:v>219315.05790953123</c:v>
                </c:pt>
                <c:pt idx="5">
                  <c:v>241871.29365038266</c:v>
                </c:pt>
                <c:pt idx="6">
                  <c:v>229429.58513622201</c:v>
                </c:pt>
                <c:pt idx="7">
                  <c:v>260174.51225223497</c:v>
                </c:pt>
                <c:pt idx="8">
                  <c:v>89347.58317320999</c:v>
                </c:pt>
                <c:pt idx="9">
                  <c:v>251624.9211052199</c:v>
                </c:pt>
                <c:pt idx="10">
                  <c:v>216122.96165158448</c:v>
                </c:pt>
                <c:pt idx="11">
                  <c:v>238542.30437552609</c:v>
                </c:pt>
                <c:pt idx="12">
                  <c:v>221947.13728011888</c:v>
                </c:pt>
                <c:pt idx="13">
                  <c:v>213970.0078401819</c:v>
                </c:pt>
                <c:pt idx="14">
                  <c:v>148199.13562478879</c:v>
                </c:pt>
                <c:pt idx="15">
                  <c:v>475398.33567911532</c:v>
                </c:pt>
                <c:pt idx="16">
                  <c:v>233999.94517805794</c:v>
                </c:pt>
                <c:pt idx="17">
                  <c:v>557910.60162161477</c:v>
                </c:pt>
                <c:pt idx="18">
                  <c:v>384320.9225649517</c:v>
                </c:pt>
                <c:pt idx="19">
                  <c:v>492435.29387455009</c:v>
                </c:pt>
                <c:pt idx="20">
                  <c:v>628205.16580489732</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124448.19719090464</c:v>
                </c:pt>
                <c:pt idx="1">
                  <c:v>136414.36999772242</c:v>
                </c:pt>
                <c:pt idx="2">
                  <c:v>184279.06122499343</c:v>
                </c:pt>
                <c:pt idx="3">
                  <c:v>140004.22183976774</c:v>
                </c:pt>
                <c:pt idx="4">
                  <c:v>110088.78982272335</c:v>
                </c:pt>
                <c:pt idx="5">
                  <c:v>135255.54063116742</c:v>
                </c:pt>
                <c:pt idx="6">
                  <c:v>123793.20667937357</c:v>
                </c:pt>
                <c:pt idx="7">
                  <c:v>117146.3897026628</c:v>
                </c:pt>
                <c:pt idx="8">
                  <c:v>137972.41453869175</c:v>
                </c:pt>
                <c:pt idx="9">
                  <c:v>156389.90113657017</c:v>
                </c:pt>
                <c:pt idx="10">
                  <c:v>252111.30614257435</c:v>
                </c:pt>
                <c:pt idx="11">
                  <c:v>158172.12223214359</c:v>
                </c:pt>
                <c:pt idx="12">
                  <c:v>198272.0968825462</c:v>
                </c:pt>
                <c:pt idx="13">
                  <c:v>178655.69412682016</c:v>
                </c:pt>
                <c:pt idx="14">
                  <c:v>193543.6686373885</c:v>
                </c:pt>
                <c:pt idx="15">
                  <c:v>243467.4461822061</c:v>
                </c:pt>
                <c:pt idx="16">
                  <c:v>155038.23223866898</c:v>
                </c:pt>
                <c:pt idx="17">
                  <c:v>195233.32948573129</c:v>
                </c:pt>
                <c:pt idx="18">
                  <c:v>114735.16716624868</c:v>
                </c:pt>
                <c:pt idx="19">
                  <c:v>124905.72732763592</c:v>
                </c:pt>
                <c:pt idx="20">
                  <c:v>32250.295003740532</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156137.62440475769</c:v>
                </c:pt>
                <c:pt idx="1">
                  <c:v>138066.09663155564</c:v>
                </c:pt>
                <c:pt idx="2">
                  <c:v>271403.9448939889</c:v>
                </c:pt>
                <c:pt idx="3">
                  <c:v>247067.005883103</c:v>
                </c:pt>
                <c:pt idx="4">
                  <c:v>130592.82692720555</c:v>
                </c:pt>
                <c:pt idx="5">
                  <c:v>155544.69046398194</c:v>
                </c:pt>
                <c:pt idx="6">
                  <c:v>218499.92221793078</c:v>
                </c:pt>
                <c:pt idx="7">
                  <c:v>356410.30313996156</c:v>
                </c:pt>
                <c:pt idx="8">
                  <c:v>231610.53979199266</c:v>
                </c:pt>
                <c:pt idx="9">
                  <c:v>185486.92670811363</c:v>
                </c:pt>
                <c:pt idx="10">
                  <c:v>452680.31728191557</c:v>
                </c:pt>
                <c:pt idx="11">
                  <c:v>216194.51936496937</c:v>
                </c:pt>
                <c:pt idx="12">
                  <c:v>197524.17858140386</c:v>
                </c:pt>
                <c:pt idx="13">
                  <c:v>200797.16616752464</c:v>
                </c:pt>
                <c:pt idx="14">
                  <c:v>345909.986501979</c:v>
                </c:pt>
                <c:pt idx="15">
                  <c:v>396977.30421926675</c:v>
                </c:pt>
                <c:pt idx="16">
                  <c:v>337335.50571552565</c:v>
                </c:pt>
                <c:pt idx="17">
                  <c:v>301948.66084429191</c:v>
                </c:pt>
                <c:pt idx="18">
                  <c:v>420974.02784260293</c:v>
                </c:pt>
                <c:pt idx="19">
                  <c:v>316126.42170926573</c:v>
                </c:pt>
                <c:pt idx="20">
                  <c:v>204707.95076424885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37111.385763806698</c:v>
                </c:pt>
                <c:pt idx="1">
                  <c:v>21928.612370368439</c:v>
                </c:pt>
                <c:pt idx="2">
                  <c:v>74780.455011275131</c:v>
                </c:pt>
                <c:pt idx="3">
                  <c:v>108749.05711527202</c:v>
                </c:pt>
                <c:pt idx="4">
                  <c:v>55584.787275317554</c:v>
                </c:pt>
                <c:pt idx="5">
                  <c:v>117961.33491232873</c:v>
                </c:pt>
                <c:pt idx="6">
                  <c:v>71442.598802368579</c:v>
                </c:pt>
                <c:pt idx="7">
                  <c:v>87060.847549827129</c:v>
                </c:pt>
                <c:pt idx="8">
                  <c:v>150572.98498620529</c:v>
                </c:pt>
                <c:pt idx="9">
                  <c:v>156782.95002603144</c:v>
                </c:pt>
                <c:pt idx="10">
                  <c:v>224460.99086337516</c:v>
                </c:pt>
                <c:pt idx="11">
                  <c:v>326888.07956134918</c:v>
                </c:pt>
                <c:pt idx="12">
                  <c:v>147533.33776981744</c:v>
                </c:pt>
                <c:pt idx="13">
                  <c:v>164063.16956169935</c:v>
                </c:pt>
                <c:pt idx="14">
                  <c:v>156537.16483657941</c:v>
                </c:pt>
                <c:pt idx="15">
                  <c:v>341831.19683904713</c:v>
                </c:pt>
                <c:pt idx="16">
                  <c:v>264583.08963772282</c:v>
                </c:pt>
                <c:pt idx="17">
                  <c:v>165522.32467376272</c:v>
                </c:pt>
                <c:pt idx="18">
                  <c:v>113888.76765925638</c:v>
                </c:pt>
                <c:pt idx="19">
                  <c:v>120244.95933078184</c:v>
                </c:pt>
                <c:pt idx="20">
                  <c:v>72522.186912999678</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90224.942963405862</c:v>
                </c:pt>
                <c:pt idx="1">
                  <c:v>98900.418248348738</c:v>
                </c:pt>
                <c:pt idx="2">
                  <c:v>133602.31938812023</c:v>
                </c:pt>
                <c:pt idx="3">
                  <c:v>101503.06083383159</c:v>
                </c:pt>
                <c:pt idx="4">
                  <c:v>79814.372621474424</c:v>
                </c:pt>
                <c:pt idx="5">
                  <c:v>96611.100450833866</c:v>
                </c:pt>
                <c:pt idx="6">
                  <c:v>88423.719056695409</c:v>
                </c:pt>
                <c:pt idx="7">
                  <c:v>94288.557565557843</c:v>
                </c:pt>
                <c:pt idx="8">
                  <c:v>111050.9677994348</c:v>
                </c:pt>
                <c:pt idx="9">
                  <c:v>108269.93155608705</c:v>
                </c:pt>
                <c:pt idx="10">
                  <c:v>174538.59656024375</c:v>
                </c:pt>
                <c:pt idx="11">
                  <c:v>190897.38890086298</c:v>
                </c:pt>
                <c:pt idx="12">
                  <c:v>239293.91003065923</c:v>
                </c:pt>
                <c:pt idx="13">
                  <c:v>232252.40236486623</c:v>
                </c:pt>
                <c:pt idx="14">
                  <c:v>251606.76922860506</c:v>
                </c:pt>
                <c:pt idx="15">
                  <c:v>252320.80786155901</c:v>
                </c:pt>
                <c:pt idx="16">
                  <c:v>160675.98613825691</c:v>
                </c:pt>
                <c:pt idx="17">
                  <c:v>202332.72328521241</c:v>
                </c:pt>
                <c:pt idx="18">
                  <c:v>88100.217645512384</c:v>
                </c:pt>
                <c:pt idx="19">
                  <c:v>135611.93252714758</c:v>
                </c:pt>
                <c:pt idx="20">
                  <c:v>56912.285300718584</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General</c:formatCode>
                <c:ptCount val="2"/>
                <c:pt idx="0" formatCode="0">
                  <c:v>66800</c:v>
                </c:pt>
                <c:pt idx="1" formatCode="0">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0</c:formatCode>
                <c:ptCount val="3"/>
                <c:pt idx="0" formatCode="General">
                  <c:v>2018</c:v>
                </c:pt>
                <c:pt idx="1" formatCode="General">
                  <c:v>2019</c:v>
                </c:pt>
                <c:pt idx="2" formatCode="General">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2020'!$B$48:$W$48</c15:sqref>
                  </c15:fullRef>
                </c:ext>
              </c:extLst>
              <c:f>'Projections using 2020'!$T$48:$W$48</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2020'!$B$49:$W$49</c15:sqref>
                  </c15:fullRef>
                </c:ext>
              </c:extLst>
              <c:f>'Projections using 2020'!$T$49:$W$49</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437030</xdr:colOff>
      <xdr:row>61</xdr:row>
      <xdr:rowOff>0</xdr:rowOff>
    </xdr:from>
    <xdr:to>
      <xdr:col>41</xdr:col>
      <xdr:colOff>49530</xdr:colOff>
      <xdr:row>66</xdr:row>
      <xdr:rowOff>0</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68</xdr:row>
      <xdr:rowOff>58881</xdr:rowOff>
    </xdr:from>
    <xdr:to>
      <xdr:col>41</xdr:col>
      <xdr:colOff>65725</xdr:colOff>
      <xdr:row>73</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74</xdr:row>
      <xdr:rowOff>101977</xdr:rowOff>
    </xdr:from>
    <xdr:to>
      <xdr:col>40</xdr:col>
      <xdr:colOff>420892</xdr:colOff>
      <xdr:row>83</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healthcare.sharepoint.com/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5"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3984375" defaultRowHeight="14.4"/>
  <cols>
    <col min="1" max="1" width="38.41796875" customWidth="1"/>
    <col min="2" max="2" width="20.83984375" customWidth="1"/>
  </cols>
  <sheetData>
    <row r="1" spans="1:2" ht="61.5" customHeight="1">
      <c r="A1" s="655" t="s">
        <v>0</v>
      </c>
      <c r="B1" s="655"/>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3984375" defaultRowHeight="14.4"/>
  <cols>
    <col min="1" max="1" width="20.41796875" customWidth="1"/>
    <col min="2" max="2" width="11.83984375" customWidth="1"/>
    <col min="4" max="4" width="7.83984375" customWidth="1"/>
    <col min="9" max="9" width="10.41796875" customWidth="1"/>
    <col min="10" max="10" width="9.41796875" customWidth="1"/>
    <col min="11" max="11" width="10" customWidth="1"/>
    <col min="12" max="12" width="10.41796875" customWidth="1"/>
    <col min="14" max="14" width="10.41796875" customWidth="1"/>
    <col min="16" max="16" width="6" bestFit="1" customWidth="1"/>
    <col min="18" max="18" width="8.41796875" customWidth="1"/>
    <col min="19" max="19" width="12.41796875" bestFit="1" customWidth="1"/>
    <col min="20" max="20" width="13.26171875" customWidth="1"/>
    <col min="21" max="21" width="10" customWidth="1"/>
    <col min="22" max="22" width="14.41796875" customWidth="1"/>
    <col min="23" max="23" width="11.41796875" customWidth="1"/>
    <col min="24" max="24" width="14.41796875" customWidth="1"/>
    <col min="25" max="25" width="14.15625" customWidth="1"/>
    <col min="26" max="26" width="8.41796875" bestFit="1" customWidth="1"/>
    <col min="27" max="27" width="12.41796875" bestFit="1" customWidth="1"/>
    <col min="28" max="28" width="15.41796875" bestFit="1" customWidth="1"/>
    <col min="29" max="29" width="14.4179687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340</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27" t="s">
        <v>341</v>
      </c>
      <c r="B6" s="727"/>
      <c r="C6" s="727"/>
      <c r="D6" s="727"/>
      <c r="E6" s="727"/>
      <c r="F6" s="727"/>
      <c r="G6" s="727"/>
      <c r="H6" s="727"/>
      <c r="I6" s="727"/>
      <c r="J6" s="17"/>
      <c r="K6" s="17"/>
      <c r="L6" s="17"/>
      <c r="M6" s="17"/>
      <c r="N6" s="17"/>
      <c r="O6" s="17"/>
      <c r="P6" s="17"/>
      <c r="Q6" s="17"/>
      <c r="R6" s="17"/>
      <c r="S6" s="17"/>
      <c r="T6" s="17"/>
      <c r="U6" s="17"/>
      <c r="V6" s="17"/>
    </row>
    <row r="7" spans="1:35">
      <c r="A7" s="728" t="s">
        <v>342</v>
      </c>
      <c r="B7" s="729"/>
      <c r="C7" s="729"/>
      <c r="D7" s="729"/>
      <c r="E7" s="729"/>
      <c r="F7" s="729"/>
      <c r="G7" s="729"/>
      <c r="H7" s="729"/>
      <c r="I7" s="729"/>
      <c r="J7" s="729"/>
      <c r="K7" s="729"/>
      <c r="L7" s="729"/>
      <c r="M7" s="730"/>
      <c r="N7" s="731"/>
      <c r="O7" s="2"/>
      <c r="P7" s="2"/>
      <c r="Q7" s="2"/>
      <c r="R7" s="2"/>
      <c r="S7" s="2"/>
      <c r="T7" s="2"/>
      <c r="U7" s="2"/>
      <c r="V7" s="2"/>
    </row>
    <row r="8" spans="1:35" ht="15.6">
      <c r="A8" s="6"/>
      <c r="B8" s="732" t="s">
        <v>343</v>
      </c>
      <c r="C8" s="733"/>
      <c r="D8" s="733"/>
      <c r="E8" s="733"/>
      <c r="F8" s="733"/>
      <c r="G8" s="733"/>
      <c r="H8" s="733"/>
      <c r="I8" s="733"/>
      <c r="J8" s="733"/>
      <c r="K8" s="733"/>
      <c r="L8" s="733"/>
      <c r="M8" s="733"/>
      <c r="N8" s="730"/>
      <c r="O8" s="2"/>
      <c r="P8" s="2"/>
      <c r="Q8" s="2"/>
      <c r="R8" s="726" t="s">
        <v>344</v>
      </c>
      <c r="S8" s="726"/>
      <c r="T8" s="726"/>
      <c r="U8" s="726"/>
      <c r="V8" s="726" t="s">
        <v>345</v>
      </c>
      <c r="W8" s="726"/>
      <c r="X8" s="726"/>
      <c r="Y8" s="726"/>
      <c r="Z8" s="724" t="s">
        <v>346</v>
      </c>
      <c r="AA8" s="724"/>
      <c r="AB8" s="724"/>
      <c r="AC8" s="724"/>
      <c r="AD8" s="725" t="s">
        <v>347</v>
      </c>
      <c r="AE8" s="725"/>
      <c r="AF8" s="725"/>
      <c r="AG8" s="725"/>
    </row>
    <row r="9" spans="1:35" ht="57.6">
      <c r="A9" s="7" t="s">
        <v>164</v>
      </c>
      <c r="B9" s="339" t="s">
        <v>348</v>
      </c>
      <c r="C9" s="340" t="s">
        <v>349</v>
      </c>
      <c r="D9" s="341" t="s">
        <v>350</v>
      </c>
      <c r="E9" s="340" t="s">
        <v>351</v>
      </c>
      <c r="F9" s="341" t="s">
        <v>352</v>
      </c>
      <c r="G9" s="341" t="s">
        <v>353</v>
      </c>
      <c r="H9" s="340" t="s">
        <v>354</v>
      </c>
      <c r="I9" s="341" t="s">
        <v>355</v>
      </c>
      <c r="J9" s="341" t="s">
        <v>356</v>
      </c>
      <c r="K9" s="341" t="s">
        <v>357</v>
      </c>
      <c r="L9" s="341" t="s">
        <v>358</v>
      </c>
      <c r="M9" s="340" t="s">
        <v>359</v>
      </c>
      <c r="N9" s="339" t="s">
        <v>360</v>
      </c>
      <c r="O9" s="8"/>
      <c r="P9" s="8"/>
      <c r="Q9" s="9" t="s">
        <v>361</v>
      </c>
      <c r="R9" s="196" t="s">
        <v>362</v>
      </c>
      <c r="S9" s="196" t="s">
        <v>363</v>
      </c>
      <c r="T9" s="196" t="s">
        <v>364</v>
      </c>
      <c r="U9" s="196" t="s">
        <v>365</v>
      </c>
      <c r="V9" s="196" t="s">
        <v>366</v>
      </c>
      <c r="W9" s="196" t="s">
        <v>367</v>
      </c>
      <c r="X9" s="196" t="s">
        <v>368</v>
      </c>
      <c r="Y9" s="196" t="s">
        <v>369</v>
      </c>
      <c r="Z9" s="196" t="s">
        <v>362</v>
      </c>
      <c r="AA9" s="196" t="s">
        <v>363</v>
      </c>
      <c r="AB9" s="196" t="s">
        <v>364</v>
      </c>
      <c r="AC9" s="196" t="s">
        <v>365</v>
      </c>
      <c r="AD9" s="405" t="s">
        <v>362</v>
      </c>
      <c r="AE9" s="405" t="s">
        <v>363</v>
      </c>
      <c r="AF9" s="405" t="s">
        <v>364</v>
      </c>
      <c r="AG9" s="405" t="s">
        <v>365</v>
      </c>
    </row>
    <row r="10" spans="1:35">
      <c r="A10" s="240">
        <v>1999</v>
      </c>
      <c r="B10" s="344">
        <v>2608</v>
      </c>
      <c r="C10" s="342">
        <v>133</v>
      </c>
      <c r="D10" s="342">
        <v>528</v>
      </c>
      <c r="E10" s="342">
        <v>160</v>
      </c>
      <c r="F10" s="342">
        <v>3</v>
      </c>
      <c r="G10" s="342">
        <v>1319</v>
      </c>
      <c r="H10" s="342">
        <v>9</v>
      </c>
      <c r="I10" s="342">
        <v>92</v>
      </c>
      <c r="J10" s="342">
        <v>15</v>
      </c>
      <c r="K10" s="342">
        <v>564</v>
      </c>
      <c r="L10" s="342">
        <v>15</v>
      </c>
      <c r="M10" s="342">
        <v>2617</v>
      </c>
      <c r="N10" s="342">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5">
        <f t="shared" ref="V10:V12" si="11">R10/SUM($R10:$U10)</f>
        <v>0.50826294528094018</v>
      </c>
      <c r="W10" s="345">
        <f t="shared" ref="W10:Y12" si="12">S10/SUM($R10:$U10)</f>
        <v>0.35604113110539848</v>
      </c>
      <c r="X10" s="345">
        <f t="shared" si="12"/>
        <v>0.13128901946382665</v>
      </c>
      <c r="Y10" s="345">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0">
        <v>2000</v>
      </c>
      <c r="B11" s="332">
        <v>3060</v>
      </c>
      <c r="C11" s="343">
        <v>158</v>
      </c>
      <c r="D11" s="343">
        <v>371</v>
      </c>
      <c r="E11" s="343">
        <v>186</v>
      </c>
      <c r="F11" s="343">
        <v>5</v>
      </c>
      <c r="G11" s="343">
        <v>1357</v>
      </c>
      <c r="H11" s="343">
        <v>14</v>
      </c>
      <c r="I11" s="343">
        <v>94</v>
      </c>
      <c r="J11" s="343">
        <v>11</v>
      </c>
      <c r="K11" s="343">
        <v>577</v>
      </c>
      <c r="L11" s="343">
        <v>24</v>
      </c>
      <c r="M11" s="343">
        <v>2561</v>
      </c>
      <c r="N11" s="343">
        <v>8418</v>
      </c>
      <c r="O11" s="8"/>
      <c r="P11" s="8"/>
      <c r="Q11" s="12">
        <f t="shared" ref="Q11:Q29" si="18">N11-SUM(R11:U11)</f>
        <v>2561</v>
      </c>
      <c r="R11" s="12">
        <f t="shared" si="7"/>
        <v>3246</v>
      </c>
      <c r="S11" s="12">
        <f t="shared" si="8"/>
        <v>1822</v>
      </c>
      <c r="T11" s="12">
        <f t="shared" si="9"/>
        <v>764</v>
      </c>
      <c r="U11" s="12">
        <f t="shared" si="10"/>
        <v>25</v>
      </c>
      <c r="V11" s="345">
        <f t="shared" si="11"/>
        <v>0.55420863923510333</v>
      </c>
      <c r="W11" s="345">
        <f t="shared" si="12"/>
        <v>0.31108075806726992</v>
      </c>
      <c r="X11" s="345">
        <f t="shared" si="12"/>
        <v>0.13044220590746117</v>
      </c>
      <c r="Y11" s="345">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0">
        <v>2001</v>
      </c>
      <c r="B12" s="332">
        <v>4006</v>
      </c>
      <c r="C12" s="343">
        <v>183</v>
      </c>
      <c r="D12" s="343">
        <v>327</v>
      </c>
      <c r="E12" s="343">
        <v>229</v>
      </c>
      <c r="F12" s="343">
        <v>13</v>
      </c>
      <c r="G12" s="343">
        <v>1361</v>
      </c>
      <c r="H12" s="343">
        <v>11</v>
      </c>
      <c r="I12" s="343">
        <v>65</v>
      </c>
      <c r="J12" s="343">
        <v>16</v>
      </c>
      <c r="K12" s="343">
        <v>732</v>
      </c>
      <c r="L12" s="343">
        <v>14</v>
      </c>
      <c r="M12" s="343">
        <v>2545</v>
      </c>
      <c r="N12" s="343">
        <v>9502</v>
      </c>
      <c r="O12" s="8"/>
      <c r="P12" s="8"/>
      <c r="Q12" s="12">
        <f t="shared" si="18"/>
        <v>2545</v>
      </c>
      <c r="R12" s="12">
        <f t="shared" si="7"/>
        <v>4235</v>
      </c>
      <c r="S12" s="12">
        <f t="shared" si="8"/>
        <v>1753</v>
      </c>
      <c r="T12" s="12">
        <f t="shared" si="9"/>
        <v>942</v>
      </c>
      <c r="U12" s="12">
        <f t="shared" si="10"/>
        <v>27</v>
      </c>
      <c r="V12" s="345">
        <f t="shared" si="11"/>
        <v>0.60873939916630737</v>
      </c>
      <c r="W12" s="345">
        <f t="shared" si="12"/>
        <v>0.25197642662066982</v>
      </c>
      <c r="X12" s="345">
        <f t="shared" si="12"/>
        <v>0.13540319103061665</v>
      </c>
      <c r="Y12" s="345">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0">
        <v>2002</v>
      </c>
      <c r="B13" s="333">
        <v>5549</v>
      </c>
      <c r="C13" s="334">
        <v>312</v>
      </c>
      <c r="D13" s="333">
        <v>350</v>
      </c>
      <c r="E13" s="335">
        <v>252</v>
      </c>
      <c r="F13" s="336">
        <v>6</v>
      </c>
      <c r="G13" s="333">
        <v>1622</v>
      </c>
      <c r="H13" s="337">
        <v>11</v>
      </c>
      <c r="I13" s="333">
        <v>89</v>
      </c>
      <c r="J13" s="338">
        <v>19</v>
      </c>
      <c r="K13" s="336">
        <v>937</v>
      </c>
      <c r="L13" s="336">
        <v>25</v>
      </c>
      <c r="M13" s="11">
        <v>2754</v>
      </c>
      <c r="N13" s="11">
        <v>11926</v>
      </c>
      <c r="O13" s="2"/>
      <c r="P13" s="9"/>
      <c r="Q13" s="12">
        <f t="shared" si="18"/>
        <v>2754</v>
      </c>
      <c r="R13" s="12">
        <f>(B13+E13)</f>
        <v>5801</v>
      </c>
      <c r="S13" s="12">
        <f>(G13+I13+D13)</f>
        <v>2061</v>
      </c>
      <c r="T13" s="12">
        <f>(F13+K13+L13+C13)</f>
        <v>1280</v>
      </c>
      <c r="U13" s="12">
        <f>H13+J13</f>
        <v>30</v>
      </c>
      <c r="V13" s="345">
        <f>R13/SUM($R13:$U13)</f>
        <v>0.63246838203227218</v>
      </c>
      <c r="W13" s="345">
        <f t="shared" ref="W13:Y13" si="20">S13/SUM($R13:$U13)</f>
        <v>0.22470562581770606</v>
      </c>
      <c r="X13" s="345">
        <f t="shared" si="20"/>
        <v>0.13955516790231137</v>
      </c>
      <c r="Y13" s="345">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0">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5">
        <f t="shared" ref="V14:V30" si="25">R14/SUM($R14:$U14)</f>
        <v>0.66123524246267928</v>
      </c>
      <c r="W14" s="345">
        <f t="shared" ref="W14:W30" si="26">S14/SUM($R14:$U14)</f>
        <v>0.20099521904576056</v>
      </c>
      <c r="X14" s="345">
        <f t="shared" ref="X14:X30" si="27">T14/SUM($R14:$U14)</f>
        <v>0.13503756464045272</v>
      </c>
      <c r="Y14" s="345">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0">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5">
        <f t="shared" si="25"/>
        <v>0.69160345278577029</v>
      </c>
      <c r="W15" s="345">
        <f t="shared" si="26"/>
        <v>0.16226349289388786</v>
      </c>
      <c r="X15" s="345">
        <f t="shared" si="27"/>
        <v>0.14412764844363066</v>
      </c>
      <c r="Y15" s="345">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0">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5">
        <f t="shared" si="25"/>
        <v>0.70424434748115827</v>
      </c>
      <c r="W16" s="345">
        <f t="shared" si="26"/>
        <v>0.1558111860372868</v>
      </c>
      <c r="X16" s="345">
        <f t="shared" si="27"/>
        <v>0.13566045220150733</v>
      </c>
      <c r="Y16" s="345">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0">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5">
        <f t="shared" si="25"/>
        <v>0.694370322160755</v>
      </c>
      <c r="W17" s="345">
        <f t="shared" si="26"/>
        <v>0.12866905304262935</v>
      </c>
      <c r="X17" s="345">
        <f t="shared" si="27"/>
        <v>0.16895541815815165</v>
      </c>
      <c r="Y17" s="345">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0">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5">
        <f t="shared" si="25"/>
        <v>0.71918183478419673</v>
      </c>
      <c r="W18" s="345">
        <f t="shared" si="26"/>
        <v>0.14530955134838985</v>
      </c>
      <c r="X18" s="345">
        <f t="shared" si="27"/>
        <v>0.13398672916539842</v>
      </c>
      <c r="Y18" s="345">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0">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5">
        <f t="shared" si="25"/>
        <v>0.69146608315098468</v>
      </c>
      <c r="W19" s="345">
        <f t="shared" si="26"/>
        <v>0.17476678567315443</v>
      </c>
      <c r="X19" s="345">
        <f t="shared" si="27"/>
        <v>0.13146377979960844</v>
      </c>
      <c r="Y19" s="345">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0">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5">
        <f t="shared" si="25"/>
        <v>0.66147563299754963</v>
      </c>
      <c r="W20" s="345">
        <f t="shared" si="26"/>
        <v>0.17658589708684999</v>
      </c>
      <c r="X20" s="345">
        <f t="shared" si="27"/>
        <v>0.15905254560304927</v>
      </c>
      <c r="Y20" s="345">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0">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5">
        <f t="shared" si="25"/>
        <v>0.68662393830441348</v>
      </c>
      <c r="W21" s="345">
        <f t="shared" si="26"/>
        <v>0.15590641446511386</v>
      </c>
      <c r="X21" s="345">
        <f t="shared" si="27"/>
        <v>0.15455161273513626</v>
      </c>
      <c r="Y21" s="345">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0">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5">
        <f t="shared" si="25"/>
        <v>0.65868901700499005</v>
      </c>
      <c r="W22" s="345">
        <f t="shared" si="26"/>
        <v>0.21074560341068746</v>
      </c>
      <c r="X22" s="345">
        <f t="shared" si="27"/>
        <v>0.12717407102369072</v>
      </c>
      <c r="Y22" s="345">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0">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5">
        <f t="shared" si="25"/>
        <v>0.59651951254208357</v>
      </c>
      <c r="W23" s="345">
        <f t="shared" si="26"/>
        <v>0.27734838067238843</v>
      </c>
      <c r="X23" s="345">
        <f t="shared" si="27"/>
        <v>0.12153255251552943</v>
      </c>
      <c r="Y23" s="345">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0">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5">
        <f t="shared" si="25"/>
        <v>0.5178786834396002</v>
      </c>
      <c r="W24" s="345">
        <f t="shared" si="26"/>
        <v>0.3460709977597794</v>
      </c>
      <c r="X24" s="345">
        <f t="shared" si="27"/>
        <v>0.12493537825262795</v>
      </c>
      <c r="Y24" s="345">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0">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5">
        <f t="shared" si="25"/>
        <v>0.44321023981168162</v>
      </c>
      <c r="W25" s="345">
        <f t="shared" si="26"/>
        <v>0.34978667058996615</v>
      </c>
      <c r="X25" s="345">
        <f t="shared" si="27"/>
        <v>0.16658084449021626</v>
      </c>
      <c r="Y25" s="345">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0">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5">
        <f t="shared" si="25"/>
        <v>0.36907959177225191</v>
      </c>
      <c r="W26" s="345">
        <f t="shared" si="26"/>
        <v>0.32468640399380705</v>
      </c>
      <c r="X26" s="345">
        <f t="shared" si="27"/>
        <v>0.21855350879964611</v>
      </c>
      <c r="Y26" s="345">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0">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5">
        <f t="shared" si="25"/>
        <v>0.28592357465510926</v>
      </c>
      <c r="W27" s="345">
        <f t="shared" si="26"/>
        <v>0.23640581125625687</v>
      </c>
      <c r="X27" s="345">
        <f t="shared" si="27"/>
        <v>0.33436698815773408</v>
      </c>
      <c r="Y27" s="345">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39">
        <v>47882</v>
      </c>
      <c r="O28" s="2"/>
      <c r="P28" s="12"/>
      <c r="Q28" s="12">
        <f t="shared" si="18"/>
        <v>1211</v>
      </c>
      <c r="R28" s="12">
        <f t="shared" si="21"/>
        <v>10569</v>
      </c>
      <c r="S28" s="12">
        <f t="shared" si="22"/>
        <v>7411</v>
      </c>
      <c r="T28" s="12">
        <f t="shared" si="23"/>
        <v>20509</v>
      </c>
      <c r="U28" s="12">
        <f t="shared" si="24"/>
        <v>8182</v>
      </c>
      <c r="V28" s="345">
        <f t="shared" si="25"/>
        <v>0.2264575432281288</v>
      </c>
      <c r="W28" s="345">
        <f t="shared" si="26"/>
        <v>0.15879239784877119</v>
      </c>
      <c r="X28" s="345">
        <f t="shared" si="27"/>
        <v>0.43943776649311134</v>
      </c>
      <c r="Y28" s="345">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0">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5">
        <f t="shared" si="25"/>
        <v>0.18837506221462422</v>
      </c>
      <c r="W29" s="345">
        <f t="shared" si="26"/>
        <v>0.12858410335201576</v>
      </c>
      <c r="X29" s="345">
        <f t="shared" si="27"/>
        <v>0.4848196316894246</v>
      </c>
      <c r="Y29" s="345">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5">
        <f t="shared" si="25"/>
        <v>0.1521330177802051</v>
      </c>
      <c r="W30" s="345">
        <f t="shared" si="26"/>
        <v>0.10651940854016223</v>
      </c>
      <c r="X30" s="345">
        <f t="shared" si="27"/>
        <v>0.56233185670651531</v>
      </c>
      <c r="Y30" s="345">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370</v>
      </c>
      <c r="B33" s="2"/>
      <c r="C33" s="2"/>
      <c r="D33" s="2"/>
      <c r="E33" s="2"/>
      <c r="F33" s="2"/>
      <c r="G33" s="2"/>
      <c r="H33" s="2"/>
      <c r="I33" s="2"/>
      <c r="J33" s="2"/>
    </row>
    <row r="34" spans="1:24">
      <c r="A34" s="14" t="s">
        <v>371</v>
      </c>
      <c r="B34" s="14" t="s">
        <v>372</v>
      </c>
      <c r="C34" s="14"/>
      <c r="D34" s="13"/>
      <c r="E34" s="2"/>
      <c r="F34" s="2"/>
      <c r="G34" s="2"/>
      <c r="H34" s="2"/>
      <c r="I34" s="2"/>
      <c r="J34" s="2"/>
    </row>
    <row r="35" spans="1:24">
      <c r="A35" s="14" t="s">
        <v>373</v>
      </c>
      <c r="B35" s="14" t="s">
        <v>374</v>
      </c>
      <c r="C35" s="14"/>
      <c r="D35" s="2"/>
      <c r="E35" s="2"/>
      <c r="F35" s="2"/>
      <c r="G35" s="2"/>
      <c r="H35" s="2"/>
      <c r="I35" s="2"/>
      <c r="J35" s="2"/>
    </row>
    <row r="36" spans="1:24">
      <c r="A36" s="14" t="s">
        <v>375</v>
      </c>
      <c r="B36" s="14" t="s">
        <v>376</v>
      </c>
      <c r="C36" s="14"/>
      <c r="D36" s="2"/>
      <c r="E36" s="2"/>
      <c r="F36" s="2"/>
      <c r="G36" s="2"/>
      <c r="H36" s="2"/>
      <c r="I36" s="2"/>
      <c r="J36" s="2"/>
    </row>
    <row r="37" spans="1:24">
      <c r="A37" s="14" t="s">
        <v>377</v>
      </c>
      <c r="B37" s="14" t="s">
        <v>378</v>
      </c>
      <c r="C37" s="14"/>
      <c r="D37" s="734" t="s">
        <v>379</v>
      </c>
      <c r="E37" s="734"/>
      <c r="F37" s="734"/>
      <c r="G37" s="734"/>
      <c r="H37" s="734"/>
      <c r="I37" s="2"/>
      <c r="J37" s="2"/>
      <c r="K37" s="2"/>
      <c r="L37" s="2"/>
    </row>
    <row r="38" spans="1:24">
      <c r="A38" s="14" t="s">
        <v>380</v>
      </c>
      <c r="B38" s="14" t="s">
        <v>381</v>
      </c>
      <c r="C38" s="14"/>
      <c r="D38" s="2" t="s">
        <v>362</v>
      </c>
      <c r="E38" s="2" t="s">
        <v>382</v>
      </c>
      <c r="F38" s="2"/>
      <c r="G38" s="2"/>
      <c r="H38" s="2"/>
      <c r="I38" s="2"/>
      <c r="J38" s="2"/>
      <c r="K38" s="2"/>
      <c r="L38" s="2"/>
    </row>
    <row r="39" spans="1:24">
      <c r="A39" s="14" t="s">
        <v>383</v>
      </c>
      <c r="B39" s="14" t="s">
        <v>384</v>
      </c>
      <c r="C39" s="14"/>
      <c r="D39" s="2" t="s">
        <v>363</v>
      </c>
      <c r="E39" s="2" t="s">
        <v>385</v>
      </c>
      <c r="F39" s="2"/>
      <c r="G39" s="2"/>
      <c r="H39" s="2"/>
      <c r="I39" s="2"/>
      <c r="J39" s="2"/>
      <c r="K39" s="2"/>
      <c r="L39" s="2"/>
    </row>
    <row r="40" spans="1:24">
      <c r="A40" s="14" t="s">
        <v>386</v>
      </c>
      <c r="B40" s="14" t="s">
        <v>387</v>
      </c>
      <c r="C40" s="14"/>
      <c r="D40" s="2" t="s">
        <v>364</v>
      </c>
      <c r="E40" s="2" t="s">
        <v>388</v>
      </c>
      <c r="F40" s="2"/>
      <c r="G40" s="2"/>
      <c r="H40" s="2"/>
      <c r="I40" s="2"/>
      <c r="J40" s="2"/>
      <c r="K40" s="2"/>
      <c r="L40" s="2"/>
    </row>
    <row r="41" spans="1:24">
      <c r="A41" s="14" t="s">
        <v>389</v>
      </c>
      <c r="B41" s="14" t="s">
        <v>390</v>
      </c>
      <c r="C41" s="14"/>
      <c r="D41" s="2" t="s">
        <v>365</v>
      </c>
      <c r="E41" s="2" t="s">
        <v>391</v>
      </c>
      <c r="F41" s="2"/>
      <c r="G41" s="2"/>
      <c r="H41" s="2"/>
      <c r="I41" s="2"/>
      <c r="J41" s="2"/>
      <c r="K41" s="2"/>
      <c r="L41" s="2"/>
    </row>
    <row r="42" spans="1:24">
      <c r="A42" s="14" t="s">
        <v>392</v>
      </c>
      <c r="B42" s="14" t="s">
        <v>393</v>
      </c>
      <c r="C42" s="14"/>
      <c r="D42" s="2"/>
      <c r="E42" s="2" t="s">
        <v>394</v>
      </c>
      <c r="F42" s="2"/>
      <c r="G42" s="2"/>
      <c r="H42" s="2"/>
      <c r="I42" s="2"/>
      <c r="J42" s="2"/>
      <c r="K42" s="2"/>
      <c r="L42" s="2"/>
    </row>
    <row r="43" spans="1:24">
      <c r="A43" s="14" t="s">
        <v>395</v>
      </c>
      <c r="B43" s="14" t="s">
        <v>396</v>
      </c>
      <c r="C43" s="14"/>
      <c r="D43" s="2"/>
      <c r="E43" s="2"/>
      <c r="F43" s="2"/>
      <c r="G43" s="2"/>
      <c r="H43" s="2"/>
      <c r="I43" s="2"/>
      <c r="J43" s="2"/>
      <c r="K43" s="2"/>
      <c r="L43" s="2"/>
    </row>
    <row r="44" spans="1:24">
      <c r="A44" s="15" t="s">
        <v>397</v>
      </c>
      <c r="B44" s="15" t="s">
        <v>398</v>
      </c>
      <c r="C44" s="15"/>
      <c r="D44" s="2"/>
      <c r="E44" s="2"/>
      <c r="F44" s="2"/>
      <c r="G44" s="2"/>
      <c r="H44" s="2"/>
      <c r="I44" s="2"/>
      <c r="J44" s="2"/>
      <c r="K44" s="2"/>
      <c r="L44" s="2"/>
    </row>
    <row r="45" spans="1:24">
      <c r="A45" s="15" t="s">
        <v>399</v>
      </c>
      <c r="B45" s="15" t="s">
        <v>400</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6">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6">
        <f>$AD30</f>
        <v>7633.7305661751316</v>
      </c>
      <c r="W52" s="2"/>
      <c r="X52" s="2"/>
      <c r="Y52" s="2"/>
      <c r="Z52" s="2"/>
      <c r="AA52" s="2"/>
    </row>
    <row r="53" spans="1:35" ht="28.8">
      <c r="A53" s="84" t="s">
        <v>340</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6">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6">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76" t="s">
        <v>401</v>
      </c>
      <c r="B59" s="676"/>
      <c r="C59" s="676"/>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3984375" defaultRowHeight="14.4"/>
  <cols>
    <col min="1" max="1" width="43.41796875" customWidth="1"/>
    <col min="2" max="2" width="14" customWidth="1"/>
    <col min="3" max="3" width="12.83984375" customWidth="1"/>
    <col min="4" max="4" width="12.26171875" customWidth="1"/>
    <col min="5" max="5" width="14" customWidth="1"/>
    <col min="6" max="6" width="12" bestFit="1" customWidth="1"/>
    <col min="7" max="7" width="12.41796875" customWidth="1"/>
    <col min="8" max="8" width="12" bestFit="1" customWidth="1"/>
    <col min="9" max="9" width="12.15625" customWidth="1"/>
    <col min="10" max="10" width="12" bestFit="1" customWidth="1"/>
    <col min="11" max="11" width="12" customWidth="1"/>
    <col min="12" max="12" width="12" bestFit="1" customWidth="1"/>
    <col min="13" max="13" width="13.26171875" customWidth="1"/>
    <col min="14" max="14" width="11.83984375" customWidth="1"/>
    <col min="15" max="16" width="12" bestFit="1" customWidth="1"/>
    <col min="17" max="17" width="11.41796875" customWidth="1"/>
    <col min="18" max="18" width="14.41796875" customWidth="1"/>
    <col min="19" max="19" width="14.15625" customWidth="1"/>
    <col min="20" max="20" width="15.15625" customWidth="1"/>
    <col min="21" max="21" width="20.26171875" customWidth="1"/>
    <col min="22" max="22" width="10.8398437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402</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403</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37" t="s">
        <v>404</v>
      </c>
      <c r="B9" s="737"/>
      <c r="C9" s="737"/>
      <c r="D9" s="737"/>
      <c r="E9" s="737"/>
      <c r="F9" s="737"/>
      <c r="G9" s="737"/>
      <c r="H9" s="737"/>
      <c r="I9" s="737"/>
    </row>
    <row r="10" spans="1:23">
      <c r="A10" s="646"/>
      <c r="B10" s="646"/>
      <c r="C10" s="646"/>
      <c r="D10" s="646"/>
      <c r="E10" s="646"/>
      <c r="F10" s="646"/>
      <c r="G10" s="646"/>
      <c r="H10" s="646"/>
      <c r="I10" s="646"/>
    </row>
    <row r="11" spans="1:23">
      <c r="A11" s="735" t="s">
        <v>405</v>
      </c>
      <c r="B11" s="735"/>
      <c r="C11" s="735"/>
      <c r="D11" s="735"/>
      <c r="E11" s="735"/>
      <c r="F11" s="735"/>
      <c r="G11" s="735"/>
      <c r="H11" s="735"/>
    </row>
    <row r="12" spans="1:23" ht="72">
      <c r="A12" s="49" t="s">
        <v>181</v>
      </c>
      <c r="B12" s="49" t="s">
        <v>406</v>
      </c>
      <c r="C12" s="49" t="s">
        <v>407</v>
      </c>
      <c r="D12" s="49" t="s">
        <v>408</v>
      </c>
      <c r="E12" s="49" t="s">
        <v>409</v>
      </c>
      <c r="F12" s="49" t="s">
        <v>410</v>
      </c>
      <c r="G12" s="49" t="s">
        <v>411</v>
      </c>
      <c r="H12" s="49" t="s">
        <v>412</v>
      </c>
      <c r="I12" s="49" t="s">
        <v>413</v>
      </c>
      <c r="J12" s="49" t="s">
        <v>414</v>
      </c>
      <c r="K12" s="49" t="s">
        <v>415</v>
      </c>
      <c r="L12" s="49" t="s">
        <v>416</v>
      </c>
      <c r="M12" s="49" t="s">
        <v>417</v>
      </c>
      <c r="N12" s="49" t="s">
        <v>418</v>
      </c>
      <c r="O12" s="49" t="s">
        <v>419</v>
      </c>
      <c r="P12" s="49" t="s">
        <v>420</v>
      </c>
      <c r="Q12" s="49" t="s">
        <v>421</v>
      </c>
      <c r="R12" s="49" t="s">
        <v>422</v>
      </c>
      <c r="S12" s="49" t="s">
        <v>423</v>
      </c>
      <c r="T12" s="49" t="s">
        <v>424</v>
      </c>
      <c r="U12" s="49" t="s">
        <v>425</v>
      </c>
      <c r="V12" s="49" t="s">
        <v>426</v>
      </c>
      <c r="W12" s="49" t="s">
        <v>427</v>
      </c>
    </row>
    <row r="13" spans="1:23">
      <c r="A13" t="s">
        <v>428</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429</v>
      </c>
      <c r="U13" t="s">
        <v>429</v>
      </c>
      <c r="V13" t="s">
        <v>429</v>
      </c>
      <c r="W13" t="s">
        <v>429</v>
      </c>
    </row>
    <row r="14" spans="1:23">
      <c r="A14" s="178" t="s">
        <v>430</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431</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429</v>
      </c>
      <c r="U15" t="s">
        <v>429</v>
      </c>
      <c r="V15" t="s">
        <v>429</v>
      </c>
      <c r="W15" t="s">
        <v>429</v>
      </c>
    </row>
    <row r="16" spans="1:23">
      <c r="A16" s="178" t="s">
        <v>432</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433</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434</v>
      </c>
      <c r="W17">
        <f>T17/P17</f>
        <v>0.14462809917355371</v>
      </c>
    </row>
    <row r="18" spans="1:23">
      <c r="A18" s="178" t="s">
        <v>435</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436</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434</v>
      </c>
      <c r="W19">
        <f>T19/P19</f>
        <v>0.15265082266910421</v>
      </c>
    </row>
    <row r="20" spans="1:23">
      <c r="A20" s="178" t="s">
        <v>437</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438</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434</v>
      </c>
      <c r="W21">
        <f>T21/P21</f>
        <v>0.13282051282051283</v>
      </c>
    </row>
    <row r="22" spans="1:23">
      <c r="A22" s="178" t="s">
        <v>439</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440</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434</v>
      </c>
      <c r="W23">
        <f>T23/P23</f>
        <v>0.17102966841186737</v>
      </c>
    </row>
    <row r="24" spans="1:23">
      <c r="A24" s="178" t="s">
        <v>441</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442</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443</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444</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445</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446</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434</v>
      </c>
      <c r="R29" s="19" t="s">
        <v>434</v>
      </c>
      <c r="S29" s="19">
        <v>1531000</v>
      </c>
      <c r="T29" s="19">
        <v>638000</v>
      </c>
      <c r="U29" s="19">
        <v>856000</v>
      </c>
      <c r="V29">
        <f>T29/SUM(T29:U29)</f>
        <v>0.42704149933065594</v>
      </c>
    </row>
    <row r="30" spans="1:23">
      <c r="A30" t="s">
        <v>447</v>
      </c>
      <c r="B30" s="19" t="s">
        <v>448</v>
      </c>
      <c r="C30" s="19" t="s">
        <v>448</v>
      </c>
      <c r="D30" s="19" t="s">
        <v>449</v>
      </c>
      <c r="E30" s="19" t="s">
        <v>450</v>
      </c>
      <c r="F30" s="19" t="s">
        <v>451</v>
      </c>
      <c r="G30" s="19"/>
      <c r="H30" s="19" t="s">
        <v>450</v>
      </c>
      <c r="I30" s="19"/>
      <c r="J30" s="19"/>
      <c r="K30" s="19"/>
      <c r="L30" s="19"/>
      <c r="M30" s="19" t="s">
        <v>452</v>
      </c>
      <c r="N30" s="19" t="s">
        <v>453</v>
      </c>
      <c r="O30" s="19" t="s">
        <v>453</v>
      </c>
      <c r="P30" s="19" t="s">
        <v>454</v>
      </c>
      <c r="Q30" s="19" t="s">
        <v>455</v>
      </c>
      <c r="R30" t="s">
        <v>455</v>
      </c>
      <c r="S30" s="19" t="s">
        <v>456</v>
      </c>
      <c r="T30" t="s">
        <v>457</v>
      </c>
      <c r="U30" t="s">
        <v>457</v>
      </c>
      <c r="V30">
        <f>AVERAGE(V26:V29)</f>
        <v>0.45272195632175816</v>
      </c>
      <c r="W30">
        <f>AVERAGE(W17:W23)</f>
        <v>0.15028227576875952</v>
      </c>
    </row>
    <row r="31" spans="1:23">
      <c r="A31" s="646"/>
      <c r="B31" s="646"/>
      <c r="C31" s="646"/>
      <c r="D31" s="646"/>
      <c r="E31" s="646"/>
      <c r="F31" s="646"/>
      <c r="G31" s="646"/>
      <c r="H31" s="646"/>
      <c r="I31" s="646"/>
    </row>
    <row r="32" spans="1:23">
      <c r="A32" s="646"/>
      <c r="B32" s="646"/>
      <c r="C32" s="646"/>
      <c r="D32" s="646"/>
      <c r="E32" s="646"/>
      <c r="F32" s="646"/>
      <c r="G32" s="646"/>
      <c r="H32" s="646"/>
      <c r="I32" s="646"/>
    </row>
    <row r="33" spans="1:20" ht="14.85" customHeight="1"/>
    <row r="34" spans="1:20">
      <c r="A34" s="736" t="s">
        <v>458</v>
      </c>
      <c r="B34" s="736"/>
      <c r="C34" s="736"/>
      <c r="D34" s="736"/>
      <c r="E34" s="736"/>
      <c r="F34" s="736"/>
      <c r="G34" s="736"/>
      <c r="H34" s="736"/>
      <c r="I34" s="736"/>
      <c r="J34" s="736"/>
      <c r="K34" s="736"/>
      <c r="L34" s="736"/>
      <c r="M34" s="736"/>
      <c r="N34" s="736"/>
      <c r="O34" s="736"/>
      <c r="P34" s="736"/>
      <c r="Q34" s="736"/>
      <c r="R34" s="736"/>
      <c r="S34" s="736"/>
    </row>
    <row r="35" spans="1:20">
      <c r="A35" s="736"/>
      <c r="B35" s="736"/>
      <c r="C35" s="736"/>
      <c r="D35" s="736"/>
      <c r="E35" s="736"/>
      <c r="F35" s="736"/>
      <c r="G35" s="736"/>
      <c r="H35" s="736"/>
      <c r="I35" s="736"/>
      <c r="J35" s="736"/>
      <c r="K35" s="736"/>
      <c r="L35" s="736"/>
      <c r="M35" s="736"/>
      <c r="N35" s="736"/>
      <c r="O35" s="736"/>
      <c r="P35" s="736"/>
      <c r="Q35" s="736"/>
      <c r="R35" s="736"/>
      <c r="S35" s="736"/>
    </row>
    <row r="36" spans="1:20">
      <c r="A36" t="s">
        <v>459</v>
      </c>
      <c r="B36" t="s">
        <v>460</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8">
      <c r="A37" t="s">
        <v>461</v>
      </c>
      <c r="B37" s="50" t="s">
        <v>451</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462</v>
      </c>
      <c r="B38" s="109" t="s">
        <v>463</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464</v>
      </c>
      <c r="B39" s="50" t="s">
        <v>450</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465</v>
      </c>
      <c r="B40" s="109" t="s">
        <v>450</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466</v>
      </c>
      <c r="B41" s="109" t="s">
        <v>467</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468</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469</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402</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403</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470</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471</v>
      </c>
    </row>
    <row r="50" spans="1:20">
      <c r="A50" s="735" t="s">
        <v>472</v>
      </c>
      <c r="B50" s="735"/>
      <c r="C50" s="735"/>
      <c r="D50" s="735"/>
      <c r="E50" s="735"/>
      <c r="F50" s="735"/>
      <c r="G50" s="735"/>
      <c r="H50" s="735"/>
      <c r="I50" s="735"/>
      <c r="J50" s="735"/>
      <c r="K50" s="735"/>
    </row>
    <row r="51" spans="1:20">
      <c r="A51" s="735"/>
      <c r="B51" s="735"/>
      <c r="C51" s="735"/>
      <c r="D51" s="735"/>
      <c r="E51" s="735"/>
      <c r="F51" s="735"/>
      <c r="G51" s="735"/>
      <c r="H51" s="735"/>
      <c r="I51" s="735"/>
      <c r="J51" s="735"/>
      <c r="K51" s="735"/>
    </row>
    <row r="52" spans="1:20" ht="13.35" customHeight="1">
      <c r="A52" s="735"/>
      <c r="B52" s="735"/>
      <c r="C52" s="735"/>
      <c r="D52" s="735"/>
      <c r="E52" s="735"/>
      <c r="F52" s="735"/>
      <c r="G52" s="735"/>
      <c r="H52" s="735"/>
      <c r="I52" s="735"/>
      <c r="J52" s="735"/>
      <c r="K52" s="735"/>
    </row>
    <row r="53" spans="1:20">
      <c r="A53" s="735"/>
      <c r="B53" s="735"/>
      <c r="C53" s="735"/>
      <c r="D53" s="735"/>
      <c r="E53" s="735"/>
      <c r="F53" s="735"/>
      <c r="G53" s="735"/>
      <c r="H53" s="735"/>
      <c r="I53" s="735"/>
      <c r="J53" s="735"/>
      <c r="K53" s="735"/>
    </row>
    <row r="54" spans="1:20">
      <c r="A54" s="735"/>
      <c r="B54" s="735"/>
      <c r="C54" s="735"/>
      <c r="D54" s="735"/>
      <c r="E54" s="735"/>
      <c r="F54" s="735"/>
      <c r="G54" s="735"/>
      <c r="H54" s="735"/>
      <c r="I54" s="735"/>
      <c r="J54" s="735"/>
      <c r="K54" s="735"/>
    </row>
    <row r="56" spans="1:20">
      <c r="A56" s="1" t="s">
        <v>473</v>
      </c>
    </row>
    <row r="57" spans="1:20">
      <c r="B57">
        <v>1993</v>
      </c>
      <c r="C57">
        <v>1994</v>
      </c>
      <c r="D57">
        <v>1995</v>
      </c>
      <c r="E57">
        <v>1996</v>
      </c>
      <c r="F57">
        <v>1997</v>
      </c>
      <c r="G57">
        <v>1998</v>
      </c>
      <c r="H57">
        <v>1999</v>
      </c>
      <c r="I57" s="1">
        <v>2000</v>
      </c>
      <c r="J57" s="1">
        <v>2001</v>
      </c>
      <c r="K57" s="1">
        <v>2002</v>
      </c>
    </row>
    <row r="58" spans="1:20">
      <c r="A58" t="s">
        <v>474</v>
      </c>
      <c r="G58" s="19">
        <v>1548000</v>
      </c>
      <c r="H58">
        <v>1810000</v>
      </c>
      <c r="I58" s="1">
        <v>2268000</v>
      </c>
      <c r="J58" s="1">
        <v>2400000</v>
      </c>
      <c r="K58" s="1"/>
    </row>
    <row r="59" spans="1:20">
      <c r="A59" t="s">
        <v>475</v>
      </c>
      <c r="E59">
        <v>149000</v>
      </c>
      <c r="F59">
        <v>81000</v>
      </c>
      <c r="G59">
        <v>140000</v>
      </c>
      <c r="H59">
        <v>104000</v>
      </c>
      <c r="I59" s="1">
        <v>114000</v>
      </c>
      <c r="J59" s="1">
        <v>154000</v>
      </c>
      <c r="K59" s="1">
        <v>117000</v>
      </c>
    </row>
    <row r="60" spans="1:20">
      <c r="A60" t="s">
        <v>476</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topLeftCell="G1" zoomScale="70" zoomScaleNormal="70" workbookViewId="0">
      <selection activeCell="E6" sqref="E6"/>
    </sheetView>
  </sheetViews>
  <sheetFormatPr defaultColWidth="8.83984375" defaultRowHeight="14.4"/>
  <cols>
    <col min="1" max="1" width="29.83984375" customWidth="1"/>
    <col min="2" max="2" width="13.83984375" customWidth="1"/>
    <col min="3" max="4" width="13.41796875" customWidth="1"/>
    <col min="5" max="5" width="16.26171875" customWidth="1"/>
    <col min="6" max="6" width="14.26171875" customWidth="1"/>
    <col min="7" max="8" width="14.41796875" bestFit="1" customWidth="1"/>
    <col min="9" max="9" width="16.26171875" customWidth="1"/>
    <col min="10" max="11" width="14.41796875" bestFit="1" customWidth="1"/>
    <col min="12" max="12" width="16.15625" customWidth="1"/>
    <col min="13" max="13" width="17" customWidth="1"/>
    <col min="14" max="25" width="14.41796875" bestFit="1" customWidth="1"/>
    <col min="26" max="26" width="14.41796875" customWidth="1"/>
    <col min="27" max="30" width="14.41796875" bestFit="1" customWidth="1"/>
    <col min="31" max="39" width="18" customWidth="1"/>
    <col min="40" max="40" width="19.4179687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477</v>
      </c>
    </row>
    <row r="2" spans="1:57" ht="34.35" customHeight="1">
      <c r="A2" s="81" t="s">
        <v>27</v>
      </c>
      <c r="B2" s="349">
        <v>770417.1</v>
      </c>
      <c r="C2" s="348">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39" t="s">
        <v>478</v>
      </c>
      <c r="AJ2" s="739"/>
      <c r="AK2" s="739"/>
      <c r="AL2" s="739"/>
      <c r="AM2" s="223"/>
    </row>
    <row r="3" spans="1:57" ht="34.35" customHeight="1">
      <c r="A3" s="81" t="s">
        <v>479</v>
      </c>
      <c r="B3" s="349">
        <v>11928.3</v>
      </c>
      <c r="C3" s="403">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39"/>
      <c r="AJ3" s="739"/>
      <c r="AK3" s="739"/>
      <c r="AL3" s="739"/>
      <c r="AM3" s="223"/>
      <c r="AX3" t="s">
        <v>480</v>
      </c>
      <c r="BD3" t="s">
        <v>481</v>
      </c>
    </row>
    <row r="4" spans="1:57" ht="34.35" customHeight="1">
      <c r="A4" s="81" t="s">
        <v>30</v>
      </c>
      <c r="B4" s="349">
        <f>K15</f>
        <v>236997.8</v>
      </c>
      <c r="C4" s="349">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39"/>
      <c r="AJ4" s="739"/>
      <c r="AK4" s="739"/>
      <c r="AL4" s="739"/>
      <c r="AM4" s="223"/>
      <c r="AW4" t="s">
        <v>181</v>
      </c>
      <c r="AX4" t="s">
        <v>482</v>
      </c>
      <c r="AY4" t="s">
        <v>483</v>
      </c>
      <c r="AZ4" t="s">
        <v>484</v>
      </c>
      <c r="BA4" t="s">
        <v>485</v>
      </c>
      <c r="BC4" t="s">
        <v>181</v>
      </c>
      <c r="BD4" t="s">
        <v>486</v>
      </c>
      <c r="BE4" t="s">
        <v>487</v>
      </c>
    </row>
    <row r="5" spans="1:57" ht="34.35" customHeight="1">
      <c r="A5" s="81" t="s">
        <v>488</v>
      </c>
      <c r="B5" s="349">
        <v>5590140.5</v>
      </c>
      <c r="C5" s="349">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39"/>
      <c r="AJ5" s="739"/>
      <c r="AK5" s="739"/>
      <c r="AL5" s="739"/>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489</v>
      </c>
      <c r="B6" s="349">
        <v>114707.8</v>
      </c>
      <c r="C6" s="403">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8">
        <f t="shared" ref="B7:AG7" si="6">X71</f>
        <v>221122575</v>
      </c>
      <c r="C7" s="248">
        <f t="shared" si="6"/>
        <v>223279598</v>
      </c>
      <c r="D7" s="248">
        <f t="shared" si="6"/>
        <v>225635789</v>
      </c>
      <c r="E7" s="248">
        <f t="shared" si="6"/>
        <v>235143245</v>
      </c>
      <c r="F7" s="248">
        <f t="shared" si="6"/>
        <v>237682009</v>
      </c>
      <c r="G7" s="248">
        <f t="shared" si="6"/>
        <v>240514815</v>
      </c>
      <c r="H7" s="248">
        <f t="shared" si="6"/>
        <v>243220283</v>
      </c>
      <c r="I7" s="248">
        <f t="shared" si="6"/>
        <v>246021656</v>
      </c>
      <c r="J7" s="248">
        <f t="shared" si="6"/>
        <v>247845207</v>
      </c>
      <c r="K7" s="248">
        <f t="shared" si="6"/>
        <v>249815089</v>
      </c>
      <c r="L7" s="248">
        <f t="shared" si="6"/>
        <v>251815533</v>
      </c>
      <c r="M7" s="248">
        <f t="shared" si="6"/>
        <v>253619107</v>
      </c>
      <c r="N7" s="248">
        <f t="shared" si="6"/>
        <v>257598944</v>
      </c>
      <c r="O7" s="248">
        <f t="shared" si="6"/>
        <v>260057325</v>
      </c>
      <c r="P7" s="248">
        <f t="shared" si="6"/>
        <v>262391455</v>
      </c>
      <c r="Q7" s="248">
        <f t="shared" si="6"/>
        <v>265122864</v>
      </c>
      <c r="R7" s="248">
        <f t="shared" si="6"/>
        <v>267694489</v>
      </c>
      <c r="S7" s="248">
        <f t="shared" si="6"/>
        <v>269430135</v>
      </c>
      <c r="T7" s="248">
        <f t="shared" si="6"/>
        <v>272103335</v>
      </c>
      <c r="U7" s="248">
        <f t="shared" si="6"/>
        <v>273753043</v>
      </c>
      <c r="V7" s="248">
        <f t="shared" si="6"/>
        <v>275221248</v>
      </c>
      <c r="W7" s="248">
        <f t="shared" si="6"/>
        <v>277196227.0557394</v>
      </c>
      <c r="X7" s="248">
        <f t="shared" si="6"/>
        <v>279162039.54202181</v>
      </c>
      <c r="Y7" s="248">
        <f t="shared" si="6"/>
        <v>281115352.1608628</v>
      </c>
      <c r="Z7" s="248">
        <f t="shared" si="6"/>
        <v>283051164.9652859</v>
      </c>
      <c r="AA7" s="248">
        <f t="shared" si="6"/>
        <v>284966144.65730661</v>
      </c>
      <c r="AB7" s="248">
        <f t="shared" si="6"/>
        <v>286858624.58793288</v>
      </c>
      <c r="AC7" s="248">
        <f t="shared" si="6"/>
        <v>288731104.73065287</v>
      </c>
      <c r="AD7" s="248">
        <f t="shared" si="6"/>
        <v>290576085.16500187</v>
      </c>
      <c r="AE7" s="248">
        <f t="shared" si="6"/>
        <v>292390232.59299541</v>
      </c>
      <c r="AF7" s="248">
        <f t="shared" si="6"/>
        <v>294170213.71664917</v>
      </c>
      <c r="AG7" s="248">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490</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491</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4.7"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8"/>
      <c r="R13" s="248"/>
      <c r="S13" s="248"/>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492</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493</v>
      </c>
      <c r="B15" s="139"/>
      <c r="C15" s="139"/>
      <c r="D15" s="139"/>
      <c r="E15" s="139"/>
      <c r="F15" s="139"/>
      <c r="G15" s="139">
        <v>242565.9</v>
      </c>
      <c r="H15" s="139">
        <v>292344.2</v>
      </c>
      <c r="I15" s="139">
        <v>329014.5</v>
      </c>
      <c r="J15" s="139">
        <v>420848.8</v>
      </c>
      <c r="K15" s="139">
        <v>236997.8</v>
      </c>
      <c r="L15" s="139">
        <v>215666.8</v>
      </c>
      <c r="M15" s="139">
        <v>235351.6</v>
      </c>
      <c r="N15" s="139">
        <f>$E$4</f>
        <v>245784</v>
      </c>
      <c r="O15" s="25" t="s">
        <v>494</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495</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496</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497</v>
      </c>
      <c r="B17" s="139"/>
      <c r="C17" s="139"/>
      <c r="D17" s="139"/>
      <c r="E17" s="139"/>
      <c r="F17" s="139"/>
      <c r="G17" s="139">
        <f>0.002*G14</f>
        <v>423064.04600000003</v>
      </c>
      <c r="H17" s="139">
        <f>0.002*H14</f>
        <v>428094.96600000001</v>
      </c>
      <c r="I17" s="139">
        <v>597000</v>
      </c>
      <c r="J17" s="139">
        <f>0.001*J14</f>
        <v>218444.761</v>
      </c>
      <c r="K17" s="139">
        <v>353351</v>
      </c>
      <c r="L17" s="139">
        <v>308000</v>
      </c>
      <c r="M17" s="398">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498</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8" t="s">
        <v>499</v>
      </c>
      <c r="B20" s="738"/>
      <c r="C20" s="738"/>
      <c r="D20" s="738"/>
      <c r="E20" s="738"/>
      <c r="F20" s="738"/>
      <c r="G20" s="738"/>
      <c r="I20" s="272"/>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38" t="s">
        <v>500</v>
      </c>
      <c r="B21" s="738"/>
      <c r="C21" s="738"/>
      <c r="D21" s="738"/>
      <c r="E21" s="738"/>
      <c r="F21" s="738"/>
      <c r="G21" s="738"/>
      <c r="Z21" s="49" t="s">
        <v>501</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38" t="s">
        <v>502</v>
      </c>
      <c r="B22" s="738" t="s">
        <v>503</v>
      </c>
      <c r="C22" s="738" t="s">
        <v>504</v>
      </c>
      <c r="D22" s="647" t="s">
        <v>505</v>
      </c>
      <c r="E22" s="647" t="s">
        <v>506</v>
      </c>
      <c r="F22" s="738" t="s">
        <v>507</v>
      </c>
      <c r="G22" s="647" t="s">
        <v>506</v>
      </c>
      <c r="J22" t="s">
        <v>508</v>
      </c>
      <c r="Z22" s="49" t="s">
        <v>479</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38"/>
      <c r="B23" s="738"/>
      <c r="C23" s="738"/>
      <c r="D23" s="647" t="s">
        <v>504</v>
      </c>
      <c r="E23" s="647" t="s">
        <v>509</v>
      </c>
      <c r="F23" s="738"/>
      <c r="G23" s="647" t="s">
        <v>507</v>
      </c>
      <c r="I23">
        <v>2002</v>
      </c>
      <c r="J23" t="s">
        <v>510</v>
      </c>
      <c r="K23" t="s">
        <v>511</v>
      </c>
      <c r="L23" t="s">
        <v>512</v>
      </c>
      <c r="O23" t="s">
        <v>181</v>
      </c>
      <c r="P23" s="49" t="s">
        <v>513</v>
      </c>
      <c r="Q23" s="49" t="s">
        <v>514</v>
      </c>
      <c r="R23" s="49" t="s">
        <v>515</v>
      </c>
      <c r="S23" t="s">
        <v>516</v>
      </c>
      <c r="T23" s="49" t="s">
        <v>517</v>
      </c>
      <c r="U23" s="49" t="s">
        <v>510</v>
      </c>
      <c r="Z23" s="49" t="s">
        <v>515</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647" t="s">
        <v>518</v>
      </c>
      <c r="B24" s="647" t="s">
        <v>518</v>
      </c>
      <c r="C24" s="113">
        <v>31</v>
      </c>
      <c r="D24" s="113">
        <v>79412</v>
      </c>
      <c r="E24" s="113">
        <v>22922</v>
      </c>
      <c r="F24" s="113">
        <v>3.3799999999999997E-2</v>
      </c>
      <c r="G24" s="113">
        <v>9.7000000000000003E-3</v>
      </c>
      <c r="H24" t="s">
        <v>519</v>
      </c>
      <c r="I24" t="s">
        <v>510</v>
      </c>
      <c r="J24" s="114">
        <f>D33</f>
        <v>223826315</v>
      </c>
      <c r="K24" s="115">
        <f>D32</f>
        <v>9225312</v>
      </c>
      <c r="L24" s="116">
        <f>D34</f>
        <v>1665919</v>
      </c>
      <c r="M24" s="112">
        <f>SUM(J24:L24)</f>
        <v>234717546</v>
      </c>
      <c r="N24" s="229" t="s">
        <v>520</v>
      </c>
      <c r="O24">
        <v>2002</v>
      </c>
      <c r="P24" s="117">
        <f>L24</f>
        <v>1665919</v>
      </c>
      <c r="Q24" s="118">
        <f>L25</f>
        <v>34954</v>
      </c>
      <c r="R24" s="119">
        <f>SUM(J26:L26)</f>
        <v>245784</v>
      </c>
      <c r="S24" s="120">
        <f>K24</f>
        <v>9225312</v>
      </c>
      <c r="T24" s="121">
        <f>SUM(J25:K25)</f>
        <v>144961</v>
      </c>
      <c r="U24" s="122">
        <f>J24</f>
        <v>223826315</v>
      </c>
      <c r="Z24" s="49" t="s">
        <v>488</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647"/>
      <c r="B25" s="647" t="s">
        <v>510</v>
      </c>
      <c r="C25" s="113">
        <v>22</v>
      </c>
      <c r="D25" s="113">
        <v>65549</v>
      </c>
      <c r="E25" s="113">
        <v>33051</v>
      </c>
      <c r="F25" s="113">
        <v>2.7900000000000001E-2</v>
      </c>
      <c r="G25" s="113">
        <v>1.4E-2</v>
      </c>
      <c r="I25" t="s">
        <v>511</v>
      </c>
      <c r="J25" s="123">
        <f>D25</f>
        <v>65549</v>
      </c>
      <c r="K25" s="124">
        <f>D24</f>
        <v>79412</v>
      </c>
      <c r="L25" s="125">
        <f>D26</f>
        <v>34954</v>
      </c>
      <c r="M25" s="112">
        <f t="shared" ref="M25:M26" si="7">SUM(J25:L25)</f>
        <v>179915</v>
      </c>
      <c r="N25">
        <f>K25/(K25+J25)</f>
        <v>0.54781630921420243</v>
      </c>
      <c r="Z25" s="49" t="s">
        <v>489</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4.7" thickBot="1">
      <c r="A26" s="647"/>
      <c r="B26" s="647" t="s">
        <v>521</v>
      </c>
      <c r="C26" s="113">
        <v>21</v>
      </c>
      <c r="D26" s="113">
        <v>34954</v>
      </c>
      <c r="E26" s="113">
        <v>9881</v>
      </c>
      <c r="F26" s="113">
        <v>1.49E-2</v>
      </c>
      <c r="G26" s="113">
        <v>4.1999999999999997E-3</v>
      </c>
      <c r="I26" t="s">
        <v>522</v>
      </c>
      <c r="J26" s="126">
        <f>D29</f>
        <v>111268</v>
      </c>
      <c r="K26" s="127">
        <f>D28</f>
        <v>46266</v>
      </c>
      <c r="L26" s="128">
        <f>D30</f>
        <v>88250</v>
      </c>
      <c r="M26" s="112">
        <f t="shared" si="7"/>
        <v>245784</v>
      </c>
      <c r="Z26" s="49" t="s">
        <v>510</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647"/>
      <c r="B27" s="647" t="s">
        <v>255</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647" t="s">
        <v>515</v>
      </c>
      <c r="B28" s="647" t="s">
        <v>518</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647"/>
      <c r="B29" s="647" t="s">
        <v>510</v>
      </c>
      <c r="C29" s="113">
        <v>24</v>
      </c>
      <c r="D29" s="113">
        <v>111268</v>
      </c>
      <c r="E29" s="113">
        <v>34105</v>
      </c>
      <c r="F29" s="113">
        <v>4.7300000000000002E-2</v>
      </c>
      <c r="G29" s="113">
        <v>1.46E-2</v>
      </c>
    </row>
    <row r="30" spans="1:57">
      <c r="A30" s="647"/>
      <c r="B30" s="647" t="s">
        <v>521</v>
      </c>
      <c r="C30" s="113">
        <v>18</v>
      </c>
      <c r="D30" s="113">
        <v>88250</v>
      </c>
      <c r="E30" s="113">
        <v>40658</v>
      </c>
      <c r="F30" s="113">
        <v>3.7499999999999999E-2</v>
      </c>
      <c r="G30" s="113">
        <v>1.7299999999999999E-2</v>
      </c>
      <c r="J30">
        <f>J25/(J25+K25)</f>
        <v>0.45218369078579757</v>
      </c>
      <c r="K30">
        <f>K25/(K25+J25)</f>
        <v>0.54781630921420243</v>
      </c>
      <c r="AA30" s="250"/>
      <c r="AB30" s="250"/>
      <c r="AC30" s="250"/>
      <c r="AD30" s="250"/>
      <c r="AE30" s="250"/>
      <c r="AF30" s="250"/>
      <c r="AG30" s="250"/>
      <c r="AH30" s="250"/>
      <c r="AI30" s="250"/>
      <c r="AJ30" s="250"/>
      <c r="AK30" s="250"/>
      <c r="AL30" s="250"/>
      <c r="AM30" s="250"/>
      <c r="AN30" s="250"/>
      <c r="AO30" s="250"/>
      <c r="AP30" s="250"/>
      <c r="AQ30" s="250"/>
      <c r="AR30" s="250"/>
    </row>
    <row r="31" spans="1:57">
      <c r="A31" s="647"/>
      <c r="B31" s="647" t="s">
        <v>255</v>
      </c>
      <c r="C31" s="113">
        <v>63</v>
      </c>
      <c r="D31" s="113">
        <v>245784</v>
      </c>
      <c r="E31" s="113">
        <v>50090</v>
      </c>
      <c r="F31" s="113">
        <v>0.1045</v>
      </c>
      <c r="G31" s="113">
        <v>2.1299999999999999E-2</v>
      </c>
      <c r="AA31" s="250"/>
      <c r="AB31" s="250"/>
      <c r="AC31" s="250"/>
      <c r="AD31" s="250"/>
      <c r="AE31" s="250"/>
      <c r="AF31" s="250"/>
      <c r="AG31" s="250"/>
      <c r="AH31" s="250"/>
      <c r="AI31" s="250"/>
      <c r="AJ31" s="250"/>
      <c r="AK31" s="250"/>
      <c r="AL31" s="250"/>
      <c r="AM31" s="250"/>
      <c r="AN31" s="250"/>
      <c r="AO31" s="250"/>
      <c r="AP31" s="250"/>
      <c r="AQ31" s="250"/>
      <c r="AR31" s="250"/>
    </row>
    <row r="32" spans="1:57">
      <c r="A32" s="647" t="s">
        <v>510</v>
      </c>
      <c r="B32" s="647" t="s">
        <v>518</v>
      </c>
      <c r="C32" s="113">
        <v>3359</v>
      </c>
      <c r="D32" s="113">
        <v>9225312</v>
      </c>
      <c r="E32" s="113">
        <v>331319</v>
      </c>
      <c r="F32" s="113">
        <v>3.9232999999999998</v>
      </c>
      <c r="G32" s="113">
        <v>0.12870000000000001</v>
      </c>
      <c r="I32">
        <v>2002</v>
      </c>
      <c r="J32" t="s">
        <v>510</v>
      </c>
      <c r="K32" t="s">
        <v>511</v>
      </c>
      <c r="L32" t="s">
        <v>512</v>
      </c>
      <c r="N32" t="s">
        <v>515</v>
      </c>
      <c r="O32" s="112">
        <f>SUM(J35:L35)</f>
        <v>63</v>
      </c>
      <c r="Z32" s="250"/>
      <c r="AA32" s="250"/>
      <c r="AB32" s="250"/>
      <c r="AC32" s="250"/>
      <c r="AD32" s="250"/>
      <c r="AE32" s="250"/>
      <c r="AF32" s="250"/>
      <c r="AG32" s="250"/>
      <c r="AH32" s="250"/>
      <c r="AI32" s="250"/>
      <c r="AJ32" s="250"/>
      <c r="AK32" s="250"/>
      <c r="AL32" s="250"/>
      <c r="AM32" s="250"/>
      <c r="AN32" s="250"/>
      <c r="AO32" s="250"/>
      <c r="AP32" s="250"/>
      <c r="AQ32" s="250"/>
      <c r="AR32" s="250"/>
    </row>
    <row r="33" spans="1:44">
      <c r="A33" s="647"/>
      <c r="B33" s="647" t="s">
        <v>510</v>
      </c>
      <c r="C33" s="113">
        <v>50018</v>
      </c>
      <c r="D33" s="113">
        <v>223826315</v>
      </c>
      <c r="E33" s="113">
        <v>2114794</v>
      </c>
      <c r="F33" s="113">
        <v>95.187200000000004</v>
      </c>
      <c r="G33" s="113">
        <v>0.14910000000000001</v>
      </c>
      <c r="I33" t="s">
        <v>510</v>
      </c>
      <c r="J33" s="114">
        <f>C33</f>
        <v>50018</v>
      </c>
      <c r="K33" s="115">
        <f>C32</f>
        <v>3359</v>
      </c>
      <c r="L33" s="116">
        <f>C34</f>
        <v>565</v>
      </c>
      <c r="N33" t="s">
        <v>523</v>
      </c>
      <c r="O33" s="112">
        <f>L34</f>
        <v>21</v>
      </c>
      <c r="Z33" s="251"/>
      <c r="AA33" s="250"/>
      <c r="AB33" s="250"/>
      <c r="AC33" s="250"/>
      <c r="AD33" s="250"/>
      <c r="AE33" s="250"/>
      <c r="AF33" s="250"/>
      <c r="AG33" s="250"/>
      <c r="AH33" s="250"/>
      <c r="AI33" s="250"/>
      <c r="AJ33" s="250"/>
      <c r="AK33" s="250"/>
      <c r="AL33" s="250"/>
      <c r="AM33" s="250"/>
      <c r="AN33" s="250"/>
      <c r="AO33" s="250"/>
      <c r="AP33" s="250"/>
      <c r="AQ33" s="250"/>
      <c r="AR33" s="250"/>
    </row>
    <row r="34" spans="1:44">
      <c r="A34" s="647"/>
      <c r="B34" s="647" t="s">
        <v>521</v>
      </c>
      <c r="C34" s="113">
        <v>565</v>
      </c>
      <c r="D34" s="113">
        <v>1665919</v>
      </c>
      <c r="E34" s="113">
        <v>130673</v>
      </c>
      <c r="F34" s="113">
        <v>0.70850000000000002</v>
      </c>
      <c r="G34" s="113">
        <v>5.5E-2</v>
      </c>
      <c r="I34" t="s">
        <v>511</v>
      </c>
      <c r="J34" s="123">
        <f>C25</f>
        <v>22</v>
      </c>
      <c r="K34" s="124">
        <f>C24</f>
        <v>31</v>
      </c>
      <c r="L34" s="125">
        <f>C26</f>
        <v>21</v>
      </c>
      <c r="N34" t="s">
        <v>524</v>
      </c>
      <c r="O34" s="112">
        <f>L33</f>
        <v>565</v>
      </c>
      <c r="Z34" s="250"/>
      <c r="AA34" s="250"/>
      <c r="AB34" s="250"/>
      <c r="AC34" s="250"/>
      <c r="AD34" s="250"/>
      <c r="AE34" s="250"/>
      <c r="AF34" s="250"/>
      <c r="AG34" s="250"/>
      <c r="AH34" s="250"/>
      <c r="AI34" s="250"/>
      <c r="AJ34" s="250"/>
      <c r="AK34" s="250"/>
      <c r="AL34" s="250"/>
      <c r="AM34" s="250"/>
      <c r="AN34" s="250"/>
      <c r="AO34" s="250"/>
      <c r="AP34" s="250"/>
      <c r="AQ34" s="250"/>
      <c r="AR34" s="250"/>
    </row>
    <row r="35" spans="1:44">
      <c r="A35" s="647"/>
      <c r="B35" s="647" t="s">
        <v>255</v>
      </c>
      <c r="C35" s="113">
        <v>53942</v>
      </c>
      <c r="D35" s="113">
        <v>234717546</v>
      </c>
      <c r="E35" s="113">
        <v>2253428</v>
      </c>
      <c r="F35" s="113">
        <v>99.819000000000003</v>
      </c>
      <c r="G35" s="113">
        <v>2.6100000000000002E-2</v>
      </c>
      <c r="I35" t="s">
        <v>522</v>
      </c>
      <c r="J35" s="126">
        <f>C29</f>
        <v>24</v>
      </c>
      <c r="K35" s="127">
        <f>C28</f>
        <v>21</v>
      </c>
      <c r="L35" s="128">
        <f>C30</f>
        <v>18</v>
      </c>
      <c r="N35" t="s">
        <v>525</v>
      </c>
      <c r="O35" s="112">
        <f>SUM(J34:K34)</f>
        <v>53</v>
      </c>
      <c r="Z35" s="250"/>
      <c r="AA35" s="250"/>
      <c r="AB35" s="251"/>
      <c r="AC35" s="250"/>
      <c r="AD35" s="250"/>
      <c r="AE35" s="251"/>
      <c r="AF35" s="251"/>
      <c r="AG35" s="250"/>
      <c r="AH35" s="250"/>
      <c r="AI35" s="250"/>
      <c r="AJ35" s="250"/>
      <c r="AK35" s="250"/>
      <c r="AL35" s="250"/>
      <c r="AM35" s="250"/>
      <c r="AN35" s="250"/>
      <c r="AO35" s="250"/>
      <c r="AP35" s="250"/>
      <c r="AQ35" s="250"/>
      <c r="AR35" s="250"/>
    </row>
    <row r="36" spans="1:44">
      <c r="A36" s="647" t="s">
        <v>255</v>
      </c>
      <c r="B36" s="647" t="s">
        <v>518</v>
      </c>
      <c r="C36" s="113">
        <v>3411</v>
      </c>
      <c r="D36" s="113">
        <v>9350990</v>
      </c>
      <c r="E36" s="113">
        <v>340398</v>
      </c>
      <c r="F36" s="113">
        <v>3.9767000000000001</v>
      </c>
      <c r="G36" s="113">
        <v>0.13189999999999999</v>
      </c>
      <c r="N36" t="s">
        <v>526</v>
      </c>
      <c r="O36" s="112">
        <f>K33</f>
        <v>3359</v>
      </c>
      <c r="Z36" s="251"/>
      <c r="AA36" s="250"/>
    </row>
    <row r="37" spans="1:44">
      <c r="A37" s="647"/>
      <c r="B37" s="647" t="s">
        <v>510</v>
      </c>
      <c r="C37" s="113">
        <v>50064</v>
      </c>
      <c r="D37" s="113">
        <v>224003133</v>
      </c>
      <c r="E37" s="113">
        <v>2113419</v>
      </c>
      <c r="F37" s="113">
        <v>95.2624</v>
      </c>
      <c r="G37" s="113">
        <v>0.1482</v>
      </c>
      <c r="Z37" s="251"/>
      <c r="AA37" s="250"/>
    </row>
    <row r="38" spans="1:44">
      <c r="A38" s="647"/>
      <c r="B38" s="647" t="s">
        <v>521</v>
      </c>
      <c r="C38" s="113">
        <v>604</v>
      </c>
      <c r="D38" s="113">
        <v>1789123</v>
      </c>
      <c r="E38" s="113">
        <v>140479</v>
      </c>
      <c r="F38" s="113">
        <v>0.76090000000000002</v>
      </c>
      <c r="G38" s="113">
        <v>5.91E-2</v>
      </c>
      <c r="Z38" s="250"/>
      <c r="AA38" s="250"/>
    </row>
    <row r="39" spans="1:44">
      <c r="A39" s="647"/>
      <c r="B39" s="647" t="s">
        <v>255</v>
      </c>
      <c r="C39" s="113">
        <v>54079</v>
      </c>
      <c r="D39" s="113">
        <v>235143245</v>
      </c>
      <c r="E39" s="113">
        <v>2260582</v>
      </c>
      <c r="F39" s="113">
        <v>100</v>
      </c>
      <c r="G39" s="113"/>
      <c r="Z39" s="250"/>
      <c r="AA39" s="250"/>
    </row>
    <row r="40" spans="1:44">
      <c r="A40" s="129"/>
      <c r="Z40" s="250"/>
      <c r="AA40" s="250"/>
    </row>
    <row r="41" spans="1:44">
      <c r="A41" s="738" t="s">
        <v>499</v>
      </c>
      <c r="B41" s="738"/>
      <c r="C41" s="738"/>
      <c r="D41" s="738"/>
      <c r="E41" s="738"/>
      <c r="F41" s="738"/>
      <c r="G41" s="738"/>
      <c r="Z41" s="250"/>
      <c r="AA41" s="250"/>
    </row>
    <row r="42" spans="1:44">
      <c r="A42" s="738" t="s">
        <v>527</v>
      </c>
      <c r="B42" s="738"/>
      <c r="C42" s="738"/>
      <c r="D42" s="738"/>
      <c r="E42" s="738"/>
      <c r="F42" s="738"/>
      <c r="G42" s="738"/>
      <c r="Z42" s="250"/>
      <c r="AA42" s="250"/>
    </row>
    <row r="43" spans="1:44">
      <c r="A43" s="738" t="s">
        <v>502</v>
      </c>
      <c r="B43" s="738" t="s">
        <v>503</v>
      </c>
      <c r="C43" s="738" t="s">
        <v>504</v>
      </c>
      <c r="D43" s="647" t="s">
        <v>505</v>
      </c>
      <c r="E43" s="647" t="s">
        <v>506</v>
      </c>
      <c r="F43" s="738" t="s">
        <v>507</v>
      </c>
      <c r="G43" s="647" t="s">
        <v>506</v>
      </c>
      <c r="J43" t="s">
        <v>508</v>
      </c>
      <c r="Z43" s="250"/>
      <c r="AA43" s="250"/>
    </row>
    <row r="44" spans="1:44" ht="29.1" thickBot="1">
      <c r="A44" s="738"/>
      <c r="B44" s="738"/>
      <c r="C44" s="738"/>
      <c r="D44" s="647" t="s">
        <v>504</v>
      </c>
      <c r="E44" s="647" t="s">
        <v>509</v>
      </c>
      <c r="F44" s="738"/>
      <c r="G44" s="647" t="s">
        <v>507</v>
      </c>
      <c r="I44">
        <v>2003</v>
      </c>
      <c r="J44" t="s">
        <v>510</v>
      </c>
      <c r="K44" t="s">
        <v>511</v>
      </c>
      <c r="L44" t="s">
        <v>512</v>
      </c>
      <c r="P44" s="49" t="s">
        <v>513</v>
      </c>
      <c r="Q44" s="49" t="s">
        <v>514</v>
      </c>
      <c r="R44" s="49" t="s">
        <v>515</v>
      </c>
      <c r="S44" t="s">
        <v>516</v>
      </c>
      <c r="T44" s="49" t="s">
        <v>517</v>
      </c>
      <c r="U44" s="49" t="s">
        <v>510</v>
      </c>
      <c r="Z44" s="250"/>
      <c r="AA44" s="250"/>
    </row>
    <row r="45" spans="1:44" ht="28.8">
      <c r="A45" s="647" t="s">
        <v>518</v>
      </c>
      <c r="B45" s="647" t="s">
        <v>518</v>
      </c>
      <c r="C45" s="113">
        <v>28</v>
      </c>
      <c r="D45" s="113">
        <v>41975</v>
      </c>
      <c r="E45" s="113">
        <v>10865</v>
      </c>
      <c r="F45" s="113">
        <v>1.77E-2</v>
      </c>
      <c r="G45" s="113">
        <v>4.5999999999999999E-3</v>
      </c>
      <c r="H45" t="s">
        <v>519</v>
      </c>
      <c r="I45" t="s">
        <v>510</v>
      </c>
      <c r="J45" s="114">
        <f>D54</f>
        <v>225753999</v>
      </c>
      <c r="K45" s="115">
        <f>D53</f>
        <v>10003110</v>
      </c>
      <c r="L45" s="116">
        <f>D55</f>
        <v>1578238</v>
      </c>
      <c r="M45" s="112">
        <f>SUM(J45:L45)</f>
        <v>237335347</v>
      </c>
      <c r="N45" s="229" t="s">
        <v>520</v>
      </c>
      <c r="P45" s="117">
        <f>L45</f>
        <v>1578238</v>
      </c>
      <c r="Q45" s="118">
        <f>L46</f>
        <v>17866</v>
      </c>
      <c r="R45" s="119">
        <f>SUM(J47:L47)</f>
        <v>216329</v>
      </c>
      <c r="S45" s="120">
        <f>K45</f>
        <v>10003110</v>
      </c>
      <c r="T45" s="121">
        <f>SUM(J46:K46)</f>
        <v>112467</v>
      </c>
      <c r="U45" s="122">
        <f>J45</f>
        <v>225753999</v>
      </c>
      <c r="Z45" s="250"/>
      <c r="AA45" s="250"/>
    </row>
    <row r="46" spans="1:44">
      <c r="A46" s="647"/>
      <c r="B46" s="647" t="s">
        <v>510</v>
      </c>
      <c r="C46" s="113">
        <v>34</v>
      </c>
      <c r="D46" s="113">
        <v>70492</v>
      </c>
      <c r="E46" s="113">
        <v>19193</v>
      </c>
      <c r="F46" s="113">
        <v>2.9700000000000001E-2</v>
      </c>
      <c r="G46" s="113">
        <v>8.0000000000000002E-3</v>
      </c>
      <c r="I46" t="s">
        <v>511</v>
      </c>
      <c r="J46" s="123">
        <f>D46</f>
        <v>70492</v>
      </c>
      <c r="K46" s="124">
        <f>D45</f>
        <v>41975</v>
      </c>
      <c r="L46" s="125">
        <f>D47</f>
        <v>17866</v>
      </c>
      <c r="M46" s="112">
        <f t="shared" ref="M46:M47" si="8">SUM(J46:L46)</f>
        <v>130333</v>
      </c>
      <c r="N46">
        <f>K46/(K46+J46)</f>
        <v>0.37322058915059531</v>
      </c>
      <c r="Z46" s="250"/>
      <c r="AA46" s="250"/>
    </row>
    <row r="47" spans="1:44" ht="14.7" thickBot="1">
      <c r="A47" s="647"/>
      <c r="B47" s="647" t="s">
        <v>521</v>
      </c>
      <c r="C47" s="113">
        <v>14</v>
      </c>
      <c r="D47" s="113">
        <v>17866</v>
      </c>
      <c r="E47" s="113">
        <v>6476</v>
      </c>
      <c r="F47" s="113">
        <v>7.4999999999999997E-3</v>
      </c>
      <c r="G47" s="113">
        <v>2.7000000000000001E-3</v>
      </c>
      <c r="I47" t="s">
        <v>522</v>
      </c>
      <c r="J47" s="126">
        <f>D50</f>
        <v>109307</v>
      </c>
      <c r="K47" s="127">
        <f>D49</f>
        <v>40401</v>
      </c>
      <c r="L47" s="128">
        <f>D51</f>
        <v>66621</v>
      </c>
      <c r="M47" s="112">
        <f t="shared" si="8"/>
        <v>216329</v>
      </c>
      <c r="Z47" s="250"/>
      <c r="AA47" s="250"/>
    </row>
    <row r="48" spans="1:44">
      <c r="A48" s="647"/>
      <c r="B48" s="647" t="s">
        <v>255</v>
      </c>
      <c r="C48" s="113">
        <v>76</v>
      </c>
      <c r="D48" s="113">
        <v>130333</v>
      </c>
      <c r="E48" s="113">
        <v>22543</v>
      </c>
      <c r="F48" s="113">
        <v>5.4800000000000001E-2</v>
      </c>
      <c r="G48" s="113">
        <v>9.4000000000000004E-3</v>
      </c>
      <c r="J48" s="92">
        <f>SUM(J45:J47)</f>
        <v>225933798</v>
      </c>
      <c r="K48" s="92">
        <f>SUM(K45:K47)</f>
        <v>10085486</v>
      </c>
      <c r="L48" s="92">
        <f>SUM(L45:L47)</f>
        <v>1662725</v>
      </c>
      <c r="Z48" s="250"/>
      <c r="AA48" s="250"/>
    </row>
    <row r="49" spans="1:43">
      <c r="A49" s="647" t="s">
        <v>515</v>
      </c>
      <c r="B49" s="647" t="s">
        <v>518</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0"/>
    </row>
    <row r="50" spans="1:43">
      <c r="A50" s="647"/>
      <c r="B50" s="647" t="s">
        <v>510</v>
      </c>
      <c r="C50" s="113">
        <v>26</v>
      </c>
      <c r="D50" s="113">
        <v>109307</v>
      </c>
      <c r="E50" s="113">
        <v>27970</v>
      </c>
      <c r="F50" s="113">
        <v>4.5999999999999999E-2</v>
      </c>
      <c r="G50" s="113">
        <v>1.18E-2</v>
      </c>
    </row>
    <row r="51" spans="1:43">
      <c r="A51" s="647"/>
      <c r="B51" s="647" t="s">
        <v>521</v>
      </c>
      <c r="C51" s="113">
        <v>21</v>
      </c>
      <c r="D51" s="113">
        <v>66621</v>
      </c>
      <c r="E51" s="113">
        <v>22671</v>
      </c>
      <c r="F51" s="113">
        <v>2.8000000000000001E-2</v>
      </c>
      <c r="G51" s="113">
        <v>9.5999999999999992E-3</v>
      </c>
      <c r="J51">
        <f>J46/(J46+K46)</f>
        <v>0.62677941084940469</v>
      </c>
      <c r="K51">
        <f>K46/(K46+J46)</f>
        <v>0.37322058915059531</v>
      </c>
    </row>
    <row r="52" spans="1:43">
      <c r="A52" s="647"/>
      <c r="B52" s="647" t="s">
        <v>255</v>
      </c>
      <c r="C52" s="113">
        <v>61</v>
      </c>
      <c r="D52" s="113">
        <v>216329</v>
      </c>
      <c r="E52" s="113">
        <v>48471</v>
      </c>
      <c r="F52" s="113">
        <v>9.0999999999999998E-2</v>
      </c>
      <c r="G52" s="113">
        <v>2.0500000000000001E-2</v>
      </c>
    </row>
    <row r="53" spans="1:43">
      <c r="A53" s="647" t="s">
        <v>510</v>
      </c>
      <c r="B53" s="647" t="s">
        <v>518</v>
      </c>
      <c r="C53" s="113">
        <v>3608</v>
      </c>
      <c r="D53" s="113">
        <v>10003110</v>
      </c>
      <c r="E53" s="113">
        <v>306323</v>
      </c>
      <c r="F53" s="113">
        <v>4.2085999999999997</v>
      </c>
      <c r="G53" s="113">
        <v>0.12959999999999999</v>
      </c>
    </row>
    <row r="54" spans="1:43">
      <c r="A54" s="647"/>
      <c r="B54" s="647" t="s">
        <v>510</v>
      </c>
      <c r="C54" s="113">
        <v>50883</v>
      </c>
      <c r="D54" s="113">
        <v>225753999</v>
      </c>
      <c r="E54" s="113">
        <v>2346756</v>
      </c>
      <c r="F54" s="113">
        <v>94.981499999999997</v>
      </c>
      <c r="G54" s="113">
        <v>0.14099999999999999</v>
      </c>
    </row>
    <row r="55" spans="1:43">
      <c r="A55" s="647"/>
      <c r="B55" s="647" t="s">
        <v>521</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647"/>
      <c r="B56" s="647" t="s">
        <v>255</v>
      </c>
      <c r="C56" s="113">
        <v>55093</v>
      </c>
      <c r="D56" s="113">
        <v>237335347</v>
      </c>
      <c r="E56" s="113">
        <v>2370049</v>
      </c>
      <c r="F56" s="113">
        <v>99.854100000000003</v>
      </c>
      <c r="G56" s="113">
        <v>2.18E-2</v>
      </c>
      <c r="Z56" t="s">
        <v>528</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647" t="s">
        <v>255</v>
      </c>
      <c r="B57" s="647" t="s">
        <v>518</v>
      </c>
      <c r="C57" s="113">
        <v>3650</v>
      </c>
      <c r="D57" s="113">
        <v>10085486</v>
      </c>
      <c r="E57" s="113">
        <v>307565</v>
      </c>
      <c r="F57" s="113">
        <v>4.2432999999999996</v>
      </c>
      <c r="G57" s="113">
        <v>0.13039999999999999</v>
      </c>
      <c r="Z57" t="s">
        <v>529</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647"/>
      <c r="B58" s="647" t="s">
        <v>510</v>
      </c>
      <c r="C58" s="113">
        <v>50943</v>
      </c>
      <c r="D58" s="113">
        <v>225933798</v>
      </c>
      <c r="E58" s="113">
        <v>2348141</v>
      </c>
      <c r="F58" s="113">
        <v>95.057199999999995</v>
      </c>
      <c r="G58" s="113">
        <v>0.14099999999999999</v>
      </c>
      <c r="Z58" t="s">
        <v>530</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647"/>
      <c r="B59" s="647" t="s">
        <v>521</v>
      </c>
      <c r="C59" s="113">
        <v>637</v>
      </c>
      <c r="D59" s="113">
        <v>1662725</v>
      </c>
      <c r="E59" s="113">
        <v>115831</v>
      </c>
      <c r="F59" s="113">
        <v>0.6996</v>
      </c>
      <c r="G59" s="113">
        <v>4.9299999999999997E-2</v>
      </c>
      <c r="Z59" t="s">
        <v>531</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647"/>
      <c r="B60" s="647" t="s">
        <v>255</v>
      </c>
      <c r="C60" s="113">
        <v>55230</v>
      </c>
      <c r="D60" s="113">
        <v>237682009</v>
      </c>
      <c r="E60" s="113">
        <v>2367238</v>
      </c>
      <c r="F60" s="113">
        <v>100</v>
      </c>
      <c r="G60" s="113"/>
      <c r="Z60" t="s">
        <v>532</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533</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8" t="s">
        <v>499</v>
      </c>
      <c r="B62" s="738"/>
      <c r="C62" s="738"/>
      <c r="D62" s="738"/>
      <c r="E62" s="738"/>
      <c r="F62" s="738"/>
      <c r="G62" s="738"/>
    </row>
    <row r="63" spans="1:43">
      <c r="A63" s="738" t="s">
        <v>534</v>
      </c>
      <c r="B63" s="738"/>
      <c r="C63" s="738"/>
      <c r="D63" s="738"/>
      <c r="E63" s="738"/>
      <c r="F63" s="738"/>
      <c r="G63" s="738"/>
    </row>
    <row r="64" spans="1:43">
      <c r="A64" s="738" t="s">
        <v>502</v>
      </c>
      <c r="B64" s="738" t="s">
        <v>503</v>
      </c>
      <c r="C64" s="738" t="s">
        <v>504</v>
      </c>
      <c r="D64" s="647" t="s">
        <v>505</v>
      </c>
      <c r="E64" s="647" t="s">
        <v>506</v>
      </c>
      <c r="F64" s="738" t="s">
        <v>507</v>
      </c>
      <c r="G64" s="647" t="s">
        <v>506</v>
      </c>
      <c r="J64" t="s">
        <v>508</v>
      </c>
    </row>
    <row r="65" spans="1:55" ht="29.1" thickBot="1">
      <c r="A65" s="738"/>
      <c r="B65" s="738"/>
      <c r="C65" s="738"/>
      <c r="D65" s="647" t="s">
        <v>504</v>
      </c>
      <c r="E65" s="647" t="s">
        <v>509</v>
      </c>
      <c r="F65" s="738"/>
      <c r="G65" s="647" t="s">
        <v>507</v>
      </c>
      <c r="I65">
        <v>2004</v>
      </c>
      <c r="J65" t="s">
        <v>510</v>
      </c>
      <c r="K65" t="s">
        <v>511</v>
      </c>
      <c r="L65" t="s">
        <v>512</v>
      </c>
      <c r="P65" s="49" t="s">
        <v>513</v>
      </c>
      <c r="Q65" s="49" t="s">
        <v>514</v>
      </c>
      <c r="R65" s="49" t="s">
        <v>515</v>
      </c>
      <c r="S65" t="s">
        <v>516</v>
      </c>
      <c r="T65" s="49" t="s">
        <v>517</v>
      </c>
      <c r="U65" s="49" t="s">
        <v>510</v>
      </c>
      <c r="W65" s="223"/>
      <c r="X65" s="223"/>
      <c r="Y65" s="223"/>
      <c r="Z65" s="223"/>
      <c r="AA65" s="223"/>
      <c r="AB65" s="223"/>
      <c r="AC65" s="223"/>
      <c r="AD65" s="223"/>
      <c r="AE65" s="223"/>
      <c r="AF65" s="223"/>
    </row>
    <row r="66" spans="1:55" ht="28.8">
      <c r="A66" s="647" t="s">
        <v>518</v>
      </c>
      <c r="B66" s="647" t="s">
        <v>518</v>
      </c>
      <c r="C66" s="113">
        <v>32</v>
      </c>
      <c r="D66" s="113">
        <v>49995</v>
      </c>
      <c r="E66" s="113">
        <v>11544</v>
      </c>
      <c r="F66" s="113">
        <v>2.0799999999999999E-2</v>
      </c>
      <c r="G66" s="113">
        <v>4.7999999999999996E-3</v>
      </c>
      <c r="H66" t="s">
        <v>519</v>
      </c>
      <c r="I66" t="s">
        <v>510</v>
      </c>
      <c r="J66" s="114">
        <f>D75</f>
        <v>228869900</v>
      </c>
      <c r="K66" s="115">
        <f>D74</f>
        <v>9389311</v>
      </c>
      <c r="L66" s="116">
        <f>D76</f>
        <v>1806262</v>
      </c>
      <c r="M66" s="112">
        <f>SUM(J66:L66)</f>
        <v>240065473</v>
      </c>
      <c r="N66" s="229" t="s">
        <v>520</v>
      </c>
      <c r="P66" s="117">
        <f>L66</f>
        <v>1806262</v>
      </c>
      <c r="Q66" s="118">
        <f>L67</f>
        <v>37915</v>
      </c>
      <c r="R66" s="119">
        <f>SUM(J68:L68)</f>
        <v>283690</v>
      </c>
      <c r="S66" s="120">
        <f>K66</f>
        <v>9389311</v>
      </c>
      <c r="T66" s="121">
        <f>SUM(J67:K67)</f>
        <v>127737</v>
      </c>
      <c r="U66" s="122">
        <f>J66</f>
        <v>228869900</v>
      </c>
      <c r="W66" s="223"/>
      <c r="X66" s="223">
        <v>1999</v>
      </c>
      <c r="Y66" s="223">
        <v>2000</v>
      </c>
      <c r="Z66" s="223">
        <v>2001</v>
      </c>
      <c r="AA66" s="223">
        <v>2002</v>
      </c>
      <c r="AB66" s="223">
        <v>2003</v>
      </c>
      <c r="AC66" s="223">
        <v>2004</v>
      </c>
      <c r="AD66" s="223">
        <v>2005</v>
      </c>
      <c r="AE66" s="223">
        <v>2006</v>
      </c>
      <c r="AF66" s="223">
        <v>2007</v>
      </c>
      <c r="AG66" s="223">
        <v>2008</v>
      </c>
      <c r="AH66" s="223">
        <v>2009</v>
      </c>
      <c r="AI66" s="223">
        <v>2010</v>
      </c>
      <c r="AJ66" s="223">
        <v>2011</v>
      </c>
      <c r="AK66" s="223">
        <v>2012</v>
      </c>
      <c r="AL66" s="223">
        <v>2013</v>
      </c>
      <c r="AM66" s="223">
        <v>2014</v>
      </c>
      <c r="AN66" s="223">
        <v>2015</v>
      </c>
      <c r="AO66" s="223">
        <v>2016</v>
      </c>
      <c r="AP66" s="223">
        <v>2017</v>
      </c>
      <c r="AQ66" s="223">
        <v>2018</v>
      </c>
      <c r="AR66" s="223">
        <v>2019</v>
      </c>
      <c r="AS66" s="223">
        <v>2020</v>
      </c>
      <c r="AT66" s="223">
        <v>2021</v>
      </c>
      <c r="AU66" s="223">
        <v>2022</v>
      </c>
      <c r="AV66" s="223">
        <v>2023</v>
      </c>
      <c r="AW66" s="223">
        <v>2024</v>
      </c>
      <c r="AX66" s="223">
        <v>2025</v>
      </c>
      <c r="AY66" s="223">
        <v>2026</v>
      </c>
      <c r="AZ66" s="223">
        <v>2027</v>
      </c>
      <c r="BA66" s="223">
        <v>2028</v>
      </c>
      <c r="BB66" s="223">
        <v>2029</v>
      </c>
      <c r="BC66" s="223">
        <v>2030</v>
      </c>
    </row>
    <row r="67" spans="1:55" ht="28.8">
      <c r="A67" s="647"/>
      <c r="B67" s="647" t="s">
        <v>510</v>
      </c>
      <c r="C67" s="113">
        <v>24</v>
      </c>
      <c r="D67" s="113">
        <v>77742</v>
      </c>
      <c r="E67" s="113">
        <v>32101</v>
      </c>
      <c r="F67" s="113">
        <v>3.2300000000000002E-2</v>
      </c>
      <c r="G67" s="113">
        <v>1.3299999999999999E-2</v>
      </c>
      <c r="I67" t="s">
        <v>511</v>
      </c>
      <c r="J67" s="123">
        <f>D67</f>
        <v>77742</v>
      </c>
      <c r="K67" s="124">
        <f>D66</f>
        <v>49995</v>
      </c>
      <c r="L67" s="125">
        <f>D68</f>
        <v>37915</v>
      </c>
      <c r="M67" s="112">
        <f t="shared" ref="M67:M68" si="11">SUM(J67:L67)</f>
        <v>165652</v>
      </c>
      <c r="N67">
        <f>K67/(K67+J67)</f>
        <v>0.39139012189107308</v>
      </c>
      <c r="W67" s="223" t="s">
        <v>535</v>
      </c>
      <c r="X67" s="654">
        <v>221122575</v>
      </c>
      <c r="Y67" s="654">
        <v>223279598</v>
      </c>
      <c r="Z67" s="654">
        <v>225635789</v>
      </c>
      <c r="AA67" s="654">
        <v>235143245</v>
      </c>
      <c r="AB67" s="654">
        <v>237682009</v>
      </c>
      <c r="AC67" s="654">
        <v>240514815</v>
      </c>
      <c r="AD67" s="654">
        <v>243220283</v>
      </c>
      <c r="AE67" s="654">
        <v>246021656</v>
      </c>
      <c r="AF67" s="654">
        <v>247845207</v>
      </c>
      <c r="AG67" s="654">
        <v>249815089</v>
      </c>
      <c r="AH67" s="654">
        <v>251815533</v>
      </c>
      <c r="AI67" s="654">
        <v>253619107</v>
      </c>
      <c r="AJ67" s="654">
        <v>257598944</v>
      </c>
      <c r="AK67" s="654">
        <v>260057325</v>
      </c>
      <c r="AL67" s="654">
        <v>262391455</v>
      </c>
      <c r="AM67" s="654">
        <v>265122864</v>
      </c>
      <c r="AN67" s="654">
        <v>267694489</v>
      </c>
      <c r="AO67" s="654">
        <v>269430135</v>
      </c>
      <c r="AP67" s="654">
        <v>272103335</v>
      </c>
      <c r="AQ67" s="654">
        <v>273753043</v>
      </c>
      <c r="AR67" s="654">
        <v>275221248</v>
      </c>
      <c r="AS67" s="223"/>
      <c r="AT67" s="223"/>
      <c r="AU67" s="223"/>
      <c r="AV67" s="223"/>
      <c r="AW67" s="223"/>
      <c r="AX67" s="223"/>
      <c r="AY67" s="223"/>
      <c r="AZ67" s="223"/>
      <c r="BA67" s="223"/>
      <c r="BB67" s="223"/>
      <c r="BC67" s="223"/>
    </row>
    <row r="68" spans="1:55" ht="43.5" thickBot="1">
      <c r="A68" s="647"/>
      <c r="B68" s="647" t="s">
        <v>521</v>
      </c>
      <c r="C68" s="113">
        <v>21</v>
      </c>
      <c r="D68" s="113">
        <v>37915</v>
      </c>
      <c r="E68" s="113">
        <v>10748</v>
      </c>
      <c r="F68" s="113">
        <v>1.5800000000000002E-2</v>
      </c>
      <c r="G68" s="113">
        <v>4.4999999999999997E-3</v>
      </c>
      <c r="I68" t="s">
        <v>522</v>
      </c>
      <c r="J68" s="126">
        <f>D71</f>
        <v>147437</v>
      </c>
      <c r="K68" s="127">
        <f>D70</f>
        <v>83393</v>
      </c>
      <c r="L68" s="128">
        <f>D72</f>
        <v>52860</v>
      </c>
      <c r="M68" s="112">
        <f t="shared" si="11"/>
        <v>283690</v>
      </c>
      <c r="W68" s="223" t="s">
        <v>536</v>
      </c>
      <c r="X68" s="223"/>
      <c r="Y68" s="223"/>
      <c r="Z68" s="223"/>
      <c r="AA68" s="223"/>
      <c r="AB68" s="223"/>
      <c r="AC68" s="223"/>
      <c r="AD68" s="223"/>
      <c r="AE68" s="223"/>
      <c r="AF68" s="223"/>
      <c r="AG68" s="223"/>
      <c r="AH68" s="223"/>
      <c r="AI68" s="223"/>
      <c r="AJ68" s="223"/>
      <c r="AK68" s="223"/>
      <c r="AL68" s="223"/>
      <c r="AM68" s="223"/>
      <c r="AN68" s="223"/>
      <c r="AO68" s="654">
        <v>323128000</v>
      </c>
      <c r="AP68" s="654">
        <v>325511000</v>
      </c>
      <c r="AQ68" s="654">
        <v>327892000</v>
      </c>
      <c r="AR68" s="654">
        <v>330269000</v>
      </c>
      <c r="AS68" s="654">
        <v>332639000</v>
      </c>
      <c r="AT68" s="654">
        <v>334998000</v>
      </c>
      <c r="AU68" s="654">
        <v>337342000</v>
      </c>
      <c r="AV68" s="654">
        <v>339665000</v>
      </c>
      <c r="AW68" s="654">
        <v>341963000</v>
      </c>
      <c r="AX68" s="654">
        <v>344234000</v>
      </c>
      <c r="AY68" s="654">
        <v>346481000</v>
      </c>
      <c r="AZ68" s="654">
        <v>348695000</v>
      </c>
      <c r="BA68" s="654">
        <v>350872000</v>
      </c>
      <c r="BB68" s="654">
        <v>353008000</v>
      </c>
      <c r="BC68" s="654">
        <v>355101000</v>
      </c>
    </row>
    <row r="69" spans="1:55" ht="57.6">
      <c r="A69" s="647"/>
      <c r="B69" s="647" t="s">
        <v>255</v>
      </c>
      <c r="C69" s="113">
        <v>77</v>
      </c>
      <c r="D69" s="113">
        <v>165652</v>
      </c>
      <c r="E69" s="113">
        <v>32545</v>
      </c>
      <c r="F69" s="113">
        <v>6.8900000000000003E-2</v>
      </c>
      <c r="G69" s="113">
        <v>1.35E-2</v>
      </c>
      <c r="J69" s="92">
        <f>SUM(J66:J68)</f>
        <v>229095079</v>
      </c>
      <c r="K69" s="92">
        <f>SUM(K66:K68)</f>
        <v>9522699</v>
      </c>
      <c r="L69" s="92">
        <f>SUM(L66:L68)</f>
        <v>1897037</v>
      </c>
      <c r="W69" s="223" t="s">
        <v>537</v>
      </c>
      <c r="X69" s="223"/>
      <c r="Y69" s="223"/>
      <c r="Z69" s="223"/>
      <c r="AA69" s="223"/>
      <c r="AB69" s="223"/>
      <c r="AC69" s="223"/>
      <c r="AD69" s="223"/>
      <c r="AE69" s="223"/>
      <c r="AF69" s="223"/>
      <c r="AG69" s="223"/>
      <c r="AH69" s="223"/>
      <c r="AI69" s="223"/>
      <c r="AJ69" s="223"/>
      <c r="AK69" s="223"/>
      <c r="AL69" s="223"/>
      <c r="AM69" s="223"/>
      <c r="AN69" s="223"/>
      <c r="AO69" s="223"/>
      <c r="AP69" s="223"/>
      <c r="AQ69" s="223" t="s">
        <v>538</v>
      </c>
      <c r="AR69" s="223">
        <f>AR67/AR68</f>
        <v>0.83332449609257908</v>
      </c>
      <c r="AS69" s="223"/>
      <c r="AT69" s="223"/>
      <c r="AU69" s="223"/>
      <c r="AV69" s="223"/>
      <c r="AW69" s="223"/>
      <c r="AX69" s="223"/>
      <c r="AY69" s="223"/>
      <c r="AZ69" s="223"/>
      <c r="BA69" s="223"/>
      <c r="BB69" s="223"/>
      <c r="BC69" s="223"/>
    </row>
    <row r="70" spans="1:55" ht="43.2">
      <c r="A70" s="647" t="s">
        <v>515</v>
      </c>
      <c r="B70" s="647" t="s">
        <v>518</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223" t="s">
        <v>539</v>
      </c>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654">
        <f t="shared" ref="AS70:BC70" si="12">$AR$69*AS68</f>
        <v>277196227.0557394</v>
      </c>
      <c r="AT70" s="654">
        <f t="shared" si="12"/>
        <v>279162039.54202181</v>
      </c>
      <c r="AU70" s="654">
        <f t="shared" si="12"/>
        <v>281115352.1608628</v>
      </c>
      <c r="AV70" s="654">
        <f t="shared" si="12"/>
        <v>283051164.9652859</v>
      </c>
      <c r="AW70" s="654">
        <f t="shared" si="12"/>
        <v>284966144.65730661</v>
      </c>
      <c r="AX70" s="654">
        <f t="shared" si="12"/>
        <v>286858624.58793288</v>
      </c>
      <c r="AY70" s="654">
        <f t="shared" si="12"/>
        <v>288731104.73065287</v>
      </c>
      <c r="AZ70" s="654">
        <f t="shared" si="12"/>
        <v>290576085.16500187</v>
      </c>
      <c r="BA70" s="654">
        <f t="shared" si="12"/>
        <v>292390232.59299541</v>
      </c>
      <c r="BB70" s="654">
        <f t="shared" si="12"/>
        <v>294170213.71664917</v>
      </c>
      <c r="BC70" s="654">
        <f t="shared" si="12"/>
        <v>295914361.88697094</v>
      </c>
    </row>
    <row r="71" spans="1:55">
      <c r="A71" s="647"/>
      <c r="B71" s="647" t="s">
        <v>510</v>
      </c>
      <c r="C71" s="113">
        <v>25</v>
      </c>
      <c r="D71" s="113">
        <v>147437</v>
      </c>
      <c r="E71" s="113">
        <v>45344</v>
      </c>
      <c r="F71" s="113">
        <v>6.13E-2</v>
      </c>
      <c r="G71" s="113">
        <v>1.89E-2</v>
      </c>
      <c r="W71" s="223" t="s">
        <v>33</v>
      </c>
      <c r="X71" s="654">
        <f t="shared" ref="X71:AR71" si="13">X67</f>
        <v>221122575</v>
      </c>
      <c r="Y71" s="654">
        <f t="shared" si="13"/>
        <v>223279598</v>
      </c>
      <c r="Z71" s="654">
        <f t="shared" si="13"/>
        <v>225635789</v>
      </c>
      <c r="AA71" s="654">
        <f t="shared" si="13"/>
        <v>235143245</v>
      </c>
      <c r="AB71" s="654">
        <f t="shared" si="13"/>
        <v>237682009</v>
      </c>
      <c r="AC71" s="654">
        <f t="shared" si="13"/>
        <v>240514815</v>
      </c>
      <c r="AD71" s="654">
        <f t="shared" si="13"/>
        <v>243220283</v>
      </c>
      <c r="AE71" s="654">
        <f t="shared" si="13"/>
        <v>246021656</v>
      </c>
      <c r="AF71" s="654">
        <f t="shared" si="13"/>
        <v>247845207</v>
      </c>
      <c r="AG71" s="654">
        <f t="shared" si="13"/>
        <v>249815089</v>
      </c>
      <c r="AH71" s="654">
        <f t="shared" si="13"/>
        <v>251815533</v>
      </c>
      <c r="AI71" s="654">
        <f t="shared" si="13"/>
        <v>253619107</v>
      </c>
      <c r="AJ71" s="654">
        <f t="shared" si="13"/>
        <v>257598944</v>
      </c>
      <c r="AK71" s="654">
        <f t="shared" si="13"/>
        <v>260057325</v>
      </c>
      <c r="AL71" s="654">
        <f t="shared" si="13"/>
        <v>262391455</v>
      </c>
      <c r="AM71" s="654">
        <f t="shared" si="13"/>
        <v>265122864</v>
      </c>
      <c r="AN71" s="654">
        <f t="shared" si="13"/>
        <v>267694489</v>
      </c>
      <c r="AO71" s="654">
        <f t="shared" si="13"/>
        <v>269430135</v>
      </c>
      <c r="AP71" s="654">
        <f t="shared" si="13"/>
        <v>272103335</v>
      </c>
      <c r="AQ71" s="654">
        <f t="shared" si="13"/>
        <v>273753043</v>
      </c>
      <c r="AR71" s="654">
        <f t="shared" si="13"/>
        <v>275221248</v>
      </c>
      <c r="AS71" s="654">
        <f t="shared" ref="AS71:BC71" si="14">AS70</f>
        <v>277196227.0557394</v>
      </c>
      <c r="AT71" s="654">
        <f t="shared" si="14"/>
        <v>279162039.54202181</v>
      </c>
      <c r="AU71" s="654">
        <f t="shared" si="14"/>
        <v>281115352.1608628</v>
      </c>
      <c r="AV71" s="654">
        <f t="shared" si="14"/>
        <v>283051164.9652859</v>
      </c>
      <c r="AW71" s="654">
        <f t="shared" si="14"/>
        <v>284966144.65730661</v>
      </c>
      <c r="AX71" s="654">
        <f t="shared" si="14"/>
        <v>286858624.58793288</v>
      </c>
      <c r="AY71" s="654">
        <f t="shared" si="14"/>
        <v>288731104.73065287</v>
      </c>
      <c r="AZ71" s="654">
        <f t="shared" si="14"/>
        <v>290576085.16500187</v>
      </c>
      <c r="BA71" s="654">
        <f t="shared" si="14"/>
        <v>292390232.59299541</v>
      </c>
      <c r="BB71" s="654">
        <f t="shared" si="14"/>
        <v>294170213.71664917</v>
      </c>
      <c r="BC71" s="654">
        <f t="shared" si="14"/>
        <v>295914361.88697094</v>
      </c>
    </row>
    <row r="72" spans="1:55">
      <c r="A72" s="647"/>
      <c r="B72" s="647" t="s">
        <v>521</v>
      </c>
      <c r="C72" s="113">
        <v>26</v>
      </c>
      <c r="D72" s="113">
        <v>52860</v>
      </c>
      <c r="E72" s="113">
        <v>15178</v>
      </c>
      <c r="F72" s="113">
        <v>2.1999999999999999E-2</v>
      </c>
      <c r="G72" s="113">
        <v>6.3E-3</v>
      </c>
      <c r="J72">
        <f>J67/(J67+K67)</f>
        <v>0.60860987810892697</v>
      </c>
      <c r="K72">
        <f>K67/(K67+J67)</f>
        <v>0.39139012189107308</v>
      </c>
      <c r="Z72" s="223"/>
      <c r="AA72" s="223"/>
      <c r="AB72" s="223"/>
      <c r="AC72" s="223"/>
      <c r="AD72" s="223"/>
      <c r="AE72" s="223"/>
      <c r="AF72" s="223"/>
      <c r="AG72" s="223"/>
      <c r="AH72" s="223"/>
      <c r="AI72" s="223"/>
      <c r="AJ72" s="223"/>
    </row>
    <row r="73" spans="1:55">
      <c r="A73" s="647"/>
      <c r="B73" s="647" t="s">
        <v>255</v>
      </c>
      <c r="C73" s="113">
        <v>82</v>
      </c>
      <c r="D73" s="113">
        <v>283690</v>
      </c>
      <c r="E73" s="113">
        <v>50809</v>
      </c>
      <c r="F73" s="113">
        <v>0.11799999999999999</v>
      </c>
      <c r="G73" s="113">
        <v>2.12E-2</v>
      </c>
      <c r="Z73" s="223"/>
      <c r="AA73" s="223"/>
      <c r="AB73" s="223"/>
      <c r="AC73" s="223"/>
      <c r="AD73" s="223"/>
      <c r="AE73" s="223"/>
      <c r="AF73" s="223"/>
      <c r="AG73" s="223"/>
      <c r="AH73" s="223"/>
      <c r="AI73" s="223"/>
      <c r="AJ73" s="223"/>
    </row>
    <row r="74" spans="1:55">
      <c r="A74" s="647" t="s">
        <v>510</v>
      </c>
      <c r="B74" s="647" t="s">
        <v>518</v>
      </c>
      <c r="C74" s="113">
        <v>3508</v>
      </c>
      <c r="D74" s="113">
        <v>9389311</v>
      </c>
      <c r="E74" s="113">
        <v>307360</v>
      </c>
      <c r="F74" s="113">
        <v>3.9037999999999999</v>
      </c>
      <c r="G74" s="113">
        <v>0.1239</v>
      </c>
      <c r="Z74" s="223"/>
      <c r="AA74" s="223"/>
      <c r="AB74" s="223"/>
      <c r="AC74" s="223"/>
      <c r="AD74" s="223"/>
      <c r="AE74" s="223"/>
      <c r="AF74" s="223"/>
      <c r="AG74" s="223"/>
      <c r="AH74" s="223"/>
      <c r="AI74" s="223"/>
      <c r="AJ74" s="223"/>
      <c r="AR74" s="575">
        <v>328239523</v>
      </c>
    </row>
    <row r="75" spans="1:55">
      <c r="A75" s="647"/>
      <c r="B75" s="647" t="s">
        <v>510</v>
      </c>
      <c r="C75" s="113">
        <v>51203</v>
      </c>
      <c r="D75" s="113">
        <v>228869900</v>
      </c>
      <c r="E75" s="113">
        <v>2293974</v>
      </c>
      <c r="F75" s="113">
        <v>95.158299999999997</v>
      </c>
      <c r="G75" s="113">
        <v>0.13500000000000001</v>
      </c>
      <c r="Z75" s="223"/>
      <c r="AA75" s="223"/>
      <c r="AB75" s="223"/>
      <c r="AC75" s="223"/>
      <c r="AD75" s="223"/>
      <c r="AE75" s="223"/>
      <c r="AF75" s="223"/>
      <c r="AG75" s="223"/>
      <c r="AH75" s="223"/>
      <c r="AI75" s="223"/>
      <c r="AJ75" s="223"/>
    </row>
    <row r="76" spans="1:55">
      <c r="A76" s="647"/>
      <c r="B76" s="647" t="s">
        <v>521</v>
      </c>
      <c r="C76" s="113">
        <v>732</v>
      </c>
      <c r="D76" s="113">
        <v>1806262</v>
      </c>
      <c r="E76" s="113">
        <v>98144</v>
      </c>
      <c r="F76" s="113">
        <v>0.751</v>
      </c>
      <c r="G76" s="113">
        <v>3.9699999999999999E-2</v>
      </c>
      <c r="Z76" s="223"/>
      <c r="AA76" s="223"/>
      <c r="AB76" s="223"/>
      <c r="AC76" s="223"/>
      <c r="AD76" s="223"/>
      <c r="AE76" s="223"/>
      <c r="AF76" s="223"/>
      <c r="AG76" s="223"/>
      <c r="AH76" s="223"/>
      <c r="AI76" s="223"/>
      <c r="AJ76" s="223"/>
    </row>
    <row r="77" spans="1:55">
      <c r="A77" s="647"/>
      <c r="B77" s="647" t="s">
        <v>255</v>
      </c>
      <c r="C77" s="113">
        <v>55443</v>
      </c>
      <c r="D77" s="113">
        <v>240065472</v>
      </c>
      <c r="E77" s="113">
        <v>2372191</v>
      </c>
      <c r="F77" s="113">
        <v>99.813199999999995</v>
      </c>
      <c r="G77" s="113">
        <v>2.5399999999999999E-2</v>
      </c>
      <c r="Z77" s="223"/>
      <c r="AA77" s="223"/>
      <c r="AB77" s="223"/>
      <c r="AC77" s="223"/>
      <c r="AD77" s="223"/>
      <c r="AE77" s="223"/>
      <c r="AF77" s="223"/>
      <c r="AG77" s="223"/>
      <c r="AH77" s="223"/>
      <c r="AI77" s="223"/>
      <c r="AJ77" s="223"/>
    </row>
    <row r="78" spans="1:55">
      <c r="A78" s="647" t="s">
        <v>255</v>
      </c>
      <c r="B78" s="647" t="s">
        <v>518</v>
      </c>
      <c r="C78" s="113">
        <v>3571</v>
      </c>
      <c r="D78" s="113">
        <v>9522699</v>
      </c>
      <c r="E78" s="113">
        <v>308206</v>
      </c>
      <c r="F78" s="113">
        <v>3.9592999999999998</v>
      </c>
      <c r="G78" s="113">
        <v>0.1239</v>
      </c>
      <c r="Z78" s="223"/>
      <c r="AA78" s="223"/>
      <c r="AB78" s="223"/>
      <c r="AC78" s="223"/>
      <c r="AD78" s="223"/>
      <c r="AE78" s="223"/>
      <c r="AF78" s="223"/>
      <c r="AG78" s="223"/>
      <c r="AH78" s="223"/>
      <c r="AI78" s="223"/>
      <c r="AJ78" s="223"/>
    </row>
    <row r="79" spans="1:55">
      <c r="A79" s="647"/>
      <c r="B79" s="647" t="s">
        <v>510</v>
      </c>
      <c r="C79" s="113">
        <v>51252</v>
      </c>
      <c r="D79" s="113">
        <v>229095079</v>
      </c>
      <c r="E79" s="113">
        <v>2290636</v>
      </c>
      <c r="F79" s="113">
        <v>95.251999999999995</v>
      </c>
      <c r="G79" s="113">
        <v>0.1318</v>
      </c>
      <c r="Z79" s="223"/>
      <c r="AA79" s="223"/>
      <c r="AB79" s="223"/>
      <c r="AC79" s="223"/>
      <c r="AD79" s="223"/>
      <c r="AE79" s="223"/>
      <c r="AF79" s="223"/>
      <c r="AG79" s="223"/>
      <c r="AH79" s="223"/>
      <c r="AI79" s="223"/>
      <c r="AJ79" s="223"/>
    </row>
    <row r="80" spans="1:55">
      <c r="A80" s="647"/>
      <c r="B80" s="647" t="s">
        <v>521</v>
      </c>
      <c r="C80" s="113">
        <v>779</v>
      </c>
      <c r="D80" s="113">
        <v>1897036</v>
      </c>
      <c r="E80" s="113">
        <v>101330</v>
      </c>
      <c r="F80" s="113">
        <v>0.78869999999999996</v>
      </c>
      <c r="G80" s="113">
        <v>4.1000000000000002E-2</v>
      </c>
      <c r="Z80" s="223"/>
      <c r="AA80" s="223"/>
      <c r="AB80" s="223"/>
      <c r="AC80" s="223"/>
      <c r="AD80" s="223"/>
      <c r="AE80" s="223"/>
      <c r="AF80" s="223"/>
      <c r="AG80" s="223"/>
      <c r="AH80" s="223"/>
      <c r="AI80" s="223"/>
      <c r="AJ80" s="223"/>
    </row>
    <row r="81" spans="1:36">
      <c r="A81" s="647"/>
      <c r="B81" s="647" t="s">
        <v>255</v>
      </c>
      <c r="C81" s="113">
        <v>55602</v>
      </c>
      <c r="D81" s="113">
        <v>240514815</v>
      </c>
      <c r="E81" s="113">
        <v>2371771</v>
      </c>
      <c r="F81" s="113">
        <v>100</v>
      </c>
      <c r="G81" s="113"/>
      <c r="Z81" s="223"/>
      <c r="AA81" s="223"/>
      <c r="AB81" s="223"/>
      <c r="AC81" s="223"/>
      <c r="AD81" s="223"/>
      <c r="AE81" s="223"/>
      <c r="AF81" s="223"/>
      <c r="AG81" s="223"/>
      <c r="AH81" s="223"/>
      <c r="AI81" s="223"/>
      <c r="AJ81" s="223"/>
    </row>
    <row r="82" spans="1:36">
      <c r="A82" s="129"/>
      <c r="Z82" s="223"/>
      <c r="AA82" s="223"/>
      <c r="AB82" s="223"/>
      <c r="AC82" s="223"/>
      <c r="AD82" s="223"/>
      <c r="AE82" s="223"/>
      <c r="AF82" s="223"/>
      <c r="AG82" s="223"/>
      <c r="AH82" s="223"/>
      <c r="AI82" s="223"/>
      <c r="AJ82" s="223"/>
    </row>
    <row r="83" spans="1:36">
      <c r="A83" s="738" t="s">
        <v>499</v>
      </c>
      <c r="B83" s="738"/>
      <c r="C83" s="738"/>
      <c r="D83" s="738"/>
      <c r="E83" s="738"/>
      <c r="F83" s="738"/>
      <c r="G83" s="738"/>
      <c r="Z83" s="223"/>
      <c r="AA83" s="223"/>
      <c r="AB83" s="223"/>
      <c r="AC83" s="223"/>
      <c r="AD83" s="223"/>
      <c r="AE83" s="223"/>
      <c r="AF83" s="223"/>
      <c r="AG83" s="223"/>
      <c r="AH83" s="223"/>
      <c r="AI83" s="223"/>
      <c r="AJ83" s="223"/>
    </row>
    <row r="84" spans="1:36">
      <c r="A84" s="738" t="s">
        <v>540</v>
      </c>
      <c r="B84" s="738"/>
      <c r="C84" s="738"/>
      <c r="D84" s="738"/>
      <c r="E84" s="738"/>
      <c r="F84" s="738"/>
      <c r="G84" s="738"/>
      <c r="Z84" s="223"/>
      <c r="AA84" s="223"/>
      <c r="AB84" s="223"/>
      <c r="AC84" s="223"/>
      <c r="AD84" s="223"/>
      <c r="AE84" s="223"/>
      <c r="AF84" s="223"/>
      <c r="AG84" s="223"/>
      <c r="AH84" s="223"/>
      <c r="AI84" s="223"/>
      <c r="AJ84" s="223"/>
    </row>
    <row r="85" spans="1:36">
      <c r="A85" s="738" t="s">
        <v>502</v>
      </c>
      <c r="B85" s="738" t="s">
        <v>503</v>
      </c>
      <c r="C85" s="738" t="s">
        <v>504</v>
      </c>
      <c r="D85" s="647" t="s">
        <v>505</v>
      </c>
      <c r="E85" s="647" t="s">
        <v>506</v>
      </c>
      <c r="F85" s="738" t="s">
        <v>507</v>
      </c>
      <c r="G85" s="647" t="s">
        <v>506</v>
      </c>
      <c r="J85" t="s">
        <v>508</v>
      </c>
      <c r="Z85" s="223"/>
      <c r="AA85" s="223"/>
      <c r="AB85" s="223"/>
      <c r="AC85" s="223"/>
      <c r="AD85" s="223"/>
      <c r="AE85" s="223"/>
      <c r="AF85" s="223"/>
      <c r="AG85" s="223"/>
      <c r="AH85" s="223"/>
      <c r="AI85" s="223"/>
      <c r="AJ85" s="223"/>
    </row>
    <row r="86" spans="1:36" ht="29.1" thickBot="1">
      <c r="A86" s="738"/>
      <c r="B86" s="738"/>
      <c r="C86" s="738"/>
      <c r="D86" s="647" t="s">
        <v>504</v>
      </c>
      <c r="E86" s="647" t="s">
        <v>509</v>
      </c>
      <c r="F86" s="738"/>
      <c r="G86" s="647" t="s">
        <v>507</v>
      </c>
      <c r="I86">
        <v>2005</v>
      </c>
      <c r="J86" t="s">
        <v>510</v>
      </c>
      <c r="K86" t="s">
        <v>511</v>
      </c>
      <c r="L86" t="s">
        <v>512</v>
      </c>
      <c r="P86" s="49" t="s">
        <v>513</v>
      </c>
      <c r="Q86" s="49" t="s">
        <v>514</v>
      </c>
      <c r="R86" s="49" t="s">
        <v>515</v>
      </c>
      <c r="S86" t="s">
        <v>516</v>
      </c>
      <c r="T86" s="49" t="s">
        <v>517</v>
      </c>
      <c r="U86" s="49" t="s">
        <v>510</v>
      </c>
      <c r="Z86" s="223"/>
      <c r="AA86" s="223"/>
      <c r="AB86" s="223"/>
      <c r="AC86" s="223"/>
      <c r="AD86" s="223"/>
      <c r="AE86" s="223"/>
      <c r="AF86" s="223"/>
      <c r="AG86" s="223"/>
      <c r="AH86" s="223"/>
      <c r="AI86" s="223"/>
      <c r="AJ86" s="223"/>
    </row>
    <row r="87" spans="1:36" ht="28.8">
      <c r="A87" s="647" t="s">
        <v>518</v>
      </c>
      <c r="B87" s="647" t="s">
        <v>518</v>
      </c>
      <c r="C87" s="113">
        <v>30</v>
      </c>
      <c r="D87" s="113">
        <v>70230</v>
      </c>
      <c r="E87" s="113">
        <v>19814</v>
      </c>
      <c r="F87" s="113">
        <v>2.8899999999999999E-2</v>
      </c>
      <c r="G87" s="113">
        <v>8.0999999999999996E-3</v>
      </c>
      <c r="H87" t="s">
        <v>519</v>
      </c>
      <c r="I87" t="s">
        <v>510</v>
      </c>
      <c r="J87" s="114">
        <f>D96</f>
        <v>231355077</v>
      </c>
      <c r="K87" s="115">
        <f>D95</f>
        <v>9709431</v>
      </c>
      <c r="L87" s="116">
        <f>D97</f>
        <v>1754593</v>
      </c>
      <c r="M87" s="112">
        <f>SUM(J87:L87)</f>
        <v>242819101</v>
      </c>
      <c r="N87" s="229" t="s">
        <v>520</v>
      </c>
      <c r="P87" s="117">
        <f>L87</f>
        <v>1754593</v>
      </c>
      <c r="Q87" s="118">
        <f>L88</f>
        <v>22963</v>
      </c>
      <c r="R87" s="119">
        <f>SUM(J89:L89)</f>
        <v>234246</v>
      </c>
      <c r="S87" s="120">
        <f>K87</f>
        <v>9709431</v>
      </c>
      <c r="T87" s="121">
        <f>SUM(J88:K88)</f>
        <v>143973</v>
      </c>
      <c r="U87" s="122">
        <f>J87</f>
        <v>231355077</v>
      </c>
      <c r="Z87" s="223"/>
      <c r="AA87" s="223"/>
      <c r="AB87" s="223"/>
      <c r="AC87" s="223"/>
      <c r="AD87" s="223"/>
      <c r="AE87" s="223"/>
      <c r="AF87" s="223"/>
      <c r="AG87" s="223"/>
      <c r="AH87" s="223"/>
      <c r="AI87" s="223"/>
      <c r="AJ87" s="223"/>
    </row>
    <row r="88" spans="1:36">
      <c r="A88" s="647"/>
      <c r="B88" s="647" t="s">
        <v>510</v>
      </c>
      <c r="C88" s="113">
        <v>26</v>
      </c>
      <c r="D88" s="113">
        <v>73743</v>
      </c>
      <c r="E88" s="113">
        <v>19097</v>
      </c>
      <c r="F88" s="113">
        <v>3.0300000000000001E-2</v>
      </c>
      <c r="G88" s="113">
        <v>7.7999999999999996E-3</v>
      </c>
      <c r="I88" t="s">
        <v>511</v>
      </c>
      <c r="J88" s="123">
        <f>D88</f>
        <v>73743</v>
      </c>
      <c r="K88" s="124">
        <f>D87</f>
        <v>70230</v>
      </c>
      <c r="L88" s="125">
        <f>D89</f>
        <v>22963</v>
      </c>
      <c r="M88" s="112">
        <f t="shared" ref="M88:M89" si="15">SUM(J88:L88)</f>
        <v>166936</v>
      </c>
      <c r="N88">
        <f>K88/(K88+J88)</f>
        <v>0.4877997957950449</v>
      </c>
      <c r="Z88" s="223"/>
      <c r="AA88" s="223"/>
      <c r="AB88" s="223"/>
      <c r="AC88" s="223"/>
      <c r="AD88" s="223"/>
      <c r="AE88" s="223"/>
      <c r="AF88" s="223"/>
      <c r="AG88" s="223"/>
      <c r="AH88" s="223"/>
      <c r="AI88" s="223"/>
      <c r="AJ88" s="223"/>
    </row>
    <row r="89" spans="1:36" ht="14.7" thickBot="1">
      <c r="A89" s="647"/>
      <c r="B89" s="647" t="s">
        <v>521</v>
      </c>
      <c r="C89" s="113">
        <v>18</v>
      </c>
      <c r="D89" s="113">
        <v>22963</v>
      </c>
      <c r="E89" s="113">
        <v>8322</v>
      </c>
      <c r="F89" s="113">
        <v>9.4000000000000004E-3</v>
      </c>
      <c r="G89" s="113">
        <v>3.3999999999999998E-3</v>
      </c>
      <c r="I89" t="s">
        <v>522</v>
      </c>
      <c r="J89" s="126">
        <f>D92</f>
        <v>77569</v>
      </c>
      <c r="K89" s="127">
        <f>D91</f>
        <v>59474</v>
      </c>
      <c r="L89" s="128">
        <f>D93</f>
        <v>97203</v>
      </c>
      <c r="M89" s="112">
        <f t="shared" si="15"/>
        <v>234246</v>
      </c>
      <c r="Z89" s="223"/>
      <c r="AA89" s="223"/>
      <c r="AB89" s="223"/>
      <c r="AC89" s="223"/>
      <c r="AD89" s="223"/>
      <c r="AE89" s="223"/>
      <c r="AF89" s="223"/>
      <c r="AG89" s="223"/>
      <c r="AH89" s="223"/>
      <c r="AI89" s="223"/>
      <c r="AJ89" s="223"/>
    </row>
    <row r="90" spans="1:36">
      <c r="A90" s="647"/>
      <c r="B90" s="647" t="s">
        <v>255</v>
      </c>
      <c r="C90" s="113">
        <v>74</v>
      </c>
      <c r="D90" s="113">
        <v>166936</v>
      </c>
      <c r="E90" s="113">
        <v>28910</v>
      </c>
      <c r="F90" s="113">
        <v>6.8599999999999994E-2</v>
      </c>
      <c r="G90" s="113">
        <v>1.18E-2</v>
      </c>
      <c r="J90" s="92">
        <f>SUM(J87:J89)</f>
        <v>231506389</v>
      </c>
      <c r="K90" s="92">
        <f>SUM(K87:K89)</f>
        <v>9839135</v>
      </c>
      <c r="L90" s="92">
        <f>SUM(L87:L89)</f>
        <v>1874759</v>
      </c>
      <c r="Z90" s="223"/>
      <c r="AA90" s="223"/>
      <c r="AB90" s="223"/>
      <c r="AC90" s="223"/>
      <c r="AD90" s="223"/>
      <c r="AE90" s="223"/>
      <c r="AF90" s="223"/>
      <c r="AG90" s="223"/>
      <c r="AH90" s="223"/>
      <c r="AI90" s="223"/>
      <c r="AJ90" s="223"/>
    </row>
    <row r="91" spans="1:36">
      <c r="A91" s="647" t="s">
        <v>515</v>
      </c>
      <c r="B91" s="647" t="s">
        <v>518</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223"/>
      <c r="AA91" s="223"/>
      <c r="AB91" s="223"/>
      <c r="AC91" s="223"/>
      <c r="AD91" s="223"/>
      <c r="AE91" s="223"/>
      <c r="AF91" s="223"/>
      <c r="AG91" s="223"/>
      <c r="AH91" s="223"/>
      <c r="AI91" s="223"/>
      <c r="AJ91" s="223"/>
    </row>
    <row r="92" spans="1:36">
      <c r="A92" s="647"/>
      <c r="B92" s="647" t="s">
        <v>510</v>
      </c>
      <c r="C92" s="113">
        <v>25</v>
      </c>
      <c r="D92" s="113">
        <v>77569</v>
      </c>
      <c r="E92" s="113">
        <v>22929</v>
      </c>
      <c r="F92" s="113">
        <v>3.1899999999999998E-2</v>
      </c>
      <c r="G92" s="113">
        <v>9.4999999999999998E-3</v>
      </c>
      <c r="Z92" s="223"/>
      <c r="AA92" s="223"/>
      <c r="AB92" s="223"/>
      <c r="AC92" s="223"/>
      <c r="AD92" s="223"/>
      <c r="AE92" s="223"/>
      <c r="AF92" s="223"/>
      <c r="AG92" s="223"/>
      <c r="AH92" s="223"/>
      <c r="AI92" s="223"/>
      <c r="AJ92" s="223"/>
    </row>
    <row r="93" spans="1:36">
      <c r="A93" s="647"/>
      <c r="B93" s="647" t="s">
        <v>521</v>
      </c>
      <c r="C93" s="113">
        <v>38</v>
      </c>
      <c r="D93" s="113">
        <v>97203</v>
      </c>
      <c r="E93" s="113">
        <v>26346</v>
      </c>
      <c r="F93" s="113">
        <v>0.04</v>
      </c>
      <c r="G93" s="113">
        <v>1.0800000000000001E-2</v>
      </c>
      <c r="J93">
        <f>J88/(J88+K88)</f>
        <v>0.51220020420495505</v>
      </c>
      <c r="K93">
        <f>K88/(K88+J88)</f>
        <v>0.4877997957950449</v>
      </c>
      <c r="Z93" s="223"/>
      <c r="AA93" s="223"/>
      <c r="AB93" s="223"/>
      <c r="AC93" s="223"/>
      <c r="AD93" s="223"/>
      <c r="AE93" s="223"/>
      <c r="AF93" s="223"/>
      <c r="AG93" s="223"/>
      <c r="AH93" s="223"/>
      <c r="AI93" s="223"/>
      <c r="AJ93" s="223"/>
    </row>
    <row r="94" spans="1:36">
      <c r="A94" s="647"/>
      <c r="B94" s="647" t="s">
        <v>255</v>
      </c>
      <c r="C94" s="113">
        <v>92</v>
      </c>
      <c r="D94" s="113">
        <v>234246</v>
      </c>
      <c r="E94" s="113">
        <v>39567</v>
      </c>
      <c r="F94" s="113">
        <v>9.6299999999999997E-2</v>
      </c>
      <c r="G94" s="113">
        <v>1.6299999999999999E-2</v>
      </c>
      <c r="Z94" s="223"/>
      <c r="AA94" s="223"/>
      <c r="AB94" s="223"/>
      <c r="AC94" s="223"/>
      <c r="AD94" s="223"/>
      <c r="AE94" s="223"/>
      <c r="AF94" s="223"/>
      <c r="AG94" s="223"/>
      <c r="AH94" s="223"/>
      <c r="AI94" s="223"/>
      <c r="AJ94" s="223"/>
    </row>
    <row r="95" spans="1:36">
      <c r="A95" s="647" t="s">
        <v>510</v>
      </c>
      <c r="B95" s="647" t="s">
        <v>518</v>
      </c>
      <c r="C95" s="113">
        <v>3535</v>
      </c>
      <c r="D95" s="113">
        <v>9709431</v>
      </c>
      <c r="E95" s="113">
        <v>300627</v>
      </c>
      <c r="F95" s="113">
        <v>3.992</v>
      </c>
      <c r="G95" s="113">
        <v>0.1203</v>
      </c>
      <c r="Z95" s="223"/>
      <c r="AA95" s="223"/>
      <c r="AB95" s="223"/>
      <c r="AC95" s="223"/>
      <c r="AD95" s="223"/>
      <c r="AE95" s="223"/>
      <c r="AF95" s="223"/>
      <c r="AG95" s="223"/>
      <c r="AH95" s="223"/>
      <c r="AI95" s="223"/>
      <c r="AJ95" s="223"/>
    </row>
    <row r="96" spans="1:36">
      <c r="A96" s="647"/>
      <c r="B96" s="647" t="s">
        <v>510</v>
      </c>
      <c r="C96" s="113">
        <v>51515</v>
      </c>
      <c r="D96" s="113">
        <v>231355077</v>
      </c>
      <c r="E96" s="113">
        <v>2042648</v>
      </c>
      <c r="F96" s="113">
        <v>95.121600000000001</v>
      </c>
      <c r="G96" s="113">
        <v>0.13</v>
      </c>
      <c r="Z96" s="223"/>
      <c r="AA96" s="223"/>
      <c r="AB96" s="223"/>
      <c r="AC96" s="223"/>
      <c r="AD96" s="223"/>
      <c r="AE96" s="223"/>
      <c r="AF96" s="223"/>
      <c r="AG96" s="223"/>
      <c r="AH96" s="223"/>
      <c r="AI96" s="223"/>
      <c r="AJ96" s="223"/>
    </row>
    <row r="97" spans="1:42">
      <c r="A97" s="647"/>
      <c r="B97" s="647" t="s">
        <v>521</v>
      </c>
      <c r="C97" s="113">
        <v>689</v>
      </c>
      <c r="D97" s="113">
        <v>1754593</v>
      </c>
      <c r="E97" s="113">
        <v>120502</v>
      </c>
      <c r="F97" s="113">
        <v>0.72140000000000004</v>
      </c>
      <c r="G97" s="113">
        <v>4.9700000000000001E-2</v>
      </c>
      <c r="Z97" s="223"/>
      <c r="AA97" s="223"/>
      <c r="AB97" s="223"/>
      <c r="AC97" s="223"/>
      <c r="AD97" s="223"/>
      <c r="AE97" s="223"/>
      <c r="AF97" s="223"/>
      <c r="AG97" s="223"/>
      <c r="AH97" s="223"/>
      <c r="AI97" s="223"/>
      <c r="AJ97" s="223"/>
    </row>
    <row r="98" spans="1:42">
      <c r="A98" s="647"/>
      <c r="B98" s="647" t="s">
        <v>255</v>
      </c>
      <c r="C98" s="113">
        <v>55739</v>
      </c>
      <c r="D98" s="113">
        <v>242819101</v>
      </c>
      <c r="E98" s="113">
        <v>2094315</v>
      </c>
      <c r="F98" s="113">
        <v>99.835099999999997</v>
      </c>
      <c r="G98" s="113">
        <v>1.9699999999999999E-2</v>
      </c>
      <c r="Z98" s="223"/>
      <c r="AA98" s="223"/>
      <c r="AB98" s="223"/>
      <c r="AC98" s="223"/>
      <c r="AD98" s="223"/>
      <c r="AE98" s="223"/>
      <c r="AF98" s="223"/>
      <c r="AG98" s="223"/>
      <c r="AH98" s="223"/>
      <c r="AI98" s="223"/>
      <c r="AJ98" s="223"/>
      <c r="AK98" s="223"/>
      <c r="AL98" s="223"/>
      <c r="AM98" s="223"/>
      <c r="AN98" s="223"/>
      <c r="AO98" s="223"/>
      <c r="AP98" s="223"/>
    </row>
    <row r="99" spans="1:42" ht="273.60000000000002">
      <c r="A99" s="647" t="s">
        <v>255</v>
      </c>
      <c r="B99" s="647" t="s">
        <v>518</v>
      </c>
      <c r="C99" s="113">
        <v>3594</v>
      </c>
      <c r="D99" s="113">
        <v>9839135</v>
      </c>
      <c r="E99" s="113">
        <v>300133</v>
      </c>
      <c r="F99" s="113">
        <v>4.0453999999999999</v>
      </c>
      <c r="G99" s="113">
        <v>0.12</v>
      </c>
      <c r="Z99" s="223"/>
      <c r="AA99" s="223" t="s">
        <v>541</v>
      </c>
      <c r="AB99" s="223"/>
      <c r="AC99" s="49"/>
      <c r="AD99" s="49"/>
      <c r="AE99" s="49"/>
      <c r="AF99" s="49"/>
      <c r="AG99" s="49"/>
      <c r="AH99" s="49"/>
      <c r="AI99" s="49"/>
      <c r="AJ99" s="49"/>
      <c r="AK99" s="49"/>
      <c r="AL99" s="49"/>
      <c r="AM99" s="49"/>
      <c r="AN99" s="49"/>
      <c r="AO99" s="49"/>
      <c r="AP99" s="49"/>
    </row>
    <row r="100" spans="1:42">
      <c r="A100" s="647"/>
      <c r="B100" s="647" t="s">
        <v>510</v>
      </c>
      <c r="C100" s="113">
        <v>51566</v>
      </c>
      <c r="D100" s="113">
        <v>231506390</v>
      </c>
      <c r="E100" s="113">
        <v>2040617</v>
      </c>
      <c r="F100" s="113">
        <v>95.183800000000005</v>
      </c>
      <c r="G100" s="113">
        <v>0.12690000000000001</v>
      </c>
    </row>
    <row r="101" spans="1:42">
      <c r="A101" s="647"/>
      <c r="B101" s="647" t="s">
        <v>521</v>
      </c>
      <c r="C101" s="113">
        <v>745</v>
      </c>
      <c r="D101" s="113">
        <v>1874759</v>
      </c>
      <c r="E101" s="113">
        <v>122675</v>
      </c>
      <c r="F101" s="113">
        <v>0.77080000000000004</v>
      </c>
      <c r="G101" s="113">
        <v>5.0500000000000003E-2</v>
      </c>
    </row>
    <row r="102" spans="1:42">
      <c r="A102" s="647"/>
      <c r="B102" s="647" t="s">
        <v>255</v>
      </c>
      <c r="C102" s="113">
        <v>55905</v>
      </c>
      <c r="D102" s="113">
        <v>243220283</v>
      </c>
      <c r="E102" s="113">
        <v>2095953</v>
      </c>
      <c r="F102" s="113">
        <v>100</v>
      </c>
      <c r="G102" s="113"/>
    </row>
    <row r="103" spans="1:42">
      <c r="A103" s="129"/>
    </row>
    <row r="104" spans="1:42">
      <c r="A104" s="738" t="s">
        <v>499</v>
      </c>
      <c r="B104" s="738"/>
      <c r="C104" s="738"/>
      <c r="D104" s="738"/>
      <c r="E104" s="738"/>
      <c r="F104" s="738"/>
      <c r="G104" s="738"/>
    </row>
    <row r="105" spans="1:42">
      <c r="A105" s="738" t="s">
        <v>542</v>
      </c>
      <c r="B105" s="738"/>
      <c r="C105" s="738"/>
      <c r="D105" s="738"/>
      <c r="E105" s="738"/>
      <c r="F105" s="738"/>
      <c r="G105" s="738"/>
    </row>
    <row r="106" spans="1:42">
      <c r="A106" s="738" t="s">
        <v>502</v>
      </c>
      <c r="B106" s="738" t="s">
        <v>503</v>
      </c>
      <c r="C106" s="738" t="s">
        <v>504</v>
      </c>
      <c r="D106" s="647" t="s">
        <v>505</v>
      </c>
      <c r="E106" s="647" t="s">
        <v>506</v>
      </c>
      <c r="F106" s="738" t="s">
        <v>507</v>
      </c>
      <c r="G106" s="647" t="s">
        <v>506</v>
      </c>
      <c r="J106" t="s">
        <v>508</v>
      </c>
    </row>
    <row r="107" spans="1:42" ht="29.1" thickBot="1">
      <c r="A107" s="738"/>
      <c r="B107" s="738"/>
      <c r="C107" s="738"/>
      <c r="D107" s="647" t="s">
        <v>504</v>
      </c>
      <c r="E107" s="647" t="s">
        <v>509</v>
      </c>
      <c r="F107" s="738"/>
      <c r="G107" s="647" t="s">
        <v>507</v>
      </c>
      <c r="I107">
        <v>2006</v>
      </c>
      <c r="J107" t="s">
        <v>510</v>
      </c>
      <c r="K107" t="s">
        <v>511</v>
      </c>
      <c r="L107" t="s">
        <v>512</v>
      </c>
      <c r="P107" s="49" t="s">
        <v>513</v>
      </c>
      <c r="Q107" s="49" t="s">
        <v>514</v>
      </c>
      <c r="R107" s="49" t="s">
        <v>515</v>
      </c>
      <c r="S107" t="s">
        <v>516</v>
      </c>
      <c r="T107" s="49" t="s">
        <v>517</v>
      </c>
      <c r="U107" s="49" t="s">
        <v>510</v>
      </c>
    </row>
    <row r="108" spans="1:42" ht="28.8">
      <c r="A108" s="647" t="s">
        <v>518</v>
      </c>
      <c r="B108" s="647" t="s">
        <v>518</v>
      </c>
      <c r="C108" s="113">
        <v>30</v>
      </c>
      <c r="D108" s="113">
        <v>114557</v>
      </c>
      <c r="E108" s="113">
        <v>60749</v>
      </c>
      <c r="F108" s="113">
        <v>4.6600000000000003E-2</v>
      </c>
      <c r="G108" s="113">
        <v>2.47E-2</v>
      </c>
      <c r="H108" t="s">
        <v>519</v>
      </c>
      <c r="I108" t="s">
        <v>510</v>
      </c>
      <c r="J108" s="114">
        <f>D117</f>
        <v>233515153</v>
      </c>
      <c r="K108" s="115">
        <f>D116</f>
        <v>10191551</v>
      </c>
      <c r="L108" s="116">
        <f>D118</f>
        <v>1768853</v>
      </c>
      <c r="M108" s="112">
        <f>SUM(J108:L108)</f>
        <v>245475557</v>
      </c>
      <c r="N108" s="229" t="s">
        <v>520</v>
      </c>
      <c r="P108" s="117">
        <f>L108</f>
        <v>1768853</v>
      </c>
      <c r="Q108" s="118">
        <f>L109</f>
        <v>27983</v>
      </c>
      <c r="R108" s="119">
        <f>SUM(J110:L110)</f>
        <v>319932</v>
      </c>
      <c r="S108" s="120">
        <f>K108</f>
        <v>10191551</v>
      </c>
      <c r="T108" s="121">
        <f>SUM(J109:K109)</f>
        <v>198182</v>
      </c>
      <c r="U108" s="122">
        <f>J108</f>
        <v>233515153</v>
      </c>
    </row>
    <row r="109" spans="1:42">
      <c r="A109" s="647"/>
      <c r="B109" s="647" t="s">
        <v>510</v>
      </c>
      <c r="C109" s="113">
        <v>29</v>
      </c>
      <c r="D109" s="113">
        <v>83625</v>
      </c>
      <c r="E109" s="113">
        <v>36396</v>
      </c>
      <c r="F109" s="113">
        <v>3.4000000000000002E-2</v>
      </c>
      <c r="G109" s="113">
        <v>1.4800000000000001E-2</v>
      </c>
      <c r="I109" t="s">
        <v>511</v>
      </c>
      <c r="J109" s="123">
        <f>D109</f>
        <v>83625</v>
      </c>
      <c r="K109" s="124">
        <f>D108</f>
        <v>114557</v>
      </c>
      <c r="L109" s="125">
        <f>D110</f>
        <v>27983</v>
      </c>
      <c r="M109" s="112">
        <f t="shared" ref="M109:M110" si="16">SUM(J109:L109)</f>
        <v>226165</v>
      </c>
      <c r="N109">
        <f>K109/(K109+J109)</f>
        <v>0.57803937794552485</v>
      </c>
    </row>
    <row r="110" spans="1:42" ht="14.7" thickBot="1">
      <c r="A110" s="647"/>
      <c r="B110" s="647" t="s">
        <v>521</v>
      </c>
      <c r="C110" s="113">
        <v>15</v>
      </c>
      <c r="D110" s="113">
        <v>27983</v>
      </c>
      <c r="E110" s="113">
        <v>9463</v>
      </c>
      <c r="F110" s="113">
        <v>1.14E-2</v>
      </c>
      <c r="G110" s="113">
        <v>3.8999999999999998E-3</v>
      </c>
      <c r="I110" t="s">
        <v>522</v>
      </c>
      <c r="J110" s="126">
        <f>D113</f>
        <v>95510</v>
      </c>
      <c r="K110" s="127">
        <f>D112</f>
        <v>131323</v>
      </c>
      <c r="L110" s="128">
        <f>D114</f>
        <v>93099</v>
      </c>
      <c r="M110" s="112">
        <f t="shared" si="16"/>
        <v>319932</v>
      </c>
    </row>
    <row r="111" spans="1:42">
      <c r="A111" s="647"/>
      <c r="B111" s="647" t="s">
        <v>255</v>
      </c>
      <c r="C111" s="113">
        <v>74</v>
      </c>
      <c r="D111" s="113">
        <v>226166</v>
      </c>
      <c r="E111" s="113">
        <v>71692</v>
      </c>
      <c r="F111" s="113">
        <v>9.1899999999999996E-2</v>
      </c>
      <c r="G111" s="113">
        <v>2.93E-2</v>
      </c>
      <c r="J111" s="92">
        <f>SUM(J108:J110)</f>
        <v>233694288</v>
      </c>
      <c r="K111" s="92">
        <f>SUM(K108:K110)</f>
        <v>10437431</v>
      </c>
      <c r="L111" s="92">
        <f>SUM(L108:L110)</f>
        <v>1889935</v>
      </c>
    </row>
    <row r="112" spans="1:42">
      <c r="A112" s="647" t="s">
        <v>515</v>
      </c>
      <c r="B112" s="647" t="s">
        <v>518</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647"/>
      <c r="B113" s="647" t="s">
        <v>510</v>
      </c>
      <c r="C113" s="113">
        <v>22</v>
      </c>
      <c r="D113" s="113">
        <v>95510</v>
      </c>
      <c r="E113" s="113">
        <v>28069</v>
      </c>
      <c r="F113" s="113">
        <v>3.8800000000000001E-2</v>
      </c>
      <c r="G113" s="113">
        <v>1.14E-2</v>
      </c>
    </row>
    <row r="114" spans="1:21">
      <c r="A114" s="647"/>
      <c r="B114" s="647" t="s">
        <v>521</v>
      </c>
      <c r="C114" s="113">
        <v>33</v>
      </c>
      <c r="D114" s="113">
        <v>93099</v>
      </c>
      <c r="E114" s="113">
        <v>29695</v>
      </c>
      <c r="F114" s="113">
        <v>3.78E-2</v>
      </c>
      <c r="G114" s="113">
        <v>1.2E-2</v>
      </c>
      <c r="J114">
        <f>J109/(J109+K109)</f>
        <v>0.42196062205447515</v>
      </c>
      <c r="K114">
        <f>K109/(K109+J109)</f>
        <v>0.57803937794552485</v>
      </c>
    </row>
    <row r="115" spans="1:21">
      <c r="A115" s="647"/>
      <c r="B115" s="647" t="s">
        <v>255</v>
      </c>
      <c r="C115" s="113">
        <v>78</v>
      </c>
      <c r="D115" s="113">
        <v>319933</v>
      </c>
      <c r="E115" s="113">
        <v>68513</v>
      </c>
      <c r="F115" s="113">
        <v>0.13</v>
      </c>
      <c r="G115" s="113">
        <v>2.7699999999999999E-2</v>
      </c>
    </row>
    <row r="116" spans="1:21">
      <c r="A116" s="647" t="s">
        <v>510</v>
      </c>
      <c r="B116" s="647" t="s">
        <v>518</v>
      </c>
      <c r="C116" s="113">
        <v>3502</v>
      </c>
      <c r="D116" s="113">
        <v>10191551</v>
      </c>
      <c r="E116" s="113">
        <v>333715</v>
      </c>
      <c r="F116" s="113">
        <v>4.1425000000000001</v>
      </c>
      <c r="G116" s="113">
        <v>0.1356</v>
      </c>
    </row>
    <row r="117" spans="1:21">
      <c r="A117" s="647"/>
      <c r="B117" s="647" t="s">
        <v>510</v>
      </c>
      <c r="C117" s="113">
        <v>50716</v>
      </c>
      <c r="D117" s="113">
        <v>233515153</v>
      </c>
      <c r="E117" s="113">
        <v>1919178</v>
      </c>
      <c r="F117" s="113">
        <v>94.916499999999999</v>
      </c>
      <c r="G117" s="113">
        <v>0.14699999999999999</v>
      </c>
    </row>
    <row r="118" spans="1:21">
      <c r="A118" s="647"/>
      <c r="B118" s="647" t="s">
        <v>521</v>
      </c>
      <c r="C118" s="113">
        <v>665</v>
      </c>
      <c r="D118" s="113">
        <v>1768853</v>
      </c>
      <c r="E118" s="113">
        <v>121451</v>
      </c>
      <c r="F118" s="113">
        <v>0.71899999999999997</v>
      </c>
      <c r="G118" s="113">
        <v>4.9000000000000002E-2</v>
      </c>
    </row>
    <row r="119" spans="1:21">
      <c r="A119" s="647"/>
      <c r="B119" s="647" t="s">
        <v>255</v>
      </c>
      <c r="C119" s="113">
        <v>54883</v>
      </c>
      <c r="D119" s="113">
        <v>245475557</v>
      </c>
      <c r="E119" s="113">
        <v>1944100</v>
      </c>
      <c r="F119" s="113">
        <v>99.778000000000006</v>
      </c>
      <c r="G119" s="113">
        <v>3.8800000000000001E-2</v>
      </c>
    </row>
    <row r="120" spans="1:21">
      <c r="A120" s="647" t="s">
        <v>255</v>
      </c>
      <c r="B120" s="647" t="s">
        <v>518</v>
      </c>
      <c r="C120" s="113">
        <v>3555</v>
      </c>
      <c r="D120" s="113">
        <v>10437431</v>
      </c>
      <c r="E120" s="113">
        <v>370997</v>
      </c>
      <c r="F120" s="113">
        <v>4.2424999999999997</v>
      </c>
      <c r="G120" s="113">
        <v>0.15090000000000001</v>
      </c>
    </row>
    <row r="121" spans="1:21">
      <c r="A121" s="647"/>
      <c r="B121" s="647" t="s">
        <v>510</v>
      </c>
      <c r="C121" s="113">
        <v>50767</v>
      </c>
      <c r="D121" s="113">
        <v>233694289</v>
      </c>
      <c r="E121" s="113">
        <v>1914428</v>
      </c>
      <c r="F121" s="113">
        <v>94.9893</v>
      </c>
      <c r="G121" s="113">
        <v>0.14399999999999999</v>
      </c>
    </row>
    <row r="122" spans="1:21">
      <c r="A122" s="647"/>
      <c r="B122" s="647" t="s">
        <v>521</v>
      </c>
      <c r="C122" s="113">
        <v>713</v>
      </c>
      <c r="D122" s="113">
        <v>1889936</v>
      </c>
      <c r="E122" s="113">
        <v>121724</v>
      </c>
      <c r="F122" s="113">
        <v>0.76819999999999999</v>
      </c>
      <c r="G122" s="113">
        <v>4.8899999999999999E-2</v>
      </c>
    </row>
    <row r="123" spans="1:21">
      <c r="A123" s="647"/>
      <c r="B123" s="647" t="s">
        <v>255</v>
      </c>
      <c r="C123" s="113">
        <v>55035</v>
      </c>
      <c r="D123" s="113">
        <v>246021656</v>
      </c>
      <c r="E123" s="113">
        <v>1940330</v>
      </c>
      <c r="F123" s="113">
        <v>100</v>
      </c>
      <c r="G123" s="113"/>
    </row>
    <row r="124" spans="1:21">
      <c r="A124" s="129"/>
    </row>
    <row r="125" spans="1:21">
      <c r="A125" s="738" t="s">
        <v>499</v>
      </c>
      <c r="B125" s="738"/>
      <c r="C125" s="738"/>
      <c r="D125" s="738"/>
      <c r="E125" s="738"/>
      <c r="F125" s="738"/>
      <c r="G125" s="738"/>
    </row>
    <row r="126" spans="1:21">
      <c r="A126" s="738" t="s">
        <v>543</v>
      </c>
      <c r="B126" s="738"/>
      <c r="C126" s="738"/>
      <c r="D126" s="738"/>
      <c r="E126" s="738"/>
      <c r="F126" s="738"/>
      <c r="G126" s="738"/>
    </row>
    <row r="127" spans="1:21">
      <c r="A127" s="738" t="s">
        <v>502</v>
      </c>
      <c r="B127" s="738" t="s">
        <v>503</v>
      </c>
      <c r="C127" s="738" t="s">
        <v>504</v>
      </c>
      <c r="D127" s="647" t="s">
        <v>505</v>
      </c>
      <c r="E127" s="647" t="s">
        <v>506</v>
      </c>
      <c r="F127" s="738" t="s">
        <v>507</v>
      </c>
      <c r="G127" s="647" t="s">
        <v>506</v>
      </c>
      <c r="J127" t="s">
        <v>508</v>
      </c>
    </row>
    <row r="128" spans="1:21" ht="29.1" thickBot="1">
      <c r="A128" s="738"/>
      <c r="B128" s="738"/>
      <c r="C128" s="738"/>
      <c r="D128" s="647" t="s">
        <v>504</v>
      </c>
      <c r="E128" s="647" t="s">
        <v>509</v>
      </c>
      <c r="F128" s="738"/>
      <c r="G128" s="647" t="s">
        <v>507</v>
      </c>
      <c r="I128">
        <v>2007</v>
      </c>
      <c r="J128" t="s">
        <v>510</v>
      </c>
      <c r="K128" t="s">
        <v>511</v>
      </c>
      <c r="L128" t="s">
        <v>512</v>
      </c>
      <c r="P128" s="49" t="s">
        <v>513</v>
      </c>
      <c r="Q128" s="49" t="s">
        <v>514</v>
      </c>
      <c r="R128" s="49" t="s">
        <v>515</v>
      </c>
      <c r="S128" t="s">
        <v>516</v>
      </c>
      <c r="T128" s="49" t="s">
        <v>517</v>
      </c>
      <c r="U128" s="49" t="s">
        <v>510</v>
      </c>
    </row>
    <row r="129" spans="1:21" ht="28.8">
      <c r="A129" s="647" t="s">
        <v>518</v>
      </c>
      <c r="B129" s="647" t="s">
        <v>518</v>
      </c>
      <c r="C129" s="113">
        <v>23</v>
      </c>
      <c r="D129" s="113">
        <v>74444</v>
      </c>
      <c r="E129" s="113">
        <v>26729</v>
      </c>
      <c r="F129" s="113">
        <v>0.03</v>
      </c>
      <c r="G129" s="113">
        <v>1.0800000000000001E-2</v>
      </c>
      <c r="H129" t="s">
        <v>519</v>
      </c>
      <c r="I129" t="s">
        <v>510</v>
      </c>
      <c r="J129" s="114">
        <f>D138</f>
        <v>235185658</v>
      </c>
      <c r="K129" s="115">
        <f>D137</f>
        <v>10292408</v>
      </c>
      <c r="L129" s="116">
        <f>D139</f>
        <v>1967314</v>
      </c>
      <c r="M129" s="112">
        <f>SUM(J129:L129)</f>
        <v>247445380</v>
      </c>
      <c r="N129" s="229" t="s">
        <v>520</v>
      </c>
      <c r="P129" s="117">
        <f>L129</f>
        <v>1967314</v>
      </c>
      <c r="Q129" s="118">
        <f>L130</f>
        <v>48397</v>
      </c>
      <c r="R129" s="119">
        <f>SUM(J131:L131)</f>
        <v>248268</v>
      </c>
      <c r="S129" s="120">
        <f>K129</f>
        <v>10292408</v>
      </c>
      <c r="T129" s="121">
        <f>SUM(J130:K130)</f>
        <v>103162</v>
      </c>
      <c r="U129" s="122">
        <f>J129</f>
        <v>235185658</v>
      </c>
    </row>
    <row r="130" spans="1:21">
      <c r="A130" s="647"/>
      <c r="B130" s="647" t="s">
        <v>510</v>
      </c>
      <c r="C130" s="113">
        <v>11</v>
      </c>
      <c r="D130" s="113">
        <v>28718</v>
      </c>
      <c r="E130" s="113">
        <v>12495</v>
      </c>
      <c r="F130" s="113">
        <v>1.1599999999999999E-2</v>
      </c>
      <c r="G130" s="113">
        <v>5.1000000000000004E-3</v>
      </c>
      <c r="I130" t="s">
        <v>511</v>
      </c>
      <c r="J130" s="123">
        <f>D130</f>
        <v>28718</v>
      </c>
      <c r="K130" s="124">
        <f>D129</f>
        <v>74444</v>
      </c>
      <c r="L130" s="125">
        <f>D131</f>
        <v>48397</v>
      </c>
      <c r="M130" s="112">
        <f t="shared" ref="M130:M131" si="17">SUM(J130:L130)</f>
        <v>151559</v>
      </c>
      <c r="N130">
        <f>K130/(K130+J130)</f>
        <v>0.72162230278590955</v>
      </c>
    </row>
    <row r="131" spans="1:21" ht="14.7" thickBot="1">
      <c r="A131" s="647"/>
      <c r="B131" s="647" t="s">
        <v>521</v>
      </c>
      <c r="C131" s="113">
        <v>25</v>
      </c>
      <c r="D131" s="113">
        <v>48397</v>
      </c>
      <c r="E131" s="113">
        <v>14240</v>
      </c>
      <c r="F131" s="113">
        <v>1.95E-2</v>
      </c>
      <c r="G131" s="113">
        <v>5.7999999999999996E-3</v>
      </c>
      <c r="I131" t="s">
        <v>522</v>
      </c>
      <c r="J131" s="126">
        <f>D134</f>
        <v>63108</v>
      </c>
      <c r="K131" s="127">
        <f>D133</f>
        <v>79057</v>
      </c>
      <c r="L131" s="128">
        <f>D135</f>
        <v>106103</v>
      </c>
      <c r="M131" s="112">
        <f t="shared" si="17"/>
        <v>248268</v>
      </c>
    </row>
    <row r="132" spans="1:21">
      <c r="A132" s="647"/>
      <c r="B132" s="647" t="s">
        <v>255</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647" t="s">
        <v>515</v>
      </c>
      <c r="B133" s="647" t="s">
        <v>518</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647"/>
      <c r="B134" s="647" t="s">
        <v>510</v>
      </c>
      <c r="C134" s="113">
        <v>12</v>
      </c>
      <c r="D134" s="113">
        <v>63108</v>
      </c>
      <c r="E134" s="113">
        <v>33727</v>
      </c>
      <c r="F134" s="113">
        <v>2.5499999999999998E-2</v>
      </c>
      <c r="G134" s="113">
        <v>1.35E-2</v>
      </c>
    </row>
    <row r="135" spans="1:21">
      <c r="A135" s="647"/>
      <c r="B135" s="647" t="s">
        <v>521</v>
      </c>
      <c r="C135" s="113">
        <v>33</v>
      </c>
      <c r="D135" s="113">
        <v>106103</v>
      </c>
      <c r="E135" s="113">
        <v>37119</v>
      </c>
      <c r="F135" s="113">
        <v>4.2799999999999998E-2</v>
      </c>
      <c r="G135" s="113">
        <v>1.4999999999999999E-2</v>
      </c>
      <c r="J135">
        <f>J130/(J130+K130)</f>
        <v>0.27837769721409045</v>
      </c>
      <c r="K135">
        <f>K130/(K130+J130)</f>
        <v>0.72162230278590955</v>
      </c>
    </row>
    <row r="136" spans="1:21">
      <c r="A136" s="647"/>
      <c r="B136" s="647" t="s">
        <v>255</v>
      </c>
      <c r="C136" s="113">
        <v>72</v>
      </c>
      <c r="D136" s="113">
        <v>248268</v>
      </c>
      <c r="E136" s="113">
        <v>54866</v>
      </c>
      <c r="F136" s="113">
        <v>0.1002</v>
      </c>
      <c r="G136" s="113">
        <v>2.1999999999999999E-2</v>
      </c>
    </row>
    <row r="137" spans="1:21">
      <c r="A137" s="647" t="s">
        <v>510</v>
      </c>
      <c r="B137" s="647" t="s">
        <v>518</v>
      </c>
      <c r="C137" s="113">
        <v>3446</v>
      </c>
      <c r="D137" s="113">
        <v>10292408</v>
      </c>
      <c r="E137" s="113">
        <v>305496</v>
      </c>
      <c r="F137" s="113">
        <v>4.1528</v>
      </c>
      <c r="G137" s="113">
        <v>0.1152</v>
      </c>
    </row>
    <row r="138" spans="1:21">
      <c r="A138" s="647"/>
      <c r="B138" s="647" t="s">
        <v>510</v>
      </c>
      <c r="C138" s="113">
        <v>50757</v>
      </c>
      <c r="D138" s="113">
        <v>235185658</v>
      </c>
      <c r="E138" s="113">
        <v>2357185</v>
      </c>
      <c r="F138" s="113">
        <v>94.892200000000003</v>
      </c>
      <c r="G138" s="113">
        <v>0.1202</v>
      </c>
    </row>
    <row r="139" spans="1:21">
      <c r="A139" s="647"/>
      <c r="B139" s="647" t="s">
        <v>521</v>
      </c>
      <c r="C139" s="113">
        <v>715</v>
      </c>
      <c r="D139" s="113">
        <v>1967314</v>
      </c>
      <c r="E139" s="113">
        <v>170083</v>
      </c>
      <c r="F139" s="113">
        <v>0.79379999999999995</v>
      </c>
      <c r="G139" s="113">
        <v>6.6799999999999998E-2</v>
      </c>
    </row>
    <row r="140" spans="1:21">
      <c r="A140" s="647"/>
      <c r="B140" s="647" t="s">
        <v>255</v>
      </c>
      <c r="C140" s="113">
        <v>54918</v>
      </c>
      <c r="D140" s="113">
        <v>247445380</v>
      </c>
      <c r="E140" s="113">
        <v>2495625</v>
      </c>
      <c r="F140" s="113">
        <v>99.838700000000003</v>
      </c>
      <c r="G140" s="113">
        <v>2.5600000000000001E-2</v>
      </c>
    </row>
    <row r="141" spans="1:21">
      <c r="A141" s="647" t="s">
        <v>255</v>
      </c>
      <c r="B141" s="647" t="s">
        <v>518</v>
      </c>
      <c r="C141" s="113">
        <v>3496</v>
      </c>
      <c r="D141" s="113">
        <v>10445910</v>
      </c>
      <c r="E141" s="113">
        <v>311281</v>
      </c>
      <c r="F141" s="113">
        <v>4.2146999999999997</v>
      </c>
      <c r="G141" s="113">
        <v>0.1179</v>
      </c>
    </row>
    <row r="142" spans="1:21">
      <c r="A142" s="647"/>
      <c r="B142" s="647" t="s">
        <v>510</v>
      </c>
      <c r="C142" s="113">
        <v>50780</v>
      </c>
      <c r="D142" s="113">
        <v>235277484</v>
      </c>
      <c r="E142" s="113">
        <v>2365937</v>
      </c>
      <c r="F142" s="113">
        <v>94.929199999999994</v>
      </c>
      <c r="G142" s="113">
        <v>0.122</v>
      </c>
    </row>
    <row r="143" spans="1:21">
      <c r="A143" s="647"/>
      <c r="B143" s="647" t="s">
        <v>521</v>
      </c>
      <c r="C143" s="113">
        <v>773</v>
      </c>
      <c r="D143" s="113">
        <v>2121814</v>
      </c>
      <c r="E143" s="113">
        <v>174566</v>
      </c>
      <c r="F143" s="113">
        <v>0.85609999999999997</v>
      </c>
      <c r="G143" s="113">
        <v>6.8699999999999997E-2</v>
      </c>
    </row>
    <row r="144" spans="1:21">
      <c r="A144" s="647"/>
      <c r="B144" s="647" t="s">
        <v>255</v>
      </c>
      <c r="C144" s="113">
        <v>55049</v>
      </c>
      <c r="D144" s="113">
        <v>247845207</v>
      </c>
      <c r="E144" s="113">
        <v>2499997</v>
      </c>
      <c r="F144" s="113">
        <v>100</v>
      </c>
      <c r="G144" s="113"/>
    </row>
    <row r="145" spans="1:21">
      <c r="A145" s="129"/>
    </row>
    <row r="146" spans="1:21">
      <c r="A146" s="738" t="s">
        <v>499</v>
      </c>
      <c r="B146" s="738"/>
      <c r="C146" s="738"/>
      <c r="D146" s="738"/>
      <c r="E146" s="738"/>
      <c r="F146" s="738"/>
      <c r="G146" s="738"/>
    </row>
    <row r="147" spans="1:21">
      <c r="A147" s="738" t="s">
        <v>544</v>
      </c>
      <c r="B147" s="738"/>
      <c r="C147" s="738"/>
      <c r="D147" s="738"/>
      <c r="E147" s="738"/>
      <c r="F147" s="738"/>
      <c r="G147" s="738"/>
    </row>
    <row r="148" spans="1:21">
      <c r="A148" s="738" t="s">
        <v>502</v>
      </c>
      <c r="B148" s="738" t="s">
        <v>503</v>
      </c>
      <c r="C148" s="738" t="s">
        <v>504</v>
      </c>
      <c r="D148" s="647" t="s">
        <v>505</v>
      </c>
      <c r="E148" s="647" t="s">
        <v>506</v>
      </c>
      <c r="F148" s="738" t="s">
        <v>507</v>
      </c>
      <c r="G148" s="647" t="s">
        <v>506</v>
      </c>
      <c r="J148" t="s">
        <v>508</v>
      </c>
    </row>
    <row r="149" spans="1:21" ht="29.1" thickBot="1">
      <c r="A149" s="738"/>
      <c r="B149" s="738"/>
      <c r="C149" s="738"/>
      <c r="D149" s="647" t="s">
        <v>504</v>
      </c>
      <c r="E149" s="647" t="s">
        <v>509</v>
      </c>
      <c r="F149" s="738"/>
      <c r="G149" s="647" t="s">
        <v>507</v>
      </c>
      <c r="I149">
        <v>2008</v>
      </c>
      <c r="J149" t="s">
        <v>510</v>
      </c>
      <c r="K149" t="s">
        <v>511</v>
      </c>
      <c r="L149" t="s">
        <v>512</v>
      </c>
      <c r="P149" s="49" t="s">
        <v>513</v>
      </c>
      <c r="Q149" s="49" t="s">
        <v>514</v>
      </c>
      <c r="R149" s="49" t="s">
        <v>515</v>
      </c>
      <c r="S149" t="s">
        <v>516</v>
      </c>
      <c r="T149" s="49" t="s">
        <v>517</v>
      </c>
      <c r="U149" s="49" t="s">
        <v>510</v>
      </c>
    </row>
    <row r="150" spans="1:21" ht="28.8">
      <c r="A150" s="647" t="s">
        <v>518</v>
      </c>
      <c r="B150" s="647" t="s">
        <v>518</v>
      </c>
      <c r="C150" s="113">
        <v>35</v>
      </c>
      <c r="D150" s="113">
        <v>59619</v>
      </c>
      <c r="E150" s="113">
        <v>12423</v>
      </c>
      <c r="F150" s="113">
        <v>2.3900000000000001E-2</v>
      </c>
      <c r="G150" s="113">
        <v>5.0000000000000001E-3</v>
      </c>
      <c r="H150" t="s">
        <v>519</v>
      </c>
      <c r="I150" t="s">
        <v>510</v>
      </c>
      <c r="J150" s="130">
        <f>D159</f>
        <v>237586835</v>
      </c>
      <c r="K150" s="131">
        <f>D158</f>
        <v>9795118</v>
      </c>
      <c r="L150" s="132">
        <f>D160</f>
        <v>1912898</v>
      </c>
      <c r="M150" s="112">
        <f>SUM(J150:L150)</f>
        <v>249294851</v>
      </c>
      <c r="N150" s="229" t="s">
        <v>520</v>
      </c>
      <c r="P150" s="117">
        <f>L150</f>
        <v>1912898</v>
      </c>
      <c r="Q150" s="118">
        <f>L151</f>
        <v>50393</v>
      </c>
      <c r="R150" s="119">
        <f>SUM(J152:L152)</f>
        <v>329347</v>
      </c>
      <c r="S150" s="120">
        <f>K150</f>
        <v>9795118</v>
      </c>
      <c r="T150" s="121">
        <f>SUM(J151:K151)</f>
        <v>140496</v>
      </c>
      <c r="U150" s="122">
        <f>J150</f>
        <v>237586835</v>
      </c>
    </row>
    <row r="151" spans="1:21">
      <c r="A151" s="647"/>
      <c r="B151" s="647" t="s">
        <v>510</v>
      </c>
      <c r="C151" s="113">
        <v>16</v>
      </c>
      <c r="D151" s="113">
        <v>80877</v>
      </c>
      <c r="E151" s="113">
        <v>28992</v>
      </c>
      <c r="F151" s="113">
        <v>3.2399999999999998E-2</v>
      </c>
      <c r="G151" s="113">
        <v>1.1599999999999999E-2</v>
      </c>
      <c r="I151" t="s">
        <v>511</v>
      </c>
      <c r="J151" s="133">
        <f>D151</f>
        <v>80877</v>
      </c>
      <c r="K151" s="134">
        <f>D150</f>
        <v>59619</v>
      </c>
      <c r="L151" s="135">
        <f>D152</f>
        <v>50393</v>
      </c>
      <c r="M151" s="112">
        <f t="shared" ref="M151:M152" si="18">SUM(J151:L151)</f>
        <v>190889</v>
      </c>
      <c r="N151">
        <f>K151/(K151+J151)</f>
        <v>0.42434660061496415</v>
      </c>
    </row>
    <row r="152" spans="1:21" ht="14.7" thickBot="1">
      <c r="A152" s="647"/>
      <c r="B152" s="647" t="s">
        <v>521</v>
      </c>
      <c r="C152" s="113">
        <v>24</v>
      </c>
      <c r="D152" s="113">
        <v>50393</v>
      </c>
      <c r="E152" s="113">
        <v>15463</v>
      </c>
      <c r="F152" s="113">
        <v>2.0199999999999999E-2</v>
      </c>
      <c r="G152" s="113">
        <v>6.1999999999999998E-3</v>
      </c>
      <c r="I152" t="s">
        <v>522</v>
      </c>
      <c r="J152" s="136">
        <f>D155</f>
        <v>82882</v>
      </c>
      <c r="K152" s="137">
        <f>D154</f>
        <v>144761</v>
      </c>
      <c r="L152" s="138">
        <f>D156</f>
        <v>101704</v>
      </c>
      <c r="M152" s="112">
        <f t="shared" si="18"/>
        <v>329347</v>
      </c>
    </row>
    <row r="153" spans="1:21">
      <c r="A153" s="647"/>
      <c r="B153" s="647" t="s">
        <v>255</v>
      </c>
      <c r="C153" s="113">
        <v>75</v>
      </c>
      <c r="D153" s="113">
        <v>190890</v>
      </c>
      <c r="E153" s="113">
        <v>32812</v>
      </c>
      <c r="F153" s="113">
        <v>7.6399999999999996E-2</v>
      </c>
      <c r="G153" s="113">
        <v>1.32E-2</v>
      </c>
      <c r="J153" s="92">
        <f>SUM(J150:J152)</f>
        <v>237750594</v>
      </c>
      <c r="K153" s="92">
        <f>SUM(K150:K152)</f>
        <v>9999498</v>
      </c>
      <c r="L153" s="92">
        <f>SUM(L150:L152)</f>
        <v>2064995</v>
      </c>
    </row>
    <row r="154" spans="1:21">
      <c r="A154" s="647" t="s">
        <v>515</v>
      </c>
      <c r="B154" s="647" t="s">
        <v>518</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647"/>
      <c r="B155" s="647" t="s">
        <v>510</v>
      </c>
      <c r="C155" s="113">
        <v>24</v>
      </c>
      <c r="D155" s="113">
        <v>82882</v>
      </c>
      <c r="E155" s="113">
        <v>25267</v>
      </c>
      <c r="F155" s="113">
        <v>3.32E-2</v>
      </c>
      <c r="G155" s="113">
        <v>1.0200000000000001E-2</v>
      </c>
    </row>
    <row r="156" spans="1:21">
      <c r="A156" s="647"/>
      <c r="B156" s="647" t="s">
        <v>521</v>
      </c>
      <c r="C156" s="113">
        <v>37</v>
      </c>
      <c r="D156" s="113">
        <v>101704</v>
      </c>
      <c r="E156" s="113">
        <v>31640</v>
      </c>
      <c r="F156" s="113">
        <v>4.07E-2</v>
      </c>
      <c r="G156" s="113">
        <v>1.2699999999999999E-2</v>
      </c>
      <c r="J156">
        <f>J151/(J151+K151)</f>
        <v>0.5756533993850359</v>
      </c>
      <c r="K156">
        <f>K151/(K151+J151)</f>
        <v>0.42434660061496415</v>
      </c>
    </row>
    <row r="157" spans="1:21">
      <c r="A157" s="647"/>
      <c r="B157" s="647" t="s">
        <v>255</v>
      </c>
      <c r="C157" s="113">
        <v>97</v>
      </c>
      <c r="D157" s="113">
        <v>329348</v>
      </c>
      <c r="E157" s="113">
        <v>56402</v>
      </c>
      <c r="F157" s="113">
        <v>0.1318</v>
      </c>
      <c r="G157" s="113">
        <v>2.29E-2</v>
      </c>
    </row>
    <row r="158" spans="1:21">
      <c r="A158" s="647" t="s">
        <v>510</v>
      </c>
      <c r="B158" s="647" t="s">
        <v>518</v>
      </c>
      <c r="C158" s="113">
        <v>3368</v>
      </c>
      <c r="D158" s="113">
        <v>9795118</v>
      </c>
      <c r="E158" s="113">
        <v>251141</v>
      </c>
      <c r="F158" s="113">
        <v>3.9209000000000001</v>
      </c>
      <c r="G158" s="113">
        <v>0.1084</v>
      </c>
    </row>
    <row r="159" spans="1:21">
      <c r="A159" s="647"/>
      <c r="B159" s="647" t="s">
        <v>510</v>
      </c>
      <c r="C159" s="113">
        <v>50798</v>
      </c>
      <c r="D159" s="113">
        <v>237586835</v>
      </c>
      <c r="E159" s="113">
        <v>2656878</v>
      </c>
      <c r="F159" s="113">
        <v>95.105099999999993</v>
      </c>
      <c r="G159" s="113">
        <v>0.1079</v>
      </c>
    </row>
    <row r="160" spans="1:21">
      <c r="A160" s="647"/>
      <c r="B160" s="647" t="s">
        <v>521</v>
      </c>
      <c r="C160" s="113">
        <v>772</v>
      </c>
      <c r="D160" s="113">
        <v>1912898</v>
      </c>
      <c r="E160" s="113">
        <v>98962</v>
      </c>
      <c r="F160" s="113">
        <v>0.76570000000000005</v>
      </c>
      <c r="G160" s="113">
        <v>4.0300000000000002E-2</v>
      </c>
    </row>
    <row r="161" spans="1:21">
      <c r="A161" s="647"/>
      <c r="B161" s="647" t="s">
        <v>255</v>
      </c>
      <c r="C161" s="113">
        <v>54938</v>
      </c>
      <c r="D161" s="113">
        <v>249294851</v>
      </c>
      <c r="E161" s="113">
        <v>2651542</v>
      </c>
      <c r="F161" s="113">
        <v>99.791799999999995</v>
      </c>
      <c r="G161" s="113">
        <v>2.5999999999999999E-2</v>
      </c>
    </row>
    <row r="162" spans="1:21">
      <c r="A162" s="647" t="s">
        <v>255</v>
      </c>
      <c r="B162" s="647" t="s">
        <v>518</v>
      </c>
      <c r="C162" s="113">
        <v>3439</v>
      </c>
      <c r="D162" s="113">
        <v>9999499</v>
      </c>
      <c r="E162" s="113">
        <v>259052</v>
      </c>
      <c r="F162" s="113">
        <v>4.0027999999999997</v>
      </c>
      <c r="G162" s="113">
        <v>0.11310000000000001</v>
      </c>
    </row>
    <row r="163" spans="1:21">
      <c r="A163" s="647"/>
      <c r="B163" s="647" t="s">
        <v>510</v>
      </c>
      <c r="C163" s="113">
        <v>50838</v>
      </c>
      <c r="D163" s="113">
        <v>237750594</v>
      </c>
      <c r="E163" s="113">
        <v>2656407</v>
      </c>
      <c r="F163" s="113">
        <v>95.170599999999993</v>
      </c>
      <c r="G163" s="113">
        <v>0.1096</v>
      </c>
    </row>
    <row r="164" spans="1:21">
      <c r="A164" s="647"/>
      <c r="B164" s="647" t="s">
        <v>521</v>
      </c>
      <c r="C164" s="113">
        <v>833</v>
      </c>
      <c r="D164" s="113">
        <v>2064996</v>
      </c>
      <c r="E164" s="113">
        <v>98901</v>
      </c>
      <c r="F164" s="113">
        <v>0.8266</v>
      </c>
      <c r="G164" s="113">
        <v>4.0599999999999997E-2</v>
      </c>
    </row>
    <row r="165" spans="1:21">
      <c r="A165" s="647"/>
      <c r="B165" s="647" t="s">
        <v>255</v>
      </c>
      <c r="C165" s="113">
        <v>55110</v>
      </c>
      <c r="D165" s="113">
        <v>249815089</v>
      </c>
      <c r="E165" s="113">
        <v>2637688</v>
      </c>
      <c r="F165" s="113">
        <v>100</v>
      </c>
      <c r="G165" s="113"/>
    </row>
    <row r="166" spans="1:21">
      <c r="A166" s="129"/>
    </row>
    <row r="167" spans="1:21">
      <c r="A167" s="738" t="s">
        <v>499</v>
      </c>
      <c r="B167" s="738"/>
      <c r="C167" s="738"/>
      <c r="D167" s="738"/>
      <c r="E167" s="738"/>
      <c r="F167" s="738"/>
      <c r="G167" s="738"/>
    </row>
    <row r="168" spans="1:21">
      <c r="A168" s="738" t="s">
        <v>545</v>
      </c>
      <c r="B168" s="738"/>
      <c r="C168" s="738"/>
      <c r="D168" s="738"/>
      <c r="E168" s="738"/>
      <c r="F168" s="738"/>
      <c r="G168" s="738"/>
    </row>
    <row r="169" spans="1:21">
      <c r="A169" s="738" t="s">
        <v>502</v>
      </c>
      <c r="B169" s="738" t="s">
        <v>503</v>
      </c>
      <c r="C169" s="738" t="s">
        <v>504</v>
      </c>
      <c r="D169" s="647" t="s">
        <v>505</v>
      </c>
      <c r="E169" s="647" t="s">
        <v>506</v>
      </c>
      <c r="F169" s="738" t="s">
        <v>507</v>
      </c>
      <c r="G169" s="647" t="s">
        <v>506</v>
      </c>
      <c r="J169" t="s">
        <v>508</v>
      </c>
    </row>
    <row r="170" spans="1:21" ht="29.1" thickBot="1">
      <c r="A170" s="738"/>
      <c r="B170" s="738"/>
      <c r="C170" s="738"/>
      <c r="D170" s="647" t="s">
        <v>504</v>
      </c>
      <c r="E170" s="647" t="s">
        <v>509</v>
      </c>
      <c r="F170" s="738"/>
      <c r="G170" s="647" t="s">
        <v>507</v>
      </c>
      <c r="I170">
        <v>2009</v>
      </c>
      <c r="J170" t="s">
        <v>510</v>
      </c>
      <c r="K170" t="s">
        <v>511</v>
      </c>
      <c r="L170" t="s">
        <v>512</v>
      </c>
      <c r="P170" s="49" t="s">
        <v>513</v>
      </c>
      <c r="Q170" s="49" t="s">
        <v>514</v>
      </c>
      <c r="R170" s="49" t="s">
        <v>515</v>
      </c>
      <c r="S170" t="s">
        <v>516</v>
      </c>
      <c r="T170" s="49" t="s">
        <v>517</v>
      </c>
      <c r="U170" s="49" t="s">
        <v>510</v>
      </c>
    </row>
    <row r="171" spans="1:21" ht="28.8">
      <c r="A171" s="647" t="s">
        <v>518</v>
      </c>
      <c r="B171" s="647" t="s">
        <v>518</v>
      </c>
      <c r="C171" s="113">
        <v>28</v>
      </c>
      <c r="D171" s="113">
        <v>145500</v>
      </c>
      <c r="E171" s="113">
        <v>60721</v>
      </c>
      <c r="F171" s="113">
        <v>5.7799999999999997E-2</v>
      </c>
      <c r="G171" s="113">
        <v>2.4199999999999999E-2</v>
      </c>
      <c r="H171" t="s">
        <v>519</v>
      </c>
      <c r="I171" t="s">
        <v>510</v>
      </c>
      <c r="J171" s="130">
        <f>D180</f>
        <v>239100324</v>
      </c>
      <c r="K171" s="131">
        <f>D179</f>
        <v>9965813</v>
      </c>
      <c r="L171" s="132">
        <f>D181</f>
        <v>2039042</v>
      </c>
      <c r="M171" s="112">
        <f>SUM(J171:L171)</f>
        <v>251105179</v>
      </c>
      <c r="N171" s="229" t="s">
        <v>520</v>
      </c>
      <c r="P171" s="117">
        <f>L171</f>
        <v>2039042</v>
      </c>
      <c r="Q171" s="118">
        <f>L172</f>
        <v>72146</v>
      </c>
      <c r="R171" s="119">
        <f>SUM(J173:L173)</f>
        <v>423242</v>
      </c>
      <c r="S171" s="120">
        <f>K171</f>
        <v>9965813</v>
      </c>
      <c r="T171" s="121">
        <f>SUM(J172:K172)</f>
        <v>214966</v>
      </c>
      <c r="U171" s="122">
        <f>J171</f>
        <v>239100324</v>
      </c>
    </row>
    <row r="172" spans="1:21">
      <c r="A172" s="647"/>
      <c r="B172" s="647" t="s">
        <v>510</v>
      </c>
      <c r="C172" s="113">
        <v>24</v>
      </c>
      <c r="D172" s="113">
        <v>69466</v>
      </c>
      <c r="E172" s="113">
        <v>22395</v>
      </c>
      <c r="F172" s="113">
        <v>2.76E-2</v>
      </c>
      <c r="G172" s="113">
        <v>8.8999999999999999E-3</v>
      </c>
      <c r="I172" t="s">
        <v>511</v>
      </c>
      <c r="J172" s="133">
        <f>D172</f>
        <v>69466</v>
      </c>
      <c r="K172" s="134">
        <f>D171</f>
        <v>145500</v>
      </c>
      <c r="L172" s="135">
        <f>D173</f>
        <v>72146</v>
      </c>
      <c r="M172" s="112">
        <f t="shared" ref="M172:M173" si="19">SUM(J172:L172)</f>
        <v>287112</v>
      </c>
      <c r="N172">
        <f>K172/(K172+J172)</f>
        <v>0.67685122298409983</v>
      </c>
    </row>
    <row r="173" spans="1:21" ht="14.7" thickBot="1">
      <c r="A173" s="647"/>
      <c r="B173" s="647" t="s">
        <v>521</v>
      </c>
      <c r="C173" s="113">
        <v>39</v>
      </c>
      <c r="D173" s="113">
        <v>72146</v>
      </c>
      <c r="E173" s="113">
        <v>15561</v>
      </c>
      <c r="F173" s="113">
        <v>2.87E-2</v>
      </c>
      <c r="G173" s="113">
        <v>6.3E-3</v>
      </c>
      <c r="I173" t="s">
        <v>522</v>
      </c>
      <c r="J173" s="136">
        <f>D176</f>
        <v>143286</v>
      </c>
      <c r="K173" s="137">
        <f>D175</f>
        <v>126412</v>
      </c>
      <c r="L173" s="138">
        <f>D177</f>
        <v>153544</v>
      </c>
      <c r="M173" s="112">
        <f t="shared" si="19"/>
        <v>423242</v>
      </c>
    </row>
    <row r="174" spans="1:21">
      <c r="A174" s="647"/>
      <c r="B174" s="647" t="s">
        <v>255</v>
      </c>
      <c r="C174" s="113">
        <v>91</v>
      </c>
      <c r="D174" s="113">
        <v>287112</v>
      </c>
      <c r="E174" s="113">
        <v>70036</v>
      </c>
      <c r="F174" s="113">
        <v>0.114</v>
      </c>
      <c r="G174" s="113">
        <v>2.8000000000000001E-2</v>
      </c>
      <c r="J174" s="92">
        <f>SUM(J171:J173)</f>
        <v>239313076</v>
      </c>
      <c r="K174" s="92">
        <f>SUM(K171:K173)</f>
        <v>10237725</v>
      </c>
      <c r="L174" s="92">
        <f>SUM(L171:L173)</f>
        <v>2264732</v>
      </c>
    </row>
    <row r="175" spans="1:21">
      <c r="A175" s="647" t="s">
        <v>515</v>
      </c>
      <c r="B175" s="647" t="s">
        <v>518</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647"/>
      <c r="B176" s="647" t="s">
        <v>510</v>
      </c>
      <c r="C176" s="113">
        <v>26</v>
      </c>
      <c r="D176" s="113">
        <v>143286</v>
      </c>
      <c r="E176" s="113">
        <v>48268</v>
      </c>
      <c r="F176" s="113">
        <v>5.6899999999999999E-2</v>
      </c>
      <c r="G176" s="113">
        <v>1.9199999999999998E-2</v>
      </c>
    </row>
    <row r="177" spans="1:21">
      <c r="A177" s="647"/>
      <c r="B177" s="647" t="s">
        <v>521</v>
      </c>
      <c r="C177" s="113">
        <v>64</v>
      </c>
      <c r="D177" s="113">
        <v>153544</v>
      </c>
      <c r="E177" s="113">
        <v>27873</v>
      </c>
      <c r="F177" s="113">
        <v>6.0999999999999999E-2</v>
      </c>
      <c r="G177" s="113">
        <v>1.0999999999999999E-2</v>
      </c>
      <c r="J177">
        <f>J172/(J172+K172)</f>
        <v>0.32314877701590017</v>
      </c>
      <c r="K177">
        <f>K172/(K172+J172)</f>
        <v>0.67685122298409983</v>
      </c>
    </row>
    <row r="178" spans="1:21">
      <c r="A178" s="647"/>
      <c r="B178" s="647" t="s">
        <v>255</v>
      </c>
      <c r="C178" s="113">
        <v>117</v>
      </c>
      <c r="D178" s="113">
        <v>423242</v>
      </c>
      <c r="E178" s="113">
        <v>68313</v>
      </c>
      <c r="F178" s="113">
        <v>0.1681</v>
      </c>
      <c r="G178" s="113">
        <v>2.69E-2</v>
      </c>
    </row>
    <row r="179" spans="1:21">
      <c r="A179" s="647" t="s">
        <v>510</v>
      </c>
      <c r="B179" s="647" t="s">
        <v>518</v>
      </c>
      <c r="C179" s="113">
        <v>3429</v>
      </c>
      <c r="D179" s="113">
        <v>9965813</v>
      </c>
      <c r="E179" s="113">
        <v>284997</v>
      </c>
      <c r="F179" s="113">
        <v>3.9575999999999998</v>
      </c>
      <c r="G179" s="113">
        <v>0.11409999999999999</v>
      </c>
    </row>
    <row r="180" spans="1:21">
      <c r="A180" s="647"/>
      <c r="B180" s="647" t="s">
        <v>510</v>
      </c>
      <c r="C180" s="113">
        <v>50842</v>
      </c>
      <c r="D180" s="113">
        <v>239100324</v>
      </c>
      <c r="E180" s="113">
        <v>2730842</v>
      </c>
      <c r="F180" s="113">
        <v>94.950599999999994</v>
      </c>
      <c r="G180" s="113">
        <v>0.13289999999999999</v>
      </c>
    </row>
    <row r="181" spans="1:21">
      <c r="A181" s="647"/>
      <c r="B181" s="647" t="s">
        <v>521</v>
      </c>
      <c r="C181" s="113">
        <v>755</v>
      </c>
      <c r="D181" s="113">
        <v>2039042</v>
      </c>
      <c r="E181" s="113">
        <v>110805</v>
      </c>
      <c r="F181" s="113">
        <v>0.80969999999999998</v>
      </c>
      <c r="G181" s="113">
        <v>4.5699999999999998E-2</v>
      </c>
    </row>
    <row r="182" spans="1:21">
      <c r="A182" s="647"/>
      <c r="B182" s="647" t="s">
        <v>255</v>
      </c>
      <c r="C182" s="113">
        <v>55026</v>
      </c>
      <c r="D182" s="113">
        <v>251105179</v>
      </c>
      <c r="E182" s="113">
        <v>2751644</v>
      </c>
      <c r="F182" s="113">
        <v>99.7179</v>
      </c>
      <c r="G182" s="113">
        <v>3.6499999999999998E-2</v>
      </c>
    </row>
    <row r="183" spans="1:21">
      <c r="A183" s="647" t="s">
        <v>255</v>
      </c>
      <c r="B183" s="647" t="s">
        <v>518</v>
      </c>
      <c r="C183" s="113">
        <v>3484</v>
      </c>
      <c r="D183" s="113">
        <v>10237725</v>
      </c>
      <c r="E183" s="113">
        <v>293280</v>
      </c>
      <c r="F183" s="113">
        <v>4.0655999999999999</v>
      </c>
      <c r="G183" s="113">
        <v>0.1183</v>
      </c>
    </row>
    <row r="184" spans="1:21">
      <c r="A184" s="647"/>
      <c r="B184" s="647" t="s">
        <v>510</v>
      </c>
      <c r="C184" s="113">
        <v>50892</v>
      </c>
      <c r="D184" s="113">
        <v>239313076</v>
      </c>
      <c r="E184" s="113">
        <v>2733032</v>
      </c>
      <c r="F184" s="113">
        <v>95.0351</v>
      </c>
      <c r="G184" s="113">
        <v>0.12820000000000001</v>
      </c>
    </row>
    <row r="185" spans="1:21">
      <c r="A185" s="647"/>
      <c r="B185" s="647" t="s">
        <v>521</v>
      </c>
      <c r="C185" s="113">
        <v>858</v>
      </c>
      <c r="D185" s="113">
        <v>2264732</v>
      </c>
      <c r="E185" s="113">
        <v>114318</v>
      </c>
      <c r="F185" s="113">
        <v>0.89939999999999998</v>
      </c>
      <c r="G185" s="113">
        <v>4.7300000000000002E-2</v>
      </c>
    </row>
    <row r="186" spans="1:21">
      <c r="A186" s="647"/>
      <c r="B186" s="647" t="s">
        <v>255</v>
      </c>
      <c r="C186" s="113">
        <v>55234</v>
      </c>
      <c r="D186" s="113">
        <v>251815533</v>
      </c>
      <c r="E186" s="113">
        <v>2749174</v>
      </c>
      <c r="F186" s="113">
        <v>100</v>
      </c>
      <c r="G186" s="113"/>
    </row>
    <row r="187" spans="1:21">
      <c r="A187" s="129"/>
    </row>
    <row r="188" spans="1:21">
      <c r="A188" s="738" t="s">
        <v>499</v>
      </c>
      <c r="B188" s="738"/>
      <c r="C188" s="738"/>
      <c r="D188" s="738"/>
      <c r="E188" s="738"/>
      <c r="F188" s="738"/>
      <c r="G188" s="738"/>
    </row>
    <row r="189" spans="1:21">
      <c r="A189" s="738" t="s">
        <v>546</v>
      </c>
      <c r="B189" s="738"/>
      <c r="C189" s="738"/>
      <c r="D189" s="738"/>
      <c r="E189" s="738"/>
      <c r="F189" s="738"/>
      <c r="G189" s="738"/>
    </row>
    <row r="190" spans="1:21">
      <c r="A190" s="738" t="s">
        <v>502</v>
      </c>
      <c r="B190" s="738" t="s">
        <v>503</v>
      </c>
      <c r="C190" s="738" t="s">
        <v>504</v>
      </c>
      <c r="D190" s="647" t="s">
        <v>505</v>
      </c>
      <c r="E190" s="647" t="s">
        <v>506</v>
      </c>
      <c r="F190" s="738" t="s">
        <v>507</v>
      </c>
      <c r="G190" s="647" t="s">
        <v>506</v>
      </c>
      <c r="J190" t="s">
        <v>508</v>
      </c>
    </row>
    <row r="191" spans="1:21" ht="29.1" thickBot="1">
      <c r="A191" s="738"/>
      <c r="B191" s="738"/>
      <c r="C191" s="738"/>
      <c r="D191" s="647" t="s">
        <v>504</v>
      </c>
      <c r="E191" s="647" t="s">
        <v>509</v>
      </c>
      <c r="F191" s="738"/>
      <c r="G191" s="647" t="s">
        <v>507</v>
      </c>
      <c r="I191">
        <v>2010</v>
      </c>
      <c r="J191" t="s">
        <v>510</v>
      </c>
      <c r="K191" t="s">
        <v>511</v>
      </c>
      <c r="L191" t="s">
        <v>512</v>
      </c>
      <c r="P191" s="49" t="s">
        <v>513</v>
      </c>
      <c r="Q191" s="49" t="s">
        <v>514</v>
      </c>
      <c r="R191" s="49" t="s">
        <v>515</v>
      </c>
      <c r="S191" t="s">
        <v>516</v>
      </c>
      <c r="T191" s="49" t="s">
        <v>517</v>
      </c>
      <c r="U191" s="49" t="s">
        <v>510</v>
      </c>
    </row>
    <row r="192" spans="1:21" ht="28.8">
      <c r="A192" s="647" t="s">
        <v>518</v>
      </c>
      <c r="B192" s="647" t="s">
        <v>518</v>
      </c>
      <c r="C192" s="113">
        <v>27</v>
      </c>
      <c r="D192" s="113">
        <v>69489</v>
      </c>
      <c r="E192" s="113">
        <v>18870</v>
      </c>
      <c r="F192" s="113">
        <v>2.7400000000000001E-2</v>
      </c>
      <c r="G192" s="113">
        <v>7.4000000000000003E-3</v>
      </c>
      <c r="H192" t="s">
        <v>519</v>
      </c>
      <c r="I192" t="s">
        <v>510</v>
      </c>
      <c r="J192" s="130">
        <f>D201</f>
        <v>240974597</v>
      </c>
      <c r="K192" s="131">
        <f>D200</f>
        <v>9823494</v>
      </c>
      <c r="L192" s="132">
        <f>D202</f>
        <v>2140500</v>
      </c>
      <c r="M192" s="112">
        <f>SUM(J192:L192)</f>
        <v>252938591</v>
      </c>
      <c r="N192" s="229" t="s">
        <v>520</v>
      </c>
      <c r="P192" s="117">
        <f>L192</f>
        <v>2140500</v>
      </c>
      <c r="Q192" s="118">
        <f>L193</f>
        <v>105068</v>
      </c>
      <c r="R192" s="119">
        <f>SUM(J194:L194)</f>
        <v>429287</v>
      </c>
      <c r="S192" s="120">
        <f>K192</f>
        <v>9823494</v>
      </c>
      <c r="T192" s="121">
        <f>SUM(J193:K193)</f>
        <v>146161</v>
      </c>
      <c r="U192" s="122">
        <f>J192</f>
        <v>240974597</v>
      </c>
    </row>
    <row r="193" spans="1:14">
      <c r="A193" s="647"/>
      <c r="B193" s="647" t="s">
        <v>510</v>
      </c>
      <c r="C193" s="113">
        <v>21</v>
      </c>
      <c r="D193" s="113">
        <v>76672</v>
      </c>
      <c r="E193" s="113">
        <v>30343</v>
      </c>
      <c r="F193" s="113">
        <v>3.0200000000000001E-2</v>
      </c>
      <c r="G193" s="113">
        <v>1.1900000000000001E-2</v>
      </c>
      <c r="I193" t="s">
        <v>511</v>
      </c>
      <c r="J193" s="133">
        <f>D193</f>
        <v>76672</v>
      </c>
      <c r="K193" s="134">
        <f>D192</f>
        <v>69489</v>
      </c>
      <c r="L193" s="135">
        <f>D194</f>
        <v>105068</v>
      </c>
      <c r="M193" s="112">
        <f t="shared" ref="M193:M194" si="20">SUM(J193:L193)</f>
        <v>251229</v>
      </c>
      <c r="N193">
        <f>K193/(K193+J193)</f>
        <v>0.47542778169279082</v>
      </c>
    </row>
    <row r="194" spans="1:14" ht="14.7" thickBot="1">
      <c r="A194" s="647"/>
      <c r="B194" s="647" t="s">
        <v>521</v>
      </c>
      <c r="C194" s="113">
        <v>28</v>
      </c>
      <c r="D194" s="113">
        <v>105068</v>
      </c>
      <c r="E194" s="113">
        <v>25775</v>
      </c>
      <c r="F194" s="113">
        <v>4.1399999999999999E-2</v>
      </c>
      <c r="G194" s="113">
        <v>1.01E-2</v>
      </c>
      <c r="I194" t="s">
        <v>522</v>
      </c>
      <c r="J194" s="136">
        <f>D197</f>
        <v>128933</v>
      </c>
      <c r="K194" s="137">
        <f>D196</f>
        <v>76070</v>
      </c>
      <c r="L194" s="138">
        <f>D198</f>
        <v>224284</v>
      </c>
      <c r="M194" s="112">
        <f t="shared" si="20"/>
        <v>429287</v>
      </c>
    </row>
    <row r="195" spans="1:14">
      <c r="A195" s="647"/>
      <c r="B195" s="647" t="s">
        <v>255</v>
      </c>
      <c r="C195" s="113">
        <v>76</v>
      </c>
      <c r="D195" s="113">
        <v>251229</v>
      </c>
      <c r="E195" s="113">
        <v>44286</v>
      </c>
      <c r="F195" s="113">
        <v>9.9099999999999994E-2</v>
      </c>
      <c r="G195" s="113">
        <v>1.72E-2</v>
      </c>
      <c r="J195" s="92">
        <f>SUM(J192:J194)</f>
        <v>241180202</v>
      </c>
      <c r="K195" s="92">
        <f>SUM(K192:K194)</f>
        <v>9969053</v>
      </c>
      <c r="L195" s="92">
        <f>SUM(L192:L194)</f>
        <v>2469852</v>
      </c>
    </row>
    <row r="196" spans="1:14">
      <c r="A196" s="647" t="s">
        <v>515</v>
      </c>
      <c r="B196" s="647" t="s">
        <v>518</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647"/>
      <c r="B197" s="647" t="s">
        <v>510</v>
      </c>
      <c r="C197" s="113">
        <v>26</v>
      </c>
      <c r="D197" s="113">
        <v>128933</v>
      </c>
      <c r="E197" s="113">
        <v>33570</v>
      </c>
      <c r="F197" s="113">
        <v>5.0799999999999998E-2</v>
      </c>
      <c r="G197" s="113">
        <v>1.32E-2</v>
      </c>
    </row>
    <row r="198" spans="1:14">
      <c r="A198" s="647"/>
      <c r="B198" s="647" t="s">
        <v>521</v>
      </c>
      <c r="C198" s="113">
        <v>54</v>
      </c>
      <c r="D198" s="113">
        <v>224284</v>
      </c>
      <c r="E198" s="113">
        <v>48304</v>
      </c>
      <c r="F198" s="113">
        <v>8.8400000000000006E-2</v>
      </c>
      <c r="G198" s="113">
        <v>1.89E-2</v>
      </c>
      <c r="J198">
        <f>J193/(J193+K193)</f>
        <v>0.52457221830720913</v>
      </c>
      <c r="K198">
        <f>K193/(K193+J193)</f>
        <v>0.47542778169279082</v>
      </c>
    </row>
    <row r="199" spans="1:14">
      <c r="A199" s="647"/>
      <c r="B199" s="647" t="s">
        <v>255</v>
      </c>
      <c r="C199" s="113">
        <v>110</v>
      </c>
      <c r="D199" s="113">
        <v>429287</v>
      </c>
      <c r="E199" s="113">
        <v>64239</v>
      </c>
      <c r="F199" s="113">
        <v>0.16930000000000001</v>
      </c>
      <c r="G199" s="113">
        <v>2.4899999999999999E-2</v>
      </c>
    </row>
    <row r="200" spans="1:14">
      <c r="A200" s="647" t="s">
        <v>510</v>
      </c>
      <c r="B200" s="647" t="s">
        <v>518</v>
      </c>
      <c r="C200" s="113">
        <v>3205</v>
      </c>
      <c r="D200" s="113">
        <v>9823494</v>
      </c>
      <c r="E200" s="113">
        <v>283919</v>
      </c>
      <c r="F200" s="113">
        <v>3.8733</v>
      </c>
      <c r="G200" s="113">
        <v>0.10050000000000001</v>
      </c>
    </row>
    <row r="201" spans="1:14">
      <c r="A201" s="647"/>
      <c r="B201" s="647" t="s">
        <v>510</v>
      </c>
      <c r="C201" s="113">
        <v>53193</v>
      </c>
      <c r="D201" s="113">
        <v>240974597</v>
      </c>
      <c r="E201" s="113">
        <v>2588256</v>
      </c>
      <c r="F201" s="113">
        <v>95.014399999999995</v>
      </c>
      <c r="G201" s="113">
        <v>0.12709999999999999</v>
      </c>
    </row>
    <row r="202" spans="1:14">
      <c r="A202" s="647"/>
      <c r="B202" s="647" t="s">
        <v>521</v>
      </c>
      <c r="C202" s="113">
        <v>729</v>
      </c>
      <c r="D202" s="113">
        <v>2140500</v>
      </c>
      <c r="E202" s="113">
        <v>176785</v>
      </c>
      <c r="F202" s="113">
        <v>0.84399999999999997</v>
      </c>
      <c r="G202" s="113">
        <v>6.8000000000000005E-2</v>
      </c>
    </row>
    <row r="203" spans="1:14">
      <c r="A203" s="647"/>
      <c r="B203" s="647" t="s">
        <v>255</v>
      </c>
      <c r="C203" s="113">
        <v>57127</v>
      </c>
      <c r="D203" s="113">
        <v>252938591</v>
      </c>
      <c r="E203" s="113">
        <v>2740766</v>
      </c>
      <c r="F203" s="113">
        <v>99.731700000000004</v>
      </c>
      <c r="G203" s="113">
        <v>2.9600000000000001E-2</v>
      </c>
    </row>
    <row r="204" spans="1:14">
      <c r="A204" s="647" t="s">
        <v>255</v>
      </c>
      <c r="B204" s="647" t="s">
        <v>518</v>
      </c>
      <c r="C204" s="113">
        <v>3262</v>
      </c>
      <c r="D204" s="113">
        <v>9969053</v>
      </c>
      <c r="E204" s="113">
        <v>286503</v>
      </c>
      <c r="F204" s="113">
        <v>3.9306999999999999</v>
      </c>
      <c r="G204" s="113">
        <v>0.10050000000000001</v>
      </c>
    </row>
    <row r="205" spans="1:14">
      <c r="A205" s="647"/>
      <c r="B205" s="647" t="s">
        <v>510</v>
      </c>
      <c r="C205" s="113">
        <v>53240</v>
      </c>
      <c r="D205" s="113">
        <v>241180202</v>
      </c>
      <c r="E205" s="113">
        <v>2596993</v>
      </c>
      <c r="F205" s="113">
        <v>95.095399999999998</v>
      </c>
      <c r="G205" s="113">
        <v>0.1242</v>
      </c>
    </row>
    <row r="206" spans="1:14">
      <c r="A206" s="647"/>
      <c r="B206" s="647" t="s">
        <v>521</v>
      </c>
      <c r="C206" s="113">
        <v>811</v>
      </c>
      <c r="D206" s="113">
        <v>2469852</v>
      </c>
      <c r="E206" s="113">
        <v>186125</v>
      </c>
      <c r="F206" s="113">
        <v>0.9738</v>
      </c>
      <c r="G206" s="113">
        <v>7.0999999999999994E-2</v>
      </c>
    </row>
    <row r="207" spans="1:14">
      <c r="A207" s="647"/>
      <c r="B207" s="647" t="s">
        <v>255</v>
      </c>
      <c r="C207" s="113">
        <v>57313</v>
      </c>
      <c r="D207" s="113">
        <v>253619107</v>
      </c>
      <c r="E207" s="113">
        <v>2765635</v>
      </c>
      <c r="F207" s="113">
        <v>100</v>
      </c>
      <c r="G207" s="113"/>
    </row>
    <row r="208" spans="1:14">
      <c r="A208" s="129"/>
    </row>
    <row r="209" spans="1:21">
      <c r="A209" s="738" t="s">
        <v>499</v>
      </c>
      <c r="B209" s="738"/>
      <c r="C209" s="738"/>
      <c r="D209" s="738"/>
      <c r="E209" s="738"/>
      <c r="F209" s="738"/>
      <c r="G209" s="738"/>
    </row>
    <row r="210" spans="1:21">
      <c r="A210" s="738" t="s">
        <v>547</v>
      </c>
      <c r="B210" s="738"/>
      <c r="C210" s="738"/>
      <c r="D210" s="738"/>
      <c r="E210" s="738"/>
      <c r="F210" s="738"/>
      <c r="G210" s="738"/>
    </row>
    <row r="211" spans="1:21">
      <c r="A211" s="738" t="s">
        <v>502</v>
      </c>
      <c r="B211" s="738" t="s">
        <v>503</v>
      </c>
      <c r="C211" s="738" t="s">
        <v>504</v>
      </c>
      <c r="D211" s="647" t="s">
        <v>505</v>
      </c>
      <c r="E211" s="647" t="s">
        <v>506</v>
      </c>
      <c r="F211" s="738" t="s">
        <v>507</v>
      </c>
      <c r="G211" s="647" t="s">
        <v>506</v>
      </c>
      <c r="J211" t="s">
        <v>508</v>
      </c>
    </row>
    <row r="212" spans="1:21" ht="29.1" thickBot="1">
      <c r="A212" s="738"/>
      <c r="B212" s="738"/>
      <c r="C212" s="738"/>
      <c r="D212" s="647" t="s">
        <v>504</v>
      </c>
      <c r="E212" s="647" t="s">
        <v>509</v>
      </c>
      <c r="F212" s="738"/>
      <c r="G212" s="647" t="s">
        <v>507</v>
      </c>
      <c r="I212">
        <v>2011</v>
      </c>
      <c r="J212" t="s">
        <v>510</v>
      </c>
      <c r="K212" t="s">
        <v>511</v>
      </c>
      <c r="L212" t="s">
        <v>512</v>
      </c>
      <c r="P212" s="49" t="s">
        <v>513</v>
      </c>
      <c r="Q212" s="49" t="s">
        <v>514</v>
      </c>
      <c r="R212" s="49" t="s">
        <v>515</v>
      </c>
      <c r="S212" t="s">
        <v>516</v>
      </c>
      <c r="T212" s="49" t="s">
        <v>517</v>
      </c>
      <c r="U212" s="49" t="s">
        <v>510</v>
      </c>
    </row>
    <row r="213" spans="1:21" ht="28.8">
      <c r="A213" s="647" t="s">
        <v>518</v>
      </c>
      <c r="B213" s="647" t="s">
        <v>518</v>
      </c>
      <c r="C213" s="113">
        <v>29</v>
      </c>
      <c r="D213" s="113">
        <v>63488</v>
      </c>
      <c r="E213" s="113">
        <v>17064</v>
      </c>
      <c r="F213" s="113">
        <v>2.46E-2</v>
      </c>
      <c r="G213" s="113">
        <v>6.7000000000000002E-3</v>
      </c>
      <c r="H213" t="s">
        <v>519</v>
      </c>
      <c r="I213" t="s">
        <v>510</v>
      </c>
      <c r="J213" s="130">
        <f>D222</f>
        <v>246212048</v>
      </c>
      <c r="K213" s="131">
        <f>D221</f>
        <v>8794760</v>
      </c>
      <c r="L213" s="132">
        <f>D223</f>
        <v>1898575</v>
      </c>
      <c r="M213" s="112">
        <f>SUM(J213:L213)</f>
        <v>256905383</v>
      </c>
      <c r="N213" s="229" t="s">
        <v>520</v>
      </c>
      <c r="P213" s="117">
        <f>L213</f>
        <v>1898575</v>
      </c>
      <c r="Q213" s="118">
        <f>L214</f>
        <v>47420</v>
      </c>
      <c r="R213" s="119">
        <f>SUM(J215:L215)</f>
        <v>511316</v>
      </c>
      <c r="S213" s="120">
        <f>K213</f>
        <v>8794760</v>
      </c>
      <c r="T213" s="121">
        <f>SUM(J214:K214)</f>
        <v>134826</v>
      </c>
      <c r="U213" s="122">
        <f>J213</f>
        <v>246212048</v>
      </c>
    </row>
    <row r="214" spans="1:21">
      <c r="A214" s="647"/>
      <c r="B214" s="647" t="s">
        <v>510</v>
      </c>
      <c r="C214" s="113">
        <v>27</v>
      </c>
      <c r="D214" s="113">
        <v>71338</v>
      </c>
      <c r="E214" s="113">
        <v>25609</v>
      </c>
      <c r="F214" s="113">
        <v>2.7699999999999999E-2</v>
      </c>
      <c r="G214" s="113">
        <v>0.01</v>
      </c>
      <c r="I214" t="s">
        <v>511</v>
      </c>
      <c r="J214" s="133">
        <f>D214</f>
        <v>71338</v>
      </c>
      <c r="K214" s="134">
        <f>D213</f>
        <v>63488</v>
      </c>
      <c r="L214" s="135">
        <f>D215</f>
        <v>47420</v>
      </c>
      <c r="M214" s="112">
        <f t="shared" ref="M214:M215" si="21">SUM(J214:L214)</f>
        <v>182246</v>
      </c>
      <c r="N214">
        <f>K214/(K214+J214)</f>
        <v>0.47088840431370804</v>
      </c>
    </row>
    <row r="215" spans="1:21" ht="14.7" thickBot="1">
      <c r="A215" s="647"/>
      <c r="B215" s="647" t="s">
        <v>521</v>
      </c>
      <c r="C215" s="113">
        <v>32</v>
      </c>
      <c r="D215" s="113">
        <v>47420</v>
      </c>
      <c r="E215" s="113">
        <v>9724</v>
      </c>
      <c r="F215" s="113">
        <v>1.84E-2</v>
      </c>
      <c r="G215" s="113">
        <v>3.8E-3</v>
      </c>
      <c r="I215" t="s">
        <v>522</v>
      </c>
      <c r="J215" s="136">
        <f>D218</f>
        <v>145969</v>
      </c>
      <c r="K215" s="137">
        <f>D217</f>
        <v>107565</v>
      </c>
      <c r="L215" s="138">
        <f>D219</f>
        <v>257782</v>
      </c>
      <c r="M215" s="112">
        <f t="shared" si="21"/>
        <v>511316</v>
      </c>
    </row>
    <row r="216" spans="1:21">
      <c r="A216" s="647"/>
      <c r="B216" s="647" t="s">
        <v>255</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647" t="s">
        <v>515</v>
      </c>
      <c r="B217" s="647" t="s">
        <v>518</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647"/>
      <c r="B218" s="647" t="s">
        <v>510</v>
      </c>
      <c r="C218" s="113">
        <v>34</v>
      </c>
      <c r="D218" s="113">
        <v>145969</v>
      </c>
      <c r="E218" s="113">
        <v>38063</v>
      </c>
      <c r="F218" s="113">
        <v>5.67E-2</v>
      </c>
      <c r="G218" s="113">
        <v>1.4800000000000001E-2</v>
      </c>
    </row>
    <row r="219" spans="1:21">
      <c r="A219" s="647"/>
      <c r="B219" s="647" t="s">
        <v>521</v>
      </c>
      <c r="C219" s="113">
        <v>68</v>
      </c>
      <c r="D219" s="113">
        <v>257782</v>
      </c>
      <c r="E219" s="113">
        <v>54252</v>
      </c>
      <c r="F219" s="113">
        <v>0.10009999999999999</v>
      </c>
      <c r="G219" s="113">
        <v>2.12E-2</v>
      </c>
      <c r="J219">
        <f>J214/(J214+K214)</f>
        <v>0.52911159568629196</v>
      </c>
      <c r="K219">
        <f>K214/(K214+J214)</f>
        <v>0.47088840431370804</v>
      </c>
    </row>
    <row r="220" spans="1:21">
      <c r="A220" s="647"/>
      <c r="B220" s="647" t="s">
        <v>255</v>
      </c>
      <c r="C220" s="113">
        <v>131</v>
      </c>
      <c r="D220" s="113">
        <v>511316</v>
      </c>
      <c r="E220" s="113">
        <v>73390</v>
      </c>
      <c r="F220" s="113">
        <v>0.19850000000000001</v>
      </c>
      <c r="G220" s="113">
        <v>2.8799999999999999E-2</v>
      </c>
    </row>
    <row r="221" spans="1:21">
      <c r="A221" s="647" t="s">
        <v>510</v>
      </c>
      <c r="B221" s="647" t="s">
        <v>518</v>
      </c>
      <c r="C221" s="113">
        <v>3095</v>
      </c>
      <c r="D221" s="113">
        <v>8794760</v>
      </c>
      <c r="E221" s="113">
        <v>318461</v>
      </c>
      <c r="F221" s="113">
        <v>3.4140999999999999</v>
      </c>
      <c r="G221" s="113">
        <v>0.1183</v>
      </c>
    </row>
    <row r="222" spans="1:21">
      <c r="A222" s="647"/>
      <c r="B222" s="647" t="s">
        <v>510</v>
      </c>
      <c r="C222" s="113">
        <v>54376</v>
      </c>
      <c r="D222" s="113">
        <v>246212048</v>
      </c>
      <c r="E222" s="113">
        <v>2487824</v>
      </c>
      <c r="F222" s="113">
        <v>95.579599999999999</v>
      </c>
      <c r="G222" s="113">
        <v>0.13780000000000001</v>
      </c>
    </row>
    <row r="223" spans="1:21">
      <c r="A223" s="647"/>
      <c r="B223" s="647" t="s">
        <v>521</v>
      </c>
      <c r="C223" s="113">
        <v>707</v>
      </c>
      <c r="D223" s="113">
        <v>1898575</v>
      </c>
      <c r="E223" s="113">
        <v>116180</v>
      </c>
      <c r="F223" s="113">
        <v>0.73699999999999999</v>
      </c>
      <c r="G223" s="113">
        <v>4.5499999999999999E-2</v>
      </c>
    </row>
    <row r="224" spans="1:21">
      <c r="A224" s="647"/>
      <c r="B224" s="647" t="s">
        <v>255</v>
      </c>
      <c r="C224" s="113">
        <v>58178</v>
      </c>
      <c r="D224" s="113">
        <v>256905382</v>
      </c>
      <c r="E224" s="113">
        <v>2559778</v>
      </c>
      <c r="F224" s="113">
        <v>99.730800000000002</v>
      </c>
      <c r="G224" s="113">
        <v>3.39E-2</v>
      </c>
    </row>
    <row r="225" spans="1:21">
      <c r="A225" s="647" t="s">
        <v>255</v>
      </c>
      <c r="B225" s="647" t="s">
        <v>518</v>
      </c>
      <c r="C225" s="113">
        <v>3153</v>
      </c>
      <c r="D225" s="113">
        <v>8965814</v>
      </c>
      <c r="E225" s="113">
        <v>321823</v>
      </c>
      <c r="F225" s="113">
        <v>3.4805000000000001</v>
      </c>
      <c r="G225" s="113">
        <v>0.1201</v>
      </c>
    </row>
    <row r="226" spans="1:21">
      <c r="A226" s="647"/>
      <c r="B226" s="647" t="s">
        <v>510</v>
      </c>
      <c r="C226" s="113">
        <v>54437</v>
      </c>
      <c r="D226" s="113">
        <v>246429354</v>
      </c>
      <c r="E226" s="113">
        <v>2481476</v>
      </c>
      <c r="F226" s="113">
        <v>95.664000000000001</v>
      </c>
      <c r="G226" s="113">
        <v>0.13519999999999999</v>
      </c>
    </row>
    <row r="227" spans="1:21">
      <c r="A227" s="647"/>
      <c r="B227" s="647" t="s">
        <v>521</v>
      </c>
      <c r="C227" s="113">
        <v>807</v>
      </c>
      <c r="D227" s="113">
        <v>2203776</v>
      </c>
      <c r="E227" s="113">
        <v>128728</v>
      </c>
      <c r="F227" s="113">
        <v>0.85550000000000004</v>
      </c>
      <c r="G227" s="113">
        <v>5.0999999999999997E-2</v>
      </c>
    </row>
    <row r="228" spans="1:21">
      <c r="A228" s="647"/>
      <c r="B228" s="647" t="s">
        <v>255</v>
      </c>
      <c r="C228" s="113">
        <v>58397</v>
      </c>
      <c r="D228" s="113">
        <v>257598944</v>
      </c>
      <c r="E228" s="113">
        <v>2541166</v>
      </c>
      <c r="F228" s="113">
        <v>100</v>
      </c>
      <c r="G228" s="113"/>
    </row>
    <row r="229" spans="1:21">
      <c r="A229" s="129"/>
    </row>
    <row r="230" spans="1:21">
      <c r="A230" s="738" t="s">
        <v>499</v>
      </c>
      <c r="B230" s="738"/>
      <c r="C230" s="738"/>
      <c r="D230" s="738"/>
      <c r="E230" s="738"/>
      <c r="F230" s="738"/>
      <c r="G230" s="738"/>
    </row>
    <row r="231" spans="1:21">
      <c r="A231" s="738" t="s">
        <v>548</v>
      </c>
      <c r="B231" s="738"/>
      <c r="C231" s="738"/>
      <c r="D231" s="738"/>
      <c r="E231" s="738"/>
      <c r="F231" s="738"/>
      <c r="G231" s="738"/>
    </row>
    <row r="232" spans="1:21">
      <c r="A232" s="738" t="s">
        <v>502</v>
      </c>
      <c r="B232" s="738" t="s">
        <v>503</v>
      </c>
      <c r="C232" s="738" t="s">
        <v>504</v>
      </c>
      <c r="D232" s="647" t="s">
        <v>505</v>
      </c>
      <c r="E232" s="647" t="s">
        <v>506</v>
      </c>
      <c r="F232" s="738" t="s">
        <v>507</v>
      </c>
      <c r="G232" s="647" t="s">
        <v>506</v>
      </c>
      <c r="J232" t="s">
        <v>508</v>
      </c>
    </row>
    <row r="233" spans="1:21" ht="29.1" thickBot="1">
      <c r="A233" s="738"/>
      <c r="B233" s="738"/>
      <c r="C233" s="738"/>
      <c r="D233" s="647" t="s">
        <v>504</v>
      </c>
      <c r="E233" s="647" t="s">
        <v>509</v>
      </c>
      <c r="F233" s="738"/>
      <c r="G233" s="647" t="s">
        <v>507</v>
      </c>
      <c r="I233">
        <v>2012</v>
      </c>
      <c r="J233" t="s">
        <v>510</v>
      </c>
      <c r="K233" t="s">
        <v>511</v>
      </c>
      <c r="L233" t="s">
        <v>512</v>
      </c>
      <c r="P233" s="49" t="s">
        <v>513</v>
      </c>
      <c r="Q233" s="49" t="s">
        <v>514</v>
      </c>
      <c r="R233" s="49" t="s">
        <v>515</v>
      </c>
      <c r="S233" t="s">
        <v>516</v>
      </c>
      <c r="T233" s="49" t="s">
        <v>517</v>
      </c>
      <c r="U233" s="49" t="s">
        <v>510</v>
      </c>
    </row>
    <row r="234" spans="1:21" ht="28.8">
      <c r="A234" s="647" t="s">
        <v>518</v>
      </c>
      <c r="B234" s="647" t="s">
        <v>518</v>
      </c>
      <c r="C234" s="113">
        <v>24</v>
      </c>
      <c r="D234" s="113">
        <v>64540</v>
      </c>
      <c r="E234" s="113">
        <v>20233</v>
      </c>
      <c r="F234" s="113">
        <v>2.4799999999999999E-2</v>
      </c>
      <c r="G234" s="113">
        <v>7.7000000000000002E-3</v>
      </c>
      <c r="H234" t="s">
        <v>519</v>
      </c>
      <c r="I234" t="s">
        <v>510</v>
      </c>
      <c r="J234" s="130">
        <f>D243</f>
        <v>247168338</v>
      </c>
      <c r="K234" s="131">
        <f>D242</f>
        <v>9898266</v>
      </c>
      <c r="L234" s="132">
        <f>D244</f>
        <v>2301337</v>
      </c>
      <c r="M234" s="112">
        <f>SUM(J234:L234)</f>
        <v>259367941</v>
      </c>
      <c r="N234" s="229" t="s">
        <v>520</v>
      </c>
      <c r="P234" s="117">
        <f>L234</f>
        <v>2301337</v>
      </c>
      <c r="Q234" s="118">
        <f>L235</f>
        <v>52733</v>
      </c>
      <c r="R234" s="119">
        <f>SUM(J236:L236)</f>
        <v>503336</v>
      </c>
      <c r="S234" s="120">
        <f>K234</f>
        <v>9898266</v>
      </c>
      <c r="T234" s="121">
        <f>SUM(J235:K235)</f>
        <v>133314</v>
      </c>
      <c r="U234" s="122">
        <f>J234</f>
        <v>247168338</v>
      </c>
    </row>
    <row r="235" spans="1:21">
      <c r="A235" s="647"/>
      <c r="B235" s="647" t="s">
        <v>510</v>
      </c>
      <c r="C235" s="113">
        <v>21</v>
      </c>
      <c r="D235" s="113">
        <v>68774</v>
      </c>
      <c r="E235" s="113">
        <v>25627</v>
      </c>
      <c r="F235" s="113">
        <v>2.64E-2</v>
      </c>
      <c r="G235" s="113">
        <v>9.9000000000000008E-3</v>
      </c>
      <c r="I235" t="s">
        <v>511</v>
      </c>
      <c r="J235" s="133">
        <f>D235</f>
        <v>68774</v>
      </c>
      <c r="K235" s="134">
        <f>D234</f>
        <v>64540</v>
      </c>
      <c r="L235" s="135">
        <f>D236</f>
        <v>52733</v>
      </c>
      <c r="M235" s="112">
        <f t="shared" ref="M235:M236" si="22">SUM(J235:L235)</f>
        <v>186047</v>
      </c>
      <c r="N235">
        <f>K235/(K235+J235)</f>
        <v>0.48412019742862716</v>
      </c>
    </row>
    <row r="236" spans="1:21" ht="14.7" thickBot="1">
      <c r="A236" s="647"/>
      <c r="B236" s="647" t="s">
        <v>521</v>
      </c>
      <c r="C236" s="113">
        <v>22</v>
      </c>
      <c r="D236" s="113">
        <v>52733</v>
      </c>
      <c r="E236" s="113">
        <v>12911</v>
      </c>
      <c r="F236" s="113">
        <v>2.0299999999999999E-2</v>
      </c>
      <c r="G236" s="113">
        <v>5.0000000000000001E-3</v>
      </c>
      <c r="I236" t="s">
        <v>522</v>
      </c>
      <c r="J236" s="136">
        <f>D239</f>
        <v>112724</v>
      </c>
      <c r="K236" s="137">
        <f>D238</f>
        <v>101083</v>
      </c>
      <c r="L236" s="138">
        <f>D240</f>
        <v>289529</v>
      </c>
      <c r="M236" s="112">
        <f t="shared" si="22"/>
        <v>503336</v>
      </c>
    </row>
    <row r="237" spans="1:21">
      <c r="A237" s="647"/>
      <c r="B237" s="647" t="s">
        <v>255</v>
      </c>
      <c r="C237" s="113">
        <v>67</v>
      </c>
      <c r="D237" s="113">
        <v>186047</v>
      </c>
      <c r="E237" s="113">
        <v>40187</v>
      </c>
      <c r="F237" s="113">
        <v>7.1499999999999994E-2</v>
      </c>
      <c r="G237" s="113">
        <v>1.54E-2</v>
      </c>
      <c r="J237" s="92">
        <f>SUM(J234:J236)</f>
        <v>247349836</v>
      </c>
      <c r="K237" s="92">
        <f>SUM(K234:K236)</f>
        <v>10063889</v>
      </c>
      <c r="L237" s="92">
        <f>SUM(L234:L236)</f>
        <v>2643599</v>
      </c>
    </row>
    <row r="238" spans="1:21">
      <c r="A238" s="647" t="s">
        <v>515</v>
      </c>
      <c r="B238" s="647" t="s">
        <v>518</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647"/>
      <c r="B239" s="647" t="s">
        <v>510</v>
      </c>
      <c r="C239" s="113">
        <v>38</v>
      </c>
      <c r="D239" s="113">
        <v>112724</v>
      </c>
      <c r="E239" s="113">
        <v>30413</v>
      </c>
      <c r="F239" s="113">
        <v>4.3299999999999998E-2</v>
      </c>
      <c r="G239" s="113">
        <v>1.17E-2</v>
      </c>
    </row>
    <row r="240" spans="1:21">
      <c r="A240" s="647"/>
      <c r="B240" s="647" t="s">
        <v>521</v>
      </c>
      <c r="C240" s="113">
        <v>83</v>
      </c>
      <c r="D240" s="113">
        <v>289529</v>
      </c>
      <c r="E240" s="113">
        <v>50313</v>
      </c>
      <c r="F240" s="113">
        <v>0.1113</v>
      </c>
      <c r="G240" s="113">
        <v>1.9199999999999998E-2</v>
      </c>
      <c r="J240">
        <f>J235/(J235+K235)</f>
        <v>0.51587980257137289</v>
      </c>
      <c r="K240">
        <f>K235/(K235+J235)</f>
        <v>0.48412019742862716</v>
      </c>
    </row>
    <row r="241" spans="1:21">
      <c r="A241" s="647"/>
      <c r="B241" s="647" t="s">
        <v>255</v>
      </c>
      <c r="C241" s="113">
        <v>151</v>
      </c>
      <c r="D241" s="113">
        <v>503336</v>
      </c>
      <c r="E241" s="113">
        <v>74873</v>
      </c>
      <c r="F241" s="113">
        <v>0.19350000000000001</v>
      </c>
      <c r="G241" s="113">
        <v>2.87E-2</v>
      </c>
    </row>
    <row r="242" spans="1:21">
      <c r="A242" s="647" t="s">
        <v>510</v>
      </c>
      <c r="B242" s="647" t="s">
        <v>518</v>
      </c>
      <c r="C242" s="113">
        <v>2867</v>
      </c>
      <c r="D242" s="113">
        <v>9898266</v>
      </c>
      <c r="E242" s="113">
        <v>373128</v>
      </c>
      <c r="F242" s="113">
        <v>3.8062</v>
      </c>
      <c r="G242" s="113">
        <v>0.14680000000000001</v>
      </c>
    </row>
    <row r="243" spans="1:21">
      <c r="A243" s="647"/>
      <c r="B243" s="647" t="s">
        <v>510</v>
      </c>
      <c r="C243" s="113">
        <v>51536</v>
      </c>
      <c r="D243" s="113">
        <v>247168338</v>
      </c>
      <c r="E243" s="113">
        <v>2500209</v>
      </c>
      <c r="F243" s="113">
        <v>95.043800000000005</v>
      </c>
      <c r="G243" s="113">
        <v>0.1678</v>
      </c>
    </row>
    <row r="244" spans="1:21">
      <c r="A244" s="647"/>
      <c r="B244" s="647" t="s">
        <v>521</v>
      </c>
      <c r="C244" s="113">
        <v>647</v>
      </c>
      <c r="D244" s="113">
        <v>2301337</v>
      </c>
      <c r="E244" s="113">
        <v>193725</v>
      </c>
      <c r="F244" s="113">
        <v>0.88490000000000002</v>
      </c>
      <c r="G244" s="113">
        <v>7.3400000000000007E-2</v>
      </c>
    </row>
    <row r="245" spans="1:21">
      <c r="A245" s="647"/>
      <c r="B245" s="647" t="s">
        <v>255</v>
      </c>
      <c r="C245" s="113">
        <v>55050</v>
      </c>
      <c r="D245" s="113">
        <v>259367942</v>
      </c>
      <c r="E245" s="113">
        <v>2514751</v>
      </c>
      <c r="F245" s="113">
        <v>99.734899999999996</v>
      </c>
      <c r="G245" s="113">
        <v>3.4200000000000001E-2</v>
      </c>
    </row>
    <row r="246" spans="1:21">
      <c r="A246" s="647" t="s">
        <v>255</v>
      </c>
      <c r="B246" s="647" t="s">
        <v>518</v>
      </c>
      <c r="C246" s="113">
        <v>2921</v>
      </c>
      <c r="D246" s="113">
        <v>10063889</v>
      </c>
      <c r="E246" s="113">
        <v>384511</v>
      </c>
      <c r="F246" s="113">
        <v>3.8698999999999999</v>
      </c>
      <c r="G246" s="113">
        <v>0.15060000000000001</v>
      </c>
    </row>
    <row r="247" spans="1:21">
      <c r="A247" s="647"/>
      <c r="B247" s="647" t="s">
        <v>510</v>
      </c>
      <c r="C247" s="113">
        <v>51595</v>
      </c>
      <c r="D247" s="113">
        <v>247349836</v>
      </c>
      <c r="E247" s="113">
        <v>2498543</v>
      </c>
      <c r="F247" s="113">
        <v>95.113600000000005</v>
      </c>
      <c r="G247" s="113">
        <v>0.1661</v>
      </c>
    </row>
    <row r="248" spans="1:21">
      <c r="A248" s="647"/>
      <c r="B248" s="647" t="s">
        <v>521</v>
      </c>
      <c r="C248" s="113">
        <v>752</v>
      </c>
      <c r="D248" s="113">
        <v>2643600</v>
      </c>
      <c r="E248" s="113">
        <v>198092</v>
      </c>
      <c r="F248" s="113">
        <v>1.0165</v>
      </c>
      <c r="G248" s="113">
        <v>7.4700000000000003E-2</v>
      </c>
    </row>
    <row r="249" spans="1:21">
      <c r="A249" s="647"/>
      <c r="B249" s="647" t="s">
        <v>255</v>
      </c>
      <c r="C249" s="113">
        <v>55268</v>
      </c>
      <c r="D249" s="113">
        <v>260057325</v>
      </c>
      <c r="E249" s="113">
        <v>2523736</v>
      </c>
      <c r="F249" s="113">
        <v>100</v>
      </c>
      <c r="G249" s="113"/>
    </row>
    <row r="250" spans="1:21">
      <c r="A250" s="129"/>
    </row>
    <row r="251" spans="1:21">
      <c r="A251" s="738" t="s">
        <v>499</v>
      </c>
      <c r="B251" s="738"/>
      <c r="C251" s="738"/>
      <c r="D251" s="738"/>
      <c r="E251" s="738"/>
      <c r="F251" s="738"/>
      <c r="G251" s="738"/>
    </row>
    <row r="252" spans="1:21">
      <c r="A252" s="738" t="s">
        <v>549</v>
      </c>
      <c r="B252" s="738"/>
      <c r="C252" s="738"/>
      <c r="D252" s="738"/>
      <c r="E252" s="738"/>
      <c r="F252" s="738"/>
      <c r="G252" s="738"/>
    </row>
    <row r="253" spans="1:21">
      <c r="A253" s="738" t="s">
        <v>502</v>
      </c>
      <c r="B253" s="738" t="s">
        <v>503</v>
      </c>
      <c r="C253" s="738" t="s">
        <v>504</v>
      </c>
      <c r="D253" s="647" t="s">
        <v>505</v>
      </c>
      <c r="E253" s="647" t="s">
        <v>506</v>
      </c>
      <c r="F253" s="738" t="s">
        <v>507</v>
      </c>
      <c r="G253" s="647" t="s">
        <v>506</v>
      </c>
      <c r="J253" t="s">
        <v>508</v>
      </c>
    </row>
    <row r="254" spans="1:21" ht="29.1" thickBot="1">
      <c r="A254" s="738"/>
      <c r="B254" s="738"/>
      <c r="C254" s="738"/>
      <c r="D254" s="647" t="s">
        <v>504</v>
      </c>
      <c r="E254" s="647" t="s">
        <v>509</v>
      </c>
      <c r="F254" s="738"/>
      <c r="G254" s="647" t="s">
        <v>507</v>
      </c>
      <c r="I254">
        <v>2013</v>
      </c>
      <c r="J254" t="s">
        <v>510</v>
      </c>
      <c r="K254" t="s">
        <v>511</v>
      </c>
      <c r="L254" t="s">
        <v>512</v>
      </c>
      <c r="P254" s="49" t="s">
        <v>513</v>
      </c>
      <c r="Q254" s="49" t="s">
        <v>514</v>
      </c>
      <c r="R254" s="49" t="s">
        <v>515</v>
      </c>
      <c r="S254" t="s">
        <v>516</v>
      </c>
      <c r="T254" s="49" t="s">
        <v>517</v>
      </c>
      <c r="U254" s="49" t="s">
        <v>510</v>
      </c>
    </row>
    <row r="255" spans="1:21" ht="28.8">
      <c r="A255" s="647" t="s">
        <v>518</v>
      </c>
      <c r="B255" s="647" t="s">
        <v>518</v>
      </c>
      <c r="C255" s="113">
        <v>33</v>
      </c>
      <c r="D255" s="113">
        <v>111182</v>
      </c>
      <c r="E255" s="113">
        <v>33209</v>
      </c>
      <c r="F255" s="113">
        <v>4.24E-2</v>
      </c>
      <c r="G255" s="113">
        <v>1.26E-2</v>
      </c>
      <c r="H255" t="s">
        <v>519</v>
      </c>
      <c r="I255" t="s">
        <v>510</v>
      </c>
      <c r="J255" s="130">
        <f>D264</f>
        <v>251167266</v>
      </c>
      <c r="K255" s="131">
        <f>D263</f>
        <v>8543367</v>
      </c>
      <c r="L255" s="132">
        <f>D265</f>
        <v>1935811</v>
      </c>
      <c r="M255" s="112">
        <f>SUM(J255:L255)</f>
        <v>261646444</v>
      </c>
      <c r="N255" s="229" t="s">
        <v>520</v>
      </c>
      <c r="P255" s="117">
        <f>L255</f>
        <v>1935811</v>
      </c>
      <c r="Q255" s="118">
        <f>L256</f>
        <v>50314</v>
      </c>
      <c r="R255" s="119">
        <f>SUM(J257:L257)</f>
        <v>535880</v>
      </c>
      <c r="S255" s="120">
        <f>K255</f>
        <v>8543367</v>
      </c>
      <c r="T255" s="121">
        <f>SUM(J256:K256)</f>
        <v>158816</v>
      </c>
      <c r="U255" s="122">
        <f>J255</f>
        <v>251167266</v>
      </c>
    </row>
    <row r="256" spans="1:21">
      <c r="A256" s="647"/>
      <c r="B256" s="647" t="s">
        <v>510</v>
      </c>
      <c r="C256" s="113">
        <v>26</v>
      </c>
      <c r="D256" s="113">
        <v>47634</v>
      </c>
      <c r="E256" s="113">
        <v>12397</v>
      </c>
      <c r="F256" s="113">
        <v>1.8200000000000001E-2</v>
      </c>
      <c r="G256" s="113">
        <v>4.7000000000000002E-3</v>
      </c>
      <c r="I256" t="s">
        <v>511</v>
      </c>
      <c r="J256" s="133">
        <f>D256</f>
        <v>47634</v>
      </c>
      <c r="K256" s="134">
        <f>D255</f>
        <v>111182</v>
      </c>
      <c r="L256" s="135">
        <f>D257</f>
        <v>50314</v>
      </c>
      <c r="M256" s="112">
        <f t="shared" ref="M256:M257" si="23">SUM(J256:L256)</f>
        <v>209130</v>
      </c>
      <c r="N256">
        <f>K256/(K256+J256)</f>
        <v>0.70006800322385654</v>
      </c>
    </row>
    <row r="257" spans="1:13" ht="14.7" thickBot="1">
      <c r="A257" s="647"/>
      <c r="B257" s="647" t="s">
        <v>521</v>
      </c>
      <c r="C257" s="113">
        <v>19</v>
      </c>
      <c r="D257" s="113">
        <v>50314</v>
      </c>
      <c r="E257" s="113">
        <v>17294</v>
      </c>
      <c r="F257" s="113">
        <v>1.9199999999999998E-2</v>
      </c>
      <c r="G257" s="113">
        <v>6.6E-3</v>
      </c>
      <c r="I257" t="s">
        <v>522</v>
      </c>
      <c r="J257" s="136">
        <f>D260</f>
        <v>110335</v>
      </c>
      <c r="K257" s="137">
        <f>D259</f>
        <v>115839</v>
      </c>
      <c r="L257" s="138">
        <f>D261</f>
        <v>309706</v>
      </c>
      <c r="M257" s="112">
        <f t="shared" si="23"/>
        <v>535880</v>
      </c>
    </row>
    <row r="258" spans="1:13">
      <c r="A258" s="647"/>
      <c r="B258" s="647" t="s">
        <v>255</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647" t="s">
        <v>515</v>
      </c>
      <c r="B259" s="647" t="s">
        <v>518</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647"/>
      <c r="B260" s="647" t="s">
        <v>510</v>
      </c>
      <c r="C260" s="113">
        <v>45</v>
      </c>
      <c r="D260" s="113">
        <v>110335</v>
      </c>
      <c r="E260" s="113">
        <v>28142</v>
      </c>
      <c r="F260" s="113">
        <v>4.2000000000000003E-2</v>
      </c>
      <c r="G260" s="113">
        <v>1.0699999999999999E-2</v>
      </c>
    </row>
    <row r="261" spans="1:13">
      <c r="A261" s="647"/>
      <c r="B261" s="647" t="s">
        <v>521</v>
      </c>
      <c r="C261" s="113">
        <v>82</v>
      </c>
      <c r="D261" s="113">
        <v>309706</v>
      </c>
      <c r="E261" s="113">
        <v>51409</v>
      </c>
      <c r="F261" s="113">
        <v>0.11799999999999999</v>
      </c>
      <c r="G261" s="113">
        <v>1.9699999999999999E-2</v>
      </c>
      <c r="J261">
        <f>J256/(J256+K256)</f>
        <v>0.29993199677614346</v>
      </c>
      <c r="K261">
        <f>K256/(K256+J256)</f>
        <v>0.70006800322385654</v>
      </c>
    </row>
    <row r="262" spans="1:13">
      <c r="A262" s="647"/>
      <c r="B262" s="647" t="s">
        <v>255</v>
      </c>
      <c r="C262" s="113">
        <v>167</v>
      </c>
      <c r="D262" s="113">
        <v>535880</v>
      </c>
      <c r="E262" s="113">
        <v>69992</v>
      </c>
      <c r="F262" s="113">
        <v>0.20419999999999999</v>
      </c>
      <c r="G262" s="113">
        <v>2.6700000000000002E-2</v>
      </c>
    </row>
    <row r="263" spans="1:13">
      <c r="A263" s="647" t="s">
        <v>510</v>
      </c>
      <c r="B263" s="647" t="s">
        <v>518</v>
      </c>
      <c r="C263" s="113">
        <v>2444</v>
      </c>
      <c r="D263" s="113">
        <v>8543367</v>
      </c>
      <c r="E263" s="113">
        <v>303293</v>
      </c>
      <c r="F263" s="113">
        <v>3.2559999999999998</v>
      </c>
      <c r="G263" s="113">
        <v>0.11559999999999999</v>
      </c>
    </row>
    <row r="264" spans="1:13">
      <c r="A264" s="647"/>
      <c r="B264" s="647" t="s">
        <v>510</v>
      </c>
      <c r="C264" s="113">
        <v>51915</v>
      </c>
      <c r="D264" s="113">
        <v>251167266</v>
      </c>
      <c r="E264" s="113">
        <v>2616524</v>
      </c>
      <c r="F264" s="113">
        <v>95.722300000000004</v>
      </c>
      <c r="G264" s="113">
        <v>0.13500000000000001</v>
      </c>
    </row>
    <row r="265" spans="1:13">
      <c r="A265" s="647"/>
      <c r="B265" s="647" t="s">
        <v>521</v>
      </c>
      <c r="C265" s="113">
        <v>556</v>
      </c>
      <c r="D265" s="113">
        <v>1935811</v>
      </c>
      <c r="E265" s="113">
        <v>163006</v>
      </c>
      <c r="F265" s="113">
        <v>0.73780000000000001</v>
      </c>
      <c r="G265" s="113">
        <v>6.4100000000000004E-2</v>
      </c>
    </row>
    <row r="266" spans="1:13">
      <c r="A266" s="647"/>
      <c r="B266" s="647" t="s">
        <v>255</v>
      </c>
      <c r="C266" s="113">
        <v>54915</v>
      </c>
      <c r="D266" s="113">
        <v>261646444</v>
      </c>
      <c r="E266" s="113">
        <v>2602824</v>
      </c>
      <c r="F266" s="113">
        <v>99.716099999999997</v>
      </c>
      <c r="G266" s="113">
        <v>2.9700000000000001E-2</v>
      </c>
    </row>
    <row r="267" spans="1:13">
      <c r="A267" s="647" t="s">
        <v>255</v>
      </c>
      <c r="B267" s="647" t="s">
        <v>518</v>
      </c>
      <c r="C267" s="113">
        <v>2517</v>
      </c>
      <c r="D267" s="113">
        <v>8770388</v>
      </c>
      <c r="E267" s="113">
        <v>309679</v>
      </c>
      <c r="F267" s="113">
        <v>3.3424999999999998</v>
      </c>
      <c r="G267" s="113">
        <v>0.1173</v>
      </c>
    </row>
    <row r="268" spans="1:13">
      <c r="A268" s="647"/>
      <c r="B268" s="647" t="s">
        <v>510</v>
      </c>
      <c r="C268" s="113">
        <v>51986</v>
      </c>
      <c r="D268" s="113">
        <v>251325235</v>
      </c>
      <c r="E268" s="113">
        <v>2620286</v>
      </c>
      <c r="F268" s="113">
        <v>95.782600000000002</v>
      </c>
      <c r="G268" s="113">
        <v>0.13300000000000001</v>
      </c>
    </row>
    <row r="269" spans="1:13">
      <c r="A269" s="647"/>
      <c r="B269" s="647" t="s">
        <v>521</v>
      </c>
      <c r="C269" s="113">
        <v>657</v>
      </c>
      <c r="D269" s="113">
        <v>2295831</v>
      </c>
      <c r="E269" s="113">
        <v>184591</v>
      </c>
      <c r="F269" s="113">
        <v>0.875</v>
      </c>
      <c r="G269" s="113">
        <v>7.2800000000000004E-2</v>
      </c>
    </row>
    <row r="270" spans="1:13">
      <c r="A270" s="647"/>
      <c r="B270" s="647" t="s">
        <v>255</v>
      </c>
      <c r="C270" s="113">
        <v>55160</v>
      </c>
      <c r="D270" s="113">
        <v>262391455</v>
      </c>
      <c r="E270" s="113">
        <v>2608186</v>
      </c>
      <c r="F270" s="113">
        <v>100</v>
      </c>
      <c r="G270" s="113"/>
    </row>
    <row r="271" spans="1:13">
      <c r="A271" s="129"/>
    </row>
    <row r="272" spans="1:13">
      <c r="A272" s="738" t="s">
        <v>499</v>
      </c>
      <c r="B272" s="738"/>
      <c r="C272" s="738"/>
      <c r="D272" s="738"/>
      <c r="E272" s="738"/>
      <c r="F272" s="738"/>
      <c r="G272" s="738"/>
    </row>
    <row r="273" spans="1:21">
      <c r="A273" s="738" t="s">
        <v>550</v>
      </c>
      <c r="B273" s="738"/>
      <c r="C273" s="738"/>
      <c r="D273" s="738"/>
      <c r="E273" s="738"/>
      <c r="F273" s="738"/>
      <c r="G273" s="738"/>
    </row>
    <row r="274" spans="1:21">
      <c r="A274" s="738" t="s">
        <v>502</v>
      </c>
      <c r="B274" s="738" t="s">
        <v>503</v>
      </c>
      <c r="C274" s="738" t="s">
        <v>504</v>
      </c>
      <c r="D274" s="647" t="s">
        <v>505</v>
      </c>
      <c r="E274" s="647" t="s">
        <v>506</v>
      </c>
      <c r="F274" s="738" t="s">
        <v>507</v>
      </c>
      <c r="G274" s="647" t="s">
        <v>506</v>
      </c>
      <c r="J274" t="s">
        <v>508</v>
      </c>
    </row>
    <row r="275" spans="1:21" ht="29.1" thickBot="1">
      <c r="A275" s="738"/>
      <c r="B275" s="738"/>
      <c r="C275" s="738"/>
      <c r="D275" s="647" t="s">
        <v>504</v>
      </c>
      <c r="E275" s="647" t="s">
        <v>509</v>
      </c>
      <c r="F275" s="738"/>
      <c r="G275" s="647" t="s">
        <v>507</v>
      </c>
      <c r="I275">
        <v>2014</v>
      </c>
      <c r="J275" t="s">
        <v>510</v>
      </c>
      <c r="K275" t="s">
        <v>511</v>
      </c>
      <c r="L275" t="s">
        <v>512</v>
      </c>
      <c r="P275" s="49" t="s">
        <v>513</v>
      </c>
      <c r="Q275" s="49" t="s">
        <v>514</v>
      </c>
      <c r="R275" s="49" t="s">
        <v>515</v>
      </c>
      <c r="S275" t="s">
        <v>516</v>
      </c>
      <c r="T275" s="49" t="s">
        <v>517</v>
      </c>
      <c r="U275" s="49" t="s">
        <v>510</v>
      </c>
    </row>
    <row r="276" spans="1:21" ht="28.8">
      <c r="A276" s="647" t="s">
        <v>518</v>
      </c>
      <c r="B276" s="647" t="s">
        <v>518</v>
      </c>
      <c r="C276" s="113">
        <v>31</v>
      </c>
      <c r="D276" s="113">
        <v>127596</v>
      </c>
      <c r="E276" s="113">
        <v>31083</v>
      </c>
      <c r="F276" s="113">
        <v>4.8099999999999997E-2</v>
      </c>
      <c r="G276" s="113">
        <v>1.18E-2</v>
      </c>
      <c r="H276" t="s">
        <v>519</v>
      </c>
      <c r="I276" t="s">
        <v>510</v>
      </c>
      <c r="J276" s="130">
        <f>D285</f>
        <v>254439952</v>
      </c>
      <c r="K276" s="131">
        <f>D284</f>
        <v>7654608</v>
      </c>
      <c r="L276" s="132">
        <f>D286</f>
        <v>2015605</v>
      </c>
      <c r="M276" s="112">
        <f>SUM(J276:L276)</f>
        <v>264110165</v>
      </c>
      <c r="N276" s="229" t="s">
        <v>520</v>
      </c>
      <c r="P276" s="117">
        <f>L276</f>
        <v>2015605</v>
      </c>
      <c r="Q276" s="118">
        <f>L277</f>
        <v>109871</v>
      </c>
      <c r="R276" s="119">
        <f>SUM(J278:L278)</f>
        <v>622431</v>
      </c>
      <c r="S276" s="120">
        <f>K276</f>
        <v>7654608</v>
      </c>
      <c r="T276" s="121">
        <f>SUM(J277:K277)</f>
        <v>280398</v>
      </c>
      <c r="U276" s="122">
        <f>J276</f>
        <v>254439952</v>
      </c>
    </row>
    <row r="277" spans="1:21">
      <c r="A277" s="647"/>
      <c r="B277" s="647" t="s">
        <v>510</v>
      </c>
      <c r="C277" s="113">
        <v>34</v>
      </c>
      <c r="D277" s="113">
        <v>152802</v>
      </c>
      <c r="E277" s="113">
        <v>41592</v>
      </c>
      <c r="F277" s="113">
        <v>5.7599999999999998E-2</v>
      </c>
      <c r="G277" s="113">
        <v>1.5800000000000002E-2</v>
      </c>
      <c r="I277" t="s">
        <v>511</v>
      </c>
      <c r="J277" s="133">
        <f>D277</f>
        <v>152802</v>
      </c>
      <c r="K277" s="134">
        <f>D276</f>
        <v>127596</v>
      </c>
      <c r="L277" s="135">
        <f>D278</f>
        <v>109871</v>
      </c>
      <c r="M277" s="112">
        <f t="shared" ref="M277:M278" si="24">SUM(J277:L277)</f>
        <v>390269</v>
      </c>
      <c r="N277">
        <f>K277/(K277+J277)</f>
        <v>0.45505317441636534</v>
      </c>
    </row>
    <row r="278" spans="1:21" ht="14.7" thickBot="1">
      <c r="A278" s="647"/>
      <c r="B278" s="647" t="s">
        <v>521</v>
      </c>
      <c r="C278" s="113">
        <v>28</v>
      </c>
      <c r="D278" s="113">
        <v>109871</v>
      </c>
      <c r="E278" s="113">
        <v>28609</v>
      </c>
      <c r="F278" s="113">
        <v>4.1399999999999999E-2</v>
      </c>
      <c r="G278" s="113">
        <v>1.0800000000000001E-2</v>
      </c>
      <c r="I278" t="s">
        <v>522</v>
      </c>
      <c r="J278" s="136">
        <f>D281</f>
        <v>209402</v>
      </c>
      <c r="K278" s="137">
        <f>D280</f>
        <v>194398</v>
      </c>
      <c r="L278" s="138">
        <f>D282</f>
        <v>218631</v>
      </c>
      <c r="M278" s="112">
        <f t="shared" si="24"/>
        <v>622431</v>
      </c>
    </row>
    <row r="279" spans="1:21">
      <c r="A279" s="647"/>
      <c r="B279" s="647" t="s">
        <v>255</v>
      </c>
      <c r="C279" s="113">
        <v>93</v>
      </c>
      <c r="D279" s="113">
        <v>390270</v>
      </c>
      <c r="E279" s="113">
        <v>56448</v>
      </c>
      <c r="F279" s="113">
        <v>0.1472</v>
      </c>
      <c r="G279" s="113">
        <v>2.1499999999999998E-2</v>
      </c>
      <c r="J279" s="92">
        <f>SUM(J276:J278)</f>
        <v>254802156</v>
      </c>
      <c r="K279" s="92">
        <f>SUM(K276:K278)</f>
        <v>7976602</v>
      </c>
      <c r="L279" s="92">
        <f>SUM(L276:L278)</f>
        <v>2344107</v>
      </c>
    </row>
    <row r="280" spans="1:21">
      <c r="A280" s="647" t="s">
        <v>515</v>
      </c>
      <c r="B280" s="647" t="s">
        <v>518</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647"/>
      <c r="B281" s="647" t="s">
        <v>510</v>
      </c>
      <c r="C281" s="113">
        <v>55</v>
      </c>
      <c r="D281" s="113">
        <v>209402</v>
      </c>
      <c r="E281" s="113">
        <v>40206</v>
      </c>
      <c r="F281" s="113">
        <v>7.9000000000000001E-2</v>
      </c>
      <c r="G281" s="113">
        <v>1.4999999999999999E-2</v>
      </c>
    </row>
    <row r="282" spans="1:21">
      <c r="A282" s="647"/>
      <c r="B282" s="647" t="s">
        <v>521</v>
      </c>
      <c r="C282" s="113">
        <v>61</v>
      </c>
      <c r="D282" s="113">
        <v>218631</v>
      </c>
      <c r="E282" s="113">
        <v>33333</v>
      </c>
      <c r="F282" s="113">
        <v>8.2500000000000004E-2</v>
      </c>
      <c r="G282" s="113">
        <v>1.26E-2</v>
      </c>
      <c r="J282">
        <f>J277/(J277+K277)</f>
        <v>0.54494682558363472</v>
      </c>
      <c r="K282">
        <f>K277/(K277+J277)</f>
        <v>0.45505317441636534</v>
      </c>
    </row>
    <row r="283" spans="1:21">
      <c r="A283" s="647"/>
      <c r="B283" s="647" t="s">
        <v>255</v>
      </c>
      <c r="C283" s="113">
        <v>156</v>
      </c>
      <c r="D283" s="113">
        <v>622430</v>
      </c>
      <c r="E283" s="113">
        <v>69140</v>
      </c>
      <c r="F283" s="113">
        <v>0.23480000000000001</v>
      </c>
      <c r="G283" s="113">
        <v>2.58E-2</v>
      </c>
    </row>
    <row r="284" spans="1:21">
      <c r="A284" s="647" t="s">
        <v>510</v>
      </c>
      <c r="B284" s="647" t="s">
        <v>518</v>
      </c>
      <c r="C284" s="113">
        <v>2054</v>
      </c>
      <c r="D284" s="113">
        <v>7654608</v>
      </c>
      <c r="E284" s="113">
        <v>236170</v>
      </c>
      <c r="F284" s="113">
        <v>2.8872</v>
      </c>
      <c r="G284" s="113">
        <v>9.0399999999999994E-2</v>
      </c>
    </row>
    <row r="285" spans="1:21">
      <c r="A285" s="647"/>
      <c r="B285" s="647" t="s">
        <v>510</v>
      </c>
      <c r="C285" s="113">
        <v>52485</v>
      </c>
      <c r="D285" s="113">
        <v>254439952</v>
      </c>
      <c r="E285" s="113">
        <v>2062356</v>
      </c>
      <c r="F285" s="113">
        <v>95.970600000000005</v>
      </c>
      <c r="G285" s="113">
        <v>0.1028</v>
      </c>
    </row>
    <row r="286" spans="1:21">
      <c r="A286" s="647"/>
      <c r="B286" s="647" t="s">
        <v>521</v>
      </c>
      <c r="C286" s="113">
        <v>483</v>
      </c>
      <c r="D286" s="113">
        <v>2015605</v>
      </c>
      <c r="E286" s="113">
        <v>128136</v>
      </c>
      <c r="F286" s="113">
        <v>0.76029999999999998</v>
      </c>
      <c r="G286" s="113">
        <v>4.8599999999999997E-2</v>
      </c>
    </row>
    <row r="287" spans="1:21">
      <c r="A287" s="647"/>
      <c r="B287" s="647" t="s">
        <v>255</v>
      </c>
      <c r="C287" s="113">
        <v>55022</v>
      </c>
      <c r="D287" s="113">
        <v>264110165</v>
      </c>
      <c r="E287" s="113">
        <v>2065225</v>
      </c>
      <c r="F287" s="113">
        <v>99.617999999999995</v>
      </c>
      <c r="G287" s="113">
        <v>3.1E-2</v>
      </c>
    </row>
    <row r="288" spans="1:21">
      <c r="A288" s="647" t="s">
        <v>255</v>
      </c>
      <c r="B288" s="647" t="s">
        <v>518</v>
      </c>
      <c r="C288" s="113">
        <v>2125</v>
      </c>
      <c r="D288" s="113">
        <v>7976602</v>
      </c>
      <c r="E288" s="113">
        <v>242719</v>
      </c>
      <c r="F288" s="113">
        <v>3.0085999999999999</v>
      </c>
      <c r="G288" s="113">
        <v>9.2999999999999999E-2</v>
      </c>
    </row>
    <row r="289" spans="1:21">
      <c r="A289" s="647"/>
      <c r="B289" s="647" t="s">
        <v>510</v>
      </c>
      <c r="C289" s="113">
        <v>52574</v>
      </c>
      <c r="D289" s="113">
        <v>254802156</v>
      </c>
      <c r="E289" s="113">
        <v>2067325</v>
      </c>
      <c r="F289" s="113">
        <v>96.107200000000006</v>
      </c>
      <c r="G289" s="113">
        <v>0.1075</v>
      </c>
    </row>
    <row r="290" spans="1:21">
      <c r="A290" s="647"/>
      <c r="B290" s="647" t="s">
        <v>521</v>
      </c>
      <c r="C290" s="113">
        <v>572</v>
      </c>
      <c r="D290" s="113">
        <v>2344106</v>
      </c>
      <c r="E290" s="113">
        <v>131470</v>
      </c>
      <c r="F290" s="113">
        <v>0.88419999999999999</v>
      </c>
      <c r="G290" s="113">
        <v>5.0099999999999999E-2</v>
      </c>
    </row>
    <row r="291" spans="1:21">
      <c r="A291" s="647"/>
      <c r="B291" s="647" t="s">
        <v>255</v>
      </c>
      <c r="C291" s="113">
        <v>55271</v>
      </c>
      <c r="D291" s="113">
        <v>265122864</v>
      </c>
      <c r="E291" s="113">
        <v>2063976</v>
      </c>
      <c r="F291" s="113">
        <v>100</v>
      </c>
      <c r="G291" s="113"/>
    </row>
    <row r="292" spans="1:21">
      <c r="A292" s="129"/>
    </row>
    <row r="293" spans="1:21">
      <c r="A293" s="738" t="s">
        <v>499</v>
      </c>
      <c r="B293" s="738"/>
      <c r="C293" s="738"/>
      <c r="D293" s="738"/>
      <c r="E293" s="738"/>
      <c r="F293" s="738"/>
      <c r="G293" s="738"/>
    </row>
    <row r="294" spans="1:21">
      <c r="A294" s="738" t="s">
        <v>551</v>
      </c>
      <c r="B294" s="738"/>
      <c r="C294" s="738"/>
      <c r="D294" s="738"/>
      <c r="E294" s="738"/>
      <c r="F294" s="738"/>
      <c r="G294" s="738"/>
    </row>
    <row r="295" spans="1:21">
      <c r="A295" s="738" t="s">
        <v>502</v>
      </c>
      <c r="B295" s="738" t="s">
        <v>503</v>
      </c>
      <c r="C295" s="738" t="s">
        <v>504</v>
      </c>
      <c r="D295" s="647" t="s">
        <v>505</v>
      </c>
      <c r="E295" s="647" t="s">
        <v>506</v>
      </c>
      <c r="F295" s="738" t="s">
        <v>507</v>
      </c>
      <c r="G295" s="647" t="s">
        <v>506</v>
      </c>
      <c r="J295" t="s">
        <v>508</v>
      </c>
    </row>
    <row r="296" spans="1:21" ht="29.1" thickBot="1">
      <c r="A296" s="738"/>
      <c r="B296" s="738"/>
      <c r="C296" s="738"/>
      <c r="D296" s="647" t="s">
        <v>504</v>
      </c>
      <c r="E296" s="647" t="s">
        <v>509</v>
      </c>
      <c r="F296" s="738"/>
      <c r="G296" s="647" t="s">
        <v>507</v>
      </c>
      <c r="I296">
        <v>2015</v>
      </c>
      <c r="J296" t="s">
        <v>510</v>
      </c>
      <c r="K296" t="s">
        <v>511</v>
      </c>
      <c r="L296" t="s">
        <v>512</v>
      </c>
      <c r="P296" s="49" t="s">
        <v>513</v>
      </c>
      <c r="Q296" s="49" t="s">
        <v>514</v>
      </c>
      <c r="R296" s="49" t="s">
        <v>515</v>
      </c>
      <c r="S296" t="s">
        <v>516</v>
      </c>
      <c r="T296" s="49" t="s">
        <v>517</v>
      </c>
      <c r="U296" s="49" t="s">
        <v>510</v>
      </c>
    </row>
    <row r="297" spans="1:21" ht="28.8">
      <c r="A297" s="647" t="s">
        <v>518</v>
      </c>
      <c r="B297" s="647" t="s">
        <v>518</v>
      </c>
      <c r="C297" s="113">
        <v>30</v>
      </c>
      <c r="D297" s="113">
        <v>108426</v>
      </c>
      <c r="E297" s="113">
        <v>28070</v>
      </c>
      <c r="F297" s="113">
        <v>4.0500000000000001E-2</v>
      </c>
      <c r="G297" s="113">
        <v>1.0500000000000001E-2</v>
      </c>
      <c r="H297" t="s">
        <v>519</v>
      </c>
      <c r="I297" t="s">
        <v>510</v>
      </c>
      <c r="J297" s="130">
        <f>D306</f>
        <v>254994009</v>
      </c>
      <c r="K297" s="131">
        <f>D305</f>
        <v>9631764</v>
      </c>
      <c r="L297" s="132">
        <f>D307</f>
        <v>2181670</v>
      </c>
      <c r="M297" s="112">
        <f>SUM(J297:L297)</f>
        <v>266807443</v>
      </c>
      <c r="N297" s="229" t="s">
        <v>520</v>
      </c>
      <c r="P297" s="117">
        <f>L297</f>
        <v>2181670</v>
      </c>
      <c r="Q297" s="118">
        <f>L298</f>
        <v>85042</v>
      </c>
      <c r="R297" s="119">
        <f>SUM(J299:L299)</f>
        <v>618367</v>
      </c>
      <c r="S297" s="120">
        <f>K297</f>
        <v>9631764</v>
      </c>
      <c r="T297" s="121">
        <f>SUM(J298:K298)</f>
        <v>183638</v>
      </c>
      <c r="U297" s="122">
        <f>J297</f>
        <v>254994009</v>
      </c>
    </row>
    <row r="298" spans="1:21">
      <c r="A298" s="647"/>
      <c r="B298" s="647" t="s">
        <v>510</v>
      </c>
      <c r="C298" s="113">
        <v>21</v>
      </c>
      <c r="D298" s="113">
        <v>75212</v>
      </c>
      <c r="E298" s="113">
        <v>24782</v>
      </c>
      <c r="F298" s="113">
        <v>2.81E-2</v>
      </c>
      <c r="G298" s="113">
        <v>9.2999999999999992E-3</v>
      </c>
      <c r="I298" t="s">
        <v>511</v>
      </c>
      <c r="J298" s="133">
        <f>D298</f>
        <v>75212</v>
      </c>
      <c r="K298" s="134">
        <f>D297</f>
        <v>108426</v>
      </c>
      <c r="L298" s="135">
        <f>D299</f>
        <v>85042</v>
      </c>
      <c r="M298" s="112">
        <f t="shared" ref="M298:M299" si="25">SUM(J298:L298)</f>
        <v>268680</v>
      </c>
      <c r="N298">
        <f>K298/(K298+J298)</f>
        <v>0.59043335257408602</v>
      </c>
    </row>
    <row r="299" spans="1:21" ht="14.7" thickBot="1">
      <c r="A299" s="647"/>
      <c r="B299" s="647" t="s">
        <v>521</v>
      </c>
      <c r="C299" s="113">
        <v>19</v>
      </c>
      <c r="D299" s="113">
        <v>85042</v>
      </c>
      <c r="E299" s="113">
        <v>31969</v>
      </c>
      <c r="F299" s="113">
        <v>3.1800000000000002E-2</v>
      </c>
      <c r="G299" s="113">
        <v>1.1900000000000001E-2</v>
      </c>
      <c r="I299" t="s">
        <v>522</v>
      </c>
      <c r="J299" s="136">
        <f>D302</f>
        <v>165044</v>
      </c>
      <c r="K299" s="137">
        <f>D301</f>
        <v>199312</v>
      </c>
      <c r="L299" s="138">
        <f>D303</f>
        <v>254011</v>
      </c>
      <c r="M299" s="112">
        <f t="shared" si="25"/>
        <v>618367</v>
      </c>
    </row>
    <row r="300" spans="1:21">
      <c r="A300" s="647"/>
      <c r="B300" s="647" t="s">
        <v>255</v>
      </c>
      <c r="C300" s="113">
        <v>70</v>
      </c>
      <c r="D300" s="113">
        <v>268680</v>
      </c>
      <c r="E300" s="113">
        <v>51453</v>
      </c>
      <c r="F300" s="113">
        <v>0.1004</v>
      </c>
      <c r="G300" s="113">
        <v>1.9099999999999999E-2</v>
      </c>
      <c r="J300" s="92">
        <f>SUM(J297:J299)</f>
        <v>255234265</v>
      </c>
      <c r="K300" s="92">
        <f>SUM(K297:K299)</f>
        <v>9939502</v>
      </c>
      <c r="L300" s="92">
        <f>SUM(L297:L299)</f>
        <v>2520723</v>
      </c>
    </row>
    <row r="301" spans="1:21">
      <c r="A301" s="647" t="s">
        <v>515</v>
      </c>
      <c r="B301" s="647" t="s">
        <v>518</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647"/>
      <c r="B302" s="647" t="s">
        <v>510</v>
      </c>
      <c r="C302" s="113">
        <v>36</v>
      </c>
      <c r="D302" s="113">
        <v>165044</v>
      </c>
      <c r="E302" s="113">
        <v>38528</v>
      </c>
      <c r="F302" s="113">
        <v>6.1699999999999998E-2</v>
      </c>
      <c r="G302" s="113">
        <v>1.43E-2</v>
      </c>
    </row>
    <row r="303" spans="1:21">
      <c r="A303" s="647"/>
      <c r="B303" s="647" t="s">
        <v>521</v>
      </c>
      <c r="C303" s="113">
        <v>70</v>
      </c>
      <c r="D303" s="113">
        <v>254011</v>
      </c>
      <c r="E303" s="113">
        <v>39496</v>
      </c>
      <c r="F303" s="113">
        <v>9.4899999999999998E-2</v>
      </c>
      <c r="G303" s="113">
        <v>1.47E-2</v>
      </c>
      <c r="J303">
        <f>J298/(J298+K298)</f>
        <v>0.40956664742591403</v>
      </c>
      <c r="K303">
        <f>K298/(K298+J298)</f>
        <v>0.59043335257408602</v>
      </c>
    </row>
    <row r="304" spans="1:21">
      <c r="A304" s="647"/>
      <c r="B304" s="647" t="s">
        <v>255</v>
      </c>
      <c r="C304" s="113">
        <v>163</v>
      </c>
      <c r="D304" s="113">
        <v>618367</v>
      </c>
      <c r="E304" s="113">
        <v>67108</v>
      </c>
      <c r="F304" s="113">
        <v>0.23100000000000001</v>
      </c>
      <c r="G304" s="113">
        <v>2.4799999999999999E-2</v>
      </c>
    </row>
    <row r="305" spans="1:21">
      <c r="A305" s="647" t="s">
        <v>510</v>
      </c>
      <c r="B305" s="647" t="s">
        <v>518</v>
      </c>
      <c r="C305" s="113">
        <v>2478</v>
      </c>
      <c r="D305" s="113">
        <v>9631764</v>
      </c>
      <c r="E305" s="113">
        <v>278646</v>
      </c>
      <c r="F305" s="113">
        <v>3.5979999999999999</v>
      </c>
      <c r="G305" s="113">
        <v>0.10920000000000001</v>
      </c>
    </row>
    <row r="306" spans="1:21">
      <c r="A306" s="647"/>
      <c r="B306" s="647" t="s">
        <v>510</v>
      </c>
      <c r="C306" s="113">
        <v>53877</v>
      </c>
      <c r="D306" s="113">
        <v>254994009</v>
      </c>
      <c r="E306" s="113">
        <v>2449090</v>
      </c>
      <c r="F306" s="113">
        <v>95.255600000000001</v>
      </c>
      <c r="G306" s="113">
        <v>0.1263</v>
      </c>
    </row>
    <row r="307" spans="1:21">
      <c r="A307" s="647"/>
      <c r="B307" s="647" t="s">
        <v>521</v>
      </c>
      <c r="C307" s="113">
        <v>558</v>
      </c>
      <c r="D307" s="113">
        <v>2181670</v>
      </c>
      <c r="E307" s="113">
        <v>149461</v>
      </c>
      <c r="F307" s="113">
        <v>0.81499999999999995</v>
      </c>
      <c r="G307" s="113">
        <v>5.5399999999999998E-2</v>
      </c>
    </row>
    <row r="308" spans="1:21">
      <c r="A308" s="647"/>
      <c r="B308" s="647" t="s">
        <v>255</v>
      </c>
      <c r="C308" s="113">
        <v>56913</v>
      </c>
      <c r="D308" s="113">
        <v>266807442</v>
      </c>
      <c r="E308" s="113">
        <v>2446564</v>
      </c>
      <c r="F308" s="113">
        <v>99.668599999999998</v>
      </c>
      <c r="G308" s="113">
        <v>3.2300000000000002E-2</v>
      </c>
    </row>
    <row r="309" spans="1:21">
      <c r="A309" s="647" t="s">
        <v>255</v>
      </c>
      <c r="B309" s="647" t="s">
        <v>518</v>
      </c>
      <c r="C309" s="113">
        <v>2565</v>
      </c>
      <c r="D309" s="113">
        <v>9939503</v>
      </c>
      <c r="E309" s="113">
        <v>282309</v>
      </c>
      <c r="F309" s="113">
        <v>3.7130000000000001</v>
      </c>
      <c r="G309" s="113">
        <v>0.1108</v>
      </c>
    </row>
    <row r="310" spans="1:21">
      <c r="A310" s="647"/>
      <c r="B310" s="647" t="s">
        <v>510</v>
      </c>
      <c r="C310" s="113">
        <v>53934</v>
      </c>
      <c r="D310" s="113">
        <v>255234265</v>
      </c>
      <c r="E310" s="113">
        <v>2457415</v>
      </c>
      <c r="F310" s="113">
        <v>95.345399999999998</v>
      </c>
      <c r="G310" s="113">
        <v>0.1268</v>
      </c>
    </row>
    <row r="311" spans="1:21">
      <c r="A311" s="647"/>
      <c r="B311" s="647" t="s">
        <v>521</v>
      </c>
      <c r="C311" s="113">
        <v>647</v>
      </c>
      <c r="D311" s="113">
        <v>2520722</v>
      </c>
      <c r="E311" s="113">
        <v>147314</v>
      </c>
      <c r="F311" s="113">
        <v>0.94159999999999999</v>
      </c>
      <c r="G311" s="113">
        <v>5.4199999999999998E-2</v>
      </c>
    </row>
    <row r="312" spans="1:21">
      <c r="A312" s="647"/>
      <c r="B312" s="647" t="s">
        <v>255</v>
      </c>
      <c r="C312" s="113">
        <v>57146</v>
      </c>
      <c r="D312" s="113">
        <v>267694489</v>
      </c>
      <c r="E312" s="113">
        <v>2461298</v>
      </c>
      <c r="F312" s="113">
        <v>100</v>
      </c>
      <c r="G312" s="113"/>
    </row>
    <row r="313" spans="1:21">
      <c r="A313" s="129"/>
    </row>
    <row r="314" spans="1:21">
      <c r="A314" s="738" t="s">
        <v>499</v>
      </c>
      <c r="B314" s="738"/>
      <c r="C314" s="738"/>
      <c r="D314" s="738"/>
      <c r="E314" s="738"/>
      <c r="F314" s="738"/>
      <c r="G314" s="738"/>
    </row>
    <row r="315" spans="1:21">
      <c r="A315" s="738" t="s">
        <v>552</v>
      </c>
      <c r="B315" s="738"/>
      <c r="C315" s="738"/>
      <c r="D315" s="738"/>
      <c r="E315" s="738"/>
      <c r="F315" s="738"/>
      <c r="G315" s="738"/>
    </row>
    <row r="316" spans="1:21">
      <c r="A316" s="738" t="s">
        <v>502</v>
      </c>
      <c r="B316" s="738" t="s">
        <v>503</v>
      </c>
      <c r="C316" s="738" t="s">
        <v>504</v>
      </c>
      <c r="D316" s="647" t="s">
        <v>505</v>
      </c>
      <c r="E316" s="647" t="s">
        <v>506</v>
      </c>
      <c r="F316" s="738" t="s">
        <v>507</v>
      </c>
      <c r="G316" s="647" t="s">
        <v>506</v>
      </c>
      <c r="J316" t="s">
        <v>508</v>
      </c>
    </row>
    <row r="317" spans="1:21" ht="29.1" thickBot="1">
      <c r="A317" s="738"/>
      <c r="B317" s="738"/>
      <c r="C317" s="738"/>
      <c r="D317" s="647" t="s">
        <v>504</v>
      </c>
      <c r="E317" s="647" t="s">
        <v>509</v>
      </c>
      <c r="F317" s="738"/>
      <c r="G317" s="647" t="s">
        <v>507</v>
      </c>
      <c r="I317">
        <v>2016</v>
      </c>
      <c r="J317" t="s">
        <v>510</v>
      </c>
      <c r="K317" t="s">
        <v>511</v>
      </c>
      <c r="L317" t="s">
        <v>512</v>
      </c>
      <c r="P317" s="49" t="s">
        <v>513</v>
      </c>
      <c r="Q317" s="49" t="s">
        <v>514</v>
      </c>
      <c r="R317" s="49" t="s">
        <v>515</v>
      </c>
      <c r="S317" t="s">
        <v>516</v>
      </c>
      <c r="T317" s="49" t="s">
        <v>517</v>
      </c>
      <c r="U317" s="49" t="s">
        <v>510</v>
      </c>
    </row>
    <row r="318" spans="1:21" ht="28.8">
      <c r="A318" s="647" t="s">
        <v>518</v>
      </c>
      <c r="B318" s="647" t="s">
        <v>518</v>
      </c>
      <c r="C318" s="113">
        <v>24</v>
      </c>
      <c r="D318" s="113">
        <v>97052</v>
      </c>
      <c r="E318" s="113">
        <v>27204</v>
      </c>
      <c r="F318" s="113">
        <v>3.5999999999999997E-2</v>
      </c>
      <c r="G318" s="113">
        <v>0.01</v>
      </c>
      <c r="H318" t="s">
        <v>519</v>
      </c>
      <c r="I318" t="s">
        <v>510</v>
      </c>
      <c r="J318" s="130">
        <f>D327</f>
        <v>257491202</v>
      </c>
      <c r="K318" s="131">
        <f>D326</f>
        <v>8783829</v>
      </c>
      <c r="L318" s="132">
        <f>D328</f>
        <v>2178982</v>
      </c>
      <c r="M318" s="112">
        <f>SUM(J318:L318)</f>
        <v>268454013</v>
      </c>
      <c r="N318" s="229" t="s">
        <v>520</v>
      </c>
      <c r="P318" s="117">
        <f>L318</f>
        <v>2178982</v>
      </c>
      <c r="Q318" s="118">
        <f>L319</f>
        <v>53202</v>
      </c>
      <c r="R318" s="119">
        <f>SUM(J320:L320)</f>
        <v>646546</v>
      </c>
      <c r="S318" s="120">
        <f>K318</f>
        <v>8783829</v>
      </c>
      <c r="T318" s="121">
        <f>SUM(J319:K319)</f>
        <v>276375</v>
      </c>
      <c r="U318" s="122">
        <f>J318</f>
        <v>257491202</v>
      </c>
    </row>
    <row r="319" spans="1:21">
      <c r="A319" s="647"/>
      <c r="B319" s="647" t="s">
        <v>510</v>
      </c>
      <c r="C319" s="113">
        <v>40</v>
      </c>
      <c r="D319" s="113">
        <v>179323</v>
      </c>
      <c r="E319" s="113">
        <v>44401</v>
      </c>
      <c r="F319" s="113">
        <v>6.6600000000000006E-2</v>
      </c>
      <c r="G319" s="113">
        <v>1.6400000000000001E-2</v>
      </c>
      <c r="I319" t="s">
        <v>511</v>
      </c>
      <c r="J319" s="133">
        <f>D319</f>
        <v>179323</v>
      </c>
      <c r="K319" s="134">
        <f>D318</f>
        <v>97052</v>
      </c>
      <c r="L319" s="135">
        <f>D320</f>
        <v>53202</v>
      </c>
      <c r="M319" s="112">
        <f t="shared" ref="M319:M320" si="26">SUM(J319:L319)</f>
        <v>329577</v>
      </c>
      <c r="N319">
        <f>K319/(K319+J319)</f>
        <v>0.35116056083220265</v>
      </c>
    </row>
    <row r="320" spans="1:21" ht="14.7" thickBot="1">
      <c r="A320" s="647"/>
      <c r="B320" s="647" t="s">
        <v>521</v>
      </c>
      <c r="C320" s="113">
        <v>18</v>
      </c>
      <c r="D320" s="113">
        <v>53202</v>
      </c>
      <c r="E320" s="113">
        <v>18256</v>
      </c>
      <c r="F320" s="113">
        <v>1.9699999999999999E-2</v>
      </c>
      <c r="G320" s="113">
        <v>6.7000000000000002E-3</v>
      </c>
      <c r="I320" t="s">
        <v>522</v>
      </c>
      <c r="J320" s="136">
        <f>D323</f>
        <v>152568</v>
      </c>
      <c r="K320" s="137">
        <f>D322</f>
        <v>202506</v>
      </c>
      <c r="L320" s="138">
        <f>D324</f>
        <v>291472</v>
      </c>
      <c r="M320" s="112">
        <f t="shared" si="26"/>
        <v>646546</v>
      </c>
    </row>
    <row r="321" spans="1:12">
      <c r="A321" s="647"/>
      <c r="B321" s="647" t="s">
        <v>255</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647" t="s">
        <v>515</v>
      </c>
      <c r="B322" s="647" t="s">
        <v>518</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647"/>
      <c r="B323" s="647" t="s">
        <v>510</v>
      </c>
      <c r="C323" s="113">
        <v>39</v>
      </c>
      <c r="D323" s="113">
        <v>152568</v>
      </c>
      <c r="E323" s="113">
        <v>32153</v>
      </c>
      <c r="F323" s="113">
        <v>5.6599999999999998E-2</v>
      </c>
      <c r="G323" s="113">
        <v>1.1900000000000001E-2</v>
      </c>
    </row>
    <row r="324" spans="1:12">
      <c r="A324" s="647"/>
      <c r="B324" s="647" t="s">
        <v>521</v>
      </c>
      <c r="C324" s="113">
        <v>76</v>
      </c>
      <c r="D324" s="113">
        <v>291472</v>
      </c>
      <c r="E324" s="113">
        <v>42934</v>
      </c>
      <c r="F324" s="113">
        <v>0.1082</v>
      </c>
      <c r="G324" s="113">
        <v>1.5900000000000001E-2</v>
      </c>
      <c r="J324">
        <f>J319/(J319+K319)</f>
        <v>0.6488394391677974</v>
      </c>
      <c r="K324">
        <f>K319/(K319+J319)</f>
        <v>0.35116056083220265</v>
      </c>
    </row>
    <row r="325" spans="1:12">
      <c r="A325" s="647"/>
      <c r="B325" s="647" t="s">
        <v>255</v>
      </c>
      <c r="C325" s="113">
        <v>176</v>
      </c>
      <c r="D325" s="113">
        <v>646546</v>
      </c>
      <c r="E325" s="113">
        <v>60521</v>
      </c>
      <c r="F325" s="113">
        <v>0.24</v>
      </c>
      <c r="G325" s="113">
        <v>2.2499999999999999E-2</v>
      </c>
    </row>
    <row r="326" spans="1:12">
      <c r="A326" s="647" t="s">
        <v>510</v>
      </c>
      <c r="B326" s="647" t="s">
        <v>518</v>
      </c>
      <c r="C326" s="113">
        <v>2170</v>
      </c>
      <c r="D326" s="113">
        <v>8783829</v>
      </c>
      <c r="E326" s="113">
        <v>253606</v>
      </c>
      <c r="F326" s="113">
        <v>3.2602000000000002</v>
      </c>
      <c r="G326" s="113">
        <v>9.3899999999999997E-2</v>
      </c>
    </row>
    <row r="327" spans="1:12">
      <c r="A327" s="647"/>
      <c r="B327" s="647" t="s">
        <v>510</v>
      </c>
      <c r="C327" s="113">
        <v>53997</v>
      </c>
      <c r="D327" s="113">
        <v>257491202</v>
      </c>
      <c r="E327" s="113">
        <v>2269414</v>
      </c>
      <c r="F327" s="113">
        <v>95.568799999999996</v>
      </c>
      <c r="G327" s="113">
        <v>0.11849999999999999</v>
      </c>
    </row>
    <row r="328" spans="1:12">
      <c r="A328" s="647"/>
      <c r="B328" s="647" t="s">
        <v>521</v>
      </c>
      <c r="C328" s="113">
        <v>472</v>
      </c>
      <c r="D328" s="113">
        <v>2178982</v>
      </c>
      <c r="E328" s="113">
        <v>163588</v>
      </c>
      <c r="F328" s="113">
        <v>0.80869999999999997</v>
      </c>
      <c r="G328" s="113">
        <v>6.1600000000000002E-2</v>
      </c>
    </row>
    <row r="329" spans="1:12">
      <c r="A329" s="647"/>
      <c r="B329" s="647" t="s">
        <v>255</v>
      </c>
      <c r="C329" s="113">
        <v>56639</v>
      </c>
      <c r="D329" s="113">
        <v>268454013</v>
      </c>
      <c r="E329" s="113">
        <v>2276053</v>
      </c>
      <c r="F329" s="113">
        <v>99.637699999999995</v>
      </c>
      <c r="G329" s="113">
        <v>2.9000000000000001E-2</v>
      </c>
    </row>
    <row r="330" spans="1:12">
      <c r="A330" s="647" t="s">
        <v>255</v>
      </c>
      <c r="B330" s="647" t="s">
        <v>518</v>
      </c>
      <c r="C330" s="113">
        <v>2255</v>
      </c>
      <c r="D330" s="113">
        <v>9083386</v>
      </c>
      <c r="E330" s="113">
        <v>255337</v>
      </c>
      <c r="F330" s="113">
        <v>3.3713000000000002</v>
      </c>
      <c r="G330" s="113">
        <v>9.4200000000000006E-2</v>
      </c>
    </row>
    <row r="331" spans="1:12">
      <c r="A331" s="647"/>
      <c r="B331" s="647" t="s">
        <v>510</v>
      </c>
      <c r="C331" s="113">
        <v>54076</v>
      </c>
      <c r="D331" s="113">
        <v>257823093</v>
      </c>
      <c r="E331" s="113">
        <v>2278764</v>
      </c>
      <c r="F331" s="113">
        <v>95.691999999999993</v>
      </c>
      <c r="G331" s="113">
        <v>0.1177</v>
      </c>
    </row>
    <row r="332" spans="1:12">
      <c r="A332" s="647"/>
      <c r="B332" s="647" t="s">
        <v>521</v>
      </c>
      <c r="C332" s="113">
        <v>566</v>
      </c>
      <c r="D332" s="113">
        <v>2523656</v>
      </c>
      <c r="E332" s="113">
        <v>172048</v>
      </c>
      <c r="F332" s="113">
        <v>0.93669999999999998</v>
      </c>
      <c r="G332" s="113">
        <v>6.4600000000000005E-2</v>
      </c>
    </row>
    <row r="333" spans="1:12">
      <c r="A333" s="647"/>
      <c r="B333" s="647" t="s">
        <v>255</v>
      </c>
      <c r="C333" s="113">
        <v>56897</v>
      </c>
      <c r="D333" s="113">
        <v>269430135</v>
      </c>
      <c r="E333" s="113">
        <v>2296214</v>
      </c>
      <c r="F333" s="113">
        <v>100</v>
      </c>
      <c r="G333" s="113"/>
    </row>
    <row r="334" spans="1:12">
      <c r="A334" s="129"/>
    </row>
    <row r="335" spans="1:12">
      <c r="A335" s="738" t="s">
        <v>499</v>
      </c>
      <c r="B335" s="738"/>
      <c r="C335" s="738"/>
      <c r="D335" s="738"/>
      <c r="E335" s="738"/>
      <c r="F335" s="738"/>
      <c r="G335" s="738"/>
    </row>
    <row r="336" spans="1:12">
      <c r="A336" s="738" t="s">
        <v>553</v>
      </c>
      <c r="B336" s="738"/>
      <c r="C336" s="738"/>
      <c r="D336" s="738"/>
      <c r="E336" s="738"/>
      <c r="F336" s="738"/>
      <c r="G336" s="738"/>
    </row>
    <row r="337" spans="1:21">
      <c r="A337" s="738" t="s">
        <v>502</v>
      </c>
      <c r="B337" s="738" t="s">
        <v>503</v>
      </c>
      <c r="C337" s="738" t="s">
        <v>504</v>
      </c>
      <c r="D337" s="647" t="s">
        <v>505</v>
      </c>
      <c r="E337" s="647" t="s">
        <v>506</v>
      </c>
      <c r="F337" s="738" t="s">
        <v>507</v>
      </c>
      <c r="G337" s="647" t="s">
        <v>506</v>
      </c>
      <c r="J337" t="s">
        <v>508</v>
      </c>
    </row>
    <row r="338" spans="1:21" ht="29.1" thickBot="1">
      <c r="A338" s="738"/>
      <c r="B338" s="738"/>
      <c r="C338" s="738"/>
      <c r="D338" s="647" t="s">
        <v>504</v>
      </c>
      <c r="E338" s="647" t="s">
        <v>509</v>
      </c>
      <c r="F338" s="738"/>
      <c r="G338" s="647" t="s">
        <v>507</v>
      </c>
      <c r="I338">
        <v>2017</v>
      </c>
      <c r="J338" t="s">
        <v>510</v>
      </c>
      <c r="K338" t="s">
        <v>511</v>
      </c>
      <c r="L338" t="s">
        <v>512</v>
      </c>
      <c r="P338" s="49" t="s">
        <v>513</v>
      </c>
      <c r="Q338" s="49" t="s">
        <v>514</v>
      </c>
      <c r="R338" s="49" t="s">
        <v>515</v>
      </c>
      <c r="S338" t="s">
        <v>516</v>
      </c>
      <c r="T338" s="49" t="s">
        <v>517</v>
      </c>
      <c r="U338" s="49" t="s">
        <v>510</v>
      </c>
    </row>
    <row r="339" spans="1:21" ht="28.8">
      <c r="A339" s="647" t="s">
        <v>518</v>
      </c>
      <c r="B339" s="647" t="s">
        <v>518</v>
      </c>
      <c r="C339" s="113">
        <v>32</v>
      </c>
      <c r="D339" s="113">
        <v>135309</v>
      </c>
      <c r="E339" s="113">
        <v>32134</v>
      </c>
      <c r="F339" s="113">
        <v>4.9700000000000001E-2</v>
      </c>
      <c r="G339" s="113">
        <v>1.17E-2</v>
      </c>
      <c r="H339" t="s">
        <v>519</v>
      </c>
      <c r="I339" t="s">
        <v>510</v>
      </c>
      <c r="J339" s="130">
        <f>D348</f>
        <v>260918554</v>
      </c>
      <c r="K339" s="131">
        <f>D347</f>
        <v>8379498</v>
      </c>
      <c r="L339" s="132">
        <f>D349</f>
        <v>1804716</v>
      </c>
      <c r="M339" s="112">
        <f>SUM(J339:L339)</f>
        <v>271102768</v>
      </c>
      <c r="N339" s="229" t="s">
        <v>520</v>
      </c>
      <c r="P339" s="117">
        <f>L339</f>
        <v>1804716</v>
      </c>
      <c r="Q339" s="118">
        <f>L340</f>
        <v>36606</v>
      </c>
      <c r="R339" s="119">
        <f>SUM(J341:L341)</f>
        <v>705123</v>
      </c>
      <c r="S339" s="120">
        <f>K339</f>
        <v>8379498</v>
      </c>
      <c r="T339" s="121">
        <f>SUM(J340:K340)</f>
        <v>258837</v>
      </c>
      <c r="U339" s="122">
        <f>J339</f>
        <v>260918554</v>
      </c>
    </row>
    <row r="340" spans="1:21">
      <c r="A340" s="647"/>
      <c r="B340" s="647" t="s">
        <v>510</v>
      </c>
      <c r="C340" s="113">
        <v>23</v>
      </c>
      <c r="D340" s="113">
        <v>123528</v>
      </c>
      <c r="E340" s="113">
        <v>38616</v>
      </c>
      <c r="F340" s="113">
        <v>4.5400000000000003E-2</v>
      </c>
      <c r="G340" s="113">
        <v>1.4200000000000001E-2</v>
      </c>
      <c r="I340" t="s">
        <v>511</v>
      </c>
      <c r="J340" s="133">
        <f>D340</f>
        <v>123528</v>
      </c>
      <c r="K340" s="134">
        <f>D339</f>
        <v>135309</v>
      </c>
      <c r="L340" s="135">
        <f>D341</f>
        <v>36606</v>
      </c>
      <c r="M340" s="112">
        <f t="shared" ref="M340:M341" si="27">SUM(J340:L340)</f>
        <v>295443</v>
      </c>
      <c r="N340">
        <f>K340/(K340+J340)</f>
        <v>0.52275756557215547</v>
      </c>
    </row>
    <row r="341" spans="1:21" ht="14.7" thickBot="1">
      <c r="A341" s="647"/>
      <c r="B341" s="647" t="s">
        <v>521</v>
      </c>
      <c r="C341" s="113">
        <v>12</v>
      </c>
      <c r="D341" s="113">
        <v>36606</v>
      </c>
      <c r="E341" s="113">
        <v>10054</v>
      </c>
      <c r="F341" s="113">
        <v>1.35E-2</v>
      </c>
      <c r="G341" s="113">
        <v>3.7000000000000002E-3</v>
      </c>
      <c r="I341" t="s">
        <v>522</v>
      </c>
      <c r="J341" s="136">
        <f>D344</f>
        <v>257051</v>
      </c>
      <c r="K341" s="137">
        <f>D343</f>
        <v>188086</v>
      </c>
      <c r="L341" s="138">
        <f>D345</f>
        <v>259986</v>
      </c>
      <c r="M341" s="112">
        <f t="shared" si="27"/>
        <v>705123</v>
      </c>
    </row>
    <row r="342" spans="1:21">
      <c r="A342" s="647"/>
      <c r="B342" s="647" t="s">
        <v>255</v>
      </c>
      <c r="C342" s="113">
        <v>67</v>
      </c>
      <c r="D342" s="113">
        <v>295444</v>
      </c>
      <c r="E342" s="113">
        <v>57696</v>
      </c>
      <c r="F342" s="113">
        <v>0.1086</v>
      </c>
      <c r="G342" s="113">
        <v>2.12E-2</v>
      </c>
      <c r="J342" s="92">
        <f>SUM(J339:J341)</f>
        <v>261299133</v>
      </c>
      <c r="K342" s="92">
        <f>SUM(K339:K341)</f>
        <v>8702893</v>
      </c>
      <c r="L342" s="92">
        <f>SUM(L339:L341)</f>
        <v>2101308</v>
      </c>
    </row>
    <row r="343" spans="1:21">
      <c r="A343" s="647" t="s">
        <v>515</v>
      </c>
      <c r="B343" s="647" t="s">
        <v>518</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647"/>
      <c r="B344" s="647" t="s">
        <v>510</v>
      </c>
      <c r="C344" s="113">
        <v>53</v>
      </c>
      <c r="D344" s="113">
        <v>257051</v>
      </c>
      <c r="E344" s="113">
        <v>50688</v>
      </c>
      <c r="F344" s="113">
        <v>9.4500000000000001E-2</v>
      </c>
      <c r="G344" s="113">
        <v>1.8499999999999999E-2</v>
      </c>
    </row>
    <row r="345" spans="1:21">
      <c r="A345" s="647"/>
      <c r="B345" s="647" t="s">
        <v>521</v>
      </c>
      <c r="C345" s="113">
        <v>66</v>
      </c>
      <c r="D345" s="113">
        <v>259986</v>
      </c>
      <c r="E345" s="113">
        <v>41333</v>
      </c>
      <c r="F345" s="113">
        <v>9.5500000000000002E-2</v>
      </c>
      <c r="G345" s="113">
        <v>1.52E-2</v>
      </c>
      <c r="J345">
        <f>J340/(J340+K340)</f>
        <v>0.47724243442784453</v>
      </c>
      <c r="K345">
        <f>K340/(K340+J340)</f>
        <v>0.52275756557215547</v>
      </c>
    </row>
    <row r="346" spans="1:21">
      <c r="A346" s="647"/>
      <c r="B346" s="647" t="s">
        <v>255</v>
      </c>
      <c r="C346" s="113">
        <v>173</v>
      </c>
      <c r="D346" s="113">
        <v>705124</v>
      </c>
      <c r="E346" s="113">
        <v>79741</v>
      </c>
      <c r="F346" s="113">
        <v>0.2591</v>
      </c>
      <c r="G346" s="113">
        <v>2.9000000000000001E-2</v>
      </c>
    </row>
    <row r="347" spans="1:21">
      <c r="A347" s="647" t="s">
        <v>510</v>
      </c>
      <c r="B347" s="647" t="s">
        <v>518</v>
      </c>
      <c r="C347" s="113">
        <v>2104</v>
      </c>
      <c r="D347" s="113">
        <v>8379498</v>
      </c>
      <c r="E347" s="113">
        <v>316868</v>
      </c>
      <c r="F347" s="113">
        <v>3.0794999999999999</v>
      </c>
      <c r="G347" s="113">
        <v>0.106</v>
      </c>
    </row>
    <row r="348" spans="1:21">
      <c r="A348" s="647"/>
      <c r="B348" s="647" t="s">
        <v>510</v>
      </c>
      <c r="C348" s="113">
        <v>53475</v>
      </c>
      <c r="D348" s="113">
        <v>260918554</v>
      </c>
      <c r="E348" s="113">
        <v>1717385</v>
      </c>
      <c r="F348" s="113">
        <v>95.889499999999998</v>
      </c>
      <c r="G348" s="113">
        <v>0.1085</v>
      </c>
    </row>
    <row r="349" spans="1:21">
      <c r="A349" s="647"/>
      <c r="B349" s="647" t="s">
        <v>521</v>
      </c>
      <c r="C349" s="113">
        <v>457</v>
      </c>
      <c r="D349" s="113">
        <v>1804716</v>
      </c>
      <c r="E349" s="113">
        <v>109863</v>
      </c>
      <c r="F349" s="113">
        <v>0.66320000000000001</v>
      </c>
      <c r="G349" s="113">
        <v>4.07E-2</v>
      </c>
    </row>
    <row r="350" spans="1:21">
      <c r="A350" s="647"/>
      <c r="B350" s="647" t="s">
        <v>255</v>
      </c>
      <c r="C350" s="113">
        <v>56036</v>
      </c>
      <c r="D350" s="113">
        <v>271102768</v>
      </c>
      <c r="E350" s="113">
        <v>1873094</v>
      </c>
      <c r="F350" s="113">
        <v>99.632300000000001</v>
      </c>
      <c r="G350" s="113">
        <v>3.3799999999999997E-2</v>
      </c>
    </row>
    <row r="351" spans="1:21">
      <c r="A351" s="647" t="s">
        <v>255</v>
      </c>
      <c r="B351" s="647" t="s">
        <v>518</v>
      </c>
      <c r="C351" s="113">
        <v>2190</v>
      </c>
      <c r="D351" s="113">
        <v>8702893</v>
      </c>
      <c r="E351" s="113">
        <v>321826</v>
      </c>
      <c r="F351" s="113">
        <v>3.1983999999999999</v>
      </c>
      <c r="G351" s="113">
        <v>0.10680000000000001</v>
      </c>
    </row>
    <row r="352" spans="1:21">
      <c r="A352" s="647"/>
      <c r="B352" s="647" t="s">
        <v>510</v>
      </c>
      <c r="C352" s="113">
        <v>53551</v>
      </c>
      <c r="D352" s="113">
        <v>261299133</v>
      </c>
      <c r="E352" s="113">
        <v>1725508</v>
      </c>
      <c r="F352" s="113">
        <v>96.029399999999995</v>
      </c>
      <c r="G352" s="113">
        <v>0.1076</v>
      </c>
    </row>
    <row r="353" spans="1:21">
      <c r="A353" s="647"/>
      <c r="B353" s="647" t="s">
        <v>521</v>
      </c>
      <c r="C353" s="113">
        <v>535</v>
      </c>
      <c r="D353" s="113">
        <v>2101309</v>
      </c>
      <c r="E353" s="113">
        <v>116380</v>
      </c>
      <c r="F353" s="113">
        <v>0.7722</v>
      </c>
      <c r="G353" s="113">
        <v>4.3099999999999999E-2</v>
      </c>
    </row>
    <row r="354" spans="1:21">
      <c r="A354" s="647"/>
      <c r="B354" s="647" t="s">
        <v>255</v>
      </c>
      <c r="C354" s="113">
        <v>56276</v>
      </c>
      <c r="D354" s="113">
        <v>272103335</v>
      </c>
      <c r="E354" s="113">
        <v>1892182</v>
      </c>
      <c r="F354" s="113">
        <v>100</v>
      </c>
      <c r="G354" s="113"/>
    </row>
    <row r="355" spans="1:21">
      <c r="A355" s="129"/>
    </row>
    <row r="356" spans="1:21">
      <c r="A356" s="738" t="s">
        <v>499</v>
      </c>
      <c r="B356" s="738"/>
      <c r="C356" s="738"/>
      <c r="D356" s="738"/>
      <c r="E356" s="738"/>
      <c r="F356" s="738"/>
      <c r="G356" s="738"/>
    </row>
    <row r="357" spans="1:21">
      <c r="A357" s="738" t="s">
        <v>554</v>
      </c>
      <c r="B357" s="738"/>
      <c r="C357" s="738"/>
      <c r="D357" s="738"/>
      <c r="E357" s="738"/>
      <c r="F357" s="738"/>
      <c r="G357" s="738"/>
    </row>
    <row r="358" spans="1:21">
      <c r="A358" s="738" t="s">
        <v>502</v>
      </c>
      <c r="B358" s="738" t="s">
        <v>503</v>
      </c>
      <c r="C358" s="738" t="s">
        <v>504</v>
      </c>
      <c r="D358" s="647" t="s">
        <v>505</v>
      </c>
      <c r="E358" s="647" t="s">
        <v>506</v>
      </c>
      <c r="F358" s="738" t="s">
        <v>507</v>
      </c>
      <c r="G358" s="647" t="s">
        <v>506</v>
      </c>
      <c r="J358" t="s">
        <v>508</v>
      </c>
    </row>
    <row r="359" spans="1:21" ht="29.1" thickBot="1">
      <c r="A359" s="738"/>
      <c r="B359" s="738"/>
      <c r="C359" s="738"/>
      <c r="D359" s="647" t="s">
        <v>504</v>
      </c>
      <c r="E359" s="647" t="s">
        <v>509</v>
      </c>
      <c r="F359" s="738"/>
      <c r="G359" s="647" t="s">
        <v>507</v>
      </c>
      <c r="I359">
        <v>2018</v>
      </c>
      <c r="J359" t="s">
        <v>510</v>
      </c>
      <c r="K359" t="s">
        <v>511</v>
      </c>
      <c r="L359" t="s">
        <v>512</v>
      </c>
      <c r="P359" s="49" t="s">
        <v>513</v>
      </c>
      <c r="Q359" s="49" t="s">
        <v>514</v>
      </c>
      <c r="R359" s="49" t="s">
        <v>515</v>
      </c>
      <c r="S359" t="s">
        <v>516</v>
      </c>
      <c r="T359" s="49" t="s">
        <v>517</v>
      </c>
      <c r="U359" s="49" t="s">
        <v>510</v>
      </c>
    </row>
    <row r="360" spans="1:21" ht="28.8">
      <c r="A360" s="647" t="s">
        <v>518</v>
      </c>
      <c r="B360" s="647" t="s">
        <v>518</v>
      </c>
      <c r="C360" s="113">
        <v>33</v>
      </c>
      <c r="D360" s="113">
        <v>101609</v>
      </c>
      <c r="E360" s="113">
        <v>18722</v>
      </c>
      <c r="F360" s="113">
        <v>3.7100000000000001E-2</v>
      </c>
      <c r="G360" s="113">
        <v>6.7999999999999996E-3</v>
      </c>
      <c r="H360" t="s">
        <v>519</v>
      </c>
      <c r="I360" t="s">
        <v>510</v>
      </c>
      <c r="J360" s="130">
        <f>D369</f>
        <v>263415756</v>
      </c>
      <c r="K360" s="131">
        <f>D368</f>
        <v>7663420</v>
      </c>
      <c r="L360" s="132">
        <f>D370</f>
        <v>1782701</v>
      </c>
      <c r="M360" s="112">
        <f>SUM(J360:L360)</f>
        <v>272861877</v>
      </c>
      <c r="N360" s="229" t="s">
        <v>520</v>
      </c>
      <c r="P360" s="117">
        <f>L360</f>
        <v>1782701</v>
      </c>
      <c r="Q360" s="118">
        <f>L361</f>
        <v>38649</v>
      </c>
      <c r="R360" s="119">
        <f>SUM(J362:L362)</f>
        <v>592629</v>
      </c>
      <c r="S360" s="120">
        <f>K360</f>
        <v>7663420</v>
      </c>
      <c r="T360" s="121">
        <f>SUM(J361:K361)</f>
        <v>259887</v>
      </c>
      <c r="U360" s="122">
        <f>J360</f>
        <v>263415756</v>
      </c>
    </row>
    <row r="361" spans="1:21">
      <c r="A361" s="647"/>
      <c r="B361" s="647" t="s">
        <v>510</v>
      </c>
      <c r="C361" s="113">
        <v>37</v>
      </c>
      <c r="D361" s="113">
        <v>158278</v>
      </c>
      <c r="E361" s="113">
        <v>36048</v>
      </c>
      <c r="F361" s="113">
        <v>5.7799999999999997E-2</v>
      </c>
      <c r="G361" s="113">
        <v>1.32E-2</v>
      </c>
      <c r="I361" t="s">
        <v>511</v>
      </c>
      <c r="J361" s="133">
        <f>D361</f>
        <v>158278</v>
      </c>
      <c r="K361" s="134">
        <f>D360</f>
        <v>101609</v>
      </c>
      <c r="L361" s="135">
        <f>D362</f>
        <v>38649</v>
      </c>
      <c r="M361" s="112">
        <f t="shared" ref="M361:M362" si="28">SUM(J361:L361)</f>
        <v>298536</v>
      </c>
      <c r="N361">
        <f>K361/(K361+J361)</f>
        <v>0.39097376936899497</v>
      </c>
    </row>
    <row r="362" spans="1:21" ht="14.7" thickBot="1">
      <c r="A362" s="647"/>
      <c r="B362" s="647" t="s">
        <v>521</v>
      </c>
      <c r="C362" s="113">
        <v>12</v>
      </c>
      <c r="D362" s="113">
        <v>38649</v>
      </c>
      <c r="E362" s="113">
        <v>15986</v>
      </c>
      <c r="F362" s="113">
        <v>1.41E-2</v>
      </c>
      <c r="G362" s="113">
        <v>5.7999999999999996E-3</v>
      </c>
      <c r="I362" t="s">
        <v>522</v>
      </c>
      <c r="J362" s="136">
        <f>D365</f>
        <v>176672</v>
      </c>
      <c r="K362" s="137">
        <f>D364</f>
        <v>157951</v>
      </c>
      <c r="L362" s="138">
        <f>D366</f>
        <v>258006</v>
      </c>
      <c r="M362" s="112">
        <f t="shared" si="28"/>
        <v>592629</v>
      </c>
    </row>
    <row r="363" spans="1:21">
      <c r="A363" s="647"/>
      <c r="B363" s="647" t="s">
        <v>255</v>
      </c>
      <c r="C363" s="113">
        <v>82</v>
      </c>
      <c r="D363" s="113">
        <v>298537</v>
      </c>
      <c r="E363" s="113">
        <v>44646</v>
      </c>
      <c r="F363" s="113">
        <v>0.1091</v>
      </c>
      <c r="G363" s="113">
        <v>1.6400000000000001E-2</v>
      </c>
      <c r="J363" s="92">
        <f>SUM(J360:J362)</f>
        <v>263750706</v>
      </c>
      <c r="K363" s="92">
        <f>SUM(K360:K362)</f>
        <v>7922980</v>
      </c>
      <c r="L363" s="92">
        <f>SUM(L360:L362)</f>
        <v>2079356</v>
      </c>
    </row>
    <row r="364" spans="1:21">
      <c r="A364" s="647" t="s">
        <v>515</v>
      </c>
      <c r="B364" s="647" t="s">
        <v>518</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647"/>
      <c r="B365" s="647" t="s">
        <v>510</v>
      </c>
      <c r="C365" s="113">
        <v>33</v>
      </c>
      <c r="D365" s="113">
        <v>176672</v>
      </c>
      <c r="E365" s="113">
        <v>54491</v>
      </c>
      <c r="F365" s="113">
        <v>6.4500000000000002E-2</v>
      </c>
      <c r="G365" s="113">
        <v>1.9900000000000001E-2</v>
      </c>
    </row>
    <row r="366" spans="1:21">
      <c r="A366" s="647"/>
      <c r="B366" s="647" t="s">
        <v>521</v>
      </c>
      <c r="C366" s="113">
        <v>53</v>
      </c>
      <c r="D366" s="113">
        <v>258006</v>
      </c>
      <c r="E366" s="113">
        <v>63107</v>
      </c>
      <c r="F366" s="113">
        <v>9.4200000000000006E-2</v>
      </c>
      <c r="G366" s="113">
        <v>2.3E-2</v>
      </c>
      <c r="J366">
        <f>J361/(J361+K361)</f>
        <v>0.60902623063100503</v>
      </c>
      <c r="K366">
        <f>K361/(K361+J361)</f>
        <v>0.39097376936899497</v>
      </c>
    </row>
    <row r="367" spans="1:21">
      <c r="A367" s="647"/>
      <c r="B367" s="647" t="s">
        <v>255</v>
      </c>
      <c r="C367" s="113">
        <v>133</v>
      </c>
      <c r="D367" s="113">
        <v>592629</v>
      </c>
      <c r="E367" s="113">
        <v>97497</v>
      </c>
      <c r="F367" s="113">
        <v>0.2165</v>
      </c>
      <c r="G367" s="113">
        <v>3.5499999999999997E-2</v>
      </c>
    </row>
    <row r="368" spans="1:21">
      <c r="A368" s="647" t="s">
        <v>510</v>
      </c>
      <c r="B368" s="647" t="s">
        <v>518</v>
      </c>
      <c r="C368" s="113">
        <v>1800</v>
      </c>
      <c r="D368" s="113">
        <v>7663420</v>
      </c>
      <c r="E368" s="113">
        <v>245121</v>
      </c>
      <c r="F368" s="113">
        <v>2.7993999999999999</v>
      </c>
      <c r="G368" s="113">
        <v>9.0700000000000003E-2</v>
      </c>
    </row>
    <row r="369" spans="1:21">
      <c r="A369" s="647"/>
      <c r="B369" s="647" t="s">
        <v>510</v>
      </c>
      <c r="C369" s="113">
        <v>53922</v>
      </c>
      <c r="D369" s="113">
        <v>263415756</v>
      </c>
      <c r="E369" s="113">
        <v>1877679</v>
      </c>
      <c r="F369" s="113">
        <v>96.2239</v>
      </c>
      <c r="G369" s="113">
        <v>0.11890000000000001</v>
      </c>
    </row>
    <row r="370" spans="1:21">
      <c r="A370" s="647"/>
      <c r="B370" s="647" t="s">
        <v>521</v>
      </c>
      <c r="C370" s="113">
        <v>376</v>
      </c>
      <c r="D370" s="113">
        <v>1782701</v>
      </c>
      <c r="E370" s="113">
        <v>158645</v>
      </c>
      <c r="F370" s="113">
        <v>0.6512</v>
      </c>
      <c r="G370" s="113">
        <v>5.9200000000000003E-2</v>
      </c>
    </row>
    <row r="371" spans="1:21">
      <c r="A371" s="647"/>
      <c r="B371" s="647" t="s">
        <v>255</v>
      </c>
      <c r="C371" s="113">
        <v>56098</v>
      </c>
      <c r="D371" s="113">
        <v>272861877</v>
      </c>
      <c r="E371" s="113">
        <v>1821724</v>
      </c>
      <c r="F371" s="113">
        <v>99.674499999999995</v>
      </c>
      <c r="G371" s="113">
        <v>3.2800000000000003E-2</v>
      </c>
    </row>
    <row r="372" spans="1:21">
      <c r="A372" s="647" t="s">
        <v>255</v>
      </c>
      <c r="B372" s="647" t="s">
        <v>518</v>
      </c>
      <c r="C372" s="113">
        <v>1880</v>
      </c>
      <c r="D372" s="113">
        <v>7922979</v>
      </c>
      <c r="E372" s="113">
        <v>248650</v>
      </c>
      <c r="F372" s="113">
        <v>2.8942000000000001</v>
      </c>
      <c r="G372" s="113">
        <v>9.1999999999999998E-2</v>
      </c>
    </row>
    <row r="373" spans="1:21">
      <c r="A373" s="647"/>
      <c r="B373" s="647" t="s">
        <v>510</v>
      </c>
      <c r="C373" s="113">
        <v>53992</v>
      </c>
      <c r="D373" s="113">
        <v>263750706</v>
      </c>
      <c r="E373" s="113">
        <v>1872882</v>
      </c>
      <c r="F373" s="113">
        <v>96.346199999999996</v>
      </c>
      <c r="G373" s="113">
        <v>0.11700000000000001</v>
      </c>
    </row>
    <row r="374" spans="1:21">
      <c r="A374" s="647"/>
      <c r="B374" s="647" t="s">
        <v>521</v>
      </c>
      <c r="C374" s="113">
        <v>441</v>
      </c>
      <c r="D374" s="113">
        <v>2079357</v>
      </c>
      <c r="E374" s="113">
        <v>181018</v>
      </c>
      <c r="F374" s="113">
        <v>0.75960000000000005</v>
      </c>
      <c r="G374" s="113">
        <v>6.7199999999999996E-2</v>
      </c>
    </row>
    <row r="375" spans="1:21" ht="14.85" customHeight="1">
      <c r="A375" s="647"/>
      <c r="B375" s="647" t="s">
        <v>255</v>
      </c>
      <c r="C375" s="113">
        <v>56313</v>
      </c>
      <c r="D375" s="113">
        <v>273753043</v>
      </c>
      <c r="E375" s="113">
        <v>1824764</v>
      </c>
      <c r="F375" s="113">
        <v>100</v>
      </c>
      <c r="G375" s="113"/>
    </row>
    <row r="376" spans="1:21" ht="14.85" customHeight="1"/>
    <row r="377" spans="1:21">
      <c r="A377" s="740" t="s">
        <v>499</v>
      </c>
      <c r="B377" s="741"/>
      <c r="C377" s="741"/>
      <c r="D377" s="741"/>
      <c r="E377" s="741"/>
      <c r="F377" s="741"/>
      <c r="G377" s="741"/>
    </row>
    <row r="378" spans="1:21">
      <c r="A378" s="738" t="s">
        <v>555</v>
      </c>
      <c r="B378" s="738"/>
      <c r="C378" s="738"/>
      <c r="D378" s="738"/>
      <c r="E378" s="738"/>
      <c r="F378" s="738"/>
      <c r="G378" s="738"/>
      <c r="J378" t="s">
        <v>508</v>
      </c>
    </row>
    <row r="379" spans="1:21" ht="29.1" thickBot="1">
      <c r="A379" s="230" t="s">
        <v>502</v>
      </c>
      <c r="B379" s="229" t="s">
        <v>503</v>
      </c>
      <c r="C379" s="229" t="s">
        <v>504</v>
      </c>
      <c r="D379" s="229" t="s">
        <v>556</v>
      </c>
      <c r="E379" s="229" t="s">
        <v>557</v>
      </c>
      <c r="F379" s="229" t="s">
        <v>507</v>
      </c>
      <c r="G379" s="229" t="s">
        <v>558</v>
      </c>
      <c r="I379">
        <v>2019</v>
      </c>
      <c r="J379" t="s">
        <v>510</v>
      </c>
      <c r="K379" t="s">
        <v>511</v>
      </c>
      <c r="L379" t="s">
        <v>512</v>
      </c>
      <c r="P379" s="49" t="s">
        <v>513</v>
      </c>
      <c r="Q379" s="49" t="s">
        <v>514</v>
      </c>
      <c r="R379" s="49" t="s">
        <v>515</v>
      </c>
      <c r="S379" t="s">
        <v>516</v>
      </c>
      <c r="T379" s="49" t="s">
        <v>517</v>
      </c>
      <c r="U379" s="49" t="s">
        <v>510</v>
      </c>
    </row>
    <row r="380" spans="1:21" ht="28.8">
      <c r="A380" s="230" t="s">
        <v>518</v>
      </c>
      <c r="B380" s="229" t="s">
        <v>518</v>
      </c>
      <c r="C380" s="49">
        <v>20</v>
      </c>
      <c r="D380" s="49">
        <v>65797</v>
      </c>
      <c r="E380" s="49">
        <v>19762</v>
      </c>
      <c r="F380" s="49">
        <v>2.3900000000000001E-2</v>
      </c>
      <c r="G380" s="49">
        <v>7.1000000000000004E-3</v>
      </c>
      <c r="H380" t="s">
        <v>519</v>
      </c>
      <c r="I380" t="s">
        <v>510</v>
      </c>
      <c r="J380" s="231">
        <f>D389</f>
        <v>265093638</v>
      </c>
      <c r="K380" s="232">
        <f>D388</f>
        <v>7798728</v>
      </c>
      <c r="L380" s="233">
        <f>D390</f>
        <v>1581223</v>
      </c>
      <c r="M380" s="112">
        <f>SUM(J380:L380)</f>
        <v>274473589</v>
      </c>
      <c r="N380" s="229" t="s">
        <v>520</v>
      </c>
      <c r="P380" s="117">
        <f>L380</f>
        <v>1581223</v>
      </c>
      <c r="Q380" s="118">
        <f>L381</f>
        <v>23310</v>
      </c>
      <c r="R380" s="119">
        <f>SUM(J382:L382)</f>
        <v>456633</v>
      </c>
      <c r="S380" s="120">
        <f>K380</f>
        <v>7798728</v>
      </c>
      <c r="T380" s="121">
        <f>SUM(J381:K381)</f>
        <v>267714</v>
      </c>
      <c r="U380" s="122">
        <f>J380</f>
        <v>265093638</v>
      </c>
    </row>
    <row r="381" spans="1:21">
      <c r="A381" s="230" t="s">
        <v>559</v>
      </c>
      <c r="B381" s="229" t="s">
        <v>510</v>
      </c>
      <c r="C381" s="49">
        <v>27</v>
      </c>
      <c r="D381" s="49">
        <v>201917</v>
      </c>
      <c r="E381" s="49">
        <v>70655</v>
      </c>
      <c r="F381" s="49">
        <v>7.3400000000000007E-2</v>
      </c>
      <c r="G381" s="49">
        <v>2.5600000000000001E-2</v>
      </c>
      <c r="I381" t="s">
        <v>511</v>
      </c>
      <c r="J381" s="234">
        <f>D381</f>
        <v>201917</v>
      </c>
      <c r="K381" s="92">
        <f>D380</f>
        <v>65797</v>
      </c>
      <c r="L381" s="235">
        <f>D382</f>
        <v>23310</v>
      </c>
      <c r="M381" s="112">
        <f>SUM(J381:L381)</f>
        <v>291024</v>
      </c>
      <c r="N381">
        <f>K381/(K381+J381)</f>
        <v>0.24577347467820138</v>
      </c>
    </row>
    <row r="382" spans="1:21" ht="14.7" thickBot="1">
      <c r="A382" s="230" t="s">
        <v>559</v>
      </c>
      <c r="B382" s="229" t="s">
        <v>521</v>
      </c>
      <c r="C382" s="49">
        <v>6</v>
      </c>
      <c r="D382" s="49">
        <v>23310</v>
      </c>
      <c r="E382" s="49">
        <v>11700</v>
      </c>
      <c r="F382" s="49">
        <v>8.5000000000000006E-3</v>
      </c>
      <c r="G382" s="49">
        <v>4.1999999999999997E-3</v>
      </c>
      <c r="I382" t="s">
        <v>522</v>
      </c>
      <c r="J382" s="236">
        <f>D385</f>
        <v>164637</v>
      </c>
      <c r="K382" s="237">
        <f>D384</f>
        <v>91435</v>
      </c>
      <c r="L382" s="238">
        <f>D386</f>
        <v>200561</v>
      </c>
      <c r="M382" s="112">
        <f>SUM(J382:L382)</f>
        <v>456633</v>
      </c>
    </row>
    <row r="383" spans="1:21">
      <c r="A383" s="230" t="s">
        <v>559</v>
      </c>
      <c r="B383" s="229" t="s">
        <v>255</v>
      </c>
      <c r="C383" s="49">
        <v>53</v>
      </c>
      <c r="D383" s="49">
        <v>291025</v>
      </c>
      <c r="E383" s="49">
        <v>75019</v>
      </c>
      <c r="F383" s="49">
        <v>0.1057</v>
      </c>
      <c r="G383" s="49">
        <v>2.7099999999999999E-2</v>
      </c>
      <c r="J383" s="92">
        <f>SUM(J380:J382)</f>
        <v>265460192</v>
      </c>
      <c r="K383" s="92">
        <f>SUM(K380:K382)</f>
        <v>7955960</v>
      </c>
      <c r="L383" s="92">
        <f>SUM(L380:L382)</f>
        <v>1805094</v>
      </c>
    </row>
    <row r="384" spans="1:21">
      <c r="A384" s="230" t="s">
        <v>515</v>
      </c>
      <c r="B384" s="229" t="s">
        <v>518</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0" t="s">
        <v>559</v>
      </c>
      <c r="B385" s="229" t="s">
        <v>510</v>
      </c>
      <c r="C385" s="49">
        <v>34</v>
      </c>
      <c r="D385" s="49">
        <v>164637</v>
      </c>
      <c r="E385" s="49">
        <v>39902</v>
      </c>
      <c r="F385" s="49">
        <v>5.9799999999999999E-2</v>
      </c>
      <c r="G385" s="49">
        <v>1.4500000000000001E-2</v>
      </c>
    </row>
    <row r="386" spans="1:11">
      <c r="A386" s="230" t="s">
        <v>559</v>
      </c>
      <c r="B386" s="229" t="s">
        <v>521</v>
      </c>
      <c r="C386" s="49">
        <v>44</v>
      </c>
      <c r="D386" s="49">
        <v>200561</v>
      </c>
      <c r="E386" s="49">
        <v>38458</v>
      </c>
      <c r="F386" s="49">
        <v>7.2900000000000006E-2</v>
      </c>
      <c r="G386" s="49">
        <v>1.4E-2</v>
      </c>
      <c r="J386">
        <f>J381/(J381+K381)</f>
        <v>0.75422652532179868</v>
      </c>
      <c r="K386">
        <f>K381/(K381+J381)</f>
        <v>0.24577347467820138</v>
      </c>
    </row>
    <row r="387" spans="1:11">
      <c r="A387" s="230" t="s">
        <v>559</v>
      </c>
      <c r="B387" s="229" t="s">
        <v>255</v>
      </c>
      <c r="C387" s="49">
        <v>112</v>
      </c>
      <c r="D387" s="49">
        <v>456633</v>
      </c>
      <c r="E387" s="49">
        <v>64576</v>
      </c>
      <c r="F387" s="49">
        <v>0.16589999999999999</v>
      </c>
      <c r="G387" s="49">
        <v>2.3599999999999999E-2</v>
      </c>
    </row>
    <row r="388" spans="1:11">
      <c r="A388" s="230" t="s">
        <v>510</v>
      </c>
      <c r="B388" s="229" t="s">
        <v>518</v>
      </c>
      <c r="C388" s="49">
        <v>1756</v>
      </c>
      <c r="D388" s="49">
        <v>7798728</v>
      </c>
      <c r="E388" s="49">
        <v>305110</v>
      </c>
      <c r="F388" s="49">
        <v>2.8336000000000001</v>
      </c>
      <c r="G388" s="49">
        <v>0.1038</v>
      </c>
    </row>
    <row r="389" spans="1:11">
      <c r="A389" s="230" t="s">
        <v>559</v>
      </c>
      <c r="B389" s="229" t="s">
        <v>510</v>
      </c>
      <c r="C389" s="49">
        <v>53895</v>
      </c>
      <c r="D389" s="49">
        <v>265093638</v>
      </c>
      <c r="E389" s="49">
        <v>2637019</v>
      </c>
      <c r="F389" s="49">
        <v>96.3202</v>
      </c>
      <c r="G389" s="49">
        <v>0.11940000000000001</v>
      </c>
    </row>
    <row r="390" spans="1:11">
      <c r="A390" s="230" t="s">
        <v>559</v>
      </c>
      <c r="B390" s="229" t="s">
        <v>521</v>
      </c>
      <c r="C390" s="49">
        <v>320</v>
      </c>
      <c r="D390" s="49">
        <v>1581223</v>
      </c>
      <c r="E390" s="49">
        <v>139066</v>
      </c>
      <c r="F390" s="49">
        <v>0.57450000000000001</v>
      </c>
      <c r="G390" s="49">
        <v>5.0999999999999997E-2</v>
      </c>
    </row>
    <row r="391" spans="1:11">
      <c r="A391" s="230" t="s">
        <v>559</v>
      </c>
      <c r="B391" s="229" t="s">
        <v>255</v>
      </c>
      <c r="C391" s="49">
        <v>55971</v>
      </c>
      <c r="D391" s="49">
        <v>274473590</v>
      </c>
      <c r="E391" s="49">
        <v>2728182</v>
      </c>
      <c r="F391" s="49">
        <v>99.728300000000004</v>
      </c>
      <c r="G391" s="49">
        <v>3.5900000000000001E-2</v>
      </c>
    </row>
    <row r="392" spans="1:11">
      <c r="A392" s="230" t="s">
        <v>255</v>
      </c>
      <c r="B392" s="229" t="s">
        <v>518</v>
      </c>
      <c r="C392" s="49">
        <v>1810</v>
      </c>
      <c r="D392" s="49">
        <v>7955961</v>
      </c>
      <c r="E392" s="49">
        <v>303717</v>
      </c>
      <c r="F392" s="49">
        <v>2.8908</v>
      </c>
      <c r="G392" s="49">
        <v>0.1026</v>
      </c>
    </row>
    <row r="393" spans="1:11">
      <c r="A393" s="230" t="s">
        <v>559</v>
      </c>
      <c r="B393" s="229" t="s">
        <v>510</v>
      </c>
      <c r="C393" s="49">
        <v>53956</v>
      </c>
      <c r="D393" s="49">
        <v>265460193</v>
      </c>
      <c r="E393" s="49">
        <v>2641026</v>
      </c>
      <c r="F393" s="49">
        <v>96.453400000000002</v>
      </c>
      <c r="G393" s="49">
        <v>0.1207</v>
      </c>
    </row>
    <row r="394" spans="1:11">
      <c r="A394" s="230" t="s">
        <v>559</v>
      </c>
      <c r="B394" s="229" t="s">
        <v>521</v>
      </c>
      <c r="C394" s="49">
        <v>370</v>
      </c>
      <c r="D394" s="49">
        <v>1805095</v>
      </c>
      <c r="E394" s="49">
        <v>142050</v>
      </c>
      <c r="F394" s="49">
        <v>0.65590000000000004</v>
      </c>
      <c r="G394" s="49">
        <v>5.2200000000000003E-2</v>
      </c>
    </row>
    <row r="395" spans="1:11">
      <c r="A395" s="230" t="s">
        <v>559</v>
      </c>
      <c r="B395" s="229" t="s">
        <v>255</v>
      </c>
      <c r="C395" s="49">
        <v>56136</v>
      </c>
      <c r="D395" s="49">
        <v>275221248</v>
      </c>
      <c r="E395" s="49">
        <v>2734553</v>
      </c>
      <c r="F395" s="49">
        <v>100</v>
      </c>
      <c r="G395" s="49"/>
    </row>
  </sheetData>
  <mergeCells count="10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 ref="B295:B296"/>
    <mergeCell ref="C295:C296"/>
    <mergeCell ref="F295:F296"/>
    <mergeCell ref="A272:G272"/>
    <mergeCell ref="A273:G273"/>
    <mergeCell ref="A274:A275"/>
    <mergeCell ref="B274:B275"/>
    <mergeCell ref="C274:C275"/>
    <mergeCell ref="F274:F275"/>
    <mergeCell ref="A251:G251"/>
    <mergeCell ref="A252:G252"/>
    <mergeCell ref="A253:A254"/>
    <mergeCell ref="B253:B254"/>
    <mergeCell ref="C253:C254"/>
    <mergeCell ref="F253:F254"/>
    <mergeCell ref="A230:G230"/>
    <mergeCell ref="A231:G231"/>
    <mergeCell ref="A232:A233"/>
    <mergeCell ref="B232:B233"/>
    <mergeCell ref="C232:C233"/>
    <mergeCell ref="F232:F233"/>
    <mergeCell ref="A209:G209"/>
    <mergeCell ref="A210:G210"/>
    <mergeCell ref="A211:A212"/>
    <mergeCell ref="B211:B212"/>
    <mergeCell ref="C211:C212"/>
    <mergeCell ref="F211:F212"/>
    <mergeCell ref="A188:G188"/>
    <mergeCell ref="A189:G189"/>
    <mergeCell ref="A190:A191"/>
    <mergeCell ref="B190:B191"/>
    <mergeCell ref="C190:C191"/>
    <mergeCell ref="F190:F191"/>
    <mergeCell ref="A167:G167"/>
    <mergeCell ref="A168:G168"/>
    <mergeCell ref="A169:A170"/>
    <mergeCell ref="B169:B170"/>
    <mergeCell ref="C169:C170"/>
    <mergeCell ref="F169:F170"/>
    <mergeCell ref="A146:G146"/>
    <mergeCell ref="A147:G147"/>
    <mergeCell ref="A148:A149"/>
    <mergeCell ref="B148:B149"/>
    <mergeCell ref="C148:C149"/>
    <mergeCell ref="F148:F149"/>
    <mergeCell ref="A125:G125"/>
    <mergeCell ref="A126:G126"/>
    <mergeCell ref="A127:A128"/>
    <mergeCell ref="B127:B128"/>
    <mergeCell ref="C127:C128"/>
    <mergeCell ref="F127:F128"/>
    <mergeCell ref="A104:G104"/>
    <mergeCell ref="A105:G105"/>
    <mergeCell ref="A106:A107"/>
    <mergeCell ref="B106:B107"/>
    <mergeCell ref="C106:C107"/>
    <mergeCell ref="F106:F107"/>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zoomScale="70" zoomScaleNormal="70" workbookViewId="0">
      <selection activeCell="L15" sqref="L15"/>
    </sheetView>
  </sheetViews>
  <sheetFormatPr defaultColWidth="8.83984375" defaultRowHeight="15.6"/>
  <cols>
    <col min="1" max="1" width="52.26171875" style="252" customWidth="1"/>
    <col min="2" max="2" width="19.41796875" style="252" customWidth="1"/>
    <col min="3" max="3" width="10.15625" style="252" customWidth="1"/>
    <col min="4" max="4" width="10" style="252" bestFit="1" customWidth="1"/>
    <col min="5" max="6" width="10.15625" style="252" bestFit="1" customWidth="1"/>
    <col min="7" max="7" width="13" style="252" customWidth="1"/>
    <col min="8" max="8" width="10.15625" style="252" bestFit="1" customWidth="1"/>
    <col min="9" max="9" width="11.68359375" style="252" bestFit="1" customWidth="1"/>
    <col min="10" max="10" width="10.15625" style="252" bestFit="1" customWidth="1"/>
    <col min="11" max="22" width="11.68359375" style="252" bestFit="1" customWidth="1"/>
    <col min="23" max="23" width="37.26171875" style="252" customWidth="1"/>
    <col min="24" max="39" width="14.41796875" style="252" bestFit="1" customWidth="1"/>
    <col min="40" max="16384" width="8.83984375" style="252"/>
  </cols>
  <sheetData>
    <row r="1" spans="1:43">
      <c r="B1" s="252">
        <v>1999</v>
      </c>
      <c r="C1" s="252">
        <v>2000</v>
      </c>
      <c r="D1" s="252">
        <v>2001</v>
      </c>
      <c r="E1" s="252">
        <v>2002</v>
      </c>
      <c r="F1" s="252">
        <v>2003</v>
      </c>
      <c r="G1" s="252">
        <v>2004</v>
      </c>
      <c r="H1" s="252">
        <v>2005</v>
      </c>
      <c r="I1" s="252">
        <v>2006</v>
      </c>
      <c r="J1" s="252">
        <v>2007</v>
      </c>
      <c r="K1" s="252">
        <v>2008</v>
      </c>
      <c r="L1" s="252">
        <v>2009</v>
      </c>
      <c r="M1" s="252">
        <v>2010</v>
      </c>
      <c r="N1" s="252">
        <v>2011</v>
      </c>
      <c r="O1" s="252">
        <v>2012</v>
      </c>
      <c r="P1" s="252">
        <v>2013</v>
      </c>
      <c r="Q1" s="252">
        <v>2014</v>
      </c>
      <c r="R1" s="252">
        <v>2015</v>
      </c>
      <c r="S1" s="252">
        <v>2016</v>
      </c>
      <c r="T1" s="252">
        <v>2017</v>
      </c>
      <c r="U1" s="252">
        <v>2018</v>
      </c>
      <c r="V1" s="252">
        <v>2019</v>
      </c>
    </row>
    <row r="2" spans="1:43">
      <c r="A2" s="263" t="s">
        <v>34</v>
      </c>
      <c r="B2" s="262">
        <f t="shared" ref="B2:D2" si="0">B33</f>
        <v>737348.72370526451</v>
      </c>
      <c r="C2" s="262">
        <f t="shared" si="0"/>
        <v>670983.54912418628</v>
      </c>
      <c r="D2" s="262">
        <f t="shared" si="0"/>
        <v>732226.9959257741</v>
      </c>
      <c r="E2" s="262">
        <f t="shared" ref="E2:V2" si="1">E33</f>
        <v>764684.39245923271</v>
      </c>
      <c r="F2" s="262">
        <f t="shared" si="1"/>
        <v>673043.85125278018</v>
      </c>
      <c r="G2" s="262">
        <f t="shared" si="1"/>
        <v>882617.72652719344</v>
      </c>
      <c r="H2" s="262">
        <f t="shared" si="1"/>
        <v>728787.3099795162</v>
      </c>
      <c r="I2" s="262">
        <f t="shared" si="1"/>
        <v>995374.01559201255</v>
      </c>
      <c r="J2" s="262">
        <f t="shared" si="1"/>
        <v>772412.62550478789</v>
      </c>
      <c r="K2" s="262">
        <f t="shared" si="1"/>
        <v>1024666.0100058218</v>
      </c>
      <c r="L2" s="262">
        <f t="shared" si="1"/>
        <v>1316792.5968868218</v>
      </c>
      <c r="M2" s="262">
        <f t="shared" si="1"/>
        <v>1335599.830687297</v>
      </c>
      <c r="N2" s="262">
        <f t="shared" si="1"/>
        <v>1590808.859871615</v>
      </c>
      <c r="O2" s="262">
        <f t="shared" si="1"/>
        <v>1565981.4445320296</v>
      </c>
      <c r="P2" s="262">
        <f t="shared" si="1"/>
        <v>1667232.4977665495</v>
      </c>
      <c r="Q2" s="262">
        <f t="shared" si="1"/>
        <v>1936510.395643299</v>
      </c>
      <c r="R2" s="262">
        <f t="shared" si="1"/>
        <v>1923866.4588087033</v>
      </c>
      <c r="S2" s="262">
        <f t="shared" si="1"/>
        <v>2011537.1025247658</v>
      </c>
      <c r="T2" s="262">
        <f t="shared" si="1"/>
        <v>2193782.1536960565</v>
      </c>
      <c r="U2" s="262">
        <f t="shared" si="1"/>
        <v>1843790.2663262156</v>
      </c>
      <c r="V2" s="262">
        <f t="shared" si="1"/>
        <v>1420678.8406968592</v>
      </c>
    </row>
    <row r="3" spans="1:43">
      <c r="A3" s="264" t="s">
        <v>36</v>
      </c>
      <c r="B3" s="262">
        <f t="shared" ref="B3:D3" si="2">B34</f>
        <v>356879.47284337127</v>
      </c>
      <c r="C3" s="262">
        <f t="shared" si="2"/>
        <v>370784.72326854634</v>
      </c>
      <c r="D3" s="262">
        <f t="shared" si="2"/>
        <v>637207.65505353943</v>
      </c>
      <c r="E3" s="262">
        <f t="shared" ref="E3:V3" si="3">E34</f>
        <v>451003.37782476825</v>
      </c>
      <c r="F3" s="262">
        <f t="shared" si="3"/>
        <v>349907.88483673678</v>
      </c>
      <c r="G3" s="262">
        <f t="shared" si="3"/>
        <v>397415.9841143646</v>
      </c>
      <c r="H3" s="262">
        <f t="shared" si="3"/>
        <v>447929.5073541528</v>
      </c>
      <c r="I3" s="262">
        <f t="shared" si="3"/>
        <v>616584.81539219653</v>
      </c>
      <c r="J3" s="262">
        <f t="shared" si="3"/>
        <v>320958.12296520267</v>
      </c>
      <c r="K3" s="262">
        <f t="shared" si="3"/>
        <v>437111.8478133335</v>
      </c>
      <c r="L3" s="262">
        <f t="shared" si="3"/>
        <v>668803.27893350006</v>
      </c>
      <c r="M3" s="262">
        <f t="shared" si="3"/>
        <v>454736.82374049543</v>
      </c>
      <c r="N3" s="262">
        <f t="shared" si="3"/>
        <v>419471.31586152274</v>
      </c>
      <c r="O3" s="262">
        <f t="shared" si="3"/>
        <v>414767.17400770652</v>
      </c>
      <c r="P3" s="262">
        <f t="shared" si="3"/>
        <v>494109.12212676782</v>
      </c>
      <c r="Q3" s="262">
        <f t="shared" si="3"/>
        <v>872375.63989838201</v>
      </c>
      <c r="R3" s="262">
        <f t="shared" si="3"/>
        <v>571335.45089358359</v>
      </c>
      <c r="S3" s="262">
        <f t="shared" si="3"/>
        <v>859859.26246590668</v>
      </c>
      <c r="T3" s="262">
        <f t="shared" si="3"/>
        <v>805294.95040755463</v>
      </c>
      <c r="U3" s="262">
        <f t="shared" si="3"/>
        <v>808561.71558381582</v>
      </c>
      <c r="V3" s="262">
        <f t="shared" si="3"/>
        <v>832913.11656914616</v>
      </c>
      <c r="Z3" s="254"/>
      <c r="AA3" s="254"/>
      <c r="AB3" s="254"/>
      <c r="AC3" s="254"/>
      <c r="AD3" s="254"/>
      <c r="AE3" s="254"/>
      <c r="AF3" s="254"/>
      <c r="AG3" s="254"/>
      <c r="AH3" s="254"/>
      <c r="AI3" s="254"/>
      <c r="AJ3" s="254"/>
      <c r="AK3" s="254"/>
      <c r="AL3" s="254"/>
      <c r="AM3" s="254"/>
      <c r="AN3" s="254"/>
      <c r="AO3" s="254"/>
      <c r="AP3" s="254"/>
      <c r="AQ3" s="254"/>
    </row>
    <row r="4" spans="1:43">
      <c r="A4" s="265" t="s">
        <v>37</v>
      </c>
      <c r="B4" s="262">
        <f t="shared" ref="B4:D4" si="4">B35</f>
        <v>37111.385763806698</v>
      </c>
      <c r="C4" s="262">
        <f t="shared" si="4"/>
        <v>21928.612370368439</v>
      </c>
      <c r="D4" s="262">
        <f t="shared" si="4"/>
        <v>74780.455011275131</v>
      </c>
      <c r="E4" s="262">
        <f t="shared" ref="E4:V4" si="5">E35</f>
        <v>108749.05711527202</v>
      </c>
      <c r="F4" s="262">
        <f t="shared" si="5"/>
        <v>55584.787275317554</v>
      </c>
      <c r="G4" s="262">
        <f t="shared" si="5"/>
        <v>117961.33491232873</v>
      </c>
      <c r="H4" s="262">
        <f t="shared" si="5"/>
        <v>71442.598802368579</v>
      </c>
      <c r="I4" s="262">
        <f t="shared" si="5"/>
        <v>87060.847549827129</v>
      </c>
      <c r="J4" s="262">
        <f t="shared" si="5"/>
        <v>150572.98498620529</v>
      </c>
      <c r="K4" s="262">
        <f t="shared" si="5"/>
        <v>156782.95002603144</v>
      </c>
      <c r="L4" s="262">
        <f t="shared" si="5"/>
        <v>224460.99086337516</v>
      </c>
      <c r="M4" s="262">
        <f t="shared" si="5"/>
        <v>326888.07956134918</v>
      </c>
      <c r="N4" s="262">
        <f t="shared" si="5"/>
        <v>147533.33776981744</v>
      </c>
      <c r="O4" s="262">
        <f t="shared" si="5"/>
        <v>164063.16956169935</v>
      </c>
      <c r="P4" s="262">
        <f t="shared" si="5"/>
        <v>156537.16483657941</v>
      </c>
      <c r="Q4" s="262">
        <f t="shared" si="5"/>
        <v>341831.19683904713</v>
      </c>
      <c r="R4" s="262">
        <f t="shared" si="5"/>
        <v>264583.08963772282</v>
      </c>
      <c r="S4" s="262">
        <f t="shared" si="5"/>
        <v>165522.32467376272</v>
      </c>
      <c r="T4" s="262">
        <f t="shared" si="5"/>
        <v>113888.76765925638</v>
      </c>
      <c r="U4" s="262">
        <f t="shared" si="5"/>
        <v>120244.95933078184</v>
      </c>
      <c r="V4" s="262">
        <f t="shared" si="5"/>
        <v>72522.186912999678</v>
      </c>
      <c r="AO4" s="254"/>
      <c r="AP4" s="254"/>
      <c r="AQ4" s="254"/>
    </row>
    <row r="5" spans="1:43">
      <c r="A5" s="266" t="s">
        <v>38</v>
      </c>
      <c r="B5" s="262">
        <f t="shared" ref="B5:D5" si="6">B27</f>
        <v>90224.942963405862</v>
      </c>
      <c r="C5" s="262">
        <f t="shared" si="6"/>
        <v>98900.418248348738</v>
      </c>
      <c r="D5" s="262">
        <f t="shared" si="6"/>
        <v>133602.31938812023</v>
      </c>
      <c r="E5" s="262">
        <f t="shared" ref="E5:V5" si="7">E27</f>
        <v>101503.06083383159</v>
      </c>
      <c r="F5" s="262">
        <f t="shared" si="7"/>
        <v>79814.372621474424</v>
      </c>
      <c r="G5" s="262">
        <f t="shared" si="7"/>
        <v>96611.100450833866</v>
      </c>
      <c r="H5" s="262">
        <f t="shared" si="7"/>
        <v>88423.719056695409</v>
      </c>
      <c r="I5" s="262">
        <f t="shared" si="7"/>
        <v>94288.557565557843</v>
      </c>
      <c r="J5" s="262">
        <f t="shared" si="7"/>
        <v>111050.9677994348</v>
      </c>
      <c r="K5" s="262">
        <f t="shared" si="7"/>
        <v>108269.93155608705</v>
      </c>
      <c r="L5" s="262">
        <f t="shared" si="7"/>
        <v>174538.59656024375</v>
      </c>
      <c r="M5" s="262">
        <f t="shared" si="7"/>
        <v>190897.38890086298</v>
      </c>
      <c r="N5" s="262">
        <f t="shared" si="7"/>
        <v>239293.91003065923</v>
      </c>
      <c r="O5" s="262">
        <f t="shared" si="7"/>
        <v>232252.40236486623</v>
      </c>
      <c r="P5" s="262">
        <f t="shared" si="7"/>
        <v>251606.76922860506</v>
      </c>
      <c r="Q5" s="262">
        <f t="shared" si="7"/>
        <v>252320.80786155901</v>
      </c>
      <c r="R5" s="262">
        <f t="shared" si="7"/>
        <v>160675.98613825691</v>
      </c>
      <c r="S5" s="262">
        <f t="shared" si="7"/>
        <v>202332.72328521241</v>
      </c>
      <c r="T5" s="262">
        <f t="shared" si="7"/>
        <v>88100.217645512384</v>
      </c>
      <c r="U5" s="262">
        <f t="shared" si="7"/>
        <v>135611.93252714758</v>
      </c>
      <c r="V5" s="262">
        <f t="shared" si="7"/>
        <v>56912.285300718584</v>
      </c>
    </row>
    <row r="6" spans="1:43">
      <c r="A6" s="264" t="s">
        <v>39</v>
      </c>
      <c r="B6" s="262">
        <f t="shared" ref="B6:D6" si="8">B28</f>
        <v>124448.19719090464</v>
      </c>
      <c r="C6" s="262">
        <f t="shared" si="8"/>
        <v>136414.36999772242</v>
      </c>
      <c r="D6" s="262">
        <f t="shared" si="8"/>
        <v>184279.06122499343</v>
      </c>
      <c r="E6" s="262">
        <f t="shared" ref="E6:V6" si="9">E28</f>
        <v>140004.22183976774</v>
      </c>
      <c r="F6" s="262">
        <f t="shared" si="9"/>
        <v>110088.78982272335</v>
      </c>
      <c r="G6" s="262">
        <f t="shared" si="9"/>
        <v>135255.54063116742</v>
      </c>
      <c r="H6" s="262">
        <f t="shared" si="9"/>
        <v>123793.20667937357</v>
      </c>
      <c r="I6" s="262">
        <f t="shared" si="9"/>
        <v>117146.3897026628</v>
      </c>
      <c r="J6" s="262">
        <f t="shared" si="9"/>
        <v>137972.41453869175</v>
      </c>
      <c r="K6" s="262">
        <f t="shared" si="9"/>
        <v>156389.90113657017</v>
      </c>
      <c r="L6" s="262">
        <f t="shared" si="9"/>
        <v>252111.30614257435</v>
      </c>
      <c r="M6" s="262">
        <f t="shared" si="9"/>
        <v>158172.12223214359</v>
      </c>
      <c r="N6" s="262">
        <f t="shared" si="9"/>
        <v>198272.0968825462</v>
      </c>
      <c r="O6" s="262">
        <f t="shared" si="9"/>
        <v>178655.69412682016</v>
      </c>
      <c r="P6" s="262">
        <f t="shared" si="9"/>
        <v>193543.6686373885</v>
      </c>
      <c r="Q6" s="262">
        <f t="shared" si="9"/>
        <v>243467.4461822061</v>
      </c>
      <c r="R6" s="262">
        <f t="shared" si="9"/>
        <v>155038.23223866898</v>
      </c>
      <c r="S6" s="262">
        <f t="shared" si="9"/>
        <v>195233.32948573129</v>
      </c>
      <c r="T6" s="262">
        <f t="shared" si="9"/>
        <v>114735.16716624868</v>
      </c>
      <c r="U6" s="262">
        <f t="shared" si="9"/>
        <v>124905.72732763592</v>
      </c>
      <c r="V6" s="262">
        <f t="shared" si="9"/>
        <v>32250.295003740532</v>
      </c>
      <c r="Z6" s="254"/>
      <c r="AA6" s="254"/>
      <c r="AB6" s="254"/>
      <c r="AC6" s="254"/>
      <c r="AD6" s="254"/>
      <c r="AE6" s="254"/>
      <c r="AF6" s="254"/>
      <c r="AG6" s="254"/>
      <c r="AH6" s="254"/>
      <c r="AI6" s="254"/>
      <c r="AJ6" s="254"/>
      <c r="AK6" s="254"/>
      <c r="AL6" s="254"/>
      <c r="AM6" s="254"/>
      <c r="AN6" s="254"/>
      <c r="AO6" s="254"/>
      <c r="AP6" s="254"/>
      <c r="AQ6" s="254"/>
    </row>
    <row r="7" spans="1:43">
      <c r="A7" s="266" t="s">
        <v>560</v>
      </c>
      <c r="B7" s="262">
        <f t="shared" ref="B7:D7" si="10">B29</f>
        <v>108892.17254204156</v>
      </c>
      <c r="C7" s="262">
        <f t="shared" si="10"/>
        <v>119362.5737480071</v>
      </c>
      <c r="D7" s="262">
        <f t="shared" si="10"/>
        <v>161244.17857186924</v>
      </c>
      <c r="E7" s="262">
        <f t="shared" ref="E7:V7" si="11">E29</f>
        <v>122503.69410979676</v>
      </c>
      <c r="F7" s="262">
        <f t="shared" si="11"/>
        <v>96327.691094882932</v>
      </c>
      <c r="G7" s="262">
        <f t="shared" si="11"/>
        <v>135255.54063116742</v>
      </c>
      <c r="H7" s="262">
        <f t="shared" si="11"/>
        <v>123793.20667937357</v>
      </c>
      <c r="I7" s="262">
        <f t="shared" si="11"/>
        <v>68573.496411314802</v>
      </c>
      <c r="J7" s="262">
        <f t="shared" si="11"/>
        <v>80764.340217770761</v>
      </c>
      <c r="K7" s="262">
        <f t="shared" si="11"/>
        <v>96239.939160966256</v>
      </c>
      <c r="L7" s="262">
        <f t="shared" si="11"/>
        <v>155145.41916466111</v>
      </c>
      <c r="M7" s="262">
        <f t="shared" si="11"/>
        <v>92721.588894704881</v>
      </c>
      <c r="N7" s="262">
        <f t="shared" si="11"/>
        <v>116228.47058632018</v>
      </c>
      <c r="O7" s="262">
        <f t="shared" si="11"/>
        <v>74439.872552841727</v>
      </c>
      <c r="P7" s="262">
        <f t="shared" si="11"/>
        <v>80643.195265578557</v>
      </c>
      <c r="Q7" s="262">
        <f t="shared" si="11"/>
        <v>163787.19106802953</v>
      </c>
      <c r="R7" s="262">
        <f t="shared" si="11"/>
        <v>104298.44714237729</v>
      </c>
      <c r="S7" s="262">
        <f t="shared" si="11"/>
        <v>131338.78529040102</v>
      </c>
      <c r="T7" s="262">
        <f t="shared" si="11"/>
        <v>49172.214499820861</v>
      </c>
      <c r="U7" s="262">
        <f t="shared" si="11"/>
        <v>103493.31692861259</v>
      </c>
      <c r="V7" s="262">
        <f t="shared" si="11"/>
        <v>66397.666184171685</v>
      </c>
      <c r="AO7" s="254"/>
      <c r="AP7" s="254"/>
      <c r="AQ7" s="254"/>
    </row>
    <row r="8" spans="1:43">
      <c r="A8" s="267" t="s">
        <v>41</v>
      </c>
      <c r="B8" s="262">
        <f t="shared" ref="B8:D8" si="12">B30</f>
        <v>323565.31269635208</v>
      </c>
      <c r="C8" s="262">
        <f t="shared" si="12"/>
        <v>354677.36199407821</v>
      </c>
      <c r="D8" s="262">
        <f t="shared" si="12"/>
        <v>479125.55918498285</v>
      </c>
      <c r="E8" s="262">
        <f t="shared" ref="E8:V8" si="13">E30</f>
        <v>364010.97678339609</v>
      </c>
      <c r="F8" s="262">
        <f t="shared" si="13"/>
        <v>286230.85353908071</v>
      </c>
      <c r="G8" s="262">
        <f t="shared" si="13"/>
        <v>367122.18171316868</v>
      </c>
      <c r="H8" s="262">
        <f t="shared" si="13"/>
        <v>336010.13241544255</v>
      </c>
      <c r="I8" s="262">
        <f t="shared" si="13"/>
        <v>280008.44367953547</v>
      </c>
      <c r="J8" s="262">
        <f t="shared" si="13"/>
        <v>329787.72255589732</v>
      </c>
      <c r="K8" s="262">
        <f t="shared" si="13"/>
        <v>360899.77185362345</v>
      </c>
      <c r="L8" s="262">
        <f t="shared" si="13"/>
        <v>581795.32186747924</v>
      </c>
      <c r="M8" s="262">
        <f t="shared" si="13"/>
        <v>441791.10002771148</v>
      </c>
      <c r="N8" s="262">
        <f t="shared" si="13"/>
        <v>553794.47749952564</v>
      </c>
      <c r="O8" s="262">
        <f t="shared" si="13"/>
        <v>485347.96904452809</v>
      </c>
      <c r="P8" s="262">
        <f t="shared" si="13"/>
        <v>525793.63313157216</v>
      </c>
      <c r="Q8" s="262">
        <f t="shared" si="13"/>
        <v>659575.44511179463</v>
      </c>
      <c r="R8" s="262">
        <f t="shared" si="13"/>
        <v>420012.66551930318</v>
      </c>
      <c r="S8" s="262">
        <f t="shared" si="13"/>
        <v>528904.83806134469</v>
      </c>
      <c r="T8" s="262">
        <f t="shared" si="13"/>
        <v>252007.5993115819</v>
      </c>
      <c r="U8" s="262">
        <f t="shared" si="13"/>
        <v>364010.97678339609</v>
      </c>
      <c r="V8" s="262">
        <f t="shared" si="13"/>
        <v>155560.2464886308</v>
      </c>
    </row>
    <row r="9" spans="1:43">
      <c r="A9" s="26" t="s">
        <v>561</v>
      </c>
      <c r="B9" s="406">
        <f>(B3*'NSDUH OUD HUD estimates'!B8)</f>
        <v>156137.62440475769</v>
      </c>
      <c r="C9" s="406">
        <f>(C3*'NSDUH OUD HUD estimates'!C8)</f>
        <v>138066.09663155564</v>
      </c>
      <c r="D9" s="406">
        <f>(D3*'NSDUH OUD HUD estimates'!D8)</f>
        <v>271403.9448939889</v>
      </c>
      <c r="E9" s="406">
        <f>(E3*'NSDUH OUD HUD estimates'!E8)</f>
        <v>247067.005883103</v>
      </c>
      <c r="F9" s="406">
        <f>(F3*'NSDUH OUD HUD estimates'!F8)</f>
        <v>130592.82692720555</v>
      </c>
      <c r="G9" s="406">
        <f>(G3*'NSDUH OUD HUD estimates'!G8)</f>
        <v>155544.69046398194</v>
      </c>
      <c r="H9" s="406">
        <f>(H3*'NSDUH OUD HUD estimates'!H8)</f>
        <v>218499.92221793078</v>
      </c>
      <c r="I9" s="406">
        <f>(I3*'NSDUH OUD HUD estimates'!I8)</f>
        <v>356410.30313996156</v>
      </c>
      <c r="J9" s="406">
        <f>(J3*'NSDUH OUD HUD estimates'!J8)</f>
        <v>231610.53979199266</v>
      </c>
      <c r="K9" s="406">
        <f>(K3*'NSDUH OUD HUD estimates'!K8)</f>
        <v>185486.92670811363</v>
      </c>
      <c r="L9" s="406">
        <f>(L3*'NSDUH OUD HUD estimates'!L8)</f>
        <v>452680.31728191557</v>
      </c>
      <c r="M9" s="406">
        <f>(M3*'NSDUH OUD HUD estimates'!M8)</f>
        <v>216194.51936496937</v>
      </c>
      <c r="N9" s="406">
        <f>(N3*'NSDUH OUD HUD estimates'!N8)</f>
        <v>197524.17858140386</v>
      </c>
      <c r="O9" s="406">
        <f>(O3*'NSDUH OUD HUD estimates'!O8)</f>
        <v>200797.16616752464</v>
      </c>
      <c r="P9" s="406">
        <f>(P3*'NSDUH OUD HUD estimates'!P8)</f>
        <v>345909.986501979</v>
      </c>
      <c r="Q9" s="406">
        <f>(Q3*'NSDUH OUD HUD estimates'!Q8)</f>
        <v>396977.30421926675</v>
      </c>
      <c r="R9" s="406">
        <f>(R3*'NSDUH OUD HUD estimates'!R8)</f>
        <v>337335.50571552565</v>
      </c>
      <c r="S9" s="406">
        <f>(S3*'NSDUH OUD HUD estimates'!S8)</f>
        <v>301948.66084429191</v>
      </c>
      <c r="T9" s="406">
        <f>(T3*'NSDUH OUD HUD estimates'!T8)</f>
        <v>420974.02784260293</v>
      </c>
      <c r="U9" s="406">
        <f>(U3*'NSDUH OUD HUD estimates'!U8)</f>
        <v>316126.42170926573</v>
      </c>
      <c r="V9" s="406">
        <f>(V3*'NSDUH OUD HUD estimates'!V8)</f>
        <v>204707.95076424885</v>
      </c>
    </row>
    <row r="10" spans="1:43">
      <c r="A10" s="26" t="s">
        <v>562</v>
      </c>
      <c r="B10" s="406">
        <f>B3*(1-'NSDUH OUD HUD estimates'!B8)</f>
        <v>200741.84843861358</v>
      </c>
      <c r="C10" s="406">
        <f>C3*(1-'NSDUH OUD HUD estimates'!C8)</f>
        <v>232718.6266369907</v>
      </c>
      <c r="D10" s="406">
        <f>D3*(1-'NSDUH OUD HUD estimates'!D8)</f>
        <v>365803.7101595506</v>
      </c>
      <c r="E10" s="406">
        <f>E3*(1-'NSDUH OUD HUD estimates'!E8)</f>
        <v>203936.37194166525</v>
      </c>
      <c r="F10" s="406">
        <f>F3*(1-'NSDUH OUD HUD estimates'!F8)</f>
        <v>219315.05790953123</v>
      </c>
      <c r="G10" s="406">
        <f>G3*(1-'NSDUH OUD HUD estimates'!G8)</f>
        <v>241871.29365038266</v>
      </c>
      <c r="H10" s="406">
        <f>H3*(1-'NSDUH OUD HUD estimates'!H8)</f>
        <v>229429.58513622201</v>
      </c>
      <c r="I10" s="406">
        <f>I3*(1-'NSDUH OUD HUD estimates'!I8)</f>
        <v>260174.51225223497</v>
      </c>
      <c r="J10" s="406">
        <f>J3*(1-'NSDUH OUD HUD estimates'!J8)</f>
        <v>89347.58317320999</v>
      </c>
      <c r="K10" s="406">
        <f>K3*(1-'NSDUH OUD HUD estimates'!K8)</f>
        <v>251624.9211052199</v>
      </c>
      <c r="L10" s="406">
        <f>L3*(1-'NSDUH OUD HUD estimates'!L8)</f>
        <v>216122.96165158448</v>
      </c>
      <c r="M10" s="406">
        <f>M3*(1-'NSDUH OUD HUD estimates'!M8)</f>
        <v>238542.30437552609</v>
      </c>
      <c r="N10" s="406">
        <f>N3*(1-'NSDUH OUD HUD estimates'!N8)</f>
        <v>221947.13728011888</v>
      </c>
      <c r="O10" s="406">
        <f>O3*(1-'NSDUH OUD HUD estimates'!O8)</f>
        <v>213970.0078401819</v>
      </c>
      <c r="P10" s="406">
        <f>P3*(1-'NSDUH OUD HUD estimates'!P8)</f>
        <v>148199.13562478879</v>
      </c>
      <c r="Q10" s="406">
        <f>Q3*(1-'NSDUH OUD HUD estimates'!Q8)</f>
        <v>475398.33567911532</v>
      </c>
      <c r="R10" s="406">
        <f>R3*(1-'NSDUH OUD HUD estimates'!R8)</f>
        <v>233999.94517805794</v>
      </c>
      <c r="S10" s="406">
        <f>S3*(1-'NSDUH OUD HUD estimates'!S8)</f>
        <v>557910.60162161477</v>
      </c>
      <c r="T10" s="406">
        <f>T3*(1-'NSDUH OUD HUD estimates'!T8)</f>
        <v>384320.9225649517</v>
      </c>
      <c r="U10" s="406">
        <f>U3*(1-'NSDUH OUD HUD estimates'!U8)</f>
        <v>492435.29387455009</v>
      </c>
      <c r="V10" s="406">
        <f>V3*(1-'NSDUH OUD HUD estimates'!V8)</f>
        <v>628205.16580489732</v>
      </c>
    </row>
    <row r="11" spans="1:43" ht="52.35" customHeight="1">
      <c r="A11"/>
      <c r="B11" s="262"/>
      <c r="C11" s="262"/>
      <c r="D11" s="262"/>
      <c r="E11" s="262"/>
      <c r="F11" s="262"/>
      <c r="G11" s="262"/>
      <c r="H11" s="262"/>
      <c r="I11" s="262"/>
      <c r="J11" s="262"/>
      <c r="K11" s="262"/>
      <c r="L11" s="262"/>
      <c r="M11" s="262"/>
      <c r="N11" s="262"/>
      <c r="O11" s="262"/>
      <c r="P11" s="262"/>
      <c r="Q11" s="262"/>
      <c r="R11" s="262"/>
      <c r="S11" s="262"/>
    </row>
    <row r="12" spans="1:43" ht="20.399999999999999">
      <c r="A12" s="674" t="s">
        <v>563</v>
      </c>
      <c r="B12" s="674"/>
      <c r="C12" s="674"/>
      <c r="D12" s="674"/>
      <c r="E12" s="674"/>
      <c r="F12" s="674"/>
      <c r="G12" s="674"/>
      <c r="H12" s="674"/>
      <c r="I12" s="674"/>
      <c r="J12" s="674"/>
      <c r="K12" s="674"/>
      <c r="L12" s="674"/>
      <c r="M12" s="674"/>
      <c r="N12" s="674"/>
      <c r="O12" s="674"/>
      <c r="P12" s="674"/>
      <c r="Q12" s="674"/>
      <c r="R12" s="674"/>
      <c r="S12" s="674"/>
      <c r="T12" s="674"/>
      <c r="U12" s="674"/>
      <c r="V12" s="674"/>
      <c r="W12" s="255"/>
      <c r="X12" s="254"/>
      <c r="Y12" s="254"/>
      <c r="Z12" s="254"/>
      <c r="AA12" s="254"/>
      <c r="AB12" s="254"/>
      <c r="AC12" s="254"/>
      <c r="AD12" s="254"/>
      <c r="AE12" s="254"/>
      <c r="AF12" s="254"/>
      <c r="AG12" s="254"/>
      <c r="AH12" s="254"/>
      <c r="AI12" s="254"/>
      <c r="AJ12" s="254"/>
      <c r="AK12" s="254"/>
      <c r="AL12" s="254"/>
      <c r="AM12" s="254"/>
      <c r="AN12" s="254"/>
      <c r="AO12" s="254"/>
    </row>
    <row r="13" spans="1:43" ht="15.9" thickBot="1">
      <c r="B13" s="346">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5"/>
      <c r="X13" s="256"/>
      <c r="Y13" s="256"/>
      <c r="Z13" s="256"/>
      <c r="AA13" s="256"/>
      <c r="AB13" s="256"/>
      <c r="AC13" s="256"/>
      <c r="AD13" s="256"/>
      <c r="AE13" s="256"/>
      <c r="AF13" s="256"/>
      <c r="AG13" s="256"/>
      <c r="AH13" s="256"/>
      <c r="AI13" s="256"/>
      <c r="AJ13" s="256"/>
      <c r="AK13" s="256"/>
      <c r="AL13" s="256"/>
      <c r="AM13" s="256"/>
      <c r="AN13" s="256"/>
      <c r="AO13" s="256"/>
    </row>
    <row r="14" spans="1:43" ht="31.5" thickBot="1">
      <c r="A14" s="370" t="s">
        <v>564</v>
      </c>
      <c r="B14" s="352"/>
      <c r="C14" s="352">
        <v>1.5</v>
      </c>
      <c r="D14" s="352">
        <v>1.7</v>
      </c>
      <c r="E14" s="352">
        <v>1.5</v>
      </c>
      <c r="F14" s="352">
        <v>1.5</v>
      </c>
      <c r="G14" s="352">
        <v>1.6</v>
      </c>
      <c r="H14" s="352">
        <v>1.6</v>
      </c>
      <c r="I14" s="352">
        <v>1.6</v>
      </c>
      <c r="J14" s="352">
        <v>1.6</v>
      </c>
      <c r="K14" s="352">
        <v>1.7</v>
      </c>
      <c r="L14" s="352">
        <v>1.9</v>
      </c>
      <c r="M14" s="352">
        <v>1.9</v>
      </c>
      <c r="N14" s="352">
        <v>1.9</v>
      </c>
      <c r="O14" s="352">
        <v>2</v>
      </c>
      <c r="P14" s="352">
        <v>2.2000000000000002</v>
      </c>
      <c r="Q14" s="352">
        <v>2.2000000000000002</v>
      </c>
      <c r="R14" s="352">
        <v>2.2000000000000002</v>
      </c>
      <c r="S14" s="371">
        <v>2.2999999999999998</v>
      </c>
      <c r="W14" s="255"/>
      <c r="X14" s="257"/>
      <c r="Y14" s="257"/>
      <c r="Z14" s="257"/>
      <c r="AA14" s="257"/>
      <c r="AB14" s="257"/>
      <c r="AC14" s="257"/>
      <c r="AD14" s="257"/>
      <c r="AE14" s="257"/>
      <c r="AF14" s="257"/>
      <c r="AG14" s="257"/>
      <c r="AH14" s="257"/>
      <c r="AI14" s="257"/>
      <c r="AJ14" s="257"/>
      <c r="AK14" s="257"/>
      <c r="AL14" s="257"/>
      <c r="AM14" s="257"/>
      <c r="AN14" s="257"/>
    </row>
    <row r="15" spans="1:43">
      <c r="G15" s="638" t="s">
        <v>565</v>
      </c>
      <c r="H15" s="638"/>
      <c r="I15" s="638"/>
      <c r="J15" s="638">
        <v>1.7</v>
      </c>
      <c r="K15" s="638">
        <v>1.9</v>
      </c>
      <c r="W15" s="255"/>
      <c r="X15" s="257"/>
      <c r="Y15" s="257"/>
      <c r="Z15" s="257"/>
      <c r="AA15" s="257"/>
      <c r="AB15" s="257"/>
      <c r="AC15" s="257"/>
      <c r="AD15" s="257"/>
      <c r="AE15" s="257"/>
      <c r="AF15" s="257"/>
      <c r="AG15" s="257"/>
      <c r="AH15" s="257"/>
      <c r="AI15" s="257"/>
      <c r="AJ15" s="257"/>
      <c r="AK15" s="257"/>
      <c r="AL15" s="257"/>
      <c r="AM15" s="257"/>
      <c r="AN15" s="257"/>
    </row>
    <row r="16" spans="1:43">
      <c r="W16" s="255"/>
      <c r="X16" s="257"/>
      <c r="Y16" s="257"/>
      <c r="Z16" s="257"/>
      <c r="AA16" s="257"/>
      <c r="AB16" s="257"/>
      <c r="AC16" s="257"/>
      <c r="AD16" s="257"/>
      <c r="AE16" s="257"/>
      <c r="AF16" s="257"/>
      <c r="AG16" s="257"/>
      <c r="AH16" s="257"/>
      <c r="AI16" s="257"/>
      <c r="AJ16" s="257"/>
      <c r="AK16" s="257"/>
      <c r="AL16" s="257"/>
      <c r="AM16" s="257"/>
      <c r="AN16" s="257"/>
    </row>
    <row r="17" spans="1:41" ht="15.9" thickBot="1">
      <c r="W17" s="252" t="s">
        <v>566</v>
      </c>
      <c r="X17" s="257"/>
      <c r="Y17" s="257"/>
      <c r="Z17" s="257"/>
      <c r="AA17" s="257"/>
      <c r="AB17" s="257"/>
      <c r="AC17" s="257"/>
      <c r="AD17" s="257"/>
      <c r="AE17" s="257"/>
      <c r="AF17" s="257"/>
      <c r="AG17" s="257"/>
      <c r="AH17" s="257"/>
      <c r="AI17" s="257"/>
      <c r="AJ17" s="257"/>
      <c r="AK17" s="257"/>
      <c r="AL17" s="257"/>
      <c r="AM17" s="257"/>
      <c r="AN17" s="257"/>
      <c r="AO17" s="257"/>
    </row>
    <row r="18" spans="1:41">
      <c r="A18" s="364" t="s">
        <v>567</v>
      </c>
      <c r="B18" s="372">
        <v>1999</v>
      </c>
      <c r="C18" s="373">
        <v>2000</v>
      </c>
      <c r="D18" s="373">
        <v>2001</v>
      </c>
      <c r="E18" s="373">
        <v>2002</v>
      </c>
      <c r="F18" s="373">
        <v>2003</v>
      </c>
      <c r="G18" s="373">
        <v>2004</v>
      </c>
      <c r="H18" s="373">
        <v>2005</v>
      </c>
      <c r="I18" s="373">
        <v>2006</v>
      </c>
      <c r="J18" s="373">
        <v>2007</v>
      </c>
      <c r="K18" s="373">
        <v>2008</v>
      </c>
      <c r="L18" s="373">
        <v>2009</v>
      </c>
      <c r="M18" s="373">
        <v>2010</v>
      </c>
      <c r="N18" s="373">
        <v>2011</v>
      </c>
      <c r="O18" s="373">
        <v>2012</v>
      </c>
      <c r="P18" s="373">
        <v>2013</v>
      </c>
      <c r="Q18" s="373">
        <v>2014</v>
      </c>
      <c r="R18" s="373">
        <v>2015</v>
      </c>
      <c r="S18" s="373">
        <v>2016</v>
      </c>
      <c r="T18" s="372">
        <v>2017</v>
      </c>
      <c r="U18" s="373">
        <v>2018</v>
      </c>
      <c r="V18" s="374">
        <v>2019</v>
      </c>
      <c r="W18" s="252" t="s">
        <v>568</v>
      </c>
    </row>
    <row r="19" spans="1:41">
      <c r="A19" s="365" t="s">
        <v>515</v>
      </c>
      <c r="B19" s="258">
        <f>'NSDUH OUD HUD estimates'!B4/1000000</f>
        <v>0.23699779999999998</v>
      </c>
      <c r="C19" s="258">
        <f>'NSDUH OUD HUD estimates'!C4/1000000</f>
        <v>0.21566678</v>
      </c>
      <c r="D19" s="258">
        <f>'NSDUH OUD HUD estimates'!D4/1000000</f>
        <v>0.23535157999999998</v>
      </c>
      <c r="E19" s="258">
        <f>'NSDUH OUD HUD estimates'!E4/1000000</f>
        <v>0.245784</v>
      </c>
      <c r="F19" s="258">
        <f>'NSDUH OUD HUD estimates'!F4/1000000</f>
        <v>0.21632899999999999</v>
      </c>
      <c r="G19" s="258">
        <f>'NSDUH OUD HUD estimates'!G4/1000000</f>
        <v>0.28369</v>
      </c>
      <c r="H19" s="258">
        <f>'NSDUH OUD HUD estimates'!H4/1000000</f>
        <v>0.23424600000000001</v>
      </c>
      <c r="I19" s="258">
        <f>'NSDUH OUD HUD estimates'!I4/1000000</f>
        <v>0.31993199999999999</v>
      </c>
      <c r="J19" s="258">
        <f>'NSDUH OUD HUD estimates'!J4/1000000</f>
        <v>0.24826799999999999</v>
      </c>
      <c r="K19" s="258">
        <f>'NSDUH OUD HUD estimates'!K4/1000000</f>
        <v>0.329347</v>
      </c>
      <c r="L19" s="258">
        <f>'NSDUH OUD HUD estimates'!L4/1000000</f>
        <v>0.42324200000000001</v>
      </c>
      <c r="M19" s="258">
        <f>'NSDUH OUD HUD estimates'!M4/1000000</f>
        <v>0.42928699999999997</v>
      </c>
      <c r="N19" s="258">
        <f>'NSDUH OUD HUD estimates'!N4/1000000</f>
        <v>0.51131599999999999</v>
      </c>
      <c r="O19" s="258">
        <f>'NSDUH OUD HUD estimates'!O4/1000000</f>
        <v>0.50333600000000001</v>
      </c>
      <c r="P19" s="258">
        <f>'NSDUH OUD HUD estimates'!P4/1000000</f>
        <v>0.53588000000000002</v>
      </c>
      <c r="Q19" s="258">
        <f>'NSDUH OUD HUD estimates'!Q4/1000000</f>
        <v>0.62243099999999996</v>
      </c>
      <c r="R19" s="258">
        <f>'NSDUH OUD HUD estimates'!R4/1000000</f>
        <v>0.618367</v>
      </c>
      <c r="S19" s="258">
        <f>'NSDUH OUD HUD estimates'!S4/1000000</f>
        <v>0.64654599999999995</v>
      </c>
      <c r="T19" s="258">
        <f>'NSDUH OUD HUD estimates'!T4/1000000</f>
        <v>0.70512300000000006</v>
      </c>
      <c r="U19" s="258">
        <f>'NSDUH OUD HUD estimates'!U4/1000000</f>
        <v>0.59262899999999996</v>
      </c>
      <c r="V19" s="366">
        <f>'NSDUH OUD HUD estimates'!V4/1000000</f>
        <v>0.45663300000000001</v>
      </c>
      <c r="W19" s="252" t="s">
        <v>569</v>
      </c>
    </row>
    <row r="20" spans="1:41">
      <c r="A20" s="365" t="s">
        <v>525</v>
      </c>
      <c r="B20" s="258">
        <f>'NSDUH OUD HUD estimates'!B6/1000000</f>
        <v>0.1147078</v>
      </c>
      <c r="C20" s="258">
        <f>'NSDUH OUD HUD estimates'!C6/1000000</f>
        <v>0.11917721000000001</v>
      </c>
      <c r="D20" s="258">
        <f>'NSDUH OUD HUD estimates'!D6/1000000</f>
        <v>0.20481057</v>
      </c>
      <c r="E20" s="258">
        <f>'NSDUH OUD HUD estimates'!E6/1000000</f>
        <v>0.14496100000000001</v>
      </c>
      <c r="F20" s="258">
        <f>'NSDUH OUD HUD estimates'!F6/1000000</f>
        <v>0.112467</v>
      </c>
      <c r="G20" s="258">
        <f>'NSDUH OUD HUD estimates'!G6/1000000</f>
        <v>0.12773699999999999</v>
      </c>
      <c r="H20" s="258">
        <f>'NSDUH OUD HUD estimates'!H6/1000000</f>
        <v>0.14397299999999999</v>
      </c>
      <c r="I20" s="258">
        <f>'NSDUH OUD HUD estimates'!I6/1000000</f>
        <v>0.198182</v>
      </c>
      <c r="J20" s="258">
        <f>'NSDUH OUD HUD estimates'!J6/1000000</f>
        <v>0.103162</v>
      </c>
      <c r="K20" s="258">
        <f>'NSDUH OUD HUD estimates'!K6/1000000</f>
        <v>0.14049600000000001</v>
      </c>
      <c r="L20" s="258">
        <f>'NSDUH OUD HUD estimates'!L6/1000000</f>
        <v>0.21496599999999999</v>
      </c>
      <c r="M20" s="258">
        <f>'NSDUH OUD HUD estimates'!M6/1000000</f>
        <v>0.14616100000000001</v>
      </c>
      <c r="N20" s="258">
        <f>'NSDUH OUD HUD estimates'!N6/1000000</f>
        <v>0.134826</v>
      </c>
      <c r="O20" s="258">
        <f>'NSDUH OUD HUD estimates'!O6/1000000</f>
        <v>0.13331399999999999</v>
      </c>
      <c r="P20" s="258">
        <f>'NSDUH OUD HUD estimates'!P6/1000000</f>
        <v>0.15881600000000001</v>
      </c>
      <c r="Q20" s="258">
        <f>'NSDUH OUD HUD estimates'!Q6/1000000</f>
        <v>0.28039799999999998</v>
      </c>
      <c r="R20" s="258">
        <f>'NSDUH OUD HUD estimates'!R6/1000000</f>
        <v>0.183638</v>
      </c>
      <c r="S20" s="258">
        <f>'NSDUH OUD HUD estimates'!S6/1000000</f>
        <v>0.27637499999999998</v>
      </c>
      <c r="T20" s="258">
        <f>'NSDUH OUD HUD estimates'!T6/1000000</f>
        <v>0.25883699999999998</v>
      </c>
      <c r="U20" s="258">
        <f>'NSDUH OUD HUD estimates'!U6/1000000</f>
        <v>0.25988699999999998</v>
      </c>
      <c r="V20" s="366">
        <f>'NSDUH OUD HUD estimates'!V6/1000000</f>
        <v>0.26771400000000001</v>
      </c>
    </row>
    <row r="21" spans="1:41" ht="15.9" thickBot="1">
      <c r="A21" s="365" t="s">
        <v>570</v>
      </c>
      <c r="B21" s="258">
        <f>'NSDUH OUD HUD estimates'!B3/1000000</f>
        <v>1.1928299999999999E-2</v>
      </c>
      <c r="C21" s="258">
        <f>'NSDUH OUD HUD estimates'!C3/1000000</f>
        <v>7.0482700000000006E-3</v>
      </c>
      <c r="D21" s="258">
        <f>'NSDUH OUD HUD estimates'!D3/1000000</f>
        <v>2.4035849999999997E-2</v>
      </c>
      <c r="E21" s="258">
        <f>'NSDUH OUD HUD estimates'!E3/1000000</f>
        <v>3.4953999999999999E-2</v>
      </c>
      <c r="F21" s="258">
        <f>'NSDUH OUD HUD estimates'!F3/1000000</f>
        <v>1.7866E-2</v>
      </c>
      <c r="G21" s="258">
        <f>'NSDUH OUD HUD estimates'!G3/1000000</f>
        <v>3.7914999999999997E-2</v>
      </c>
      <c r="H21" s="258">
        <f>'NSDUH OUD HUD estimates'!H3/1000000</f>
        <v>2.2963000000000001E-2</v>
      </c>
      <c r="I21" s="258">
        <f>'NSDUH OUD HUD estimates'!I3/1000000</f>
        <v>2.7983000000000001E-2</v>
      </c>
      <c r="J21" s="258">
        <f>'NSDUH OUD HUD estimates'!J3/1000000</f>
        <v>4.8397000000000003E-2</v>
      </c>
      <c r="K21" s="258">
        <f>'NSDUH OUD HUD estimates'!K3/1000000</f>
        <v>5.0393E-2</v>
      </c>
      <c r="L21" s="258">
        <f>'NSDUH OUD HUD estimates'!L3/1000000</f>
        <v>7.2146000000000002E-2</v>
      </c>
      <c r="M21" s="258">
        <f>'NSDUH OUD HUD estimates'!M3/1000000</f>
        <v>0.10506799999999999</v>
      </c>
      <c r="N21" s="258">
        <f>'NSDUH OUD HUD estimates'!N3/1000000</f>
        <v>4.7419999999999997E-2</v>
      </c>
      <c r="O21" s="258">
        <f>'NSDUH OUD HUD estimates'!O3/1000000</f>
        <v>5.2733000000000002E-2</v>
      </c>
      <c r="P21" s="258">
        <f>'NSDUH OUD HUD estimates'!P3/1000000</f>
        <v>5.0313999999999998E-2</v>
      </c>
      <c r="Q21" s="258">
        <f>'NSDUH OUD HUD estimates'!Q3/1000000</f>
        <v>0.109871</v>
      </c>
      <c r="R21" s="258">
        <f>'NSDUH OUD HUD estimates'!R3/1000000</f>
        <v>8.5042000000000006E-2</v>
      </c>
      <c r="S21" s="258">
        <f>'NSDUH OUD HUD estimates'!S3/1000000</f>
        <v>5.3201999999999999E-2</v>
      </c>
      <c r="T21" s="258">
        <f>'NSDUH OUD HUD estimates'!T3/1000000</f>
        <v>3.6606E-2</v>
      </c>
      <c r="U21" s="258">
        <f>'NSDUH OUD HUD estimates'!U3/1000000</f>
        <v>3.8649000000000003E-2</v>
      </c>
      <c r="V21" s="366">
        <f>'NSDUH OUD HUD estimates'!V3/1000000</f>
        <v>2.3310000000000001E-2</v>
      </c>
    </row>
    <row r="22" spans="1:41" ht="65.849999999999994" customHeight="1" thickBot="1">
      <c r="A22" s="367" t="s">
        <v>571</v>
      </c>
      <c r="B22" s="368">
        <f t="shared" ref="B22:D22" si="14">SUM(B20,B21)</f>
        <v>0.1266361</v>
      </c>
      <c r="C22" s="368">
        <f t="shared" si="14"/>
        <v>0.12622548</v>
      </c>
      <c r="D22" s="368">
        <f t="shared" si="14"/>
        <v>0.22884641999999999</v>
      </c>
      <c r="E22" s="368">
        <f t="shared" ref="E22:V22" si="15">SUM(E20,E21)</f>
        <v>0.17991499999999999</v>
      </c>
      <c r="F22" s="368">
        <f t="shared" si="15"/>
        <v>0.130333</v>
      </c>
      <c r="G22" s="368">
        <f t="shared" si="15"/>
        <v>0.16565199999999999</v>
      </c>
      <c r="H22" s="368">
        <f t="shared" si="15"/>
        <v>0.166936</v>
      </c>
      <c r="I22" s="368">
        <f t="shared" si="15"/>
        <v>0.226165</v>
      </c>
      <c r="J22" s="368">
        <f t="shared" si="15"/>
        <v>0.151559</v>
      </c>
      <c r="K22" s="368">
        <f t="shared" si="15"/>
        <v>0.190889</v>
      </c>
      <c r="L22" s="368">
        <f t="shared" si="15"/>
        <v>0.28711199999999998</v>
      </c>
      <c r="M22" s="368">
        <f t="shared" si="15"/>
        <v>0.25122900000000004</v>
      </c>
      <c r="N22" s="368">
        <f t="shared" si="15"/>
        <v>0.18224599999999999</v>
      </c>
      <c r="O22" s="368">
        <f t="shared" si="15"/>
        <v>0.18604699999999999</v>
      </c>
      <c r="P22" s="368">
        <f t="shared" si="15"/>
        <v>0.20913000000000001</v>
      </c>
      <c r="Q22" s="368">
        <f t="shared" si="15"/>
        <v>0.39026899999999998</v>
      </c>
      <c r="R22" s="368">
        <f t="shared" si="15"/>
        <v>0.26868000000000003</v>
      </c>
      <c r="S22" s="368">
        <f t="shared" si="15"/>
        <v>0.32957700000000001</v>
      </c>
      <c r="T22" s="368">
        <f t="shared" si="15"/>
        <v>0.29544300000000001</v>
      </c>
      <c r="U22" s="368">
        <f t="shared" si="15"/>
        <v>0.29853599999999997</v>
      </c>
      <c r="V22" s="369">
        <f t="shared" si="15"/>
        <v>0.291024</v>
      </c>
      <c r="W22" s="375" t="s">
        <v>572</v>
      </c>
      <c r="X22" s="376">
        <f>AVERAGE(F24:T24)</f>
        <v>3.1112049297726161</v>
      </c>
      <c r="Y22" s="637" t="s">
        <v>573</v>
      </c>
    </row>
    <row r="23" spans="1:41" ht="15.9" thickBot="1">
      <c r="A23" s="259"/>
      <c r="W23" s="255"/>
      <c r="X23" s="377"/>
    </row>
    <row r="24" spans="1:41" ht="32.4" thickBot="1">
      <c r="A24" s="351" t="s">
        <v>574</v>
      </c>
      <c r="B24" s="390"/>
      <c r="C24" s="391"/>
      <c r="D24" s="390"/>
      <c r="E24" s="390"/>
      <c r="F24" s="353">
        <f t="shared" ref="F24:T24" si="16">E14/SUM(E19:E21)</f>
        <v>3.5236164520001223</v>
      </c>
      <c r="G24" s="353">
        <f t="shared" si="16"/>
        <v>4.3269813247486031</v>
      </c>
      <c r="H24" s="353">
        <f t="shared" si="16"/>
        <v>3.5607621811448746</v>
      </c>
      <c r="I24" s="353">
        <f t="shared" si="16"/>
        <v>3.9882148251915592</v>
      </c>
      <c r="J24" s="353">
        <f t="shared" si="16"/>
        <v>2.9298824201561264</v>
      </c>
      <c r="K24" s="353">
        <f t="shared" si="16"/>
        <v>4.0017307485487468</v>
      </c>
      <c r="L24" s="353">
        <f t="shared" si="16"/>
        <v>3.2677477144988041</v>
      </c>
      <c r="M24" s="353">
        <f t="shared" si="16"/>
        <v>2.6747227438713654</v>
      </c>
      <c r="N24" s="353">
        <f t="shared" si="16"/>
        <v>2.7919990125140339</v>
      </c>
      <c r="O24" s="353">
        <f t="shared" si="16"/>
        <v>2.7394811134404708</v>
      </c>
      <c r="P24" s="353">
        <f t="shared" si="16"/>
        <v>2.9011449368493278</v>
      </c>
      <c r="Q24" s="353">
        <f t="shared" si="16"/>
        <v>2.9529804969060822</v>
      </c>
      <c r="R24" s="353">
        <f t="shared" si="16"/>
        <v>2.1724103880714924</v>
      </c>
      <c r="S24" s="353">
        <f t="shared" si="16"/>
        <v>2.4801391583535035</v>
      </c>
      <c r="T24" s="353">
        <f t="shared" si="16"/>
        <v>2.356260430294133</v>
      </c>
      <c r="U24" s="390"/>
      <c r="V24" s="390"/>
    </row>
    <row r="25" spans="1:41" ht="15.6" customHeight="1" thickBot="1">
      <c r="A25" s="354"/>
      <c r="C25" s="347"/>
      <c r="F25" s="355"/>
      <c r="G25" s="355"/>
      <c r="H25" s="355"/>
      <c r="I25" s="355"/>
      <c r="J25" s="355"/>
      <c r="K25" s="355"/>
      <c r="L25" s="355"/>
      <c r="M25" s="355"/>
      <c r="N25" s="355"/>
      <c r="O25" s="355"/>
      <c r="P25" s="355"/>
      <c r="Q25" s="355"/>
      <c r="R25" s="355"/>
      <c r="S25" s="355"/>
      <c r="T25" s="355"/>
    </row>
    <row r="26" spans="1:41" ht="31.2">
      <c r="A26" s="363" t="s">
        <v>575</v>
      </c>
      <c r="B26" s="382">
        <v>1999</v>
      </c>
      <c r="C26" s="373">
        <v>2000</v>
      </c>
      <c r="D26" s="382">
        <v>2001</v>
      </c>
      <c r="E26" s="373">
        <v>2002</v>
      </c>
      <c r="F26" s="382">
        <v>2003</v>
      </c>
      <c r="G26" s="382">
        <v>2004</v>
      </c>
      <c r="H26" s="382">
        <v>2005</v>
      </c>
      <c r="I26" s="382">
        <v>2006</v>
      </c>
      <c r="J26" s="382">
        <v>2007</v>
      </c>
      <c r="K26" s="382">
        <v>2008</v>
      </c>
      <c r="L26" s="382">
        <v>2009</v>
      </c>
      <c r="M26" s="382">
        <v>2010</v>
      </c>
      <c r="N26" s="382">
        <v>2011</v>
      </c>
      <c r="O26" s="382">
        <v>2012</v>
      </c>
      <c r="P26" s="382">
        <v>2013</v>
      </c>
      <c r="Q26" s="382">
        <v>2014</v>
      </c>
      <c r="R26" s="382">
        <v>2015</v>
      </c>
      <c r="S26" s="382">
        <v>2016</v>
      </c>
      <c r="T26" s="382">
        <v>2017</v>
      </c>
      <c r="U26" s="382">
        <v>2018</v>
      </c>
      <c r="V26" s="404">
        <v>2019</v>
      </c>
    </row>
    <row r="27" spans="1:41">
      <c r="A27" s="357" t="s">
        <v>38</v>
      </c>
      <c r="B27" s="356">
        <f>'Initiation Data'!B6*'RAND Adjusted Estimates'!$X$22</f>
        <v>90224.942963405862</v>
      </c>
      <c r="C27" s="356">
        <f>'Initiation Data'!C6*'RAND Adjusted Estimates'!$X$22</f>
        <v>98900.418248348738</v>
      </c>
      <c r="D27" s="356">
        <f>'Initiation Data'!D6*'RAND Adjusted Estimates'!$X$22</f>
        <v>133602.31938812023</v>
      </c>
      <c r="E27" s="356">
        <f>'Initiation Data'!E6*'RAND Adjusted Estimates'!$X$22</f>
        <v>101503.06083383159</v>
      </c>
      <c r="F27" s="356">
        <f>'Initiation Data'!F6*'RAND Adjusted Estimates'!$X$22</f>
        <v>79814.372621474424</v>
      </c>
      <c r="G27" s="356">
        <f>'Initiation Data'!G6*'RAND Adjusted Estimates'!$X$22</f>
        <v>96611.100450833866</v>
      </c>
      <c r="H27" s="356">
        <f>'Initiation Data'!H6*'RAND Adjusted Estimates'!$X$22</f>
        <v>88423.719056695409</v>
      </c>
      <c r="I27" s="356">
        <f>'Initiation Data'!I6*'RAND Adjusted Estimates'!$X$22</f>
        <v>94288.557565557843</v>
      </c>
      <c r="J27" s="356">
        <f>'Initiation Data'!J6*'RAND Adjusted Estimates'!$X$22</f>
        <v>111050.9677994348</v>
      </c>
      <c r="K27" s="356">
        <f>'Initiation Data'!K6*'RAND Adjusted Estimates'!$X$22</f>
        <v>108269.93155608705</v>
      </c>
      <c r="L27" s="356">
        <f>'Initiation Data'!L6*'RAND Adjusted Estimates'!$X$22</f>
        <v>174538.59656024375</v>
      </c>
      <c r="M27" s="356">
        <f>'Initiation Data'!M6*'RAND Adjusted Estimates'!$X$22</f>
        <v>190897.38890086298</v>
      </c>
      <c r="N27" s="356">
        <f>'Initiation Data'!N6*'RAND Adjusted Estimates'!$X$22</f>
        <v>239293.91003065923</v>
      </c>
      <c r="O27" s="356">
        <f>'Initiation Data'!O6*'RAND Adjusted Estimates'!$X$22</f>
        <v>232252.40236486623</v>
      </c>
      <c r="P27" s="356">
        <f>'Initiation Data'!P6*'RAND Adjusted Estimates'!$X$22</f>
        <v>251606.76922860506</v>
      </c>
      <c r="Q27" s="356">
        <f>'Initiation Data'!Q6*'RAND Adjusted Estimates'!$X$22</f>
        <v>252320.80786155901</v>
      </c>
      <c r="R27" s="356">
        <f>'Initiation Data'!R6*'RAND Adjusted Estimates'!$X$22</f>
        <v>160675.98613825691</v>
      </c>
      <c r="S27" s="356">
        <f>'Initiation Data'!S6*'RAND Adjusted Estimates'!$X$22</f>
        <v>202332.72328521241</v>
      </c>
      <c r="T27" s="356">
        <f>'Initiation Data'!T6*'RAND Adjusted Estimates'!$X$22</f>
        <v>88100.217645512384</v>
      </c>
      <c r="U27" s="356">
        <f>'Initiation Data'!U6*'RAND Adjusted Estimates'!$X$22</f>
        <v>135611.93252714758</v>
      </c>
      <c r="V27" s="359">
        <f>'Initiation Data'!V6*'RAND Adjusted Estimates'!$X$22</f>
        <v>56912.285300718584</v>
      </c>
    </row>
    <row r="28" spans="1:41">
      <c r="A28" s="357" t="s">
        <v>576</v>
      </c>
      <c r="B28" s="268">
        <f>'Initiation Data'!B7*$X$22</f>
        <v>124448.19719090464</v>
      </c>
      <c r="C28" s="268">
        <f>'Initiation Data'!C7*$X$22</f>
        <v>136414.36999772242</v>
      </c>
      <c r="D28" s="268">
        <f>'Initiation Data'!D7*$X$22</f>
        <v>184279.06122499343</v>
      </c>
      <c r="E28" s="268">
        <f>'Initiation Data'!E7*$X$22</f>
        <v>140004.22183976774</v>
      </c>
      <c r="F28" s="268">
        <f>'Initiation Data'!F7*$X$22</f>
        <v>110088.78982272335</v>
      </c>
      <c r="G28" s="268">
        <f>'Initiation Data'!G7*$X$22</f>
        <v>135255.54063116742</v>
      </c>
      <c r="H28" s="268">
        <f>'Initiation Data'!H7*$X$22</f>
        <v>123793.20667937357</v>
      </c>
      <c r="I28" s="268">
        <f>'Initiation Data'!I7*$X$22</f>
        <v>117146.3897026628</v>
      </c>
      <c r="J28" s="268">
        <f>'Initiation Data'!J7*$X$22</f>
        <v>137972.41453869175</v>
      </c>
      <c r="K28" s="268">
        <f>'Initiation Data'!K7*$X$22</f>
        <v>156389.90113657017</v>
      </c>
      <c r="L28" s="268">
        <f>'Initiation Data'!L7*$X$22</f>
        <v>252111.30614257435</v>
      </c>
      <c r="M28" s="268">
        <f>'Initiation Data'!M7*$X$22</f>
        <v>158172.12223214359</v>
      </c>
      <c r="N28" s="268">
        <f>'Initiation Data'!N7*$X$22</f>
        <v>198272.0968825462</v>
      </c>
      <c r="O28" s="268">
        <f>'Initiation Data'!O7*$X$22</f>
        <v>178655.69412682016</v>
      </c>
      <c r="P28" s="268">
        <f>'Initiation Data'!P7*$X$22</f>
        <v>193543.6686373885</v>
      </c>
      <c r="Q28" s="268">
        <f>'Initiation Data'!Q7*$X$22</f>
        <v>243467.4461822061</v>
      </c>
      <c r="R28" s="268">
        <f>'Initiation Data'!R7*$X$22</f>
        <v>155038.23223866898</v>
      </c>
      <c r="S28" s="268">
        <f>'Initiation Data'!S7*$X$22</f>
        <v>195233.32948573129</v>
      </c>
      <c r="T28" s="268">
        <f>'Initiation Data'!T7*$X$22</f>
        <v>114735.16716624868</v>
      </c>
      <c r="U28" s="268">
        <f>'Initiation Data'!U7*$X$22</f>
        <v>124905.72732763592</v>
      </c>
      <c r="V28" s="358">
        <f>'Initiation Data'!V7*$X$22</f>
        <v>32250.295003740532</v>
      </c>
    </row>
    <row r="29" spans="1:41">
      <c r="A29" s="357" t="s">
        <v>560</v>
      </c>
      <c r="B29" s="356">
        <f>'Initiation Data'!B8*$X$22</f>
        <v>108892.17254204156</v>
      </c>
      <c r="C29" s="356">
        <f>'Initiation Data'!C8*$X$22</f>
        <v>119362.5737480071</v>
      </c>
      <c r="D29" s="356">
        <f>'Initiation Data'!D8*$X$22</f>
        <v>161244.17857186924</v>
      </c>
      <c r="E29" s="356">
        <f>'Initiation Data'!E8*$X$22</f>
        <v>122503.69410979676</v>
      </c>
      <c r="F29" s="356">
        <f>'Initiation Data'!F8*$X$22</f>
        <v>96327.691094882932</v>
      </c>
      <c r="G29" s="356">
        <f>'Initiation Data'!G8*$X$22</f>
        <v>135255.54063116742</v>
      </c>
      <c r="H29" s="356">
        <f>'Initiation Data'!H8*$X$22</f>
        <v>123793.20667937357</v>
      </c>
      <c r="I29" s="356">
        <f>'Initiation Data'!I8*$X$22</f>
        <v>68573.496411314802</v>
      </c>
      <c r="J29" s="356">
        <f>'Initiation Data'!J8*$X$22</f>
        <v>80764.340217770761</v>
      </c>
      <c r="K29" s="356">
        <f>'Initiation Data'!K8*$X$22</f>
        <v>96239.939160966256</v>
      </c>
      <c r="L29" s="356">
        <f>'Initiation Data'!L8*$X$22</f>
        <v>155145.41916466111</v>
      </c>
      <c r="M29" s="356">
        <f>'Initiation Data'!M8*$X$22</f>
        <v>92721.588894704881</v>
      </c>
      <c r="N29" s="356">
        <f>'Initiation Data'!N8*$X$22</f>
        <v>116228.47058632018</v>
      </c>
      <c r="O29" s="356">
        <f>'Initiation Data'!O8*$X$22</f>
        <v>74439.872552841727</v>
      </c>
      <c r="P29" s="356">
        <f>'Initiation Data'!P8*$X$22</f>
        <v>80643.195265578557</v>
      </c>
      <c r="Q29" s="356">
        <f>'Initiation Data'!Q8*$X$22</f>
        <v>163787.19106802953</v>
      </c>
      <c r="R29" s="356">
        <f>'Initiation Data'!R8*$X$22</f>
        <v>104298.44714237729</v>
      </c>
      <c r="S29" s="356">
        <f>'Initiation Data'!S8*$X$22</f>
        <v>131338.78529040102</v>
      </c>
      <c r="T29" s="356">
        <f>'Initiation Data'!T8*$X$22</f>
        <v>49172.214499820861</v>
      </c>
      <c r="U29" s="356">
        <f>'Initiation Data'!U8*$X$22</f>
        <v>103493.31692861259</v>
      </c>
      <c r="V29" s="359">
        <f>'Initiation Data'!V8*$X$22</f>
        <v>66397.666184171685</v>
      </c>
    </row>
    <row r="30" spans="1:41" ht="15.9" thickBot="1">
      <c r="A30" s="360" t="s">
        <v>41</v>
      </c>
      <c r="B30" s="361">
        <f>'Initiation Data'!B5*$X$22</f>
        <v>323565.31269635208</v>
      </c>
      <c r="C30" s="361">
        <f>'Initiation Data'!C5*$X$22</f>
        <v>354677.36199407821</v>
      </c>
      <c r="D30" s="361">
        <f>'Initiation Data'!D5*$X$22</f>
        <v>479125.55918498285</v>
      </c>
      <c r="E30" s="361">
        <f>'Initiation Data'!E5*$X$22</f>
        <v>364010.97678339609</v>
      </c>
      <c r="F30" s="361">
        <f>'Initiation Data'!F5*$X$22</f>
        <v>286230.85353908071</v>
      </c>
      <c r="G30" s="361">
        <f>'Initiation Data'!G5*$X$22</f>
        <v>367122.18171316868</v>
      </c>
      <c r="H30" s="361">
        <f>'Initiation Data'!H5*$X$22</f>
        <v>336010.13241544255</v>
      </c>
      <c r="I30" s="361">
        <f>'Initiation Data'!I5*$X$22</f>
        <v>280008.44367953547</v>
      </c>
      <c r="J30" s="361">
        <f>'Initiation Data'!J5*$X$22</f>
        <v>329787.72255589732</v>
      </c>
      <c r="K30" s="361">
        <f>'Initiation Data'!K5*$X$22</f>
        <v>360899.77185362345</v>
      </c>
      <c r="L30" s="361">
        <f>'Initiation Data'!L5*$X$22</f>
        <v>581795.32186747924</v>
      </c>
      <c r="M30" s="361">
        <f>'Initiation Data'!M5*$X$22</f>
        <v>441791.10002771148</v>
      </c>
      <c r="N30" s="361">
        <f>'Initiation Data'!N5*$X$22</f>
        <v>553794.47749952564</v>
      </c>
      <c r="O30" s="361">
        <f>'Initiation Data'!O5*$X$22</f>
        <v>485347.96904452809</v>
      </c>
      <c r="P30" s="361">
        <f>'Initiation Data'!P5*$X$22</f>
        <v>525793.63313157216</v>
      </c>
      <c r="Q30" s="361">
        <f>'Initiation Data'!Q5*$X$22</f>
        <v>659575.44511179463</v>
      </c>
      <c r="R30" s="361">
        <f>'Initiation Data'!R5*$X$22</f>
        <v>420012.66551930318</v>
      </c>
      <c r="S30" s="361">
        <f>'Initiation Data'!S5*$X$22</f>
        <v>528904.83806134469</v>
      </c>
      <c r="T30" s="361">
        <f>'Initiation Data'!T5*$X$22</f>
        <v>252007.5993115819</v>
      </c>
      <c r="U30" s="361">
        <f>'Initiation Data'!U5*$X$22</f>
        <v>364010.97678339609</v>
      </c>
      <c r="V30" s="362">
        <f>'Initiation Data'!V5*$X$22</f>
        <v>155560.2464886308</v>
      </c>
    </row>
    <row r="31" spans="1:41" ht="15.6" customHeight="1" thickBot="1">
      <c r="A31" s="260"/>
      <c r="C31" s="260"/>
      <c r="F31" s="253"/>
      <c r="G31" s="253"/>
      <c r="H31" s="253"/>
      <c r="I31" s="253"/>
      <c r="J31" s="253"/>
      <c r="K31" s="253"/>
      <c r="L31" s="253"/>
      <c r="M31" s="253"/>
      <c r="N31" s="253"/>
      <c r="O31" s="253"/>
      <c r="P31" s="253"/>
      <c r="Q31" s="253"/>
      <c r="R31" s="253"/>
      <c r="S31" s="253"/>
      <c r="T31" s="253"/>
      <c r="U31" s="253"/>
      <c r="V31" s="253"/>
    </row>
    <row r="32" spans="1:41" ht="31.2">
      <c r="A32" s="363" t="s">
        <v>577</v>
      </c>
      <c r="B32" s="382">
        <v>1999</v>
      </c>
      <c r="C32" s="373">
        <v>2000</v>
      </c>
      <c r="D32" s="382">
        <v>2001</v>
      </c>
      <c r="E32" s="373">
        <v>2002</v>
      </c>
      <c r="F32" s="382">
        <v>2003</v>
      </c>
      <c r="G32" s="382">
        <v>2004</v>
      </c>
      <c r="H32" s="382">
        <v>2005</v>
      </c>
      <c r="I32" s="382">
        <v>2006</v>
      </c>
      <c r="J32" s="382">
        <v>2007</v>
      </c>
      <c r="K32" s="382">
        <v>2008</v>
      </c>
      <c r="L32" s="382">
        <v>2009</v>
      </c>
      <c r="M32" s="382">
        <v>2010</v>
      </c>
      <c r="N32" s="382">
        <v>2011</v>
      </c>
      <c r="O32" s="382">
        <v>2012</v>
      </c>
      <c r="P32" s="382">
        <v>2013</v>
      </c>
      <c r="Q32" s="382">
        <v>2014</v>
      </c>
      <c r="R32" s="382">
        <v>2015</v>
      </c>
      <c r="S32" s="382">
        <v>2016</v>
      </c>
      <c r="T32" s="382">
        <v>2017</v>
      </c>
      <c r="U32" s="382">
        <v>2018</v>
      </c>
      <c r="V32" s="404">
        <v>2019</v>
      </c>
    </row>
    <row r="33" spans="1:22">
      <c r="A33" s="365" t="s">
        <v>578</v>
      </c>
      <c r="B33" s="378">
        <f t="shared" ref="B33:V33" si="17">B19*$X$22*$B$36</f>
        <v>737348.72370526451</v>
      </c>
      <c r="C33" s="378">
        <f t="shared" si="17"/>
        <v>670983.54912418628</v>
      </c>
      <c r="D33" s="378">
        <f t="shared" si="17"/>
        <v>732226.9959257741</v>
      </c>
      <c r="E33" s="378">
        <f t="shared" si="17"/>
        <v>764684.39245923271</v>
      </c>
      <c r="F33" s="378">
        <f t="shared" si="17"/>
        <v>673043.85125278018</v>
      </c>
      <c r="G33" s="378">
        <f t="shared" si="17"/>
        <v>882617.72652719344</v>
      </c>
      <c r="H33" s="378">
        <f t="shared" si="17"/>
        <v>728787.3099795162</v>
      </c>
      <c r="I33" s="378">
        <f t="shared" si="17"/>
        <v>995374.01559201255</v>
      </c>
      <c r="J33" s="378">
        <f t="shared" si="17"/>
        <v>772412.62550478789</v>
      </c>
      <c r="K33" s="378">
        <f t="shared" si="17"/>
        <v>1024666.0100058218</v>
      </c>
      <c r="L33" s="378">
        <f t="shared" si="17"/>
        <v>1316792.5968868218</v>
      </c>
      <c r="M33" s="378">
        <f t="shared" si="17"/>
        <v>1335599.830687297</v>
      </c>
      <c r="N33" s="378">
        <f t="shared" si="17"/>
        <v>1590808.859871615</v>
      </c>
      <c r="O33" s="378">
        <f t="shared" si="17"/>
        <v>1565981.4445320296</v>
      </c>
      <c r="P33" s="378">
        <f t="shared" si="17"/>
        <v>1667232.4977665495</v>
      </c>
      <c r="Q33" s="378">
        <f t="shared" si="17"/>
        <v>1936510.395643299</v>
      </c>
      <c r="R33" s="378">
        <f t="shared" si="17"/>
        <v>1923866.4588087033</v>
      </c>
      <c r="S33" s="378">
        <f t="shared" si="17"/>
        <v>2011537.1025247658</v>
      </c>
      <c r="T33" s="378">
        <f t="shared" si="17"/>
        <v>2193782.1536960565</v>
      </c>
      <c r="U33" s="378">
        <f t="shared" si="17"/>
        <v>1843790.2663262156</v>
      </c>
      <c r="V33" s="379">
        <f t="shared" si="17"/>
        <v>1420678.8406968592</v>
      </c>
    </row>
    <row r="34" spans="1:22">
      <c r="A34" s="365" t="s">
        <v>579</v>
      </c>
      <c r="B34" s="268">
        <f t="shared" ref="B34:V34" si="18">B20*$X$22*$B$36</f>
        <v>356879.47284337127</v>
      </c>
      <c r="C34" s="268">
        <f t="shared" si="18"/>
        <v>370784.72326854634</v>
      </c>
      <c r="D34" s="268">
        <f t="shared" si="18"/>
        <v>637207.65505353943</v>
      </c>
      <c r="E34" s="268">
        <f t="shared" si="18"/>
        <v>451003.37782476825</v>
      </c>
      <c r="F34" s="268">
        <f t="shared" si="18"/>
        <v>349907.88483673678</v>
      </c>
      <c r="G34" s="268">
        <f t="shared" si="18"/>
        <v>397415.9841143646</v>
      </c>
      <c r="H34" s="268">
        <f t="shared" si="18"/>
        <v>447929.5073541528</v>
      </c>
      <c r="I34" s="268">
        <f t="shared" si="18"/>
        <v>616584.81539219653</v>
      </c>
      <c r="J34" s="268">
        <f t="shared" si="18"/>
        <v>320958.12296520267</v>
      </c>
      <c r="K34" s="268">
        <f t="shared" si="18"/>
        <v>437111.8478133335</v>
      </c>
      <c r="L34" s="268">
        <f t="shared" si="18"/>
        <v>668803.27893350006</v>
      </c>
      <c r="M34" s="268">
        <f t="shared" si="18"/>
        <v>454736.82374049543</v>
      </c>
      <c r="N34" s="268">
        <f t="shared" si="18"/>
        <v>419471.31586152274</v>
      </c>
      <c r="O34" s="268">
        <f t="shared" si="18"/>
        <v>414767.17400770652</v>
      </c>
      <c r="P34" s="268">
        <f t="shared" si="18"/>
        <v>494109.12212676782</v>
      </c>
      <c r="Q34" s="268">
        <f t="shared" si="18"/>
        <v>872375.63989838201</v>
      </c>
      <c r="R34" s="268">
        <f t="shared" si="18"/>
        <v>571335.45089358359</v>
      </c>
      <c r="S34" s="268">
        <f t="shared" si="18"/>
        <v>859859.26246590668</v>
      </c>
      <c r="T34" s="268">
        <f t="shared" si="18"/>
        <v>805294.95040755463</v>
      </c>
      <c r="U34" s="268">
        <f t="shared" si="18"/>
        <v>808561.71558381582</v>
      </c>
      <c r="V34" s="358">
        <f t="shared" si="18"/>
        <v>832913.11656914616</v>
      </c>
    </row>
    <row r="35" spans="1:22" ht="15.9" thickBot="1">
      <c r="A35" s="367" t="s">
        <v>580</v>
      </c>
      <c r="B35" s="380">
        <f t="shared" ref="B35:V35" si="19">B21*$X$22*$B$36</f>
        <v>37111.385763806698</v>
      </c>
      <c r="C35" s="380">
        <f t="shared" si="19"/>
        <v>21928.612370368439</v>
      </c>
      <c r="D35" s="380">
        <f t="shared" si="19"/>
        <v>74780.455011275131</v>
      </c>
      <c r="E35" s="380">
        <f t="shared" si="19"/>
        <v>108749.05711527202</v>
      </c>
      <c r="F35" s="380">
        <f t="shared" si="19"/>
        <v>55584.787275317554</v>
      </c>
      <c r="G35" s="380">
        <f t="shared" si="19"/>
        <v>117961.33491232873</v>
      </c>
      <c r="H35" s="380">
        <f t="shared" si="19"/>
        <v>71442.598802368579</v>
      </c>
      <c r="I35" s="380">
        <f t="shared" si="19"/>
        <v>87060.847549827129</v>
      </c>
      <c r="J35" s="380">
        <f t="shared" si="19"/>
        <v>150572.98498620529</v>
      </c>
      <c r="K35" s="380">
        <f t="shared" si="19"/>
        <v>156782.95002603144</v>
      </c>
      <c r="L35" s="380">
        <f t="shared" si="19"/>
        <v>224460.99086337516</v>
      </c>
      <c r="M35" s="380">
        <f t="shared" si="19"/>
        <v>326888.07956134918</v>
      </c>
      <c r="N35" s="380">
        <f t="shared" si="19"/>
        <v>147533.33776981744</v>
      </c>
      <c r="O35" s="380">
        <f t="shared" si="19"/>
        <v>164063.16956169935</v>
      </c>
      <c r="P35" s="380">
        <f t="shared" si="19"/>
        <v>156537.16483657941</v>
      </c>
      <c r="Q35" s="380">
        <f t="shared" si="19"/>
        <v>341831.19683904713</v>
      </c>
      <c r="R35" s="380">
        <f t="shared" si="19"/>
        <v>264583.08963772282</v>
      </c>
      <c r="S35" s="380">
        <f t="shared" si="19"/>
        <v>165522.32467376272</v>
      </c>
      <c r="T35" s="380">
        <f t="shared" si="19"/>
        <v>113888.76765925638</v>
      </c>
      <c r="U35" s="380">
        <f t="shared" si="19"/>
        <v>120244.95933078184</v>
      </c>
      <c r="V35" s="381">
        <f t="shared" si="19"/>
        <v>72522.186912999678</v>
      </c>
    </row>
    <row r="36" spans="1:22">
      <c r="B36" s="350">
        <v>1000000</v>
      </c>
    </row>
    <row r="37" spans="1:22" ht="15.6" customHeight="1" thickBot="1"/>
    <row r="38" spans="1:22" ht="31.2">
      <c r="A38" s="363" t="s">
        <v>581</v>
      </c>
      <c r="B38" s="386"/>
      <c r="C38" s="386"/>
      <c r="D38" s="386"/>
      <c r="E38" s="386"/>
      <c r="F38" s="386"/>
      <c r="G38" s="386"/>
      <c r="H38" s="386"/>
      <c r="I38" s="373">
        <v>2006</v>
      </c>
      <c r="J38" s="373">
        <v>2007</v>
      </c>
      <c r="K38" s="373">
        <v>2008</v>
      </c>
      <c r="L38" s="373">
        <v>2009</v>
      </c>
      <c r="M38" s="373">
        <v>2010</v>
      </c>
      <c r="N38" s="373">
        <v>2011</v>
      </c>
      <c r="O38" s="373">
        <v>2012</v>
      </c>
      <c r="P38" s="373">
        <v>2013</v>
      </c>
      <c r="Q38" s="373">
        <v>2014</v>
      </c>
      <c r="R38" s="373">
        <v>2015</v>
      </c>
      <c r="S38" s="374">
        <v>2016</v>
      </c>
      <c r="U38" s="173"/>
      <c r="V38" s="173"/>
    </row>
    <row r="39" spans="1:22">
      <c r="A39" s="365" t="s">
        <v>582</v>
      </c>
      <c r="B39" s="261"/>
      <c r="C39" s="261"/>
      <c r="D39" s="387"/>
      <c r="E39" s="387"/>
      <c r="F39" s="387"/>
      <c r="G39" s="387"/>
      <c r="H39" s="387"/>
      <c r="I39" s="252">
        <v>1.1000000000000001</v>
      </c>
      <c r="J39" s="252">
        <v>1</v>
      </c>
      <c r="K39" s="252">
        <v>1.1000000000000001</v>
      </c>
      <c r="L39" s="252">
        <v>1.2</v>
      </c>
      <c r="M39" s="252">
        <v>1.2</v>
      </c>
      <c r="N39" s="252">
        <v>1.2</v>
      </c>
      <c r="O39" s="252">
        <v>1.3</v>
      </c>
      <c r="P39" s="252">
        <v>1.4</v>
      </c>
      <c r="Q39" s="252">
        <v>1.5</v>
      </c>
      <c r="R39" s="252">
        <v>1.4</v>
      </c>
      <c r="S39" s="383">
        <v>1.5</v>
      </c>
      <c r="U39" s="260"/>
    </row>
    <row r="40" spans="1:22">
      <c r="A40" s="365" t="s">
        <v>583</v>
      </c>
      <c r="B40" s="261"/>
      <c r="C40" s="261"/>
      <c r="D40" s="261"/>
      <c r="E40" s="261"/>
      <c r="F40" s="387"/>
      <c r="G40" s="387"/>
      <c r="H40" s="387"/>
      <c r="I40" s="252">
        <v>0.3</v>
      </c>
      <c r="J40" s="252">
        <v>0.2</v>
      </c>
      <c r="K40" s="252">
        <v>0.3</v>
      </c>
      <c r="L40" s="252">
        <v>0.3</v>
      </c>
      <c r="M40" s="252">
        <v>0.3</v>
      </c>
      <c r="N40" s="252">
        <v>0.3</v>
      </c>
      <c r="O40" s="252">
        <v>0.3</v>
      </c>
      <c r="P40" s="252">
        <v>0.3</v>
      </c>
      <c r="Q40" s="252">
        <v>0.3</v>
      </c>
      <c r="R40" s="252">
        <v>0.3</v>
      </c>
      <c r="S40" s="383">
        <v>0.4</v>
      </c>
    </row>
    <row r="41" spans="1:22" ht="15.9" thickBot="1">
      <c r="A41" s="367" t="s">
        <v>584</v>
      </c>
      <c r="B41" s="388"/>
      <c r="C41" s="388"/>
      <c r="D41" s="388"/>
      <c r="E41" s="388"/>
      <c r="F41" s="389"/>
      <c r="G41" s="389"/>
      <c r="H41" s="389"/>
      <c r="I41" s="384">
        <v>0.3</v>
      </c>
      <c r="J41" s="384">
        <v>0.3</v>
      </c>
      <c r="K41" s="384">
        <v>0.3</v>
      </c>
      <c r="L41" s="384">
        <v>0.4</v>
      </c>
      <c r="M41" s="384">
        <v>0.4</v>
      </c>
      <c r="N41" s="384">
        <v>0.4</v>
      </c>
      <c r="O41" s="384">
        <v>0.4</v>
      </c>
      <c r="P41" s="384">
        <v>0.4</v>
      </c>
      <c r="Q41" s="384">
        <v>0.4</v>
      </c>
      <c r="R41" s="384">
        <v>0.4</v>
      </c>
      <c r="S41" s="385">
        <v>0.4</v>
      </c>
    </row>
    <row r="42" spans="1:22">
      <c r="A42" s="392" t="s">
        <v>585</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0"/>
  <sheetViews>
    <sheetView zoomScale="85" zoomScaleNormal="85" workbookViewId="0">
      <pane xSplit="1" ySplit="1" topLeftCell="S2" activePane="bottomRight" state="frozen"/>
      <selection pane="topRight" activeCell="B1" sqref="B1"/>
      <selection pane="bottomLeft" activeCell="A2" sqref="A2"/>
      <selection pane="bottomRight" activeCell="AK3" sqref="AK3"/>
    </sheetView>
  </sheetViews>
  <sheetFormatPr defaultColWidth="8.83984375" defaultRowHeight="14.4"/>
  <cols>
    <col min="1" max="1" width="14.26171875" style="49" customWidth="1"/>
    <col min="2" max="4" width="16.41796875" style="49" customWidth="1"/>
    <col min="5" max="21" width="16.41796875" customWidth="1"/>
    <col min="22" max="22" width="17.83984375" customWidth="1"/>
    <col min="23" max="23" width="19.26171875" customWidth="1"/>
    <col min="24" max="24" width="16.26171875" bestFit="1" customWidth="1"/>
    <col min="25" max="29" width="13.15625" bestFit="1" customWidth="1"/>
    <col min="30" max="30" width="13.26171875" customWidth="1"/>
    <col min="31" max="33" width="13.15625" bestFit="1" customWidth="1"/>
    <col min="34" max="34" width="14.578125" bestFit="1" customWidth="1"/>
    <col min="35" max="35" width="12.83984375" customWidth="1"/>
    <col min="36" max="36" width="31.15625" customWidth="1"/>
    <col min="37" max="37" width="21.26171875" customWidth="1"/>
    <col min="38" max="38" width="22" customWidth="1"/>
    <col min="39" max="39" width="12.68359375" customWidth="1"/>
  </cols>
  <sheetData>
    <row r="1" spans="1:40" ht="50.1" customHeight="1">
      <c r="A1" s="660" t="s">
        <v>586</v>
      </c>
      <c r="B1" s="660"/>
      <c r="C1" s="660"/>
      <c r="D1" s="660"/>
      <c r="E1" s="660"/>
      <c r="F1" s="660"/>
      <c r="G1" s="660"/>
      <c r="H1" s="660"/>
      <c r="I1" s="660"/>
      <c r="J1" s="660"/>
      <c r="K1" s="660"/>
      <c r="L1" s="660"/>
      <c r="M1" s="660"/>
      <c r="N1" s="660"/>
      <c r="O1" s="660"/>
      <c r="P1" s="660"/>
      <c r="Q1" s="660"/>
      <c r="R1" s="660"/>
      <c r="S1" s="660"/>
      <c r="T1" s="660"/>
      <c r="U1" s="660"/>
      <c r="V1" s="660"/>
      <c r="W1" s="660"/>
      <c r="X1" s="660"/>
      <c r="Y1" s="660"/>
      <c r="Z1" s="660"/>
      <c r="AA1" s="660"/>
      <c r="AB1" s="660"/>
      <c r="AC1" s="660"/>
      <c r="AD1" s="660"/>
      <c r="AE1" s="660"/>
      <c r="AF1" s="660"/>
      <c r="AG1" s="660"/>
      <c r="AH1" s="660"/>
    </row>
    <row r="2" spans="1:40" ht="25.9" customHeight="1">
      <c r="AI2" s="39"/>
    </row>
    <row r="3" spans="1:40" ht="54" customHeight="1">
      <c r="AI3" s="39"/>
    </row>
    <row r="4" spans="1:40" ht="14.7"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29.7">
      <c r="A6" s="295"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6">
        <f t="shared" ref="X6:AH6" si="0">$X$7*LN(X9)+$X$8</f>
        <v>110264.39797657644</v>
      </c>
      <c r="Y6" s="306">
        <f t="shared" si="0"/>
        <v>121645.96380898623</v>
      </c>
      <c r="Z6" s="306">
        <f t="shared" si="0"/>
        <v>130474.1921296303</v>
      </c>
      <c r="AA6" s="306">
        <f t="shared" si="0"/>
        <v>137687.37988106953</v>
      </c>
      <c r="AB6" s="306">
        <f t="shared" si="0"/>
        <v>143786.04322707537</v>
      </c>
      <c r="AC6" s="306">
        <f t="shared" si="0"/>
        <v>149068.94571347936</v>
      </c>
      <c r="AD6" s="306">
        <f t="shared" si="0"/>
        <v>153728.79595315288</v>
      </c>
      <c r="AE6" s="306">
        <f t="shared" si="0"/>
        <v>157897.17403412343</v>
      </c>
      <c r="AF6" s="306">
        <f t="shared" si="0"/>
        <v>161667.93067772192</v>
      </c>
      <c r="AG6" s="306">
        <f t="shared" si="0"/>
        <v>165110.36178556265</v>
      </c>
      <c r="AH6" s="290">
        <f t="shared" si="0"/>
        <v>168277.09142925078</v>
      </c>
      <c r="AN6" s="269"/>
    </row>
    <row r="7" spans="1:40">
      <c r="A7" s="295"/>
      <c r="W7" s="313" t="s">
        <v>587</v>
      </c>
      <c r="X7" s="305">
        <v>39563</v>
      </c>
      <c r="Y7" s="303"/>
      <c r="Z7" s="303"/>
      <c r="AA7" s="303"/>
      <c r="AB7" s="303"/>
      <c r="AC7" s="303"/>
      <c r="AD7" s="303"/>
      <c r="AE7" s="303"/>
      <c r="AF7" s="303"/>
      <c r="AG7" s="303"/>
      <c r="AH7" s="304"/>
    </row>
    <row r="8" spans="1:40">
      <c r="A8" s="295"/>
      <c r="W8" s="305" t="s">
        <v>588</v>
      </c>
      <c r="X8" s="305">
        <v>66800</v>
      </c>
      <c r="Y8" s="303"/>
      <c r="Z8" s="303"/>
      <c r="AA8" s="303"/>
      <c r="AB8" s="303"/>
      <c r="AC8" s="303"/>
      <c r="AD8" s="303"/>
      <c r="AE8" s="303"/>
      <c r="AF8" s="303"/>
      <c r="AG8" s="303"/>
      <c r="AH8" s="304"/>
    </row>
    <row r="9" spans="1:40" ht="43.35" customHeight="1">
      <c r="A9" s="295"/>
      <c r="W9" s="313" t="s">
        <v>589</v>
      </c>
      <c r="X9" s="303">
        <f>COUNT(V5:X5)</f>
        <v>3</v>
      </c>
      <c r="Y9" s="303">
        <v>4</v>
      </c>
      <c r="Z9" s="303">
        <v>5</v>
      </c>
      <c r="AA9" s="303">
        <v>6</v>
      </c>
      <c r="AB9" s="303">
        <v>7</v>
      </c>
      <c r="AC9" s="303">
        <v>8</v>
      </c>
      <c r="AD9" s="303">
        <v>9</v>
      </c>
      <c r="AE9" s="303">
        <v>10</v>
      </c>
      <c r="AF9" s="303">
        <v>11</v>
      </c>
      <c r="AG9" s="303">
        <v>12</v>
      </c>
      <c r="AH9" s="304">
        <v>13</v>
      </c>
    </row>
    <row r="10" spans="1:40" ht="14.7" thickBot="1"/>
    <row r="11" spans="1:40">
      <c r="A11" s="497" t="s">
        <v>590</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43.2">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6">
        <f>$W$13*LN(W15)+$W$14</f>
        <v>419851.13076559408</v>
      </c>
      <c r="X12" s="306">
        <f t="shared" ref="X12:AH12" si="1">$W$13*LN(X15)+$W$14</f>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587</v>
      </c>
      <c r="W13" s="305">
        <v>45045</v>
      </c>
      <c r="X13" s="303"/>
      <c r="Y13" s="303"/>
      <c r="Z13" s="303"/>
      <c r="AA13" s="303"/>
      <c r="AB13" s="303"/>
      <c r="AC13" s="303"/>
      <c r="AD13" s="303"/>
      <c r="AE13" s="303"/>
      <c r="AF13" s="303"/>
      <c r="AG13" s="303"/>
      <c r="AH13" s="304"/>
    </row>
    <row r="14" spans="1:40">
      <c r="A14" s="295"/>
      <c r="V14" s="305" t="s">
        <v>588</v>
      </c>
      <c r="W14" s="305">
        <v>347354</v>
      </c>
      <c r="X14" s="303"/>
      <c r="Y14" s="303"/>
      <c r="Z14" s="303"/>
      <c r="AA14" s="303"/>
      <c r="AB14" s="303"/>
      <c r="AC14" s="303"/>
      <c r="AD14" s="303"/>
      <c r="AE14" s="303"/>
      <c r="AF14" s="303"/>
      <c r="AG14" s="303"/>
      <c r="AH14" s="304"/>
    </row>
    <row r="15" spans="1:40" ht="43.2">
      <c r="A15" s="295"/>
      <c r="V15" s="313" t="s">
        <v>591</v>
      </c>
      <c r="W15" s="303">
        <f>COUNT(S11:W11)</f>
        <v>5</v>
      </c>
      <c r="X15" s="303">
        <v>6</v>
      </c>
      <c r="Y15" s="303">
        <v>7</v>
      </c>
      <c r="Z15" s="303">
        <v>8</v>
      </c>
      <c r="AA15" s="303">
        <v>9</v>
      </c>
      <c r="AB15" s="303">
        <v>10</v>
      </c>
      <c r="AC15" s="303">
        <v>11</v>
      </c>
      <c r="AD15" s="303">
        <v>12</v>
      </c>
      <c r="AE15" s="303">
        <v>13</v>
      </c>
      <c r="AF15" s="303">
        <v>14</v>
      </c>
      <c r="AG15" s="303">
        <v>15</v>
      </c>
      <c r="AH15" s="304">
        <v>16</v>
      </c>
    </row>
    <row r="16" spans="1:40" ht="18.60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592</v>
      </c>
      <c r="W16" s="310"/>
      <c r="X16" s="310"/>
      <c r="Y16" s="310">
        <v>0.86599999999999999</v>
      </c>
      <c r="Z16" s="292">
        <f>AH12/Y16</f>
        <v>545317.85103151377</v>
      </c>
      <c r="AA16" s="310"/>
      <c r="AB16" s="310"/>
      <c r="AC16" s="310"/>
      <c r="AD16" s="310"/>
      <c r="AE16" s="310"/>
      <c r="AF16" s="310"/>
      <c r="AG16" s="310"/>
      <c r="AH16" s="311"/>
    </row>
    <row r="17" spans="1:34" ht="14.7" thickBot="1"/>
    <row r="18" spans="1:34">
      <c r="A18" s="497" t="s">
        <v>593</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43.2">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3">
        <f>($W$20*W22)+$W$21</f>
        <v>421394</v>
      </c>
      <c r="X19" s="303">
        <f t="shared" ref="X19:AH19" si="2">($W$20*X22)+$W$21</f>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587</v>
      </c>
      <c r="W20" s="305">
        <v>12842</v>
      </c>
      <c r="X20" s="303"/>
      <c r="Y20" s="303"/>
      <c r="Z20" s="303"/>
      <c r="AA20" s="303"/>
      <c r="AB20" s="303"/>
      <c r="AC20" s="303"/>
      <c r="AD20" s="303"/>
      <c r="AE20" s="303"/>
      <c r="AF20" s="303"/>
      <c r="AG20" s="303"/>
      <c r="AH20" s="304"/>
    </row>
    <row r="21" spans="1:34">
      <c r="A21" s="295"/>
      <c r="V21" s="305" t="s">
        <v>588</v>
      </c>
      <c r="W21" s="305">
        <v>370026</v>
      </c>
      <c r="X21" s="303"/>
      <c r="Y21" s="303"/>
      <c r="Z21" s="303"/>
      <c r="AA21" s="303"/>
      <c r="AB21" s="303"/>
      <c r="AC21" s="303"/>
      <c r="AD21" s="303"/>
      <c r="AE21" s="303"/>
      <c r="AF21" s="303"/>
      <c r="AG21" s="303"/>
      <c r="AH21" s="304"/>
    </row>
    <row r="22" spans="1:34" ht="43.2">
      <c r="A22" s="295"/>
      <c r="V22" s="313" t="s">
        <v>594</v>
      </c>
      <c r="W22" s="303">
        <f>COUNT(T18:W18)</f>
        <v>4</v>
      </c>
      <c r="X22" s="303">
        <v>5</v>
      </c>
      <c r="Y22" s="303">
        <v>6</v>
      </c>
      <c r="Z22" s="303">
        <v>7</v>
      </c>
      <c r="AA22" s="303">
        <v>8</v>
      </c>
      <c r="AB22" s="303">
        <v>9</v>
      </c>
      <c r="AC22" s="303">
        <v>10</v>
      </c>
      <c r="AD22" s="303">
        <v>11</v>
      </c>
      <c r="AE22" s="303">
        <v>12</v>
      </c>
      <c r="AF22" s="303">
        <v>13</v>
      </c>
      <c r="AG22" s="303">
        <v>14</v>
      </c>
      <c r="AH22" s="304">
        <v>15</v>
      </c>
    </row>
    <row r="23" spans="1:34" ht="18.60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592</v>
      </c>
      <c r="W23" s="310"/>
      <c r="X23" s="310"/>
      <c r="Y23" s="310">
        <v>0.86599999999999999</v>
      </c>
      <c r="Z23" s="292">
        <f>AH19/Y23</f>
        <v>649718.24480369512</v>
      </c>
      <c r="AA23" s="310"/>
      <c r="AB23" s="310"/>
      <c r="AC23" s="310"/>
      <c r="AD23" s="310"/>
      <c r="AE23" s="310"/>
      <c r="AF23" s="310"/>
      <c r="AG23" s="310"/>
      <c r="AH23" s="311"/>
    </row>
    <row r="25" spans="1:34" ht="14.7"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ht="28.8">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587</v>
      </c>
      <c r="W28" s="305">
        <v>4854</v>
      </c>
      <c r="X28" s="305"/>
      <c r="Y28" s="305"/>
      <c r="Z28" s="305"/>
      <c r="AA28" s="305"/>
      <c r="AB28" s="305"/>
      <c r="AC28" s="305"/>
      <c r="AD28" s="305"/>
      <c r="AE28" s="305"/>
      <c r="AF28" s="305"/>
      <c r="AG28" s="305"/>
      <c r="AH28" s="309"/>
    </row>
    <row r="29" spans="1:34" ht="35.85" customHeight="1">
      <c r="A29" s="295"/>
      <c r="V29" s="305" t="s">
        <v>588</v>
      </c>
      <c r="W29" s="305">
        <v>27044</v>
      </c>
      <c r="X29" s="305"/>
      <c r="Y29" s="305"/>
      <c r="Z29" s="305"/>
      <c r="AA29" s="305"/>
      <c r="AB29" s="305"/>
      <c r="AC29" s="305"/>
      <c r="AD29" s="305"/>
      <c r="AE29" s="305"/>
      <c r="AF29" s="305"/>
      <c r="AG29" s="305"/>
      <c r="AH29" s="309"/>
    </row>
    <row r="30" spans="1:34" ht="43.2">
      <c r="A30" s="295"/>
      <c r="V30" s="313" t="s">
        <v>594</v>
      </c>
      <c r="W30" s="303">
        <f>COUNT(T26:W26)</f>
        <v>4</v>
      </c>
      <c r="X30" s="303">
        <v>5</v>
      </c>
      <c r="Y30" s="303">
        <v>6</v>
      </c>
      <c r="Z30" s="303">
        <v>7</v>
      </c>
      <c r="AA30" s="303">
        <v>8</v>
      </c>
      <c r="AB30" s="303">
        <v>9</v>
      </c>
      <c r="AC30" s="303">
        <v>10</v>
      </c>
      <c r="AD30" s="303">
        <v>11</v>
      </c>
      <c r="AE30" s="303">
        <v>12</v>
      </c>
      <c r="AF30" s="303">
        <v>13</v>
      </c>
      <c r="AG30" s="303">
        <v>14</v>
      </c>
      <c r="AH30" s="304">
        <v>15</v>
      </c>
    </row>
    <row r="31" spans="1:34" ht="18.60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595</v>
      </c>
      <c r="W31" s="310"/>
      <c r="X31" s="310"/>
      <c r="Y31" s="310">
        <v>0.88</v>
      </c>
      <c r="Z31" s="292">
        <f>AH27/Y31</f>
        <v>45669.176904716056</v>
      </c>
      <c r="AA31" s="310"/>
      <c r="AB31" s="310"/>
      <c r="AC31" s="310"/>
      <c r="AD31" s="310"/>
      <c r="AE31" s="310"/>
      <c r="AF31" s="310"/>
      <c r="AG31" s="310"/>
      <c r="AH31" s="311"/>
    </row>
    <row r="32" spans="1:34">
      <c r="W32" s="282" t="s">
        <v>596</v>
      </c>
    </row>
    <row r="33" spans="1:34" ht="14.7"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6">
        <v>2020</v>
      </c>
      <c r="X34" s="301">
        <v>2021</v>
      </c>
      <c r="Y34" s="301">
        <v>2022</v>
      </c>
      <c r="Z34" s="301">
        <v>2023</v>
      </c>
      <c r="AA34" s="301">
        <v>2024</v>
      </c>
      <c r="AB34" s="301">
        <v>2025</v>
      </c>
      <c r="AC34" s="301">
        <v>2026</v>
      </c>
      <c r="AD34" s="301">
        <v>2027</v>
      </c>
      <c r="AE34" s="301">
        <v>2028</v>
      </c>
      <c r="AF34" s="301">
        <v>2029</v>
      </c>
      <c r="AG34" s="301">
        <v>2030</v>
      </c>
      <c r="AH34" s="302">
        <v>2031</v>
      </c>
    </row>
    <row r="35" spans="1:34" ht="44.1">
      <c r="A35" s="295" t="str">
        <f>'Nx kits HR + IQVIA'!T2</f>
        <v>Nx kits distributed HR IQVIA</v>
      </c>
      <c r="B35" s="578">
        <f>'Nx kits HR + IQVIA'!U2</f>
        <v>1103.5</v>
      </c>
      <c r="C35" s="578">
        <f>'Nx kits HR + IQVIA'!V2</f>
        <v>3310.5</v>
      </c>
      <c r="D35" s="578">
        <f>'Nx kits HR + IQVIA'!W2</f>
        <v>4414</v>
      </c>
      <c r="E35" s="579">
        <f>'Nx kits HR + IQVIA'!X2</f>
        <v>5517.5</v>
      </c>
      <c r="F35" s="579">
        <f>'Nx kits HR + IQVIA'!Y2</f>
        <v>9350.5</v>
      </c>
      <c r="G35" s="579">
        <f>'Nx kits HR + IQVIA'!Z2</f>
        <v>13113.5</v>
      </c>
      <c r="H35" s="579">
        <f>'Nx kits HR + IQVIA'!AA2</f>
        <v>14940.499999999998</v>
      </c>
      <c r="I35" s="579">
        <f>'Nx kits HR + IQVIA'!AB2</f>
        <v>24726.499999999996</v>
      </c>
      <c r="J35" s="579">
        <f>'Nx kits HR + IQVIA'!AC2</f>
        <v>26676.499999999996</v>
      </c>
      <c r="K35" s="579">
        <f>'Nx kits HR + IQVIA'!AD2</f>
        <v>35490.999999999993</v>
      </c>
      <c r="L35" s="579">
        <f>'Nx kits HR + IQVIA'!AE2</f>
        <v>39442</v>
      </c>
      <c r="M35" s="579">
        <f>'Nx kits HR + IQVIA'!AF2</f>
        <v>47435</v>
      </c>
      <c r="N35" s="579">
        <f>'Nx kits HR + IQVIA'!AG2</f>
        <v>49586</v>
      </c>
      <c r="O35" s="579">
        <f>'Nx kits HR + IQVIA'!AH2</f>
        <v>69053</v>
      </c>
      <c r="P35" s="579">
        <f>'Nx kits HR + IQVIA'!AI2</f>
        <v>141502</v>
      </c>
      <c r="Q35" s="579">
        <f>'Nx kits HR + IQVIA'!AJ2</f>
        <v>211278.68817204301</v>
      </c>
      <c r="R35" s="579">
        <f>'Nx kits HR + IQVIA'!AK2</f>
        <v>325817.17840212741</v>
      </c>
      <c r="S35" s="579">
        <f>'Nx kits HR + IQVIA'!AL2</f>
        <v>573797.06734074547</v>
      </c>
      <c r="T35" s="579">
        <f>'Nx kits HR + IQVIA'!AM2</f>
        <v>916335.75439076754</v>
      </c>
      <c r="U35" s="579">
        <f>'Nx kits HR + IQVIA'!AN2</f>
        <v>1500485.9526574665</v>
      </c>
      <c r="V35" s="579">
        <f>'Nx kits HR + IQVIA'!AO2</f>
        <v>1931149</v>
      </c>
      <c r="W35" s="579">
        <f>'Nx kits HR + IQVIA'!AP2</f>
        <v>2303624</v>
      </c>
      <c r="X35" s="580">
        <f>$X$36*LN(X38)+$X$37</f>
        <v>2479257.265936981</v>
      </c>
      <c r="Y35" s="580">
        <f t="shared" ref="Y35:AH35" si="4">$X$36*LN(Y38)+$X$37</f>
        <v>2639749.2486358029</v>
      </c>
      <c r="Z35" s="580">
        <f t="shared" si="4"/>
        <v>2770880.7465718323</v>
      </c>
      <c r="AA35" s="580">
        <f t="shared" si="4"/>
        <v>2881750.8483253513</v>
      </c>
      <c r="AB35" s="580">
        <f t="shared" si="4"/>
        <v>2977790.8989054719</v>
      </c>
      <c r="AC35" s="580">
        <f t="shared" si="4"/>
        <v>3062504.2272066837</v>
      </c>
      <c r="AD35" s="580">
        <f t="shared" si="4"/>
        <v>3138282.8816042934</v>
      </c>
      <c r="AE35" s="580">
        <f t="shared" si="4"/>
        <v>3206833.0128453178</v>
      </c>
      <c r="AF35" s="580">
        <f t="shared" si="4"/>
        <v>3269414.3795403233</v>
      </c>
      <c r="AG35" s="580">
        <f t="shared" si="4"/>
        <v>3326983.6562657757</v>
      </c>
      <c r="AH35" s="290">
        <f t="shared" si="4"/>
        <v>3380284.4812938413</v>
      </c>
    </row>
    <row r="36" spans="1:34">
      <c r="A36" s="295"/>
      <c r="B36" s="581"/>
      <c r="C36" s="581"/>
      <c r="D36" s="581"/>
      <c r="E36" s="582"/>
      <c r="F36" s="582"/>
      <c r="G36" s="582"/>
      <c r="H36" s="582"/>
      <c r="I36" s="582"/>
      <c r="J36" s="582"/>
      <c r="K36" s="582"/>
      <c r="L36" s="582"/>
      <c r="M36" s="582"/>
      <c r="N36" s="582"/>
      <c r="O36" s="582"/>
      <c r="P36" s="582"/>
      <c r="Q36" s="582"/>
      <c r="R36" s="582"/>
      <c r="S36" s="582"/>
      <c r="T36" s="582"/>
      <c r="U36" s="582"/>
      <c r="V36" s="583"/>
      <c r="W36" s="584" t="s">
        <v>587</v>
      </c>
      <c r="X36" s="585">
        <v>719232</v>
      </c>
      <c r="Y36" s="585"/>
      <c r="Z36" s="585"/>
      <c r="AA36" s="585"/>
      <c r="AB36" s="585"/>
      <c r="AC36" s="585"/>
      <c r="AD36" s="585"/>
      <c r="AE36" s="585"/>
      <c r="AF36" s="585"/>
      <c r="AG36" s="585"/>
      <c r="AH36" s="315"/>
    </row>
    <row r="37" spans="1:34">
      <c r="A37" s="295"/>
      <c r="B37" s="581"/>
      <c r="C37" s="581"/>
      <c r="D37" s="581"/>
      <c r="E37" s="582"/>
      <c r="F37" s="582"/>
      <c r="G37" s="582"/>
      <c r="H37" s="582"/>
      <c r="I37" s="582"/>
      <c r="J37" s="582"/>
      <c r="K37" s="582"/>
      <c r="L37" s="582"/>
      <c r="M37" s="582"/>
      <c r="N37" s="582"/>
      <c r="O37" s="582"/>
      <c r="P37" s="582"/>
      <c r="Q37" s="582"/>
      <c r="R37" s="582"/>
      <c r="S37" s="582"/>
      <c r="T37" s="582"/>
      <c r="U37" s="582"/>
      <c r="V37" s="586"/>
      <c r="W37" s="587" t="s">
        <v>588</v>
      </c>
      <c r="X37" s="585">
        <v>1482190</v>
      </c>
      <c r="Y37" s="585"/>
      <c r="Z37" s="585"/>
      <c r="AA37" s="585"/>
      <c r="AB37" s="585"/>
      <c r="AC37" s="585"/>
      <c r="AD37" s="585"/>
      <c r="AE37" s="585"/>
      <c r="AF37" s="585"/>
      <c r="AG37" s="585"/>
      <c r="AH37" s="315"/>
    </row>
    <row r="38" spans="1:34" ht="29.1" thickBot="1">
      <c r="A38" s="296"/>
      <c r="B38" s="499"/>
      <c r="C38" s="499"/>
      <c r="D38" s="499"/>
      <c r="E38" s="291"/>
      <c r="F38" s="291"/>
      <c r="G38" s="291"/>
      <c r="H38" s="291"/>
      <c r="I38" s="291"/>
      <c r="J38" s="291"/>
      <c r="K38" s="291"/>
      <c r="L38" s="291"/>
      <c r="M38" s="291"/>
      <c r="N38" s="291"/>
      <c r="O38" s="291"/>
      <c r="P38" s="291"/>
      <c r="Q38" s="291"/>
      <c r="R38" s="291"/>
      <c r="S38" s="291"/>
      <c r="T38" s="291"/>
      <c r="U38" s="291"/>
      <c r="V38" s="577"/>
      <c r="W38" s="314" t="s">
        <v>597</v>
      </c>
      <c r="X38" s="316">
        <f>COUNT(U34:X34)</f>
        <v>4</v>
      </c>
      <c r="Y38" s="316">
        <v>5</v>
      </c>
      <c r="Z38" s="316">
        <v>6</v>
      </c>
      <c r="AA38" s="316">
        <v>7</v>
      </c>
      <c r="AB38" s="316">
        <v>8</v>
      </c>
      <c r="AC38" s="316">
        <v>9</v>
      </c>
      <c r="AD38" s="316">
        <v>10</v>
      </c>
      <c r="AE38" s="316">
        <v>11</v>
      </c>
      <c r="AF38" s="316">
        <v>12</v>
      </c>
      <c r="AG38" s="316">
        <v>13</v>
      </c>
      <c r="AH38" s="317">
        <v>14</v>
      </c>
    </row>
    <row r="39" spans="1:34">
      <c r="W39" s="282" t="s">
        <v>598</v>
      </c>
    </row>
    <row r="40" spans="1:34" ht="14.7"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58.5">
      <c r="A42" s="295" t="str">
        <f>'Opioid Rx Data IQVIA SH'!A58</f>
        <v>Patients receiving opioid prescription IQVIA SH</v>
      </c>
      <c r="B42" s="578">
        <f>'Opioid Rx Data IQVIA SH'!B2</f>
        <v>50615800.308805212</v>
      </c>
      <c r="C42" s="578">
        <f>'Opioid Rx Data IQVIA SH'!C2</f>
        <v>55268292.708259083</v>
      </c>
      <c r="D42" s="578">
        <f>'Opioid Rx Data IQVIA SH'!D2</f>
        <v>61600655.974125087</v>
      </c>
      <c r="E42" s="579">
        <f>'Opioid Rx Data IQVIA SH'!E2</f>
        <v>64144383.982784502</v>
      </c>
      <c r="F42" s="579">
        <f>'Opioid Rx Data IQVIA SH'!F2</f>
        <v>67962522.71045579</v>
      </c>
      <c r="G42" s="579">
        <f>'Opioid Rx Data IQVIA SH'!G2</f>
        <v>72565755.505764052</v>
      </c>
      <c r="H42" s="579">
        <f>'Opioid Rx Data IQVIA SH'!H2</f>
        <v>76938987.677525371</v>
      </c>
      <c r="I42" s="579">
        <f>'Opioid Rx Data IQVIA SH'!I2</f>
        <v>83200866.264006272</v>
      </c>
      <c r="J42" s="579">
        <f>'Opioid Rx Data IQVIA SH'!J2</f>
        <v>89963829.540194139</v>
      </c>
      <c r="K42" s="579">
        <f>'Opioid Rx Data IQVIA SH'!K2</f>
        <v>95576169.900532424</v>
      </c>
      <c r="L42" s="579">
        <f>'Opioid Rx Data IQVIA SH'!L2</f>
        <v>100503576.55517608</v>
      </c>
      <c r="M42" s="579">
        <f>'Opioid Rx Data IQVIA SH'!M2</f>
        <v>109073194.77822027</v>
      </c>
      <c r="N42" s="579">
        <f>'Opioid Rx Data IQVIA SH'!N2</f>
        <v>109066341.52647889</v>
      </c>
      <c r="O42" s="579">
        <f>'Opioid Rx Data IQVIA SH'!O2</f>
        <v>114059108.02698019</v>
      </c>
      <c r="P42" s="579">
        <f>'Opioid Rx Data IQVIA SH'!P2</f>
        <v>109256435.34644848</v>
      </c>
      <c r="Q42" s="579">
        <f>'Opioid Rx Data IQVIA SH'!Q2</f>
        <v>112819821.18383473</v>
      </c>
      <c r="R42" s="579">
        <f>'Opioid Rx Data IQVIA SH'!R2</f>
        <v>108159505.44816807</v>
      </c>
      <c r="S42" s="579">
        <f>'Opioid Rx Data IQVIA SH'!S2</f>
        <v>105696730.38438496</v>
      </c>
      <c r="T42" s="579">
        <f>'Opioid Rx Data IQVIA SH'!T2</f>
        <v>99733895.461657792</v>
      </c>
      <c r="U42" s="579">
        <f>'Opioid Rx Data IQVIA SH'!U2</f>
        <v>88986086.68498829</v>
      </c>
      <c r="V42" s="579">
        <f>'Opioid Rx Data IQVIA SH'!V2</f>
        <v>78456550.964611903</v>
      </c>
      <c r="W42" s="591">
        <f t="shared" ref="W42:AH42" si="5">$W$43*LN(W45)+$W$44</f>
        <v>72297167.696561009</v>
      </c>
      <c r="X42" s="591">
        <f t="shared" si="5"/>
        <v>67927015.5130146</v>
      </c>
      <c r="Y42" s="591">
        <f t="shared" si="5"/>
        <v>64537262.13106361</v>
      </c>
      <c r="Z42" s="591">
        <f t="shared" si="5"/>
        <v>61767631.953068316</v>
      </c>
      <c r="AA42" s="591">
        <f t="shared" si="5"/>
        <v>59425943.003524303</v>
      </c>
      <c r="AB42" s="591">
        <f t="shared" si="5"/>
        <v>57397479.769521907</v>
      </c>
      <c r="AC42" s="591">
        <f t="shared" si="5"/>
        <v>55608248.393122025</v>
      </c>
      <c r="AD42" s="591">
        <f t="shared" si="5"/>
        <v>54007726.38757091</v>
      </c>
      <c r="AE42" s="591">
        <f t="shared" si="5"/>
        <v>52559878.119389772</v>
      </c>
      <c r="AF42" s="591">
        <f t="shared" si="5"/>
        <v>51238096.209575616</v>
      </c>
      <c r="AG42" s="591">
        <f t="shared" si="5"/>
        <v>50022174.721193321</v>
      </c>
      <c r="AH42" s="290">
        <f t="shared" si="5"/>
        <v>48896407.260031603</v>
      </c>
    </row>
    <row r="43" spans="1:34">
      <c r="A43" s="295"/>
      <c r="B43" s="581"/>
      <c r="C43" s="581"/>
      <c r="D43" s="581"/>
      <c r="E43" s="582"/>
      <c r="F43" s="582"/>
      <c r="G43" s="582"/>
      <c r="H43" s="582"/>
      <c r="I43" s="582"/>
      <c r="J43" s="582"/>
      <c r="K43" s="582"/>
      <c r="L43" s="582"/>
      <c r="M43" s="582"/>
      <c r="N43" s="582"/>
      <c r="O43" s="582"/>
      <c r="P43" s="582"/>
      <c r="Q43" s="582"/>
      <c r="R43" s="582"/>
      <c r="S43" s="582"/>
      <c r="T43" s="582"/>
      <c r="U43" s="582"/>
      <c r="V43" s="584" t="s">
        <v>587</v>
      </c>
      <c r="W43" s="588">
        <v>-15190909</v>
      </c>
      <c r="X43" s="305"/>
      <c r="Y43" s="588"/>
      <c r="Z43" s="588"/>
      <c r="AA43" s="588"/>
      <c r="AB43" s="588"/>
      <c r="AC43" s="588"/>
      <c r="AD43" s="588"/>
      <c r="AE43" s="588"/>
      <c r="AF43" s="588"/>
      <c r="AG43" s="588"/>
      <c r="AH43" s="304"/>
    </row>
    <row r="44" spans="1:34">
      <c r="A44" s="295"/>
      <c r="B44" s="581"/>
      <c r="C44" s="581"/>
      <c r="D44" s="581"/>
      <c r="E44" s="582"/>
      <c r="F44" s="582"/>
      <c r="G44" s="582"/>
      <c r="H44" s="582"/>
      <c r="I44" s="582"/>
      <c r="J44" s="582"/>
      <c r="K44" s="582"/>
      <c r="L44" s="582"/>
      <c r="M44" s="582"/>
      <c r="N44" s="582"/>
      <c r="O44" s="582"/>
      <c r="P44" s="582"/>
      <c r="Q44" s="582"/>
      <c r="R44" s="582"/>
      <c r="S44" s="582"/>
      <c r="T44" s="582"/>
      <c r="U44" s="582"/>
      <c r="V44" s="587" t="s">
        <v>588</v>
      </c>
      <c r="W44" s="588">
        <v>88986087</v>
      </c>
      <c r="X44" s="305"/>
      <c r="Y44" s="588"/>
      <c r="Z44" s="588"/>
      <c r="AA44" s="588"/>
      <c r="AB44" s="588"/>
      <c r="AC44" s="588"/>
      <c r="AD44" s="588"/>
      <c r="AE44" s="588"/>
      <c r="AF44" s="588"/>
      <c r="AG44" s="588"/>
      <c r="AH44" s="304"/>
    </row>
    <row r="45" spans="1:34" ht="43.5" thickBot="1">
      <c r="A45" s="296"/>
      <c r="B45" s="499"/>
      <c r="C45" s="499"/>
      <c r="D45" s="499"/>
      <c r="E45" s="291"/>
      <c r="F45" s="291"/>
      <c r="G45" s="291"/>
      <c r="H45" s="291"/>
      <c r="I45" s="291"/>
      <c r="J45" s="291"/>
      <c r="K45" s="291"/>
      <c r="L45" s="291"/>
      <c r="M45" s="291"/>
      <c r="N45" s="291"/>
      <c r="O45" s="291"/>
      <c r="P45" s="291"/>
      <c r="Q45" s="291"/>
      <c r="R45" s="291"/>
      <c r="S45" s="291"/>
      <c r="T45" s="291"/>
      <c r="U45" s="291"/>
      <c r="V45" s="314" t="s">
        <v>599</v>
      </c>
      <c r="W45" s="310">
        <f>COUNT(U41:W41)</f>
        <v>3</v>
      </c>
      <c r="X45" s="316">
        <v>4</v>
      </c>
      <c r="Y45" s="316">
        <v>5</v>
      </c>
      <c r="Z45" s="316">
        <v>6</v>
      </c>
      <c r="AA45" s="316">
        <v>7</v>
      </c>
      <c r="AB45" s="316">
        <v>8</v>
      </c>
      <c r="AC45" s="316">
        <v>9</v>
      </c>
      <c r="AD45" s="316">
        <v>10</v>
      </c>
      <c r="AE45" s="316">
        <v>11</v>
      </c>
      <c r="AF45" s="316">
        <v>12</v>
      </c>
      <c r="AG45" s="316">
        <v>13</v>
      </c>
      <c r="AH45" s="317">
        <v>14</v>
      </c>
    </row>
    <row r="47" spans="1:34" ht="14.7" thickBot="1"/>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28.8">
      <c r="A49" s="295" t="s">
        <v>600</v>
      </c>
      <c r="B49" s="589">
        <f>'Opioid Rx Data IQVIA SH'!B4</f>
        <v>156716600</v>
      </c>
      <c r="C49" s="589">
        <f>'Opioid Rx Data IQVIA SH'!C4</f>
        <v>167976040</v>
      </c>
      <c r="D49" s="589">
        <f>'Opioid Rx Data IQVIA SH'!D4</f>
        <v>183715880</v>
      </c>
      <c r="E49" s="590">
        <f>'Opioid Rx Data IQVIA SH'!E4</f>
        <v>187651428</v>
      </c>
      <c r="F49" s="590">
        <f>'Opioid Rx Data IQVIA SH'!F4</f>
        <v>194953119</v>
      </c>
      <c r="G49" s="590">
        <f>'Opioid Rx Data IQVIA SH'!G4</f>
        <v>204027579</v>
      </c>
      <c r="H49" s="590">
        <f>'Opioid Rx Data IQVIA SH'!H4</f>
        <v>211944467</v>
      </c>
      <c r="I49" s="590">
        <f>'Opioid Rx Data IQVIA SH'!I4</f>
        <v>224458726</v>
      </c>
      <c r="J49" s="590">
        <f>'Opioid Rx Data IQVIA SH'!J4</f>
        <v>237583497</v>
      </c>
      <c r="K49" s="590">
        <f>'Opioid Rx Data IQVIA SH'!K4</f>
        <v>246965271</v>
      </c>
      <c r="L49" s="590">
        <f>'Opioid Rx Data IQVIA SH'!L4</f>
        <v>253048448</v>
      </c>
      <c r="M49" s="590">
        <f>'Opioid Rx Data IQVIA SH'!M4</f>
        <v>259934115</v>
      </c>
      <c r="N49" s="590">
        <f>'Opioid Rx Data IQVIA SH'!N4</f>
        <v>260625937</v>
      </c>
      <c r="O49" s="590">
        <f>'Opioid Rx Data IQVIA SH'!O4</f>
        <v>263067911</v>
      </c>
      <c r="P49" s="590">
        <f>'Opioid Rx Data IQVIA SH'!P4</f>
        <v>253919348</v>
      </c>
      <c r="Q49" s="590">
        <f>'Opioid Rx Data IQVIA SH'!Q4</f>
        <v>246326325</v>
      </c>
      <c r="R49" s="590">
        <f>'Opioid Rx Data IQVIA SH'!R4</f>
        <v>229140550</v>
      </c>
      <c r="S49" s="590">
        <f>'Opioid Rx Data IQVIA SH'!S4</f>
        <v>217313967</v>
      </c>
      <c r="T49" s="590">
        <f>'Opioid Rx Data IQVIA SH'!T4</f>
        <v>193782638</v>
      </c>
      <c r="U49" s="590">
        <f>'Opioid Rx Data IQVIA SH'!U4</f>
        <v>169863949</v>
      </c>
      <c r="V49" s="579">
        <f>'Opioid Rx Data IQVIA SH'!V4</f>
        <v>154658303</v>
      </c>
      <c r="W49" s="579">
        <f>'Opioid Rx Data IQVIA SH'!W4</f>
        <v>144174733</v>
      </c>
      <c r="X49" s="591">
        <f t="shared" ref="X49:AH49" si="6">$X$50*LN(X52)+$X$51</f>
        <v>136433960.81990096</v>
      </c>
      <c r="Y49" s="591">
        <f t="shared" si="6"/>
        <v>129904242.80002302</v>
      </c>
      <c r="Z49" s="591">
        <f t="shared" si="6"/>
        <v>124383444.87823904</v>
      </c>
      <c r="AA49" s="591">
        <f t="shared" si="6"/>
        <v>119601112.19102357</v>
      </c>
      <c r="AB49" s="591">
        <f t="shared" si="6"/>
        <v>115382795.80603032</v>
      </c>
      <c r="AC49" s="591">
        <f t="shared" si="6"/>
        <v>111609383.21690881</v>
      </c>
      <c r="AD49" s="591">
        <f t="shared" si="6"/>
        <v>108195916.32089368</v>
      </c>
      <c r="AE49" s="591">
        <f t="shared" si="6"/>
        <v>105079665.19703087</v>
      </c>
      <c r="AF49" s="591">
        <f t="shared" si="6"/>
        <v>102212992.05181207</v>
      </c>
      <c r="AG49" s="591">
        <f t="shared" si="6"/>
        <v>99558867.275246903</v>
      </c>
      <c r="AH49" s="312">
        <f t="shared" si="6"/>
        <v>97087936.222916126</v>
      </c>
    </row>
    <row r="50" spans="1:34">
      <c r="A50" s="295"/>
      <c r="B50" s="581"/>
      <c r="C50" s="581"/>
      <c r="D50" s="581"/>
      <c r="E50" s="582"/>
      <c r="F50" s="582"/>
      <c r="G50" s="582"/>
      <c r="H50" s="582"/>
      <c r="I50" s="582"/>
      <c r="J50" s="582"/>
      <c r="K50" s="582"/>
      <c r="L50" s="582"/>
      <c r="M50" s="582"/>
      <c r="N50" s="582"/>
      <c r="O50" s="582"/>
      <c r="P50" s="582"/>
      <c r="Q50" s="582"/>
      <c r="R50" s="582"/>
      <c r="S50" s="582"/>
      <c r="T50" s="582"/>
      <c r="U50" s="582"/>
      <c r="V50" s="582"/>
      <c r="W50" s="584" t="s">
        <v>587</v>
      </c>
      <c r="X50" s="592">
        <v>-35814295</v>
      </c>
      <c r="Y50" s="588"/>
      <c r="Z50" s="588"/>
      <c r="AA50" s="588"/>
      <c r="AB50" s="588"/>
      <c r="AC50" s="588"/>
      <c r="AD50" s="588"/>
      <c r="AE50" s="588"/>
      <c r="AF50" s="588"/>
      <c r="AG50" s="588"/>
      <c r="AH50" s="304"/>
    </row>
    <row r="51" spans="1:34">
      <c r="A51" s="295"/>
      <c r="B51" s="581"/>
      <c r="C51" s="581"/>
      <c r="D51" s="581"/>
      <c r="E51" s="582"/>
      <c r="F51" s="582"/>
      <c r="G51" s="582"/>
      <c r="H51" s="582"/>
      <c r="I51" s="582"/>
      <c r="J51" s="582"/>
      <c r="K51" s="582"/>
      <c r="L51" s="582"/>
      <c r="M51" s="582"/>
      <c r="N51" s="582"/>
      <c r="O51" s="582"/>
      <c r="P51" s="582"/>
      <c r="Q51" s="582"/>
      <c r="R51" s="582"/>
      <c r="S51" s="582"/>
      <c r="T51" s="582"/>
      <c r="U51" s="582"/>
      <c r="V51" s="582"/>
      <c r="W51" s="587" t="s">
        <v>588</v>
      </c>
      <c r="X51" s="592">
        <v>194074845</v>
      </c>
      <c r="Y51" s="588"/>
      <c r="Z51" s="588"/>
      <c r="AA51" s="588"/>
      <c r="AB51" s="588"/>
      <c r="AC51" s="588"/>
      <c r="AD51" s="588"/>
      <c r="AE51" s="588"/>
      <c r="AF51" s="588"/>
      <c r="AG51" s="588"/>
      <c r="AH51" s="304"/>
    </row>
    <row r="52" spans="1:34" ht="29.1" thickBot="1">
      <c r="A52" s="296"/>
      <c r="B52" s="499"/>
      <c r="C52" s="499"/>
      <c r="D52" s="499"/>
      <c r="E52" s="291"/>
      <c r="F52" s="291"/>
      <c r="G52" s="291"/>
      <c r="H52" s="291"/>
      <c r="I52" s="291"/>
      <c r="J52" s="291"/>
      <c r="K52" s="291"/>
      <c r="L52" s="291"/>
      <c r="M52" s="291"/>
      <c r="N52" s="291"/>
      <c r="O52" s="291"/>
      <c r="P52" s="291"/>
      <c r="Q52" s="291"/>
      <c r="R52" s="291"/>
      <c r="S52" s="291"/>
      <c r="T52" s="291"/>
      <c r="U52" s="291"/>
      <c r="V52" s="291"/>
      <c r="W52" s="314" t="s">
        <v>594</v>
      </c>
      <c r="X52" s="316">
        <f>COUNT(T48:X48)</f>
        <v>5</v>
      </c>
      <c r="Y52" s="316">
        <v>6</v>
      </c>
      <c r="Z52" s="316">
        <v>7</v>
      </c>
      <c r="AA52" s="316">
        <v>8</v>
      </c>
      <c r="AB52" s="316">
        <v>9</v>
      </c>
      <c r="AC52" s="316">
        <v>10</v>
      </c>
      <c r="AD52" s="316">
        <v>11</v>
      </c>
      <c r="AE52" s="316">
        <v>12</v>
      </c>
      <c r="AF52" s="316">
        <v>13</v>
      </c>
      <c r="AG52" s="316">
        <v>14</v>
      </c>
      <c r="AH52" s="317">
        <v>15</v>
      </c>
    </row>
    <row r="53" spans="1:34" ht="30" customHeight="1">
      <c r="V53" s="49"/>
      <c r="W53" s="283"/>
      <c r="X53" s="283"/>
      <c r="Y53" s="283"/>
      <c r="Z53" s="283"/>
      <c r="AA53" s="283"/>
      <c r="AB53" s="283"/>
      <c r="AC53" s="283"/>
      <c r="AD53" s="413" t="s">
        <v>601</v>
      </c>
      <c r="AF53" s="414"/>
      <c r="AG53" s="299"/>
      <c r="AH53" s="283"/>
    </row>
    <row r="54" spans="1:34" ht="21">
      <c r="V54" s="49"/>
      <c r="W54" s="283"/>
      <c r="X54" s="283"/>
      <c r="Y54" s="283"/>
      <c r="Z54" s="283"/>
      <c r="AA54" s="283"/>
      <c r="AB54" s="283"/>
      <c r="AC54" s="283"/>
      <c r="AD54" s="297" t="s">
        <v>602</v>
      </c>
      <c r="AF54" s="415">
        <f>AH49/AH42</f>
        <v>1.9855842517549698</v>
      </c>
      <c r="AG54" s="299"/>
      <c r="AH54" s="283"/>
    </row>
    <row r="55" spans="1:34" ht="18.600000000000001" thickBot="1">
      <c r="W55" s="283"/>
      <c r="X55" s="283"/>
      <c r="Y55" s="283"/>
      <c r="Z55" s="283"/>
      <c r="AA55" s="283"/>
      <c r="AB55" s="283"/>
      <c r="AC55" s="283"/>
      <c r="AD55" s="298" t="s">
        <v>603</v>
      </c>
      <c r="AE55" s="291"/>
      <c r="AF55" s="292">
        <f>AH63/AH49</f>
        <v>528.8213338103418</v>
      </c>
      <c r="AG55" s="300"/>
      <c r="AH55" s="283"/>
    </row>
    <row r="56" spans="1:34">
      <c r="A56" s="294"/>
      <c r="B56" s="417">
        <v>1999</v>
      </c>
      <c r="C56" s="417">
        <v>2000</v>
      </c>
      <c r="D56" s="417">
        <v>2001</v>
      </c>
      <c r="E56" s="289">
        <v>2002</v>
      </c>
      <c r="F56" s="289">
        <v>2003</v>
      </c>
      <c r="G56" s="289">
        <v>2004</v>
      </c>
      <c r="H56" s="289">
        <v>2005</v>
      </c>
      <c r="I56" s="289">
        <v>2006</v>
      </c>
      <c r="J56" s="289">
        <v>2007</v>
      </c>
      <c r="K56" s="289">
        <v>2008</v>
      </c>
      <c r="L56" s="289">
        <v>2009</v>
      </c>
      <c r="M56" s="289">
        <v>2010</v>
      </c>
      <c r="N56" s="289">
        <v>2011</v>
      </c>
      <c r="O56" s="289">
        <v>2012</v>
      </c>
      <c r="P56" s="289">
        <v>2013</v>
      </c>
      <c r="Q56" s="289">
        <v>2014</v>
      </c>
      <c r="R56" s="289">
        <v>2015</v>
      </c>
      <c r="S56" s="289">
        <v>2016</v>
      </c>
      <c r="T56" s="289">
        <v>2017</v>
      </c>
      <c r="U56" s="289">
        <v>2018</v>
      </c>
      <c r="V56" s="289">
        <v>2019</v>
      </c>
      <c r="W56" s="289">
        <v>2020</v>
      </c>
      <c r="X56" s="301">
        <v>2021</v>
      </c>
      <c r="Y56" s="301">
        <v>2022</v>
      </c>
      <c r="Z56" s="301">
        <v>2023</v>
      </c>
      <c r="AA56" s="301">
        <v>2024</v>
      </c>
      <c r="AB56" s="301">
        <v>2025</v>
      </c>
      <c r="AC56" s="301">
        <v>2026</v>
      </c>
      <c r="AD56" s="301">
        <v>2027</v>
      </c>
      <c r="AE56" s="301">
        <v>2028</v>
      </c>
      <c r="AF56" s="301">
        <v>2029</v>
      </c>
      <c r="AG56" s="301">
        <v>2030</v>
      </c>
      <c r="AH56" s="302">
        <v>2031</v>
      </c>
    </row>
    <row r="57" spans="1:34">
      <c r="A57" s="49" t="s">
        <v>604</v>
      </c>
      <c r="B57" s="49">
        <f>B63/B49</f>
        <v>535.10818475035262</v>
      </c>
      <c r="C57" s="49">
        <f t="shared" ref="C57:AH57" si="7">C63/C49</f>
        <v>525.33109868178406</v>
      </c>
      <c r="D57" s="49">
        <f t="shared" si="7"/>
        <v>568.44519918474123</v>
      </c>
      <c r="E57" s="49">
        <f t="shared" si="7"/>
        <v>607.05318838820665</v>
      </c>
      <c r="F57" s="49">
        <f t="shared" si="7"/>
        <v>657.50361351233369</v>
      </c>
      <c r="G57" s="49">
        <f t="shared" si="7"/>
        <v>692.38971653435146</v>
      </c>
      <c r="H57" s="49">
        <f t="shared" si="7"/>
        <v>720.66574048852146</v>
      </c>
      <c r="I57" s="49">
        <f t="shared" si="7"/>
        <v>767.96962856770381</v>
      </c>
      <c r="J57" s="49">
        <f t="shared" si="7"/>
        <v>819.99354482521153</v>
      </c>
      <c r="K57" s="49">
        <f t="shared" si="7"/>
        <v>869.7723112979719</v>
      </c>
      <c r="L57" s="49">
        <f t="shared" si="7"/>
        <v>900.05558456932329</v>
      </c>
      <c r="M57" s="49">
        <f t="shared" si="7"/>
        <v>944.10447279688549</v>
      </c>
      <c r="N57" s="49">
        <f t="shared" si="7"/>
        <v>945.65871392147744</v>
      </c>
      <c r="O57" s="49">
        <f t="shared" si="7"/>
        <v>911.80872584265899</v>
      </c>
      <c r="P57" s="49">
        <f t="shared" si="7"/>
        <v>901.72665687137794</v>
      </c>
      <c r="Q57" s="49">
        <f t="shared" si="7"/>
        <v>898.28614574183246</v>
      </c>
      <c r="R57" s="49">
        <f t="shared" si="7"/>
        <v>913.89194168382676</v>
      </c>
      <c r="S57" s="49">
        <f t="shared" si="7"/>
        <v>907.09460803777972</v>
      </c>
      <c r="T57" s="49">
        <f t="shared" si="7"/>
        <v>878.74545162296738</v>
      </c>
      <c r="U57" s="49">
        <f t="shared" si="7"/>
        <v>830.66893802168704</v>
      </c>
      <c r="V57" s="49">
        <f t="shared" si="7"/>
        <v>778.54138951725076</v>
      </c>
      <c r="W57" s="49">
        <f t="shared" si="7"/>
        <v>765.14478582734739</v>
      </c>
      <c r="X57" s="49">
        <f t="shared" si="7"/>
        <v>730.57342975272877</v>
      </c>
      <c r="Y57" s="49">
        <f t="shared" si="7"/>
        <v>705.5496126704968</v>
      </c>
      <c r="Z57" s="49">
        <f t="shared" si="7"/>
        <v>682.3425119408538</v>
      </c>
      <c r="AA57" s="49">
        <f t="shared" si="7"/>
        <v>660.50782654265231</v>
      </c>
      <c r="AB57" s="49">
        <f t="shared" si="7"/>
        <v>639.74589156943455</v>
      </c>
      <c r="AC57" s="49">
        <f t="shared" si="7"/>
        <v>619.84385679252273</v>
      </c>
      <c r="AD57" s="49">
        <f t="shared" si="7"/>
        <v>600.64439428056983</v>
      </c>
      <c r="AE57" s="49">
        <f t="shared" si="7"/>
        <v>582.02747347540537</v>
      </c>
      <c r="AF57" s="49">
        <f t="shared" si="7"/>
        <v>563.89912048522228</v>
      </c>
      <c r="AG57" s="49">
        <f t="shared" si="7"/>
        <v>546.18415784299577</v>
      </c>
      <c r="AH57" s="49">
        <f t="shared" si="7"/>
        <v>528.8213338103418</v>
      </c>
    </row>
    <row r="58" spans="1:34">
      <c r="W58" s="283"/>
      <c r="X58" s="283"/>
      <c r="Y58" s="283"/>
      <c r="Z58" s="283"/>
      <c r="AA58" s="283"/>
      <c r="AB58" s="283"/>
      <c r="AC58" s="283"/>
      <c r="AD58" s="283"/>
      <c r="AE58" s="283"/>
      <c r="AF58" s="283"/>
      <c r="AG58" s="283"/>
      <c r="AH58" s="283"/>
    </row>
    <row r="59" spans="1:34">
      <c r="W59" s="283"/>
      <c r="X59" s="283"/>
      <c r="Y59" s="283"/>
      <c r="Z59" s="283"/>
      <c r="AA59" s="283"/>
      <c r="AB59" s="283"/>
      <c r="AC59" s="283"/>
      <c r="AD59" s="283"/>
      <c r="AE59" s="283"/>
      <c r="AF59" s="283"/>
      <c r="AG59" s="283"/>
      <c r="AH59" s="283"/>
    </row>
    <row r="60" spans="1:34">
      <c r="W60" s="283"/>
      <c r="X60" s="283"/>
      <c r="Y60" s="283"/>
      <c r="Z60" s="283"/>
      <c r="AA60" s="283"/>
      <c r="AB60" s="283"/>
      <c r="AC60" s="283"/>
      <c r="AD60" s="283"/>
      <c r="AE60" s="283"/>
      <c r="AF60" s="283"/>
      <c r="AG60" s="283"/>
      <c r="AH60" s="283"/>
    </row>
    <row r="61" spans="1:34" ht="14.7" thickBot="1">
      <c r="W61" s="283"/>
      <c r="X61" s="283"/>
      <c r="Y61" s="283"/>
      <c r="Z61" s="283"/>
      <c r="AA61" s="283"/>
      <c r="AB61" s="283"/>
      <c r="AC61" s="283"/>
      <c r="AD61" s="283"/>
      <c r="AE61" s="283"/>
      <c r="AF61" s="283"/>
      <c r="AG61" s="283"/>
      <c r="AH61" s="283"/>
    </row>
    <row r="62" spans="1:34">
      <c r="A62" s="294"/>
      <c r="B62" s="417">
        <v>1999</v>
      </c>
      <c r="C62" s="417">
        <v>2000</v>
      </c>
      <c r="D62" s="417">
        <v>2001</v>
      </c>
      <c r="E62" s="289">
        <v>2002</v>
      </c>
      <c r="F62" s="289">
        <v>2003</v>
      </c>
      <c r="G62" s="289">
        <v>2004</v>
      </c>
      <c r="H62" s="289">
        <v>2005</v>
      </c>
      <c r="I62" s="289">
        <v>2006</v>
      </c>
      <c r="J62" s="289">
        <v>2007</v>
      </c>
      <c r="K62" s="289">
        <v>2008</v>
      </c>
      <c r="L62" s="289">
        <v>2009</v>
      </c>
      <c r="M62" s="289">
        <v>2010</v>
      </c>
      <c r="N62" s="289">
        <v>2011</v>
      </c>
      <c r="O62" s="289">
        <v>2012</v>
      </c>
      <c r="P62" s="289">
        <v>2013</v>
      </c>
      <c r="Q62" s="289">
        <v>2014</v>
      </c>
      <c r="R62" s="289">
        <v>2015</v>
      </c>
      <c r="S62" s="289">
        <v>2016</v>
      </c>
      <c r="T62" s="289">
        <v>2017</v>
      </c>
      <c r="U62" s="289">
        <v>2018</v>
      </c>
      <c r="V62" s="289">
        <v>2019</v>
      </c>
      <c r="W62" s="326">
        <v>2020</v>
      </c>
      <c r="X62" s="301">
        <v>2021</v>
      </c>
      <c r="Y62" s="301">
        <v>2022</v>
      </c>
      <c r="Z62" s="301">
        <v>2023</v>
      </c>
      <c r="AA62" s="301">
        <v>2024</v>
      </c>
      <c r="AB62" s="301">
        <v>2025</v>
      </c>
      <c r="AC62" s="301">
        <v>2026</v>
      </c>
      <c r="AD62" s="301">
        <v>2027</v>
      </c>
      <c r="AE62" s="301">
        <v>2028</v>
      </c>
      <c r="AF62" s="301">
        <v>2029</v>
      </c>
      <c r="AG62" s="301">
        <v>2030</v>
      </c>
      <c r="AH62" s="302">
        <v>2031</v>
      </c>
    </row>
    <row r="63" spans="1:34" ht="75.599999999999994" customHeight="1">
      <c r="A63" s="295" t="s">
        <v>605</v>
      </c>
      <c r="B63" s="589">
        <f>'Opioid Rx Data IQVIA SH'!B5</f>
        <v>83860335346.247116</v>
      </c>
      <c r="C63" s="589">
        <f>'Opioid Rx Data IQVIA SH'!C5</f>
        <v>88243037645.415298</v>
      </c>
      <c r="D63" s="589">
        <f>'Opioid Rx Data IQVIA SH'!D5</f>
        <v>104432410000.00002</v>
      </c>
      <c r="E63" s="590">
        <f>'Opioid Rx Data IQVIA SH'!E5</f>
        <v>113914397673</v>
      </c>
      <c r="F63" s="590">
        <f>'Opioid Rx Data IQVIA SH'!F5</f>
        <v>128182380208</v>
      </c>
      <c r="G63" s="590">
        <f>'Opioid Rx Data IQVIA SH'!G5</f>
        <v>141266597589</v>
      </c>
      <c r="H63" s="590">
        <f>'Opioid Rx Data IQVIA SH'!H5</f>
        <v>152741116253</v>
      </c>
      <c r="I63" s="590">
        <f>'Opioid Rx Data IQVIA SH'!I5</f>
        <v>172377484435</v>
      </c>
      <c r="J63" s="590">
        <f>'Opioid Rx Data IQVIA SH'!J5</f>
        <v>194816933897</v>
      </c>
      <c r="K63" s="590">
        <f>'Opioid Rx Data IQVIA SH'!K5</f>
        <v>214803554568</v>
      </c>
      <c r="L63" s="590">
        <f>'Opioid Rx Data IQVIA SH'!L5</f>
        <v>227757668789</v>
      </c>
      <c r="M63" s="590">
        <f>'Opioid Rx Data IQVIA SH'!M5</f>
        <v>245404960604</v>
      </c>
      <c r="N63" s="590">
        <f>'Opioid Rx Data IQVIA SH'!N5</f>
        <v>246463188398</v>
      </c>
      <c r="O63" s="590">
        <f>'Opioid Rx Data IQVIA SH'!O5</f>
        <v>239867616739</v>
      </c>
      <c r="P63" s="590">
        <f>'Opioid Rx Data IQVIA SH'!P5</f>
        <v>228965844787</v>
      </c>
      <c r="Q63" s="590">
        <f>'Opioid Rx Data IQVIA SH'!Q5</f>
        <v>221271525079</v>
      </c>
      <c r="R63" s="590">
        <f>'Opioid Rx Data IQVIA SH'!R5</f>
        <v>209409702158</v>
      </c>
      <c r="S63" s="590">
        <f>'Opioid Rx Data IQVIA SH'!S5</f>
        <v>197124327717</v>
      </c>
      <c r="T63" s="590">
        <f>'Opioid Rx Data IQVIA SH'!T5</f>
        <v>170285611746</v>
      </c>
      <c r="U63" s="590">
        <f>'Opioid Rx Data IQVIA SH'!U5</f>
        <v>141100706124</v>
      </c>
      <c r="V63" s="590">
        <f>'Opioid Rx Data IQVIA SH'!V5</f>
        <v>120407890118</v>
      </c>
      <c r="W63" s="590">
        <f>'Opioid Rx Data IQVIA SH'!W5</f>
        <v>110314545203</v>
      </c>
      <c r="X63" s="588">
        <f t="shared" ref="X63:AG63" si="8">$X$64*LN(X66)+$X$65</f>
        <v>99675026690.944458</v>
      </c>
      <c r="Y63" s="588">
        <f t="shared" si="8"/>
        <v>91653888191.81041</v>
      </c>
      <c r="Z63" s="588">
        <f t="shared" si="8"/>
        <v>84872112222.074356</v>
      </c>
      <c r="AA63" s="588">
        <f t="shared" si="8"/>
        <v>78997470665.376892</v>
      </c>
      <c r="AB63" s="588">
        <f t="shared" si="8"/>
        <v>73815669574.702881</v>
      </c>
      <c r="AC63" s="588">
        <f t="shared" si="8"/>
        <v>69180390547.403412</v>
      </c>
      <c r="AD63" s="588">
        <f t="shared" si="8"/>
        <v>64987270622.194397</v>
      </c>
      <c r="AE63" s="588">
        <f t="shared" si="8"/>
        <v>61159252048.269363</v>
      </c>
      <c r="AF63" s="588">
        <f t="shared" si="8"/>
        <v>57637816320.17984</v>
      </c>
      <c r="AG63" s="588">
        <f t="shared" si="8"/>
        <v>54377476078.533325</v>
      </c>
      <c r="AH63" s="593">
        <f>$X$64*LN(AH66)+$X$65</f>
        <v>51342171930.295898</v>
      </c>
    </row>
    <row r="64" spans="1:34">
      <c r="A64" s="295"/>
      <c r="B64" s="581"/>
      <c r="C64" s="581"/>
      <c r="D64" s="581"/>
      <c r="E64" s="582"/>
      <c r="F64" s="582"/>
      <c r="G64" s="582"/>
      <c r="H64" s="582"/>
      <c r="I64" s="582"/>
      <c r="J64" s="582"/>
      <c r="K64" s="582"/>
      <c r="L64" s="582"/>
      <c r="M64" s="582"/>
      <c r="N64" s="582"/>
      <c r="O64" s="582"/>
      <c r="P64" s="582"/>
      <c r="Q64" s="582"/>
      <c r="R64" s="582"/>
      <c r="S64" s="582"/>
      <c r="T64" s="582"/>
      <c r="U64" s="582"/>
      <c r="V64" s="582"/>
      <c r="W64" s="592" t="s">
        <v>587</v>
      </c>
      <c r="X64" s="615">
        <v>-43994460338</v>
      </c>
      <c r="Y64" s="592"/>
      <c r="Z64" s="592"/>
      <c r="AA64" s="592"/>
      <c r="AB64" s="592"/>
      <c r="AC64" s="592"/>
      <c r="AD64" s="592"/>
      <c r="AE64" s="592"/>
      <c r="AF64" s="592"/>
      <c r="AG64" s="592"/>
      <c r="AH64" s="309"/>
    </row>
    <row r="65" spans="1:34">
      <c r="A65" s="295"/>
      <c r="B65" s="581"/>
      <c r="C65" s="581"/>
      <c r="D65" s="581"/>
      <c r="E65" s="582"/>
      <c r="F65" s="582"/>
      <c r="G65" s="582"/>
      <c r="H65" s="582"/>
      <c r="I65" s="582"/>
      <c r="J65" s="582"/>
      <c r="K65" s="582"/>
      <c r="L65" s="582"/>
      <c r="M65" s="582"/>
      <c r="N65" s="582"/>
      <c r="O65" s="582"/>
      <c r="P65" s="582"/>
      <c r="Q65" s="582"/>
      <c r="R65" s="582"/>
      <c r="S65" s="582"/>
      <c r="T65" s="582"/>
      <c r="U65" s="582"/>
      <c r="V65" s="582"/>
      <c r="W65" s="592" t="s">
        <v>588</v>
      </c>
      <c r="X65" s="616">
        <v>170481379096</v>
      </c>
      <c r="Y65" s="592"/>
      <c r="Z65" s="592"/>
      <c r="AA65" s="592"/>
      <c r="AB65" s="592"/>
      <c r="AC65" s="592"/>
      <c r="AD65" s="592"/>
      <c r="AE65" s="592"/>
      <c r="AF65" s="592"/>
      <c r="AG65" s="592"/>
      <c r="AH65" s="309"/>
    </row>
    <row r="66" spans="1:34" ht="29.1" thickBot="1">
      <c r="A66" s="296"/>
      <c r="B66" s="499"/>
      <c r="C66" s="499"/>
      <c r="D66" s="499"/>
      <c r="E66" s="291"/>
      <c r="F66" s="291"/>
      <c r="G66" s="291"/>
      <c r="H66" s="291"/>
      <c r="I66" s="291"/>
      <c r="J66" s="291"/>
      <c r="K66" s="291"/>
      <c r="L66" s="291"/>
      <c r="M66" s="291"/>
      <c r="N66" s="291"/>
      <c r="O66" s="291"/>
      <c r="P66" s="291"/>
      <c r="Q66" s="291"/>
      <c r="R66" s="291"/>
      <c r="S66" s="291"/>
      <c r="T66" s="291"/>
      <c r="U66" s="291"/>
      <c r="V66" s="291"/>
      <c r="W66" s="314" t="s">
        <v>594</v>
      </c>
      <c r="X66" s="316">
        <f>COUNT(T62:X62)</f>
        <v>5</v>
      </c>
      <c r="Y66" s="316">
        <v>6</v>
      </c>
      <c r="Z66" s="316">
        <v>7</v>
      </c>
      <c r="AA66" s="316">
        <v>8</v>
      </c>
      <c r="AB66" s="316">
        <v>9</v>
      </c>
      <c r="AC66" s="316">
        <v>10</v>
      </c>
      <c r="AD66" s="316">
        <v>11</v>
      </c>
      <c r="AE66" s="316">
        <v>12</v>
      </c>
      <c r="AF66" s="316">
        <v>13</v>
      </c>
      <c r="AG66" s="316">
        <v>14</v>
      </c>
      <c r="AH66" s="317">
        <v>15</v>
      </c>
    </row>
    <row r="68" spans="1:34" ht="14.7" thickBot="1"/>
    <row r="69" spans="1:34">
      <c r="A69" s="294"/>
      <c r="B69" s="417">
        <v>1999</v>
      </c>
      <c r="C69" s="417">
        <v>2000</v>
      </c>
      <c r="D69" s="417">
        <v>2001</v>
      </c>
      <c r="E69" s="289">
        <v>2002</v>
      </c>
      <c r="F69" s="289">
        <v>2003</v>
      </c>
      <c r="G69" s="289">
        <v>2004</v>
      </c>
      <c r="H69" s="289">
        <v>2005</v>
      </c>
      <c r="I69" s="289">
        <v>2006</v>
      </c>
      <c r="J69" s="289">
        <v>2007</v>
      </c>
      <c r="K69" s="289">
        <v>2008</v>
      </c>
      <c r="L69" s="289">
        <v>2009</v>
      </c>
      <c r="M69" s="289">
        <v>2010</v>
      </c>
      <c r="N69" s="289">
        <v>2011</v>
      </c>
      <c r="O69" s="289">
        <v>2012</v>
      </c>
      <c r="P69" s="289">
        <v>2013</v>
      </c>
      <c r="Q69" s="289">
        <v>2014</v>
      </c>
      <c r="R69" s="289">
        <v>2015</v>
      </c>
      <c r="S69" s="289">
        <v>2016</v>
      </c>
      <c r="T69" s="289">
        <v>2017</v>
      </c>
      <c r="U69" s="289">
        <v>2018</v>
      </c>
      <c r="V69" s="289">
        <v>2019</v>
      </c>
      <c r="W69" s="289">
        <v>2020</v>
      </c>
      <c r="X69" s="301">
        <v>2021</v>
      </c>
      <c r="Y69" s="301">
        <v>2022</v>
      </c>
      <c r="Z69" s="301">
        <v>2023</v>
      </c>
      <c r="AA69" s="301">
        <v>2024</v>
      </c>
      <c r="AB69" s="301">
        <v>2025</v>
      </c>
      <c r="AC69" s="301">
        <v>2026</v>
      </c>
      <c r="AD69" s="301">
        <v>2027</v>
      </c>
      <c r="AE69" s="301">
        <v>2028</v>
      </c>
      <c r="AF69" s="301">
        <v>2029</v>
      </c>
      <c r="AG69" s="301">
        <v>2030</v>
      </c>
      <c r="AH69" s="302">
        <v>2031</v>
      </c>
    </row>
    <row r="70" spans="1:34" ht="44.1">
      <c r="A70" s="295" t="s">
        <v>606</v>
      </c>
      <c r="B70" s="581">
        <f>'Opioid Rx Data IQVIA SH'!B75</f>
        <v>0</v>
      </c>
      <c r="C70" s="581">
        <f>'Opioid Rx Data IQVIA SH'!C75</f>
        <v>0</v>
      </c>
      <c r="D70" s="581">
        <f>'Opioid Rx Data IQVIA SH'!D75</f>
        <v>0</v>
      </c>
      <c r="E70" s="618">
        <f>'Opioid Rx Data IQVIA SH'!E75</f>
        <v>0</v>
      </c>
      <c r="F70" s="618">
        <f>'Opioid Rx Data IQVIA SH'!F75</f>
        <v>0</v>
      </c>
      <c r="G70" s="618">
        <f>'Opioid Rx Data IQVIA SH'!G75</f>
        <v>0</v>
      </c>
      <c r="H70" s="618">
        <f>'Opioid Rx Data IQVIA SH'!H75</f>
        <v>0</v>
      </c>
      <c r="I70" s="618">
        <f>'Opioid Rx Data IQVIA SH'!I75</f>
        <v>0</v>
      </c>
      <c r="J70" s="618">
        <f>'Opioid Rx Data IQVIA SH'!J75</f>
        <v>0</v>
      </c>
      <c r="K70" s="618">
        <f>'Opioid Rx Data IQVIA SH'!K75</f>
        <v>0</v>
      </c>
      <c r="L70" s="618">
        <f>'Opioid Rx Data IQVIA SH'!L75</f>
        <v>1.2868150677794213E-4</v>
      </c>
      <c r="M70" s="618">
        <f>'Opioid Rx Data IQVIA SH'!M75</f>
        <v>3.0440046129983321E-2</v>
      </c>
      <c r="N70" s="618">
        <f>'Opioid Rx Data IQVIA SH'!N75</f>
        <v>0.10357235362782942</v>
      </c>
      <c r="O70" s="618">
        <f>'Opioid Rx Data IQVIA SH'!O75</f>
        <v>9.0387600251146713E-2</v>
      </c>
      <c r="P70" s="618">
        <f>'Opioid Rx Data IQVIA SH'!P75</f>
        <v>8.5121503878147764E-2</v>
      </c>
      <c r="Q70" s="618">
        <f>'Opioid Rx Data IQVIA SH'!Q75</f>
        <v>7.9822156563950336E-2</v>
      </c>
      <c r="R70" s="618">
        <f>'Opioid Rx Data IQVIA SH'!R75</f>
        <v>7.5699132306866743E-2</v>
      </c>
      <c r="S70" s="618">
        <f>'Opioid Rx Data IQVIA SH'!S75</f>
        <v>7.0648063363307451E-2</v>
      </c>
      <c r="T70" s="618">
        <f>'Opioid Rx Data IQVIA SH'!T75</f>
        <v>6.5304469508482815E-2</v>
      </c>
      <c r="U70" s="618">
        <f>'Opioid Rx Data IQVIA SH'!U75</f>
        <v>6.2178924571006849E-2</v>
      </c>
      <c r="V70" s="618">
        <f>'Opioid Rx Data IQVIA SH'!V75</f>
        <v>5.5745186078936089E-2</v>
      </c>
      <c r="W70" s="618">
        <f>'Opioid Rx Data IQVIA SH'!W75</f>
        <v>4.9272336100354815E-2</v>
      </c>
      <c r="X70" s="619">
        <f t="shared" ref="X70:AH70" si="9">$X$71*LN(X73)+$X$72</f>
        <v>4.5488961223839858E-2</v>
      </c>
      <c r="Y70" s="619">
        <f t="shared" si="9"/>
        <v>4.2802010667140226E-2</v>
      </c>
      <c r="Z70" s="619">
        <f t="shared" si="9"/>
        <v>4.0717849897865505E-2</v>
      </c>
      <c r="AA70" s="619">
        <f t="shared" si="9"/>
        <v>3.901496655740997E-2</v>
      </c>
      <c r="AB70" s="619">
        <f t="shared" si="9"/>
        <v>3.7575199207823373E-2</v>
      </c>
      <c r="AC70" s="619">
        <f t="shared" si="9"/>
        <v>3.6328016000710339E-2</v>
      </c>
      <c r="AD70" s="619">
        <f t="shared" si="9"/>
        <v>3.5227922447679708E-2</v>
      </c>
      <c r="AE70" s="619">
        <f t="shared" si="9"/>
        <v>3.424385523143561E-2</v>
      </c>
      <c r="AF70" s="619">
        <f t="shared" si="9"/>
        <v>3.3353658152063217E-2</v>
      </c>
      <c r="AG70" s="619">
        <f t="shared" si="9"/>
        <v>3.2540971890980083E-2</v>
      </c>
      <c r="AH70" s="293">
        <f t="shared" si="9"/>
        <v>3.1793373001309251E-2</v>
      </c>
    </row>
    <row r="71" spans="1:34">
      <c r="A71" s="295"/>
      <c r="B71" s="581"/>
      <c r="C71" s="581"/>
      <c r="D71" s="581"/>
      <c r="E71" s="582"/>
      <c r="F71" s="582"/>
      <c r="G71" s="582"/>
      <c r="H71" s="582"/>
      <c r="I71" s="582"/>
      <c r="J71" s="582"/>
      <c r="K71" s="582"/>
      <c r="L71" s="582"/>
      <c r="M71" s="582"/>
      <c r="N71" s="582"/>
      <c r="O71" s="582"/>
      <c r="P71" s="582"/>
      <c r="Q71" s="582"/>
      <c r="R71" s="582"/>
      <c r="S71" s="582"/>
      <c r="T71" s="582"/>
      <c r="U71" s="582"/>
      <c r="V71" s="582"/>
      <c r="W71" s="584" t="s">
        <v>587</v>
      </c>
      <c r="X71" s="592">
        <v>-9.3399999999999993E-3</v>
      </c>
      <c r="Y71" s="592"/>
      <c r="Z71" s="592"/>
      <c r="AA71" s="592"/>
      <c r="AB71" s="592"/>
      <c r="AC71" s="592"/>
      <c r="AD71" s="592"/>
      <c r="AE71" s="592"/>
      <c r="AF71" s="592"/>
      <c r="AG71" s="592"/>
      <c r="AH71" s="309"/>
    </row>
    <row r="72" spans="1:34">
      <c r="A72" s="295"/>
      <c r="B72" s="581"/>
      <c r="C72" s="581"/>
      <c r="D72" s="581"/>
      <c r="E72" s="582"/>
      <c r="F72" s="582"/>
      <c r="G72" s="582"/>
      <c r="H72" s="582"/>
      <c r="I72" s="582"/>
      <c r="J72" s="582"/>
      <c r="K72" s="582"/>
      <c r="L72" s="582"/>
      <c r="M72" s="582"/>
      <c r="N72" s="582"/>
      <c r="O72" s="582"/>
      <c r="P72" s="582"/>
      <c r="Q72" s="582"/>
      <c r="R72" s="582"/>
      <c r="S72" s="582"/>
      <c r="T72" s="582"/>
      <c r="U72" s="582"/>
      <c r="V72" s="582"/>
      <c r="W72" s="587" t="s">
        <v>588</v>
      </c>
      <c r="X72" s="592">
        <v>5.5750000000000001E-2</v>
      </c>
      <c r="Y72" s="592"/>
      <c r="Z72" s="592"/>
      <c r="AA72" s="592"/>
      <c r="AB72" s="592"/>
      <c r="AC72" s="592"/>
      <c r="AD72" s="592"/>
      <c r="AE72" s="592"/>
      <c r="AF72" s="592"/>
      <c r="AG72" s="592"/>
      <c r="AH72" s="309"/>
    </row>
    <row r="73" spans="1:34" ht="29.1" thickBot="1">
      <c r="A73" s="296"/>
      <c r="B73" s="499"/>
      <c r="C73" s="499"/>
      <c r="D73" s="499"/>
      <c r="E73" s="291"/>
      <c r="F73" s="291"/>
      <c r="G73" s="291"/>
      <c r="H73" s="291"/>
      <c r="I73" s="291"/>
      <c r="J73" s="291"/>
      <c r="K73" s="291"/>
      <c r="L73" s="291"/>
      <c r="M73" s="291"/>
      <c r="N73" s="291"/>
      <c r="O73" s="291"/>
      <c r="P73" s="291"/>
      <c r="Q73" s="291"/>
      <c r="R73" s="291"/>
      <c r="S73" s="291"/>
      <c r="T73" s="291"/>
      <c r="U73" s="291"/>
      <c r="V73" s="291"/>
      <c r="W73" s="314" t="s">
        <v>599</v>
      </c>
      <c r="X73" s="316">
        <f>COUNT(V69:X69)</f>
        <v>3</v>
      </c>
      <c r="Y73" s="316">
        <v>4</v>
      </c>
      <c r="Z73" s="316">
        <v>5</v>
      </c>
      <c r="AA73" s="316">
        <v>6</v>
      </c>
      <c r="AB73" s="316">
        <v>7</v>
      </c>
      <c r="AC73" s="316">
        <v>8</v>
      </c>
      <c r="AD73" s="316">
        <v>9</v>
      </c>
      <c r="AE73" s="316">
        <v>10</v>
      </c>
      <c r="AF73" s="316">
        <v>11</v>
      </c>
      <c r="AG73" s="316">
        <v>12</v>
      </c>
      <c r="AH73" s="317">
        <v>13</v>
      </c>
    </row>
    <row r="75" spans="1:34" ht="14.7" thickBot="1"/>
    <row r="76" spans="1:34">
      <c r="A76" s="294"/>
      <c r="B76" s="417">
        <v>1999</v>
      </c>
      <c r="C76" s="417">
        <v>2000</v>
      </c>
      <c r="D76" s="417">
        <v>2001</v>
      </c>
      <c r="E76" s="289">
        <v>2002</v>
      </c>
      <c r="F76" s="289">
        <v>2003</v>
      </c>
      <c r="G76" s="289">
        <v>2004</v>
      </c>
      <c r="H76" s="289">
        <v>2005</v>
      </c>
      <c r="I76" s="289">
        <v>2006</v>
      </c>
      <c r="J76" s="289">
        <v>2007</v>
      </c>
      <c r="K76" s="289">
        <v>2008</v>
      </c>
      <c r="L76" s="289">
        <v>2009</v>
      </c>
      <c r="M76" s="289">
        <v>2010</v>
      </c>
      <c r="N76" s="289">
        <v>2011</v>
      </c>
      <c r="O76" s="289">
        <v>2012</v>
      </c>
      <c r="P76" s="289">
        <v>2013</v>
      </c>
      <c r="Q76" s="289">
        <v>2014</v>
      </c>
      <c r="R76" s="289">
        <v>2015</v>
      </c>
      <c r="S76" s="289">
        <v>2016</v>
      </c>
      <c r="T76" s="289">
        <v>2017</v>
      </c>
      <c r="U76" s="289">
        <v>2018</v>
      </c>
      <c r="V76" s="289">
        <v>2019</v>
      </c>
      <c r="W76" s="515">
        <v>2020</v>
      </c>
      <c r="X76" s="307">
        <v>2021</v>
      </c>
      <c r="Y76" s="307">
        <v>2022</v>
      </c>
      <c r="Z76" s="307">
        <v>2023</v>
      </c>
      <c r="AA76" s="307">
        <v>2024</v>
      </c>
      <c r="AB76" s="307">
        <v>2025</v>
      </c>
      <c r="AC76" s="307">
        <v>2026</v>
      </c>
      <c r="AD76" s="307">
        <v>2027</v>
      </c>
      <c r="AE76" s="307">
        <v>2028</v>
      </c>
      <c r="AF76" s="307">
        <v>2029</v>
      </c>
      <c r="AG76" s="307">
        <v>2030</v>
      </c>
      <c r="AH76" s="308">
        <v>2031</v>
      </c>
    </row>
    <row r="77" spans="1:34" ht="44.1">
      <c r="A77" s="295" t="s">
        <v>12</v>
      </c>
      <c r="B77" s="581">
        <f>'Fentanyl NFLIS'!B41</f>
        <v>0</v>
      </c>
      <c r="C77" s="581">
        <f>'Fentanyl NFLIS'!C41</f>
        <v>0</v>
      </c>
      <c r="D77" s="581">
        <f>'Fentanyl NFLIS'!D41</f>
        <v>0</v>
      </c>
      <c r="E77" s="582">
        <f>'Fentanyl NFLIS'!E41</f>
        <v>0</v>
      </c>
      <c r="F77" s="582">
        <f>'Fentanyl NFLIS'!F41</f>
        <v>0</v>
      </c>
      <c r="G77" s="582">
        <f>'Fentanyl NFLIS'!G41</f>
        <v>0</v>
      </c>
      <c r="H77" s="582">
        <f>'Fentanyl NFLIS'!H41</f>
        <v>0</v>
      </c>
      <c r="I77" s="582">
        <f>'Fentanyl NFLIS'!I41</f>
        <v>0</v>
      </c>
      <c r="J77" s="620">
        <f>'Fentanyl NFLIS'!J41</f>
        <v>1.0755202244563947E-2</v>
      </c>
      <c r="K77" s="620">
        <f>'Fentanyl NFLIS'!K41</f>
        <v>5.6314948870589696E-3</v>
      </c>
      <c r="L77" s="620">
        <f>'Fentanyl NFLIS'!L41</f>
        <v>5.7798856433668722E-3</v>
      </c>
      <c r="M77" s="620">
        <f>'Fentanyl NFLIS'!M41</f>
        <v>6.1042036175059195E-3</v>
      </c>
      <c r="N77" s="620">
        <f>'Fentanyl NFLIS'!N41</f>
        <v>5.3814787439894363E-3</v>
      </c>
      <c r="O77" s="620">
        <f>'Fentanyl NFLIS'!O41</f>
        <v>0</v>
      </c>
      <c r="P77" s="620">
        <f>'Fentanyl NFLIS'!P41</f>
        <v>6.4060575890166902E-3</v>
      </c>
      <c r="Q77" s="620">
        <f>'Fentanyl NFLIS'!Q41</f>
        <v>2.7908994218554105E-2</v>
      </c>
      <c r="R77" s="620">
        <f>'Fentanyl NFLIS'!R41</f>
        <v>8.2317311449785074E-2</v>
      </c>
      <c r="S77" s="620">
        <f>'Fentanyl NFLIS'!S41</f>
        <v>0.18473601770824541</v>
      </c>
      <c r="T77" s="620">
        <f>'Fentanyl NFLIS'!T41</f>
        <v>0.32210083779712445</v>
      </c>
      <c r="U77" s="620">
        <f>'Fentanyl NFLIS'!U41</f>
        <v>0.40610436550278561</v>
      </c>
      <c r="V77" s="620">
        <f>'Fentanyl NFLIS'!V41</f>
        <v>0.47271690770965785</v>
      </c>
      <c r="W77" s="620">
        <f>'Fentanyl NFLIS'!W41</f>
        <v>0.53636894162713789</v>
      </c>
      <c r="X77" s="621">
        <f>$X$78*LN(X80)+$X$79</f>
        <v>0.57355260809973252</v>
      </c>
      <c r="Y77" s="621">
        <f t="shared" ref="Y77:AH77" si="10">$X$78*LN(Y80)+$X$79</f>
        <v>0.59996182235080597</v>
      </c>
      <c r="Z77" s="621">
        <f t="shared" si="10"/>
        <v>0.62044640036145049</v>
      </c>
      <c r="AA77" s="621">
        <f t="shared" si="10"/>
        <v>0.6371835192751355</v>
      </c>
      <c r="AB77" s="621">
        <f t="shared" si="10"/>
        <v>0.65133455168327781</v>
      </c>
      <c r="AC77" s="621">
        <f t="shared" si="10"/>
        <v>0.66359273352620896</v>
      </c>
      <c r="AD77" s="621">
        <f t="shared" si="10"/>
        <v>0.67440521619946492</v>
      </c>
      <c r="AE77" s="621">
        <f t="shared" si="10"/>
        <v>0.68407731153685347</v>
      </c>
      <c r="AF77" s="621">
        <f t="shared" si="10"/>
        <v>0.6928267860428905</v>
      </c>
      <c r="AG77" s="621">
        <f t="shared" si="10"/>
        <v>0.70081443045053848</v>
      </c>
      <c r="AH77" s="293">
        <f t="shared" si="10"/>
        <v>0.70816235101496905</v>
      </c>
    </row>
    <row r="78" spans="1:34">
      <c r="A78" s="295"/>
      <c r="B78" s="581"/>
      <c r="C78" s="581"/>
      <c r="D78" s="581"/>
      <c r="E78" s="582"/>
      <c r="F78" s="582"/>
      <c r="G78" s="582"/>
      <c r="H78" s="582"/>
      <c r="I78" s="582"/>
      <c r="J78" s="582"/>
      <c r="K78" s="582"/>
      <c r="L78" s="582"/>
      <c r="M78" s="582"/>
      <c r="N78" s="582"/>
      <c r="O78" s="582"/>
      <c r="P78" s="582"/>
      <c r="Q78" s="582"/>
      <c r="R78" s="582"/>
      <c r="S78" s="582"/>
      <c r="T78" s="582"/>
      <c r="U78" s="582"/>
      <c r="V78" s="582"/>
      <c r="W78" s="584" t="s">
        <v>587</v>
      </c>
      <c r="X78" s="588">
        <v>9.1800000000000007E-2</v>
      </c>
      <c r="Y78" s="588"/>
      <c r="Z78" s="588"/>
      <c r="AA78" s="588"/>
      <c r="AB78" s="588"/>
      <c r="AC78" s="588"/>
      <c r="AD78" s="588"/>
      <c r="AE78" s="588"/>
      <c r="AF78" s="588"/>
      <c r="AG78" s="588"/>
      <c r="AH78" s="304"/>
    </row>
    <row r="79" spans="1:34">
      <c r="A79" s="295"/>
      <c r="B79" s="581"/>
      <c r="C79" s="581"/>
      <c r="D79" s="581"/>
      <c r="E79" s="582"/>
      <c r="F79" s="582"/>
      <c r="G79" s="582"/>
      <c r="H79" s="582"/>
      <c r="I79" s="582"/>
      <c r="J79" s="582"/>
      <c r="K79" s="582"/>
      <c r="L79" s="582"/>
      <c r="M79" s="582"/>
      <c r="N79" s="582"/>
      <c r="O79" s="582"/>
      <c r="P79" s="582"/>
      <c r="Q79" s="582"/>
      <c r="R79" s="582"/>
      <c r="S79" s="582"/>
      <c r="T79" s="582"/>
      <c r="U79" s="582"/>
      <c r="V79" s="582"/>
      <c r="W79" s="587" t="s">
        <v>588</v>
      </c>
      <c r="X79" s="588">
        <v>0.47270000000000001</v>
      </c>
      <c r="Y79" s="588"/>
      <c r="Z79" s="588"/>
      <c r="AA79" s="588"/>
      <c r="AB79" s="588"/>
      <c r="AC79" s="588"/>
      <c r="AD79" s="588"/>
      <c r="AE79" s="588"/>
      <c r="AF79" s="588"/>
      <c r="AG79" s="588"/>
      <c r="AH79" s="304"/>
    </row>
    <row r="80" spans="1:34" ht="29.1" thickBot="1">
      <c r="A80" s="296"/>
      <c r="B80" s="499"/>
      <c r="C80" s="499"/>
      <c r="D80" s="499"/>
      <c r="E80" s="291"/>
      <c r="F80" s="291"/>
      <c r="G80" s="291"/>
      <c r="H80" s="291"/>
      <c r="I80" s="291"/>
      <c r="J80" s="291"/>
      <c r="K80" s="291"/>
      <c r="L80" s="291"/>
      <c r="M80" s="291"/>
      <c r="N80" s="291"/>
      <c r="O80" s="291"/>
      <c r="P80" s="291"/>
      <c r="Q80" s="291"/>
      <c r="R80" s="291"/>
      <c r="S80" s="291"/>
      <c r="T80" s="291"/>
      <c r="U80" s="291"/>
      <c r="V80" s="291"/>
      <c r="W80" s="314" t="s">
        <v>607</v>
      </c>
      <c r="X80" s="316">
        <f>COUNT(V76:X76)</f>
        <v>3</v>
      </c>
      <c r="Y80" s="316">
        <v>4</v>
      </c>
      <c r="Z80" s="316">
        <v>5</v>
      </c>
      <c r="AA80" s="316">
        <v>6</v>
      </c>
      <c r="AB80" s="316">
        <v>7</v>
      </c>
      <c r="AC80" s="316">
        <v>8</v>
      </c>
      <c r="AD80" s="316">
        <v>9</v>
      </c>
      <c r="AE80" s="316">
        <v>10</v>
      </c>
      <c r="AF80" s="316">
        <v>11</v>
      </c>
      <c r="AG80" s="316">
        <v>12</v>
      </c>
      <c r="AH80" s="317">
        <v>13</v>
      </c>
    </row>
  </sheetData>
  <mergeCells count="1">
    <mergeCell ref="A1:AH1"/>
  </mergeCells>
  <pageMargins left="0.7" right="0.7" top="0.75" bottom="0.75" header="0.3" footer="0.3"/>
  <pageSetup orientation="portrait" r:id="rId1"/>
  <ignoredErrors>
    <ignoredError sqref="X52 X80 X73 X66 X9 W22 W15 W30 X38 W45" formulaRange="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9CDD-5862-4573-8435-FDF563524743}">
  <dimension ref="A1:AN82"/>
  <sheetViews>
    <sheetView zoomScaleNormal="100" workbookViewId="0">
      <pane xSplit="1" ySplit="1" topLeftCell="X2" activePane="bottomRight" state="frozen"/>
      <selection pane="topRight" activeCell="B1" sqref="B1"/>
      <selection pane="bottomLeft" activeCell="A2" sqref="A2"/>
      <selection pane="bottomRight" activeCell="AC61" sqref="AC61"/>
    </sheetView>
  </sheetViews>
  <sheetFormatPr defaultColWidth="8.83984375" defaultRowHeight="14.4"/>
  <cols>
    <col min="1" max="1" width="26.83984375" style="49" customWidth="1"/>
    <col min="2" max="4" width="16.41796875" style="49" customWidth="1"/>
    <col min="5" max="21" width="16.41796875" customWidth="1"/>
    <col min="22" max="22" width="17.83984375" customWidth="1"/>
    <col min="23" max="23" width="19.26171875" customWidth="1"/>
    <col min="24" max="29" width="17.15625" bestFit="1" customWidth="1"/>
    <col min="30" max="30" width="15.26171875" customWidth="1"/>
    <col min="31" max="32" width="17.15625" bestFit="1" customWidth="1"/>
    <col min="33" max="33" width="16.15625" customWidth="1"/>
    <col min="34" max="34" width="21.15625" customWidth="1"/>
    <col min="35" max="35" width="12.83984375" customWidth="1"/>
    <col min="36" max="36" width="31.15625" customWidth="1"/>
    <col min="37" max="37" width="21.26171875" customWidth="1"/>
    <col min="38" max="38" width="22" customWidth="1"/>
    <col min="39" max="39" width="12.68359375" customWidth="1"/>
  </cols>
  <sheetData>
    <row r="1" spans="1:40" ht="50.1" customHeight="1">
      <c r="A1" s="660" t="s">
        <v>608</v>
      </c>
      <c r="B1" s="660"/>
      <c r="C1" s="660"/>
      <c r="D1" s="660"/>
      <c r="E1" s="660"/>
      <c r="F1" s="660"/>
      <c r="G1" s="660"/>
      <c r="H1" s="660"/>
      <c r="I1" s="660"/>
      <c r="J1" s="660"/>
      <c r="K1" s="660"/>
      <c r="L1" s="660"/>
      <c r="M1" s="660"/>
      <c r="N1" s="660"/>
      <c r="O1" s="660"/>
      <c r="P1" s="660"/>
      <c r="Q1" s="660"/>
      <c r="R1" s="660"/>
      <c r="S1" s="660"/>
      <c r="T1" s="660"/>
      <c r="U1" s="660"/>
      <c r="V1" s="660"/>
      <c r="W1" s="660"/>
      <c r="X1" s="660"/>
      <c r="Y1" s="660"/>
      <c r="Z1" s="660"/>
      <c r="AA1" s="660"/>
      <c r="AB1" s="660"/>
      <c r="AC1" s="660"/>
      <c r="AD1" s="660"/>
      <c r="AE1" s="660"/>
      <c r="AF1" s="660"/>
      <c r="AG1" s="660"/>
      <c r="AH1" s="660"/>
    </row>
    <row r="2" spans="1:40" ht="25.9" customHeight="1">
      <c r="AI2" s="39"/>
    </row>
    <row r="3" spans="1:40" ht="54" customHeight="1">
      <c r="AI3" s="39"/>
    </row>
    <row r="4" spans="1:40" ht="14.7"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18.3">
      <c r="A6" s="295" t="str">
        <f>'Buprenorphine Capacity'!A73</f>
        <v>Total waivered providers</v>
      </c>
      <c r="B6" s="581">
        <f>'Buprenorphine Capacity'!B5</f>
        <v>0</v>
      </c>
      <c r="C6" s="581">
        <f>'Buprenorphine Capacity'!C5</f>
        <v>0</v>
      </c>
      <c r="D6" s="581">
        <f>'Buprenorphine Capacity'!D5</f>
        <v>0</v>
      </c>
      <c r="E6" s="579">
        <f>'Buprenorphine Capacity'!E5</f>
        <v>0</v>
      </c>
      <c r="F6" s="579">
        <f>'Buprenorphine Capacity'!F5</f>
        <v>1893</v>
      </c>
      <c r="G6" s="579">
        <f>'Buprenorphine Capacity'!G5</f>
        <v>3256</v>
      </c>
      <c r="H6" s="579">
        <f>'Buprenorphine Capacity'!H5</f>
        <v>5484</v>
      </c>
      <c r="I6" s="579">
        <f>'Buprenorphine Capacity'!I5</f>
        <v>8555.5</v>
      </c>
      <c r="J6" s="579">
        <f>'Buprenorphine Capacity'!J5</f>
        <v>10637</v>
      </c>
      <c r="K6" s="579">
        <f>'Buprenorphine Capacity'!K5</f>
        <v>14365.333333333332</v>
      </c>
      <c r="L6" s="579">
        <f>'Buprenorphine Capacity'!L5</f>
        <v>15817.5</v>
      </c>
      <c r="M6" s="579">
        <f>'Buprenorphine Capacity'!M5</f>
        <v>18023.5</v>
      </c>
      <c r="N6" s="579">
        <f>'Buprenorphine Capacity'!N5</f>
        <v>20148</v>
      </c>
      <c r="O6" s="579">
        <f>'Buprenorphine Capacity'!O5</f>
        <v>22198</v>
      </c>
      <c r="P6" s="579">
        <f>'Buprenorphine Capacity'!P5</f>
        <v>23629</v>
      </c>
      <c r="Q6" s="579">
        <f>'Buprenorphine Capacity'!Q5</f>
        <v>25738</v>
      </c>
      <c r="R6" s="579">
        <f>'Buprenorphine Capacity'!R5</f>
        <v>28930.5</v>
      </c>
      <c r="S6" s="579">
        <f>'Buprenorphine Capacity'!S5</f>
        <v>32122.999999999996</v>
      </c>
      <c r="T6" s="579">
        <f>'Buprenorphine Capacity'!T5</f>
        <v>42037</v>
      </c>
      <c r="U6" s="579">
        <f>'Buprenorphine Capacity'!U5</f>
        <v>57426.5</v>
      </c>
      <c r="V6" s="579">
        <f>'Buprenorphine Capacity'!V5</f>
        <v>66800</v>
      </c>
      <c r="W6" s="591">
        <f t="shared" ref="W6:AH6" si="0">$W$7*LN(W9)+$W$8</f>
        <v>73178.168302642021</v>
      </c>
      <c r="X6" s="591">
        <f t="shared" si="0"/>
        <v>78199.790781416988</v>
      </c>
      <c r="Y6" s="591">
        <f t="shared" si="0"/>
        <v>82302.755095508153</v>
      </c>
      <c r="Z6" s="591">
        <f t="shared" si="0"/>
        <v>85771.761994340777</v>
      </c>
      <c r="AA6" s="591">
        <f t="shared" si="0"/>
        <v>88776.752453963025</v>
      </c>
      <c r="AB6" s="591">
        <f t="shared" si="0"/>
        <v>91427.341888374285</v>
      </c>
      <c r="AC6" s="591">
        <f t="shared" si="0"/>
        <v>93798.374932738006</v>
      </c>
      <c r="AD6" s="591">
        <f t="shared" si="0"/>
        <v>95943.235219054535</v>
      </c>
      <c r="AE6" s="591">
        <f t="shared" si="0"/>
        <v>97901.339246829157</v>
      </c>
      <c r="AF6" s="591">
        <f t="shared" si="0"/>
        <v>99702.620340314432</v>
      </c>
      <c r="AG6" s="591">
        <f t="shared" si="0"/>
        <v>101370.34614566178</v>
      </c>
      <c r="AH6" s="290">
        <f t="shared" si="0"/>
        <v>102922.96172560414</v>
      </c>
      <c r="AN6" s="269"/>
    </row>
    <row r="7" spans="1:40">
      <c r="A7" s="295"/>
      <c r="B7" s="581"/>
      <c r="C7" s="581"/>
      <c r="D7" s="581"/>
      <c r="E7" s="582"/>
      <c r="F7" s="582"/>
      <c r="G7" s="582"/>
      <c r="H7" s="582"/>
      <c r="I7" s="582"/>
      <c r="J7" s="582"/>
      <c r="K7" s="582"/>
      <c r="L7" s="582"/>
      <c r="M7" s="582"/>
      <c r="N7" s="582"/>
      <c r="O7" s="582"/>
      <c r="P7" s="582"/>
      <c r="Q7" s="582"/>
      <c r="R7" s="582"/>
      <c r="S7" s="582"/>
      <c r="T7" s="582"/>
      <c r="U7" s="582"/>
      <c r="V7" s="617" t="s">
        <v>587</v>
      </c>
      <c r="W7" s="592">
        <v>22504</v>
      </c>
      <c r="X7" s="305"/>
      <c r="Y7" s="588"/>
      <c r="Z7" s="588"/>
      <c r="AA7" s="588"/>
      <c r="AB7" s="588"/>
      <c r="AC7" s="588"/>
      <c r="AD7" s="588"/>
      <c r="AE7" s="588"/>
      <c r="AF7" s="588"/>
      <c r="AG7" s="588"/>
      <c r="AH7" s="304"/>
    </row>
    <row r="8" spans="1:40">
      <c r="A8" s="295"/>
      <c r="B8" s="581"/>
      <c r="C8" s="581"/>
      <c r="D8" s="581"/>
      <c r="E8" s="582"/>
      <c r="F8" s="582"/>
      <c r="G8" s="582"/>
      <c r="H8" s="582"/>
      <c r="I8" s="582"/>
      <c r="J8" s="582"/>
      <c r="K8" s="582"/>
      <c r="L8" s="582"/>
      <c r="M8" s="582"/>
      <c r="N8" s="582"/>
      <c r="O8" s="582"/>
      <c r="P8" s="582"/>
      <c r="Q8" s="582"/>
      <c r="R8" s="582"/>
      <c r="S8" s="582"/>
      <c r="T8" s="582"/>
      <c r="U8" s="582"/>
      <c r="V8" s="592" t="s">
        <v>588</v>
      </c>
      <c r="W8" s="592">
        <v>41981</v>
      </c>
      <c r="X8" s="305"/>
      <c r="Y8" s="588"/>
      <c r="Z8" s="588"/>
      <c r="AA8" s="588"/>
      <c r="AB8" s="588"/>
      <c r="AC8" s="588"/>
      <c r="AD8" s="588"/>
      <c r="AE8" s="588"/>
      <c r="AF8" s="588"/>
      <c r="AG8" s="588"/>
      <c r="AH8" s="304"/>
    </row>
    <row r="9" spans="1:40" ht="43.35" customHeight="1" thickBot="1">
      <c r="A9" s="296"/>
      <c r="B9" s="499"/>
      <c r="C9" s="499"/>
      <c r="D9" s="499"/>
      <c r="E9" s="291"/>
      <c r="F9" s="291"/>
      <c r="G9" s="291"/>
      <c r="H9" s="291"/>
      <c r="I9" s="291"/>
      <c r="J9" s="291"/>
      <c r="K9" s="291"/>
      <c r="L9" s="291"/>
      <c r="M9" s="291"/>
      <c r="N9" s="291"/>
      <c r="O9" s="291"/>
      <c r="P9" s="291"/>
      <c r="Q9" s="291"/>
      <c r="R9" s="291"/>
      <c r="S9" s="291"/>
      <c r="T9" s="291"/>
      <c r="U9" s="291"/>
      <c r="V9" s="314" t="s">
        <v>609</v>
      </c>
      <c r="W9" s="310">
        <f>COUNT(T5:W5)</f>
        <v>4</v>
      </c>
      <c r="X9" s="316">
        <v>5</v>
      </c>
      <c r="Y9" s="316">
        <v>6</v>
      </c>
      <c r="Z9" s="316">
        <v>7</v>
      </c>
      <c r="AA9" s="316">
        <v>8</v>
      </c>
      <c r="AB9" s="316">
        <v>9</v>
      </c>
      <c r="AC9" s="316">
        <v>10</v>
      </c>
      <c r="AD9" s="316">
        <v>11</v>
      </c>
      <c r="AE9" s="316">
        <v>12</v>
      </c>
      <c r="AF9" s="316">
        <v>13</v>
      </c>
      <c r="AG9" s="316">
        <v>14</v>
      </c>
      <c r="AH9" s="317">
        <v>15</v>
      </c>
    </row>
    <row r="10" spans="1:40" ht="14.7" thickBot="1"/>
    <row r="11" spans="1:40">
      <c r="A11" s="497" t="s">
        <v>590</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28.8">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6">
        <f>$W$13*LN(W15)+$W$14</f>
        <v>419851.13076559408</v>
      </c>
      <c r="X12" s="306">
        <f t="shared" ref="X12:AH12" si="1">$W$13*LN(X15)+$W$14</f>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587</v>
      </c>
      <c r="W13" s="305">
        <v>45045</v>
      </c>
      <c r="X13" s="303"/>
      <c r="Y13" s="303"/>
      <c r="Z13" s="303"/>
      <c r="AA13" s="303"/>
      <c r="AB13" s="303"/>
      <c r="AC13" s="303"/>
      <c r="AD13" s="303"/>
      <c r="AE13" s="303"/>
      <c r="AF13" s="303"/>
      <c r="AG13" s="303"/>
      <c r="AH13" s="304"/>
    </row>
    <row r="14" spans="1:40">
      <c r="A14" s="295"/>
      <c r="V14" s="305" t="s">
        <v>588</v>
      </c>
      <c r="W14" s="305">
        <v>347354</v>
      </c>
      <c r="X14" s="303"/>
      <c r="Y14" s="303"/>
      <c r="Z14" s="303"/>
      <c r="AA14" s="303"/>
      <c r="AB14" s="303"/>
      <c r="AC14" s="303"/>
      <c r="AD14" s="303"/>
      <c r="AE14" s="303"/>
      <c r="AF14" s="303"/>
      <c r="AG14" s="303"/>
      <c r="AH14" s="304"/>
    </row>
    <row r="15" spans="1:40" ht="43.2">
      <c r="A15" s="295"/>
      <c r="V15" s="313" t="s">
        <v>591</v>
      </c>
      <c r="W15" s="303">
        <f>COUNT(S11:W11)</f>
        <v>5</v>
      </c>
      <c r="X15" s="303">
        <v>6</v>
      </c>
      <c r="Y15" s="303">
        <v>7</v>
      </c>
      <c r="Z15" s="303">
        <v>8</v>
      </c>
      <c r="AA15" s="303">
        <v>9</v>
      </c>
      <c r="AB15" s="303">
        <v>10</v>
      </c>
      <c r="AC15" s="303">
        <v>11</v>
      </c>
      <c r="AD15" s="303">
        <v>12</v>
      </c>
      <c r="AE15" s="303">
        <v>13</v>
      </c>
      <c r="AF15" s="303">
        <v>14</v>
      </c>
      <c r="AG15" s="303">
        <v>15</v>
      </c>
      <c r="AH15" s="304">
        <v>16</v>
      </c>
    </row>
    <row r="16" spans="1:40" ht="18.60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592</v>
      </c>
      <c r="W16" s="310"/>
      <c r="X16" s="310"/>
      <c r="Y16" s="310">
        <v>0.86599999999999999</v>
      </c>
      <c r="Z16" s="292">
        <f>AH12/Y16</f>
        <v>545317.85103151377</v>
      </c>
      <c r="AA16" s="310"/>
      <c r="AB16" s="310"/>
      <c r="AC16" s="310"/>
      <c r="AD16" s="310"/>
      <c r="AE16" s="310"/>
      <c r="AF16" s="310"/>
      <c r="AG16" s="310"/>
      <c r="AH16" s="311"/>
    </row>
    <row r="17" spans="1:34" ht="14.7" thickBot="1"/>
    <row r="18" spans="1:34">
      <c r="A18" s="497" t="s">
        <v>593</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28.8">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3">
        <f>($W$20*W22)+$W$21</f>
        <v>421394</v>
      </c>
      <c r="X19" s="303">
        <f t="shared" ref="X19:AH19" si="2">($W$20*X22)+$W$21</f>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587</v>
      </c>
      <c r="W20" s="305">
        <v>12842</v>
      </c>
      <c r="X20" s="303"/>
      <c r="Y20" s="303"/>
      <c r="Z20" s="303"/>
      <c r="AA20" s="303"/>
      <c r="AB20" s="303"/>
      <c r="AC20" s="303"/>
      <c r="AD20" s="303"/>
      <c r="AE20" s="303"/>
      <c r="AF20" s="303"/>
      <c r="AG20" s="303"/>
      <c r="AH20" s="304"/>
    </row>
    <row r="21" spans="1:34">
      <c r="A21" s="295"/>
      <c r="V21" s="305" t="s">
        <v>588</v>
      </c>
      <c r="W21" s="305">
        <v>370026</v>
      </c>
      <c r="X21" s="303"/>
      <c r="Y21" s="303"/>
      <c r="Z21" s="303"/>
      <c r="AA21" s="303"/>
      <c r="AB21" s="303"/>
      <c r="AC21" s="303"/>
      <c r="AD21" s="303"/>
      <c r="AE21" s="303"/>
      <c r="AF21" s="303"/>
      <c r="AG21" s="303"/>
      <c r="AH21" s="304"/>
    </row>
    <row r="22" spans="1:34" ht="43.2">
      <c r="A22" s="295"/>
      <c r="V22" s="313" t="s">
        <v>594</v>
      </c>
      <c r="W22" s="303">
        <f>COUNT(T18:W18)</f>
        <v>4</v>
      </c>
      <c r="X22" s="303">
        <v>5</v>
      </c>
      <c r="Y22" s="303">
        <v>6</v>
      </c>
      <c r="Z22" s="303">
        <v>7</v>
      </c>
      <c r="AA22" s="303">
        <v>8</v>
      </c>
      <c r="AB22" s="303">
        <v>9</v>
      </c>
      <c r="AC22" s="303">
        <v>10</v>
      </c>
      <c r="AD22" s="303">
        <v>11</v>
      </c>
      <c r="AE22" s="303">
        <v>12</v>
      </c>
      <c r="AF22" s="303">
        <v>13</v>
      </c>
      <c r="AG22" s="303">
        <v>14</v>
      </c>
      <c r="AH22" s="304">
        <v>15</v>
      </c>
    </row>
    <row r="23" spans="1:34" ht="18.60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592</v>
      </c>
      <c r="W23" s="310"/>
      <c r="X23" s="310"/>
      <c r="Y23" s="310">
        <v>0.86599999999999999</v>
      </c>
      <c r="Z23" s="292">
        <f>AH19/Y23</f>
        <v>649718.24480369512</v>
      </c>
      <c r="AA23" s="310"/>
      <c r="AB23" s="310"/>
      <c r="AC23" s="310"/>
      <c r="AD23" s="310"/>
      <c r="AE23" s="310"/>
      <c r="AF23" s="310"/>
      <c r="AG23" s="310"/>
      <c r="AH23" s="311"/>
    </row>
    <row r="25" spans="1:34" ht="14.7"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587</v>
      </c>
      <c r="W28" s="305">
        <v>4854</v>
      </c>
      <c r="X28" s="305"/>
      <c r="Y28" s="305"/>
      <c r="Z28" s="305"/>
      <c r="AA28" s="305"/>
      <c r="AB28" s="305"/>
      <c r="AC28" s="305"/>
      <c r="AD28" s="305"/>
      <c r="AE28" s="305"/>
      <c r="AF28" s="305"/>
      <c r="AG28" s="305"/>
      <c r="AH28" s="309"/>
    </row>
    <row r="29" spans="1:34" ht="35.85" customHeight="1">
      <c r="A29" s="295"/>
      <c r="V29" s="305" t="s">
        <v>588</v>
      </c>
      <c r="W29" s="305">
        <v>27044</v>
      </c>
      <c r="X29" s="305"/>
      <c r="Y29" s="305"/>
      <c r="Z29" s="305"/>
      <c r="AA29" s="305"/>
      <c r="AB29" s="305"/>
      <c r="AC29" s="305"/>
      <c r="AD29" s="305"/>
      <c r="AE29" s="305"/>
      <c r="AF29" s="305"/>
      <c r="AG29" s="305"/>
      <c r="AH29" s="309"/>
    </row>
    <row r="30" spans="1:34" ht="43.2">
      <c r="A30" s="295"/>
      <c r="V30" s="313" t="s">
        <v>594</v>
      </c>
      <c r="W30" s="303">
        <f>COUNT(T26:W26)</f>
        <v>4</v>
      </c>
      <c r="X30" s="303">
        <v>5</v>
      </c>
      <c r="Y30" s="303">
        <v>6</v>
      </c>
      <c r="Z30" s="303">
        <v>7</v>
      </c>
      <c r="AA30" s="303">
        <v>8</v>
      </c>
      <c r="AB30" s="303">
        <v>9</v>
      </c>
      <c r="AC30" s="303">
        <v>10</v>
      </c>
      <c r="AD30" s="303">
        <v>11</v>
      </c>
      <c r="AE30" s="303">
        <v>12</v>
      </c>
      <c r="AF30" s="303">
        <v>13</v>
      </c>
      <c r="AG30" s="303">
        <v>14</v>
      </c>
      <c r="AH30" s="304">
        <v>15</v>
      </c>
    </row>
    <row r="31" spans="1:34" ht="18.60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595</v>
      </c>
      <c r="W31" s="310"/>
      <c r="X31" s="310"/>
      <c r="Y31" s="310">
        <v>0.88</v>
      </c>
      <c r="Z31" s="292">
        <f>AH27/Y31</f>
        <v>45669.176904716056</v>
      </c>
      <c r="AA31" s="310"/>
      <c r="AB31" s="310"/>
      <c r="AC31" s="310"/>
      <c r="AD31" s="310"/>
      <c r="AE31" s="310"/>
      <c r="AF31" s="310"/>
      <c r="AG31" s="310"/>
      <c r="AH31" s="311"/>
    </row>
    <row r="32" spans="1:34">
      <c r="W32" s="282"/>
    </row>
    <row r="33" spans="1:34" ht="14.7"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6">
        <v>2020</v>
      </c>
      <c r="X34" s="301">
        <v>2021</v>
      </c>
      <c r="Y34" s="301">
        <v>2022</v>
      </c>
      <c r="Z34" s="301">
        <v>2023</v>
      </c>
      <c r="AA34" s="301">
        <v>2024</v>
      </c>
      <c r="AB34" s="301">
        <v>2025</v>
      </c>
      <c r="AC34" s="301">
        <v>2026</v>
      </c>
      <c r="AD34" s="301">
        <v>2027</v>
      </c>
      <c r="AE34" s="301">
        <v>2028</v>
      </c>
      <c r="AF34" s="301">
        <v>2029</v>
      </c>
      <c r="AG34" s="301">
        <v>2030</v>
      </c>
      <c r="AH34" s="302">
        <v>2031</v>
      </c>
    </row>
    <row r="35" spans="1:34" ht="18.3">
      <c r="A35" s="295" t="str">
        <f>'Nx kits HR + IQVIA'!T2</f>
        <v>Nx kits distributed HR IQVIA</v>
      </c>
      <c r="B35" s="578">
        <f>'Nx kits HR + IQVIA'!U2</f>
        <v>1103.5</v>
      </c>
      <c r="C35" s="578">
        <f>'Nx kits HR + IQVIA'!V2</f>
        <v>3310.5</v>
      </c>
      <c r="D35" s="578">
        <f>'Nx kits HR + IQVIA'!W2</f>
        <v>4414</v>
      </c>
      <c r="E35" s="579">
        <f>'Nx kits HR + IQVIA'!X2</f>
        <v>5517.5</v>
      </c>
      <c r="F35" s="579">
        <f>'Nx kits HR + IQVIA'!Y2</f>
        <v>9350.5</v>
      </c>
      <c r="G35" s="579">
        <f>'Nx kits HR + IQVIA'!Z2</f>
        <v>13113.5</v>
      </c>
      <c r="H35" s="579">
        <f>'Nx kits HR + IQVIA'!AA2</f>
        <v>14940.499999999998</v>
      </c>
      <c r="I35" s="579">
        <f>'Nx kits HR + IQVIA'!AB2</f>
        <v>24726.499999999996</v>
      </c>
      <c r="J35" s="579">
        <f>'Nx kits HR + IQVIA'!AC2</f>
        <v>26676.499999999996</v>
      </c>
      <c r="K35" s="579">
        <f>'Nx kits HR + IQVIA'!AD2</f>
        <v>35490.999999999993</v>
      </c>
      <c r="L35" s="579">
        <f>'Nx kits HR + IQVIA'!AE2</f>
        <v>39442</v>
      </c>
      <c r="M35" s="579">
        <f>'Nx kits HR + IQVIA'!AF2</f>
        <v>47435</v>
      </c>
      <c r="N35" s="579">
        <f>'Nx kits HR + IQVIA'!AG2</f>
        <v>49586</v>
      </c>
      <c r="O35" s="579">
        <f>'Nx kits HR + IQVIA'!AH2</f>
        <v>69053</v>
      </c>
      <c r="P35" s="579">
        <f>'Nx kits HR + IQVIA'!AI2</f>
        <v>141502</v>
      </c>
      <c r="Q35" s="579">
        <f>'Nx kits HR + IQVIA'!AJ2</f>
        <v>211278.68817204301</v>
      </c>
      <c r="R35" s="579">
        <f>'Nx kits HR + IQVIA'!AK2</f>
        <v>325817.17840212741</v>
      </c>
      <c r="S35" s="579">
        <f>'Nx kits HR + IQVIA'!AL2</f>
        <v>573797.06734074547</v>
      </c>
      <c r="T35" s="579">
        <f>'Nx kits HR + IQVIA'!AM2</f>
        <v>916335.75439076754</v>
      </c>
      <c r="U35" s="579">
        <f>'Nx kits HR + IQVIA'!AN2</f>
        <v>1500485.9526574665</v>
      </c>
      <c r="V35" s="579">
        <f>'Nx kits HR + IQVIA'!AO2</f>
        <v>1931149</v>
      </c>
      <c r="W35" s="580">
        <f t="shared" ref="W35:AH35" si="4">$W$36*LN(W38)+$W$37</f>
        <v>2171299.8856021445</v>
      </c>
      <c r="X35" s="580">
        <f t="shared" si="4"/>
        <v>2375477.1276288517</v>
      </c>
      <c r="Y35" s="580">
        <f t="shared" si="4"/>
        <v>2542302.0813815473</v>
      </c>
      <c r="Z35" s="580">
        <f t="shared" si="4"/>
        <v>2683350.5700262077</v>
      </c>
      <c r="AA35" s="580">
        <f t="shared" si="4"/>
        <v>2805532.3284032163</v>
      </c>
      <c r="AB35" s="580">
        <f t="shared" si="4"/>
        <v>2913304.27716095</v>
      </c>
      <c r="AC35" s="580">
        <f t="shared" si="4"/>
        <v>3009709.5704299239</v>
      </c>
      <c r="AD35" s="580">
        <f t="shared" si="4"/>
        <v>3096918.7661916004</v>
      </c>
      <c r="AE35" s="580">
        <f t="shared" si="4"/>
        <v>3176534.5241826195</v>
      </c>
      <c r="AF35" s="580">
        <f t="shared" si="4"/>
        <v>3249773.921874736</v>
      </c>
      <c r="AG35" s="580">
        <f t="shared" si="4"/>
        <v>3317583.01282728</v>
      </c>
      <c r="AH35" s="290">
        <f t="shared" si="4"/>
        <v>3380711.7662093267</v>
      </c>
    </row>
    <row r="36" spans="1:34">
      <c r="A36" s="295"/>
      <c r="B36" s="581"/>
      <c r="C36" s="581"/>
      <c r="D36" s="581"/>
      <c r="E36" s="582"/>
      <c r="F36" s="582"/>
      <c r="G36" s="582"/>
      <c r="H36" s="582"/>
      <c r="I36" s="582"/>
      <c r="J36" s="582"/>
      <c r="K36" s="582"/>
      <c r="L36" s="582"/>
      <c r="M36" s="582"/>
      <c r="N36" s="582"/>
      <c r="O36" s="582"/>
      <c r="P36" s="582"/>
      <c r="Q36" s="582"/>
      <c r="R36" s="582"/>
      <c r="S36" s="582"/>
      <c r="T36" s="582"/>
      <c r="U36" s="582"/>
      <c r="V36" s="584" t="s">
        <v>587</v>
      </c>
      <c r="W36" s="585">
        <v>915004</v>
      </c>
      <c r="X36" s="592"/>
      <c r="Y36" s="585"/>
      <c r="Z36" s="585"/>
      <c r="AA36" s="585"/>
      <c r="AB36" s="585"/>
      <c r="AC36" s="585"/>
      <c r="AD36" s="585"/>
      <c r="AE36" s="585"/>
      <c r="AF36" s="585"/>
      <c r="AG36" s="585"/>
      <c r="AH36" s="315"/>
    </row>
    <row r="37" spans="1:34">
      <c r="A37" s="295"/>
      <c r="B37" s="581"/>
      <c r="C37" s="581"/>
      <c r="D37" s="581"/>
      <c r="E37" s="582"/>
      <c r="F37" s="582"/>
      <c r="G37" s="582"/>
      <c r="H37" s="582"/>
      <c r="I37" s="582"/>
      <c r="J37" s="582"/>
      <c r="K37" s="582"/>
      <c r="L37" s="582"/>
      <c r="M37" s="582"/>
      <c r="N37" s="582"/>
      <c r="O37" s="582"/>
      <c r="P37" s="582"/>
      <c r="Q37" s="582"/>
      <c r="R37" s="582"/>
      <c r="S37" s="582"/>
      <c r="T37" s="582"/>
      <c r="U37" s="582"/>
      <c r="V37" s="587" t="s">
        <v>588</v>
      </c>
      <c r="W37" s="585">
        <v>902835</v>
      </c>
      <c r="X37" s="592"/>
      <c r="Y37" s="585"/>
      <c r="Z37" s="585"/>
      <c r="AA37" s="585"/>
      <c r="AB37" s="585"/>
      <c r="AC37" s="585"/>
      <c r="AD37" s="585"/>
      <c r="AE37" s="585"/>
      <c r="AF37" s="585"/>
      <c r="AG37" s="585"/>
      <c r="AH37" s="315"/>
    </row>
    <row r="38" spans="1:34" ht="43.5" thickBot="1">
      <c r="A38" s="296"/>
      <c r="B38" s="499"/>
      <c r="C38" s="499"/>
      <c r="D38" s="499"/>
      <c r="E38" s="291"/>
      <c r="F38" s="291"/>
      <c r="G38" s="291"/>
      <c r="H38" s="291"/>
      <c r="I38" s="291"/>
      <c r="J38" s="291"/>
      <c r="K38" s="291"/>
      <c r="L38" s="291"/>
      <c r="M38" s="291"/>
      <c r="N38" s="291"/>
      <c r="O38" s="291"/>
      <c r="P38" s="291"/>
      <c r="Q38" s="291"/>
      <c r="R38" s="291"/>
      <c r="S38" s="291"/>
      <c r="T38" s="291"/>
      <c r="U38" s="291"/>
      <c r="V38" s="314" t="s">
        <v>594</v>
      </c>
      <c r="W38" s="310">
        <f>COUNT(T34:W34)</f>
        <v>4</v>
      </c>
      <c r="X38" s="316">
        <v>5</v>
      </c>
      <c r="Y38" s="316">
        <v>6</v>
      </c>
      <c r="Z38" s="316">
        <v>7</v>
      </c>
      <c r="AA38" s="316">
        <v>8</v>
      </c>
      <c r="AB38" s="316">
        <v>9</v>
      </c>
      <c r="AC38" s="316">
        <v>10</v>
      </c>
      <c r="AD38" s="316">
        <v>11</v>
      </c>
      <c r="AE38" s="316">
        <v>12</v>
      </c>
      <c r="AF38" s="316">
        <v>13</v>
      </c>
      <c r="AG38" s="316">
        <v>14</v>
      </c>
      <c r="AH38" s="317">
        <v>15</v>
      </c>
    </row>
    <row r="39" spans="1:34">
      <c r="W39" s="282"/>
    </row>
    <row r="40" spans="1:34" ht="14.7"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29.7">
      <c r="A42" s="295" t="str">
        <f>'Opioid Rx Data IQVIA SH'!A2</f>
        <v>Patients receiving opioid prescription IQVIA SH</v>
      </c>
      <c r="B42" s="578">
        <f>'Opioid Rx Data IQVIA SH'!B2</f>
        <v>50615800.308805212</v>
      </c>
      <c r="C42" s="578">
        <f>'Opioid Rx Data IQVIA SH'!C2</f>
        <v>55268292.708259083</v>
      </c>
      <c r="D42" s="578">
        <f>'Opioid Rx Data IQVIA SH'!D2</f>
        <v>61600655.974125087</v>
      </c>
      <c r="E42" s="578">
        <f>'Opioid Rx Data IQVIA SH'!E2</f>
        <v>64144383.982784502</v>
      </c>
      <c r="F42" s="578">
        <f>'Opioid Rx Data IQVIA SH'!F2</f>
        <v>67962522.71045579</v>
      </c>
      <c r="G42" s="578">
        <f>'Opioid Rx Data IQVIA SH'!G2</f>
        <v>72565755.505764052</v>
      </c>
      <c r="H42" s="578">
        <f>'Opioid Rx Data IQVIA SH'!H2</f>
        <v>76938987.677525371</v>
      </c>
      <c r="I42" s="578">
        <f>'Opioid Rx Data IQVIA SH'!I2</f>
        <v>83200866.264006272</v>
      </c>
      <c r="J42" s="578">
        <f>'Opioid Rx Data IQVIA SH'!J2</f>
        <v>89963829.540194139</v>
      </c>
      <c r="K42" s="578">
        <f>'Opioid Rx Data IQVIA SH'!K2</f>
        <v>95576169.900532424</v>
      </c>
      <c r="L42" s="578">
        <f>'Opioid Rx Data IQVIA SH'!L2</f>
        <v>100503576.55517608</v>
      </c>
      <c r="M42" s="578">
        <f>'Opioid Rx Data IQVIA SH'!M2</f>
        <v>109073194.77822027</v>
      </c>
      <c r="N42" s="578">
        <f>'Opioid Rx Data IQVIA SH'!N2</f>
        <v>109066341.52647889</v>
      </c>
      <c r="O42" s="578">
        <f>'Opioid Rx Data IQVIA SH'!O2</f>
        <v>114059108.02698019</v>
      </c>
      <c r="P42" s="578">
        <f>'Opioid Rx Data IQVIA SH'!P2</f>
        <v>109256435.34644848</v>
      </c>
      <c r="Q42" s="578">
        <f>'Opioid Rx Data IQVIA SH'!Q2</f>
        <v>112819821.18383473</v>
      </c>
      <c r="R42" s="578">
        <f>'Opioid Rx Data IQVIA SH'!R2</f>
        <v>108159505.44816807</v>
      </c>
      <c r="S42" s="578">
        <f>'Opioid Rx Data IQVIA SH'!S2</f>
        <v>105696730.38438496</v>
      </c>
      <c r="T42" s="578">
        <f>'Opioid Rx Data IQVIA SH'!T2</f>
        <v>99733895.461657792</v>
      </c>
      <c r="U42" s="578">
        <f>'Opioid Rx Data IQVIA SH'!U2</f>
        <v>88986086.68498829</v>
      </c>
      <c r="V42" s="578">
        <f>'Opioid Rx Data IQVIA SH'!V2</f>
        <v>78456550.964611903</v>
      </c>
      <c r="W42" s="591">
        <f t="shared" ref="W42:AH42" si="5">$W$43*LN(W45)+$W$44</f>
        <v>72297167.696561009</v>
      </c>
      <c r="X42" s="591">
        <f t="shared" si="5"/>
        <v>67927015.5130146</v>
      </c>
      <c r="Y42" s="591">
        <f t="shared" si="5"/>
        <v>64537262.13106361</v>
      </c>
      <c r="Z42" s="591">
        <f t="shared" si="5"/>
        <v>61767631.953068316</v>
      </c>
      <c r="AA42" s="591">
        <f t="shared" si="5"/>
        <v>59425943.003524303</v>
      </c>
      <c r="AB42" s="591">
        <f t="shared" si="5"/>
        <v>57397479.769521907</v>
      </c>
      <c r="AC42" s="591">
        <f t="shared" si="5"/>
        <v>55608248.393122025</v>
      </c>
      <c r="AD42" s="591">
        <f t="shared" si="5"/>
        <v>54007726.38757091</v>
      </c>
      <c r="AE42" s="591">
        <f t="shared" si="5"/>
        <v>52559878.119389772</v>
      </c>
      <c r="AF42" s="591">
        <f t="shared" si="5"/>
        <v>51238096.209575616</v>
      </c>
      <c r="AG42" s="591">
        <f t="shared" si="5"/>
        <v>50022174.721193321</v>
      </c>
      <c r="AH42" s="290">
        <f t="shared" si="5"/>
        <v>48896407.260031603</v>
      </c>
    </row>
    <row r="43" spans="1:34">
      <c r="A43" s="295"/>
      <c r="B43" s="581"/>
      <c r="C43" s="581"/>
      <c r="D43" s="581"/>
      <c r="E43" s="582"/>
      <c r="F43" s="582"/>
      <c r="G43" s="582"/>
      <c r="H43" s="582"/>
      <c r="I43" s="582"/>
      <c r="J43" s="582"/>
      <c r="K43" s="582"/>
      <c r="L43" s="582"/>
      <c r="M43" s="582"/>
      <c r="N43" s="582"/>
      <c r="O43" s="582"/>
      <c r="P43" s="582"/>
      <c r="Q43" s="582"/>
      <c r="R43" s="582"/>
      <c r="S43" s="582"/>
      <c r="T43" s="582"/>
      <c r="U43" s="582"/>
      <c r="V43" s="584" t="s">
        <v>587</v>
      </c>
      <c r="W43" s="588">
        <v>-15190909</v>
      </c>
      <c r="X43" s="305"/>
      <c r="Y43" s="588"/>
      <c r="Z43" s="588"/>
      <c r="AA43" s="588"/>
      <c r="AB43" s="588"/>
      <c r="AC43" s="588"/>
      <c r="AD43" s="588"/>
      <c r="AE43" s="588"/>
      <c r="AF43" s="588"/>
      <c r="AG43" s="588"/>
      <c r="AH43" s="304"/>
    </row>
    <row r="44" spans="1:34">
      <c r="A44" s="295"/>
      <c r="B44" s="581"/>
      <c r="C44" s="581"/>
      <c r="D44" s="581"/>
      <c r="E44" s="582"/>
      <c r="F44" s="582"/>
      <c r="G44" s="582"/>
      <c r="H44" s="582"/>
      <c r="I44" s="582"/>
      <c r="J44" s="582"/>
      <c r="K44" s="582"/>
      <c r="L44" s="582"/>
      <c r="M44" s="582"/>
      <c r="N44" s="582"/>
      <c r="O44" s="582"/>
      <c r="P44" s="582"/>
      <c r="Q44" s="582"/>
      <c r="R44" s="582"/>
      <c r="S44" s="582"/>
      <c r="T44" s="582"/>
      <c r="U44" s="582"/>
      <c r="V44" s="587" t="s">
        <v>588</v>
      </c>
      <c r="W44" s="588">
        <v>88986087</v>
      </c>
      <c r="X44" s="305"/>
      <c r="Y44" s="588"/>
      <c r="Z44" s="588"/>
      <c r="AA44" s="588"/>
      <c r="AB44" s="588"/>
      <c r="AC44" s="588"/>
      <c r="AD44" s="588"/>
      <c r="AE44" s="588"/>
      <c r="AF44" s="588"/>
      <c r="AG44" s="588"/>
      <c r="AH44" s="304"/>
    </row>
    <row r="45" spans="1:34" ht="43.5" thickBot="1">
      <c r="A45" s="296"/>
      <c r="B45" s="499"/>
      <c r="C45" s="499"/>
      <c r="D45" s="499"/>
      <c r="E45" s="291"/>
      <c r="F45" s="291"/>
      <c r="G45" s="291"/>
      <c r="H45" s="291"/>
      <c r="I45" s="291"/>
      <c r="J45" s="291"/>
      <c r="K45" s="291"/>
      <c r="L45" s="291"/>
      <c r="M45" s="291"/>
      <c r="N45" s="291"/>
      <c r="O45" s="291"/>
      <c r="P45" s="291"/>
      <c r="Q45" s="291"/>
      <c r="R45" s="291"/>
      <c r="S45" s="291"/>
      <c r="T45" s="291"/>
      <c r="U45" s="291"/>
      <c r="V45" s="314" t="s">
        <v>599</v>
      </c>
      <c r="W45" s="310">
        <f>COUNT(U41:W41)</f>
        <v>3</v>
      </c>
      <c r="X45" s="316">
        <v>4</v>
      </c>
      <c r="Y45" s="316">
        <v>5</v>
      </c>
      <c r="Z45" s="316">
        <v>6</v>
      </c>
      <c r="AA45" s="316">
        <v>7</v>
      </c>
      <c r="AB45" s="316">
        <v>8</v>
      </c>
      <c r="AC45" s="316">
        <v>9</v>
      </c>
      <c r="AD45" s="316">
        <v>10</v>
      </c>
      <c r="AE45" s="316">
        <v>11</v>
      </c>
      <c r="AF45" s="316">
        <v>12</v>
      </c>
      <c r="AG45" s="316">
        <v>13</v>
      </c>
      <c r="AH45" s="317">
        <v>14</v>
      </c>
    </row>
    <row r="47" spans="1:34" ht="14.7" thickBot="1">
      <c r="A47" s="499"/>
    </row>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67.150000000000006" customHeight="1">
      <c r="A49" s="295" t="str">
        <f>'Opioid Rx Data IQVIA SH'!A3</f>
        <v>Patients receiving opioid prescription IQVIA TPT</v>
      </c>
      <c r="B49" s="578">
        <f>'Opioid Rx Data IQVIA SH'!B3</f>
        <v>0</v>
      </c>
      <c r="C49" s="578">
        <f>'Opioid Rx Data IQVIA SH'!C3</f>
        <v>0</v>
      </c>
      <c r="D49" s="578">
        <f>'Opioid Rx Data IQVIA SH'!D3</f>
        <v>0</v>
      </c>
      <c r="E49" s="578">
        <f>'Opioid Rx Data IQVIA SH'!E3</f>
        <v>0</v>
      </c>
      <c r="F49" s="578">
        <f>'Opioid Rx Data IQVIA SH'!F3</f>
        <v>0</v>
      </c>
      <c r="G49" s="578">
        <f>'Opioid Rx Data IQVIA SH'!G3</f>
        <v>0</v>
      </c>
      <c r="H49" s="578">
        <f>'Opioid Rx Data IQVIA SH'!H3</f>
        <v>0</v>
      </c>
      <c r="I49" s="578">
        <f>'Opioid Rx Data IQVIA SH'!I3</f>
        <v>72484377.091890693</v>
      </c>
      <c r="J49" s="578">
        <f>'Opioid Rx Data IQVIA SH'!J3</f>
        <v>71731564.967042297</v>
      </c>
      <c r="K49" s="578">
        <f>'Opioid Rx Data IQVIA SH'!K3</f>
        <v>71966640.718910307</v>
      </c>
      <c r="L49" s="578">
        <f>'Opioid Rx Data IQVIA SH'!L3</f>
        <v>70242672.282253996</v>
      </c>
      <c r="M49" s="578">
        <f>'Opioid Rx Data IQVIA SH'!M3</f>
        <v>72196826.934210598</v>
      </c>
      <c r="N49" s="578">
        <f>'Opioid Rx Data IQVIA SH'!N3</f>
        <v>72354218.425861493</v>
      </c>
      <c r="O49" s="578">
        <f>'Opioid Rx Data IQVIA SH'!O3</f>
        <v>72620520.514616698</v>
      </c>
      <c r="P49" s="578">
        <f>'Opioid Rx Data IQVIA SH'!P3</f>
        <v>69782268.831006601</v>
      </c>
      <c r="Q49" s="578">
        <f>'Opioid Rx Data IQVIA SH'!Q3</f>
        <v>68451960.146435499</v>
      </c>
      <c r="R49" s="578">
        <f>'Opioid Rx Data IQVIA SH'!R3</f>
        <v>67098851.729051702</v>
      </c>
      <c r="S49" s="578">
        <f>'Opioid Rx Data IQVIA SH'!S3</f>
        <v>64662029.880932502</v>
      </c>
      <c r="T49" s="578">
        <f>'Opioid Rx Data IQVIA SH'!T3</f>
        <v>57543442.3193608</v>
      </c>
      <c r="U49" s="578">
        <f>'Opioid Rx Data IQVIA SH'!U3</f>
        <v>50847486.582352601</v>
      </c>
      <c r="V49" s="578">
        <f>'Opioid Rx Data IQVIA SH'!V3</f>
        <v>45900215</v>
      </c>
      <c r="W49" s="591">
        <f>$W$50*LN(W52)+$W$51</f>
        <v>43147715.031940646</v>
      </c>
      <c r="X49" s="591">
        <f t="shared" ref="X49:AH49" si="6">$W$50*LN(X52)+$W$51</f>
        <v>40805348.834564373</v>
      </c>
      <c r="Y49" s="591">
        <f t="shared" si="6"/>
        <v>38891496.298060514</v>
      </c>
      <c r="Z49" s="591">
        <f t="shared" si="6"/>
        <v>37273357.034777448</v>
      </c>
      <c r="AA49" s="591">
        <f t="shared" si="6"/>
        <v>35871661.047910973</v>
      </c>
      <c r="AB49" s="591">
        <f t="shared" si="6"/>
        <v>34635277.564180382</v>
      </c>
      <c r="AC49" s="591">
        <f t="shared" si="6"/>
        <v>33529294.850534689</v>
      </c>
      <c r="AD49" s="591">
        <f t="shared" si="6"/>
        <v>32528811.788735859</v>
      </c>
      <c r="AE49" s="591">
        <f t="shared" si="6"/>
        <v>31615442.314030837</v>
      </c>
      <c r="AF49" s="591">
        <f t="shared" si="6"/>
        <v>30775223.846157853</v>
      </c>
      <c r="AG49" s="591">
        <f t="shared" si="6"/>
        <v>29997303.050747771</v>
      </c>
      <c r="AH49" s="290">
        <f t="shared" si="6"/>
        <v>29273076.11665456</v>
      </c>
    </row>
    <row r="50" spans="1:34">
      <c r="A50" s="295"/>
      <c r="B50" s="581"/>
      <c r="C50" s="581"/>
      <c r="D50" s="581"/>
      <c r="E50" s="582"/>
      <c r="F50" s="582"/>
      <c r="G50" s="582"/>
      <c r="H50" s="582"/>
      <c r="I50" s="582"/>
      <c r="J50" s="582"/>
      <c r="K50" s="582"/>
      <c r="L50" s="582"/>
      <c r="M50" s="582"/>
      <c r="N50" s="582"/>
      <c r="O50" s="582"/>
      <c r="P50" s="582"/>
      <c r="Q50" s="582"/>
      <c r="R50" s="582"/>
      <c r="S50" s="582"/>
      <c r="T50" s="582"/>
      <c r="U50" s="582"/>
      <c r="V50" s="584" t="s">
        <v>587</v>
      </c>
      <c r="W50" s="588">
        <v>-10497127</v>
      </c>
      <c r="X50" s="592"/>
      <c r="Y50" s="588"/>
      <c r="Z50" s="588"/>
      <c r="AA50" s="588"/>
      <c r="AB50" s="588"/>
      <c r="AC50" s="588"/>
      <c r="AD50" s="588"/>
      <c r="AE50" s="588"/>
      <c r="AF50" s="588"/>
      <c r="AG50" s="588"/>
      <c r="AH50" s="304"/>
    </row>
    <row r="51" spans="1:34">
      <c r="A51" s="295"/>
      <c r="B51" s="581"/>
      <c r="C51" s="581"/>
      <c r="D51" s="581"/>
      <c r="E51" s="582"/>
      <c r="F51" s="582"/>
      <c r="G51" s="582"/>
      <c r="H51" s="582"/>
      <c r="I51" s="582"/>
      <c r="J51" s="582"/>
      <c r="K51" s="582"/>
      <c r="L51" s="582"/>
      <c r="M51" s="582"/>
      <c r="N51" s="582"/>
      <c r="O51" s="582"/>
      <c r="P51" s="582"/>
      <c r="Q51" s="582"/>
      <c r="R51" s="582"/>
      <c r="S51" s="582"/>
      <c r="T51" s="582"/>
      <c r="U51" s="582"/>
      <c r="V51" s="587" t="s">
        <v>588</v>
      </c>
      <c r="W51" s="588">
        <v>57699823</v>
      </c>
      <c r="X51" s="592"/>
      <c r="Y51" s="588"/>
      <c r="Z51" s="588"/>
      <c r="AA51" s="588"/>
      <c r="AB51" s="588"/>
      <c r="AC51" s="588"/>
      <c r="AD51" s="588"/>
      <c r="AE51" s="588"/>
      <c r="AF51" s="588"/>
      <c r="AG51" s="588"/>
      <c r="AH51" s="304"/>
    </row>
    <row r="52" spans="1:34" ht="43.5" thickBot="1">
      <c r="A52" s="296"/>
      <c r="B52" s="499"/>
      <c r="C52" s="499"/>
      <c r="D52" s="499"/>
      <c r="E52" s="291"/>
      <c r="F52" s="291"/>
      <c r="G52" s="291"/>
      <c r="H52" s="291"/>
      <c r="I52" s="291"/>
      <c r="J52" s="291"/>
      <c r="K52" s="291"/>
      <c r="L52" s="291"/>
      <c r="M52" s="291"/>
      <c r="N52" s="291"/>
      <c r="O52" s="291"/>
      <c r="P52" s="291"/>
      <c r="Q52" s="291"/>
      <c r="R52" s="291"/>
      <c r="S52" s="291"/>
      <c r="T52" s="291"/>
      <c r="U52" s="291"/>
      <c r="V52" s="314" t="s">
        <v>599</v>
      </c>
      <c r="W52" s="310">
        <f>COUNT(T48:W48)</f>
        <v>4</v>
      </c>
      <c r="X52" s="316">
        <v>5</v>
      </c>
      <c r="Y52" s="310">
        <v>6</v>
      </c>
      <c r="Z52" s="310">
        <v>7</v>
      </c>
      <c r="AA52" s="316">
        <v>8</v>
      </c>
      <c r="AB52" s="310">
        <v>9</v>
      </c>
      <c r="AC52" s="310">
        <v>10</v>
      </c>
      <c r="AD52" s="316">
        <v>11</v>
      </c>
      <c r="AE52" s="310">
        <v>12</v>
      </c>
      <c r="AF52" s="310">
        <v>13</v>
      </c>
      <c r="AG52" s="316">
        <v>14</v>
      </c>
      <c r="AH52" s="311">
        <v>15</v>
      </c>
    </row>
    <row r="53" spans="1:34" ht="14.7" thickBot="1"/>
    <row r="54" spans="1:34">
      <c r="A54" s="294"/>
      <c r="B54" s="417">
        <v>1999</v>
      </c>
      <c r="C54" s="417">
        <v>2000</v>
      </c>
      <c r="D54" s="417">
        <v>2001</v>
      </c>
      <c r="E54" s="289">
        <v>2002</v>
      </c>
      <c r="F54" s="289">
        <v>2003</v>
      </c>
      <c r="G54" s="289">
        <v>2004</v>
      </c>
      <c r="H54" s="289">
        <v>2005</v>
      </c>
      <c r="I54" s="289">
        <v>2006</v>
      </c>
      <c r="J54" s="289">
        <v>2007</v>
      </c>
      <c r="K54" s="289">
        <v>2008</v>
      </c>
      <c r="L54" s="289">
        <v>2009</v>
      </c>
      <c r="M54" s="289">
        <v>2010</v>
      </c>
      <c r="N54" s="289">
        <v>2011</v>
      </c>
      <c r="O54" s="289">
        <v>2012</v>
      </c>
      <c r="P54" s="289">
        <v>2013</v>
      </c>
      <c r="Q54" s="289">
        <v>2014</v>
      </c>
      <c r="R54" s="289">
        <v>2015</v>
      </c>
      <c r="S54" s="289">
        <v>2016</v>
      </c>
      <c r="T54" s="289">
        <v>2017</v>
      </c>
      <c r="U54" s="289">
        <v>2018</v>
      </c>
      <c r="V54" s="289">
        <v>2019</v>
      </c>
      <c r="W54" s="289">
        <v>2020</v>
      </c>
      <c r="X54" s="301">
        <v>2021</v>
      </c>
      <c r="Y54" s="301">
        <v>2022</v>
      </c>
      <c r="Z54" s="301">
        <v>2023</v>
      </c>
      <c r="AA54" s="301">
        <v>2024</v>
      </c>
      <c r="AB54" s="301">
        <v>2025</v>
      </c>
      <c r="AC54" s="301">
        <v>2026</v>
      </c>
      <c r="AD54" s="301">
        <v>2027</v>
      </c>
      <c r="AE54" s="301">
        <v>2028</v>
      </c>
      <c r="AF54" s="301">
        <v>2029</v>
      </c>
      <c r="AG54" s="301">
        <v>2030</v>
      </c>
      <c r="AH54" s="302">
        <v>2031</v>
      </c>
    </row>
    <row r="55" spans="1:34">
      <c r="A55" s="295" t="s">
        <v>600</v>
      </c>
      <c r="B55" s="589">
        <f>'Opioid Rx Data IQVIA SH'!B4</f>
        <v>156716600</v>
      </c>
      <c r="C55" s="589">
        <f>'Opioid Rx Data IQVIA SH'!C4</f>
        <v>167976040</v>
      </c>
      <c r="D55" s="589">
        <f>'Opioid Rx Data IQVIA SH'!D4</f>
        <v>183715880</v>
      </c>
      <c r="E55" s="590">
        <f>'Opioid Rx Data IQVIA SH'!E4</f>
        <v>187651428</v>
      </c>
      <c r="F55" s="590">
        <f>'Opioid Rx Data IQVIA SH'!F4</f>
        <v>194953119</v>
      </c>
      <c r="G55" s="590">
        <f>'Opioid Rx Data IQVIA SH'!G4</f>
        <v>204027579</v>
      </c>
      <c r="H55" s="590">
        <f>'Opioid Rx Data IQVIA SH'!H4</f>
        <v>211944467</v>
      </c>
      <c r="I55" s="590">
        <f>'Opioid Rx Data IQVIA SH'!I4</f>
        <v>224458726</v>
      </c>
      <c r="J55" s="590">
        <f>'Opioid Rx Data IQVIA SH'!J4</f>
        <v>237583497</v>
      </c>
      <c r="K55" s="590">
        <f>'Opioid Rx Data IQVIA SH'!K4</f>
        <v>246965271</v>
      </c>
      <c r="L55" s="590">
        <f>'Opioid Rx Data IQVIA SH'!L4</f>
        <v>253048448</v>
      </c>
      <c r="M55" s="590">
        <f>'Opioid Rx Data IQVIA SH'!M4</f>
        <v>259934115</v>
      </c>
      <c r="N55" s="590">
        <f>'Opioid Rx Data IQVIA SH'!N4</f>
        <v>260625937</v>
      </c>
      <c r="O55" s="590">
        <f>'Opioid Rx Data IQVIA SH'!O4</f>
        <v>263067911</v>
      </c>
      <c r="P55" s="590">
        <f>'Opioid Rx Data IQVIA SH'!P4</f>
        <v>253919348</v>
      </c>
      <c r="Q55" s="590">
        <f>'Opioid Rx Data IQVIA SH'!Q4</f>
        <v>246326325</v>
      </c>
      <c r="R55" s="590">
        <f>'Opioid Rx Data IQVIA SH'!R4</f>
        <v>229140550</v>
      </c>
      <c r="S55" s="590">
        <f>'Opioid Rx Data IQVIA SH'!S4</f>
        <v>217313967</v>
      </c>
      <c r="T55" s="590">
        <f>'Opioid Rx Data IQVIA SH'!T4</f>
        <v>193782638</v>
      </c>
      <c r="U55" s="590">
        <f>'Opioid Rx Data IQVIA SH'!U4</f>
        <v>169863949</v>
      </c>
      <c r="V55" s="579">
        <f>'Opioid Rx Data IQVIA SH'!V4</f>
        <v>154658303</v>
      </c>
      <c r="W55" s="591">
        <f>$W$56*LN(W58)+$W$57</f>
        <v>144762461.32100242</v>
      </c>
      <c r="X55" s="591">
        <f t="shared" ref="X55:AH55" si="7">$W$56*LN(X58)+$W$57</f>
        <v>136842315.23614442</v>
      </c>
      <c r="Y55" s="591">
        <f t="shared" si="7"/>
        <v>130371084.69543509</v>
      </c>
      <c r="Z55" s="591">
        <f t="shared" si="7"/>
        <v>124899737.23268494</v>
      </c>
      <c r="AA55" s="591">
        <f t="shared" si="7"/>
        <v>120160240.48150367</v>
      </c>
      <c r="AB55" s="591">
        <f t="shared" si="7"/>
        <v>115979708.06986773</v>
      </c>
      <c r="AC55" s="591">
        <f t="shared" si="7"/>
        <v>112240094.39664565</v>
      </c>
      <c r="AD55" s="591">
        <f t="shared" si="7"/>
        <v>108857202.33914049</v>
      </c>
      <c r="AE55" s="591">
        <f t="shared" si="7"/>
        <v>105768863.8559363</v>
      </c>
      <c r="AF55" s="591">
        <f t="shared" si="7"/>
        <v>102927867.85104023</v>
      </c>
      <c r="AG55" s="591">
        <f t="shared" si="7"/>
        <v>100297516.39318617</v>
      </c>
      <c r="AH55" s="633">
        <f t="shared" si="7"/>
        <v>97848717.771078303</v>
      </c>
    </row>
    <row r="56" spans="1:34">
      <c r="A56" s="295"/>
      <c r="B56" s="581"/>
      <c r="C56" s="581"/>
      <c r="D56" s="581"/>
      <c r="E56" s="582"/>
      <c r="F56" s="582"/>
      <c r="G56" s="582"/>
      <c r="H56" s="582"/>
      <c r="I56" s="582"/>
      <c r="J56" s="582"/>
      <c r="K56" s="582"/>
      <c r="L56" s="582"/>
      <c r="M56" s="582"/>
      <c r="N56" s="582"/>
      <c r="O56" s="582"/>
      <c r="P56" s="582"/>
      <c r="Q56" s="582"/>
      <c r="R56" s="582"/>
      <c r="S56" s="582"/>
      <c r="T56" s="582"/>
      <c r="U56" s="582"/>
      <c r="V56" s="584" t="s">
        <v>587</v>
      </c>
      <c r="W56" s="592">
        <v>-35493502</v>
      </c>
      <c r="X56" s="592"/>
      <c r="Y56" s="588"/>
      <c r="Z56" s="588"/>
      <c r="AA56" s="588"/>
      <c r="AB56" s="588"/>
      <c r="AC56" s="588"/>
      <c r="AD56" s="588"/>
      <c r="AE56" s="588"/>
      <c r="AF56" s="588"/>
      <c r="AG56" s="588"/>
      <c r="AH56" s="304"/>
    </row>
    <row r="57" spans="1:34">
      <c r="A57" s="295"/>
      <c r="B57" s="581"/>
      <c r="C57" s="581"/>
      <c r="D57" s="581"/>
      <c r="E57" s="582"/>
      <c r="F57" s="582"/>
      <c r="G57" s="582"/>
      <c r="H57" s="582"/>
      <c r="I57" s="582"/>
      <c r="J57" s="582"/>
      <c r="K57" s="582"/>
      <c r="L57" s="582"/>
      <c r="M57" s="582"/>
      <c r="N57" s="582"/>
      <c r="O57" s="582"/>
      <c r="P57" s="582"/>
      <c r="Q57" s="582"/>
      <c r="R57" s="582"/>
      <c r="S57" s="582"/>
      <c r="T57" s="582"/>
      <c r="U57" s="582"/>
      <c r="V57" s="587" t="s">
        <v>588</v>
      </c>
      <c r="W57" s="592">
        <v>193966903</v>
      </c>
      <c r="X57" s="592"/>
      <c r="Y57" s="588"/>
      <c r="Z57" s="588"/>
      <c r="AA57" s="588"/>
      <c r="AB57" s="588"/>
      <c r="AC57" s="588"/>
      <c r="AD57" s="588"/>
      <c r="AE57" s="588"/>
      <c r="AF57" s="588"/>
      <c r="AG57" s="588"/>
      <c r="AH57" s="304"/>
    </row>
    <row r="58" spans="1:34" ht="43.5" thickBot="1">
      <c r="A58" s="296"/>
      <c r="B58" s="499"/>
      <c r="C58" s="499"/>
      <c r="D58" s="499"/>
      <c r="E58" s="291"/>
      <c r="F58" s="291"/>
      <c r="G58" s="291"/>
      <c r="H58" s="291"/>
      <c r="I58" s="291"/>
      <c r="J58" s="291"/>
      <c r="K58" s="291"/>
      <c r="L58" s="291"/>
      <c r="M58" s="291"/>
      <c r="N58" s="291"/>
      <c r="O58" s="291"/>
      <c r="P58" s="291"/>
      <c r="Q58" s="291"/>
      <c r="R58" s="291"/>
      <c r="S58" s="291"/>
      <c r="T58" s="291"/>
      <c r="U58" s="291"/>
      <c r="V58" s="314" t="s">
        <v>594</v>
      </c>
      <c r="W58" s="316">
        <f>COUNT(T54:W54)</f>
        <v>4</v>
      </c>
      <c r="X58" s="310">
        <v>5</v>
      </c>
      <c r="Y58" s="316">
        <v>6</v>
      </c>
      <c r="Z58" s="316">
        <v>7</v>
      </c>
      <c r="AA58" s="316">
        <v>8</v>
      </c>
      <c r="AB58" s="316">
        <v>9</v>
      </c>
      <c r="AC58" s="316">
        <v>10</v>
      </c>
      <c r="AD58" s="316">
        <v>11</v>
      </c>
      <c r="AE58" s="316">
        <v>12</v>
      </c>
      <c r="AF58" s="316">
        <v>13</v>
      </c>
      <c r="AG58" s="316">
        <v>14</v>
      </c>
      <c r="AH58" s="317">
        <v>15</v>
      </c>
    </row>
    <row r="59" spans="1:34" ht="30" customHeight="1">
      <c r="V59" s="49"/>
      <c r="W59" s="283"/>
      <c r="X59" s="283"/>
      <c r="Y59" s="283"/>
      <c r="Z59" s="283"/>
      <c r="AA59" s="283"/>
      <c r="AB59" s="283"/>
      <c r="AC59" s="283"/>
      <c r="AD59" s="413" t="s">
        <v>601</v>
      </c>
      <c r="AF59" s="414"/>
      <c r="AG59" s="299"/>
      <c r="AH59" s="283"/>
    </row>
    <row r="60" spans="1:34" ht="30" customHeight="1">
      <c r="V60" s="49"/>
      <c r="W60" s="283"/>
      <c r="X60" s="283"/>
      <c r="Y60" s="283"/>
      <c r="Z60" s="283"/>
      <c r="AA60" s="283"/>
      <c r="AB60" s="283"/>
      <c r="AC60" s="283"/>
      <c r="AD60" s="297" t="s">
        <v>610</v>
      </c>
      <c r="AF60" s="651">
        <f>AH55/AH49</f>
        <v>3.3426182264257656</v>
      </c>
      <c r="AG60" s="299"/>
      <c r="AH60" s="283"/>
    </row>
    <row r="61" spans="1:34" ht="21">
      <c r="V61" s="49"/>
      <c r="W61" s="283"/>
      <c r="X61" s="283"/>
      <c r="Y61" s="283"/>
      <c r="Z61" s="283"/>
      <c r="AA61" s="283"/>
      <c r="AB61" s="283"/>
      <c r="AC61" s="283"/>
      <c r="AD61" s="297" t="s">
        <v>611</v>
      </c>
      <c r="AF61" s="415">
        <f>AH55/AH42</f>
        <v>2.0011432997667455</v>
      </c>
      <c r="AG61" s="299"/>
      <c r="AH61" s="283"/>
    </row>
    <row r="62" spans="1:34" ht="18.600000000000001" thickBot="1">
      <c r="W62" s="283"/>
      <c r="X62" s="283"/>
      <c r="Y62" s="283"/>
      <c r="Z62" s="283"/>
      <c r="AA62" s="283"/>
      <c r="AB62" s="283"/>
      <c r="AC62" s="283"/>
      <c r="AD62" s="298" t="s">
        <v>603</v>
      </c>
      <c r="AE62" s="291"/>
      <c r="AF62" s="292">
        <f>AH65/AH55</f>
        <v>499.22914107505812</v>
      </c>
      <c r="AG62" s="300"/>
      <c r="AH62" s="283"/>
    </row>
    <row r="63" spans="1:34" ht="14.7" thickBot="1">
      <c r="W63" s="283"/>
      <c r="X63" s="283"/>
      <c r="Y63" s="283"/>
      <c r="Z63" s="283"/>
      <c r="AA63" s="283"/>
      <c r="AB63" s="283"/>
      <c r="AC63" s="283"/>
      <c r="AD63" s="283"/>
      <c r="AE63" s="283"/>
      <c r="AF63" s="283"/>
      <c r="AG63" s="283"/>
      <c r="AH63" s="283"/>
    </row>
    <row r="64" spans="1:34">
      <c r="A64" s="294"/>
      <c r="B64" s="417">
        <v>1999</v>
      </c>
      <c r="C64" s="417">
        <v>2000</v>
      </c>
      <c r="D64" s="417">
        <v>2001</v>
      </c>
      <c r="E64" s="289">
        <v>2002</v>
      </c>
      <c r="F64" s="289">
        <v>2003</v>
      </c>
      <c r="G64" s="289">
        <v>2004</v>
      </c>
      <c r="H64" s="289">
        <v>2005</v>
      </c>
      <c r="I64" s="289">
        <v>2006</v>
      </c>
      <c r="J64" s="289">
        <v>2007</v>
      </c>
      <c r="K64" s="289">
        <v>2008</v>
      </c>
      <c r="L64" s="289">
        <v>2009</v>
      </c>
      <c r="M64" s="289">
        <v>2010</v>
      </c>
      <c r="N64" s="289">
        <v>2011</v>
      </c>
      <c r="O64" s="289">
        <v>2012</v>
      </c>
      <c r="P64" s="289">
        <v>2013</v>
      </c>
      <c r="Q64" s="289">
        <v>2014</v>
      </c>
      <c r="R64" s="289">
        <v>2015</v>
      </c>
      <c r="S64" s="289">
        <v>2016</v>
      </c>
      <c r="T64" s="289">
        <v>2017</v>
      </c>
      <c r="U64" s="289">
        <v>2018</v>
      </c>
      <c r="V64" s="289">
        <v>2019</v>
      </c>
      <c r="W64" s="326">
        <v>2020</v>
      </c>
      <c r="X64" s="301">
        <v>2021</v>
      </c>
      <c r="Y64" s="301">
        <v>2022</v>
      </c>
      <c r="Z64" s="301">
        <v>2023</v>
      </c>
      <c r="AA64" s="301">
        <v>2024</v>
      </c>
      <c r="AB64" s="301">
        <v>2025</v>
      </c>
      <c r="AC64" s="301">
        <v>2026</v>
      </c>
      <c r="AD64" s="301">
        <v>2027</v>
      </c>
      <c r="AE64" s="301">
        <v>2028</v>
      </c>
      <c r="AF64" s="301">
        <v>2029</v>
      </c>
      <c r="AG64" s="301">
        <v>2030</v>
      </c>
      <c r="AH64" s="302">
        <v>2031</v>
      </c>
    </row>
    <row r="65" spans="1:34" ht="75.599999999999994" customHeight="1">
      <c r="A65" s="295" t="s">
        <v>605</v>
      </c>
      <c r="B65" s="589">
        <f>'Opioid Rx Data IQVIA SH'!B5</f>
        <v>83860335346.247116</v>
      </c>
      <c r="C65" s="589">
        <f>'Opioid Rx Data IQVIA SH'!C5</f>
        <v>88243037645.415298</v>
      </c>
      <c r="D65" s="589">
        <f>'Opioid Rx Data IQVIA SH'!D5</f>
        <v>104432410000.00002</v>
      </c>
      <c r="E65" s="590">
        <f>'Opioid Rx Data IQVIA SH'!E5</f>
        <v>113914397673</v>
      </c>
      <c r="F65" s="590">
        <f>'Opioid Rx Data IQVIA SH'!F5</f>
        <v>128182380208</v>
      </c>
      <c r="G65" s="590">
        <f>'Opioid Rx Data IQVIA SH'!G5</f>
        <v>141266597589</v>
      </c>
      <c r="H65" s="590">
        <f>'Opioid Rx Data IQVIA SH'!H5</f>
        <v>152741116253</v>
      </c>
      <c r="I65" s="590">
        <f>'Opioid Rx Data IQVIA SH'!I5</f>
        <v>172377484435</v>
      </c>
      <c r="J65" s="590">
        <f>'Opioid Rx Data IQVIA SH'!J5</f>
        <v>194816933897</v>
      </c>
      <c r="K65" s="590">
        <f>'Opioid Rx Data IQVIA SH'!K5</f>
        <v>214803554568</v>
      </c>
      <c r="L65" s="590">
        <f>'Opioid Rx Data IQVIA SH'!L5</f>
        <v>227757668789</v>
      </c>
      <c r="M65" s="590">
        <f>'Opioid Rx Data IQVIA SH'!M5</f>
        <v>245404960604</v>
      </c>
      <c r="N65" s="590">
        <f>'Opioid Rx Data IQVIA SH'!N5</f>
        <v>246463188398</v>
      </c>
      <c r="O65" s="590">
        <f>'Opioid Rx Data IQVIA SH'!O5</f>
        <v>239867616739</v>
      </c>
      <c r="P65" s="590">
        <f>'Opioid Rx Data IQVIA SH'!P5</f>
        <v>228965844787</v>
      </c>
      <c r="Q65" s="590">
        <f>'Opioid Rx Data IQVIA SH'!Q5</f>
        <v>221271525079</v>
      </c>
      <c r="R65" s="590">
        <f>'Opioid Rx Data IQVIA SH'!R5</f>
        <v>209409702158</v>
      </c>
      <c r="S65" s="590">
        <f>'Opioid Rx Data IQVIA SH'!S5</f>
        <v>197124327717</v>
      </c>
      <c r="T65" s="590">
        <f>'Opioid Rx Data IQVIA SH'!T5</f>
        <v>170285611746</v>
      </c>
      <c r="U65" s="590">
        <f>'Opioid Rx Data IQVIA SH'!U5</f>
        <v>141100706124</v>
      </c>
      <c r="V65" s="590">
        <f>'Opioid Rx Data IQVIA SH'!V5</f>
        <v>120407890118</v>
      </c>
      <c r="W65" s="634">
        <f>$W$66*LN(W68)+$W$67</f>
        <v>108388436597.76685</v>
      </c>
      <c r="X65" s="634">
        <f t="shared" ref="X65:AG65" si="8">$W$66*LN(X68)+$W$67</f>
        <v>98336764233.277161</v>
      </c>
      <c r="Y65" s="634">
        <f t="shared" si="8"/>
        <v>90123949912.257477</v>
      </c>
      <c r="Z65" s="634">
        <f t="shared" si="8"/>
        <v>83180114344.250717</v>
      </c>
      <c r="AA65" s="634">
        <f t="shared" si="8"/>
        <v>77165090378.150269</v>
      </c>
      <c r="AB65" s="634">
        <f t="shared" si="8"/>
        <v>71859463226.748093</v>
      </c>
      <c r="AC65" s="634">
        <f t="shared" si="8"/>
        <v>67113418013.660568</v>
      </c>
      <c r="AD65" s="634">
        <f t="shared" si="8"/>
        <v>62820097885.199081</v>
      </c>
      <c r="AE65" s="634">
        <f t="shared" si="8"/>
        <v>58900603692.6409</v>
      </c>
      <c r="AF65" s="634">
        <f t="shared" si="8"/>
        <v>55295018552.660294</v>
      </c>
      <c r="AG65" s="634">
        <f t="shared" si="8"/>
        <v>51956768124.63414</v>
      </c>
      <c r="AH65" s="650">
        <f>$W$66*LN(AH68)+$W$67</f>
        <v>48848931328.151199</v>
      </c>
    </row>
    <row r="66" spans="1:34">
      <c r="A66" s="295"/>
      <c r="B66" s="581"/>
      <c r="C66" s="581"/>
      <c r="D66" s="581"/>
      <c r="E66" s="582"/>
      <c r="F66" s="582"/>
      <c r="G66" s="582"/>
      <c r="H66" s="582"/>
      <c r="I66" s="582"/>
      <c r="J66" s="582"/>
      <c r="K66" s="582"/>
      <c r="L66" s="582"/>
      <c r="M66" s="582"/>
      <c r="N66" s="582"/>
      <c r="O66" s="582"/>
      <c r="P66" s="582"/>
      <c r="Q66" s="582"/>
      <c r="R66" s="582"/>
      <c r="S66" s="582"/>
      <c r="T66" s="582"/>
      <c r="U66" s="582"/>
      <c r="V66" s="592" t="s">
        <v>587</v>
      </c>
      <c r="W66" s="615">
        <v>-45045766751</v>
      </c>
      <c r="X66" s="592"/>
      <c r="Y66" s="592"/>
      <c r="Z66" s="592"/>
      <c r="AA66" s="592"/>
      <c r="AB66" s="592"/>
      <c r="AC66" s="592"/>
      <c r="AD66" s="592"/>
      <c r="AE66" s="592"/>
      <c r="AF66" s="592"/>
      <c r="AG66" s="592"/>
      <c r="AH66" s="309"/>
    </row>
    <row r="67" spans="1:34">
      <c r="A67" s="295"/>
      <c r="B67" s="581"/>
      <c r="C67" s="581"/>
      <c r="D67" s="581"/>
      <c r="E67" s="582"/>
      <c r="F67" s="582"/>
      <c r="G67" s="582"/>
      <c r="H67" s="582"/>
      <c r="I67" s="582"/>
      <c r="J67" s="582"/>
      <c r="K67" s="582"/>
      <c r="L67" s="582"/>
      <c r="M67" s="582"/>
      <c r="N67" s="582"/>
      <c r="O67" s="582"/>
      <c r="P67" s="582"/>
      <c r="Q67" s="582"/>
      <c r="R67" s="582"/>
      <c r="S67" s="582"/>
      <c r="T67" s="582"/>
      <c r="U67" s="582"/>
      <c r="V67" s="592" t="s">
        <v>588</v>
      </c>
      <c r="W67" s="616">
        <v>170835129037</v>
      </c>
      <c r="X67" s="592"/>
      <c r="Y67" s="592"/>
      <c r="Z67" s="592"/>
      <c r="AA67" s="592"/>
      <c r="AB67" s="592"/>
      <c r="AC67" s="592"/>
      <c r="AD67" s="592"/>
      <c r="AE67" s="592"/>
      <c r="AF67" s="592"/>
      <c r="AG67" s="592"/>
      <c r="AH67" s="309"/>
    </row>
    <row r="68" spans="1:34" ht="43.5" thickBot="1">
      <c r="A68" s="296"/>
      <c r="B68" s="499"/>
      <c r="C68" s="499"/>
      <c r="D68" s="499"/>
      <c r="E68" s="291"/>
      <c r="F68" s="291"/>
      <c r="G68" s="291"/>
      <c r="H68" s="291"/>
      <c r="I68" s="291"/>
      <c r="J68" s="291"/>
      <c r="K68" s="291"/>
      <c r="L68" s="291"/>
      <c r="M68" s="291"/>
      <c r="N68" s="291"/>
      <c r="O68" s="291"/>
      <c r="P68" s="291"/>
      <c r="Q68" s="291"/>
      <c r="R68" s="291"/>
      <c r="S68" s="291"/>
      <c r="T68" s="291"/>
      <c r="U68" s="291"/>
      <c r="V68" s="314" t="s">
        <v>594</v>
      </c>
      <c r="W68" s="316">
        <f>COUNT(T64:W64)</f>
        <v>4</v>
      </c>
      <c r="X68" s="310">
        <v>5</v>
      </c>
      <c r="Y68" s="316">
        <v>6</v>
      </c>
      <c r="Z68" s="316">
        <v>7</v>
      </c>
      <c r="AA68" s="316">
        <v>8</v>
      </c>
      <c r="AB68" s="316">
        <v>9</v>
      </c>
      <c r="AC68" s="316">
        <v>10</v>
      </c>
      <c r="AD68" s="316">
        <v>11</v>
      </c>
      <c r="AE68" s="316">
        <v>12</v>
      </c>
      <c r="AF68" s="316">
        <v>13</v>
      </c>
      <c r="AG68" s="316">
        <v>14</v>
      </c>
      <c r="AH68" s="317">
        <v>15</v>
      </c>
    </row>
    <row r="70" spans="1:34" ht="14.7" thickBot="1"/>
    <row r="71" spans="1:34">
      <c r="A71" s="294"/>
      <c r="B71" s="417">
        <v>1999</v>
      </c>
      <c r="C71" s="417">
        <v>2000</v>
      </c>
      <c r="D71" s="417">
        <v>2001</v>
      </c>
      <c r="E71" s="289">
        <v>2002</v>
      </c>
      <c r="F71" s="289">
        <v>2003</v>
      </c>
      <c r="G71" s="289">
        <v>2004</v>
      </c>
      <c r="H71" s="289">
        <v>2005</v>
      </c>
      <c r="I71" s="289">
        <v>2006</v>
      </c>
      <c r="J71" s="289">
        <v>2007</v>
      </c>
      <c r="K71" s="289">
        <v>2008</v>
      </c>
      <c r="L71" s="289">
        <v>2009</v>
      </c>
      <c r="M71" s="289">
        <v>2010</v>
      </c>
      <c r="N71" s="289">
        <v>2011</v>
      </c>
      <c r="O71" s="289">
        <v>2012</v>
      </c>
      <c r="P71" s="289">
        <v>2013</v>
      </c>
      <c r="Q71" s="289">
        <v>2014</v>
      </c>
      <c r="R71" s="289">
        <v>2015</v>
      </c>
      <c r="S71" s="289">
        <v>2016</v>
      </c>
      <c r="T71" s="289">
        <v>2017</v>
      </c>
      <c r="U71" s="289">
        <v>2018</v>
      </c>
      <c r="V71" s="289">
        <v>2019</v>
      </c>
      <c r="W71" s="289">
        <v>2020</v>
      </c>
      <c r="X71" s="301">
        <v>2021</v>
      </c>
      <c r="Y71" s="301">
        <v>2022</v>
      </c>
      <c r="Z71" s="301">
        <v>2023</v>
      </c>
      <c r="AA71" s="301">
        <v>2024</v>
      </c>
      <c r="AB71" s="301">
        <v>2025</v>
      </c>
      <c r="AC71" s="301">
        <v>2026</v>
      </c>
      <c r="AD71" s="301">
        <v>2027</v>
      </c>
      <c r="AE71" s="301">
        <v>2028</v>
      </c>
      <c r="AF71" s="301">
        <v>2029</v>
      </c>
      <c r="AG71" s="301">
        <v>2030</v>
      </c>
      <c r="AH71" s="302">
        <v>2031</v>
      </c>
    </row>
    <row r="72" spans="1:34" ht="18.3">
      <c r="A72" s="295" t="s">
        <v>606</v>
      </c>
      <c r="B72" s="581">
        <f>'Opioid Rx Data IQVIA SH'!B75</f>
        <v>0</v>
      </c>
      <c r="C72" s="581">
        <f>'Opioid Rx Data IQVIA SH'!C75</f>
        <v>0</v>
      </c>
      <c r="D72" s="581">
        <f>'Opioid Rx Data IQVIA SH'!D75</f>
        <v>0</v>
      </c>
      <c r="E72" s="618">
        <f>'Opioid Rx Data IQVIA SH'!E75</f>
        <v>0</v>
      </c>
      <c r="F72" s="618">
        <f>'Opioid Rx Data IQVIA SH'!F75</f>
        <v>0</v>
      </c>
      <c r="G72" s="618">
        <f>'Opioid Rx Data IQVIA SH'!G75</f>
        <v>0</v>
      </c>
      <c r="H72" s="618">
        <f>'Opioid Rx Data IQVIA SH'!H75</f>
        <v>0</v>
      </c>
      <c r="I72" s="618">
        <f>'Opioid Rx Data IQVIA SH'!I75</f>
        <v>0</v>
      </c>
      <c r="J72" s="618">
        <f>'Opioid Rx Data IQVIA SH'!J75</f>
        <v>0</v>
      </c>
      <c r="K72" s="618">
        <f>'Opioid Rx Data IQVIA SH'!K75</f>
        <v>0</v>
      </c>
      <c r="L72" s="618">
        <f>'Opioid Rx Data IQVIA SH'!L75</f>
        <v>1.2868150677794213E-4</v>
      </c>
      <c r="M72" s="618">
        <f>'Opioid Rx Data IQVIA SH'!M75</f>
        <v>3.0440046129983321E-2</v>
      </c>
      <c r="N72" s="618">
        <f>'Opioid Rx Data IQVIA SH'!N75</f>
        <v>0.10357235362782942</v>
      </c>
      <c r="O72" s="618">
        <f>'Opioid Rx Data IQVIA SH'!O75</f>
        <v>9.0387600251146713E-2</v>
      </c>
      <c r="P72" s="618">
        <f>'Opioid Rx Data IQVIA SH'!P75</f>
        <v>8.5121503878147764E-2</v>
      </c>
      <c r="Q72" s="618">
        <f>'Opioid Rx Data IQVIA SH'!Q75</f>
        <v>7.9822156563950336E-2</v>
      </c>
      <c r="R72" s="618">
        <f>'Opioid Rx Data IQVIA SH'!R75</f>
        <v>7.5699132306866743E-2</v>
      </c>
      <c r="S72" s="618">
        <f>'Opioid Rx Data IQVIA SH'!S75</f>
        <v>7.0648063363307451E-2</v>
      </c>
      <c r="T72" s="618">
        <f>'Opioid Rx Data IQVIA SH'!T75</f>
        <v>6.5304469508482815E-2</v>
      </c>
      <c r="U72" s="618">
        <f>'Opioid Rx Data IQVIA SH'!U75</f>
        <v>6.2178924571006849E-2</v>
      </c>
      <c r="V72" s="618">
        <f>'Opioid Rx Data IQVIA SH'!V75</f>
        <v>5.5745186078936089E-2</v>
      </c>
      <c r="W72" s="619">
        <f>$W$73*LN(W75)+$W$74</f>
        <v>5.1984877961159942E-2</v>
      </c>
      <c r="X72" s="619">
        <f>$W$73*LN(W75)+$W$74</f>
        <v>5.1984877961159942E-2</v>
      </c>
      <c r="Y72" s="619">
        <f t="shared" ref="Y72:AH72" si="9">$W$73*LN(Y75)+$W$74</f>
        <v>4.7244416172611547E-2</v>
      </c>
      <c r="Z72" s="619">
        <f t="shared" si="9"/>
        <v>4.5552472125563653E-2</v>
      </c>
      <c r="AA72" s="619">
        <f t="shared" si="9"/>
        <v>4.4121953816766687E-2</v>
      </c>
      <c r="AB72" s="619">
        <f t="shared" si="9"/>
        <v>4.2882782493211119E-2</v>
      </c>
      <c r="AC72" s="619">
        <f t="shared" si="9"/>
        <v>4.1789755922319885E-2</v>
      </c>
      <c r="AD72" s="619">
        <f t="shared" si="9"/>
        <v>4.0812010337015252E-2</v>
      </c>
      <c r="AE72" s="619">
        <f t="shared" si="9"/>
        <v>3.9927531868431121E-2</v>
      </c>
      <c r="AF72" s="619">
        <f t="shared" si="9"/>
        <v>3.9120066289967351E-2</v>
      </c>
      <c r="AG72" s="619">
        <f t="shared" si="9"/>
        <v>3.8377269962756935E-2</v>
      </c>
      <c r="AH72" s="293">
        <f t="shared" si="9"/>
        <v>3.7689547981170399E-2</v>
      </c>
    </row>
    <row r="73" spans="1:34">
      <c r="A73" s="295"/>
      <c r="B73" s="581"/>
      <c r="C73" s="581"/>
      <c r="D73" s="581"/>
      <c r="E73" s="582"/>
      <c r="F73" s="582"/>
      <c r="G73" s="582"/>
      <c r="H73" s="582"/>
      <c r="I73" s="582"/>
      <c r="J73" s="582"/>
      <c r="K73" s="582"/>
      <c r="L73" s="582"/>
      <c r="M73" s="582"/>
      <c r="N73" s="582"/>
      <c r="O73" s="582"/>
      <c r="P73" s="582"/>
      <c r="Q73" s="582"/>
      <c r="R73" s="582"/>
      <c r="S73" s="582"/>
      <c r="T73" s="582"/>
      <c r="U73" s="582"/>
      <c r="V73" s="584" t="s">
        <v>587</v>
      </c>
      <c r="W73" s="592">
        <v>-9.2800000000000001E-3</v>
      </c>
      <c r="X73" s="592"/>
      <c r="Y73" s="592"/>
      <c r="Z73" s="592"/>
      <c r="AA73" s="592"/>
      <c r="AB73" s="592"/>
      <c r="AC73" s="592"/>
      <c r="AD73" s="592"/>
      <c r="AE73" s="592"/>
      <c r="AF73" s="592"/>
      <c r="AG73" s="592"/>
      <c r="AH73" s="309"/>
    </row>
    <row r="74" spans="1:34">
      <c r="A74" s="295"/>
      <c r="B74" s="581"/>
      <c r="C74" s="581"/>
      <c r="D74" s="581"/>
      <c r="E74" s="582"/>
      <c r="F74" s="582"/>
      <c r="G74" s="582"/>
      <c r="H74" s="582"/>
      <c r="I74" s="582"/>
      <c r="J74" s="582"/>
      <c r="K74" s="582"/>
      <c r="L74" s="582"/>
      <c r="M74" s="582"/>
      <c r="N74" s="582"/>
      <c r="O74" s="582"/>
      <c r="P74" s="582"/>
      <c r="Q74" s="582"/>
      <c r="R74" s="582"/>
      <c r="S74" s="582"/>
      <c r="T74" s="582"/>
      <c r="U74" s="582"/>
      <c r="V74" s="587" t="s">
        <v>588</v>
      </c>
      <c r="W74" s="592">
        <v>6.2179999999999999E-2</v>
      </c>
      <c r="X74" s="592"/>
      <c r="Y74" s="592"/>
      <c r="Z74" s="592"/>
      <c r="AA74" s="592"/>
      <c r="AB74" s="592"/>
      <c r="AC74" s="592"/>
      <c r="AD74" s="592"/>
      <c r="AE74" s="592"/>
      <c r="AF74" s="592"/>
      <c r="AG74" s="592"/>
      <c r="AH74" s="309"/>
    </row>
    <row r="75" spans="1:34" ht="43.5" thickBot="1">
      <c r="A75" s="296"/>
      <c r="B75" s="499"/>
      <c r="C75" s="499"/>
      <c r="D75" s="499"/>
      <c r="E75" s="291"/>
      <c r="F75" s="291"/>
      <c r="G75" s="291"/>
      <c r="H75" s="291"/>
      <c r="I75" s="291"/>
      <c r="J75" s="291"/>
      <c r="K75" s="291"/>
      <c r="L75" s="291"/>
      <c r="M75" s="291"/>
      <c r="N75" s="291"/>
      <c r="O75" s="291"/>
      <c r="P75" s="291"/>
      <c r="Q75" s="291"/>
      <c r="R75" s="291"/>
      <c r="S75" s="291"/>
      <c r="T75" s="291"/>
      <c r="U75" s="291"/>
      <c r="V75" s="314" t="s">
        <v>612</v>
      </c>
      <c r="W75" s="316">
        <f>COUNT(U71:W71)</f>
        <v>3</v>
      </c>
      <c r="X75" s="310">
        <v>4</v>
      </c>
      <c r="Y75" s="310">
        <v>5</v>
      </c>
      <c r="Z75" s="310">
        <v>6</v>
      </c>
      <c r="AA75" s="310">
        <v>7</v>
      </c>
      <c r="AB75" s="310">
        <v>8</v>
      </c>
      <c r="AC75" s="310">
        <v>9</v>
      </c>
      <c r="AD75" s="310">
        <v>10</v>
      </c>
      <c r="AE75" s="310">
        <v>11</v>
      </c>
      <c r="AF75" s="310">
        <v>12</v>
      </c>
      <c r="AG75" s="310">
        <v>13</v>
      </c>
      <c r="AH75" s="317">
        <v>14</v>
      </c>
    </row>
    <row r="77" spans="1:34" ht="14.7" thickBot="1"/>
    <row r="78" spans="1:34">
      <c r="A78" s="294"/>
      <c r="B78" s="417">
        <v>1999</v>
      </c>
      <c r="C78" s="417">
        <v>2000</v>
      </c>
      <c r="D78" s="417">
        <v>2001</v>
      </c>
      <c r="E78" s="289">
        <v>2002</v>
      </c>
      <c r="F78" s="289">
        <v>2003</v>
      </c>
      <c r="G78" s="289">
        <v>2004</v>
      </c>
      <c r="H78" s="289">
        <v>2005</v>
      </c>
      <c r="I78" s="289">
        <v>2006</v>
      </c>
      <c r="J78" s="289">
        <v>2007</v>
      </c>
      <c r="K78" s="289">
        <v>2008</v>
      </c>
      <c r="L78" s="289">
        <v>2009</v>
      </c>
      <c r="M78" s="289">
        <v>2010</v>
      </c>
      <c r="N78" s="289">
        <v>2011</v>
      </c>
      <c r="O78" s="289">
        <v>2012</v>
      </c>
      <c r="P78" s="289">
        <v>2013</v>
      </c>
      <c r="Q78" s="289">
        <v>2014</v>
      </c>
      <c r="R78" s="289">
        <v>2015</v>
      </c>
      <c r="S78" s="289">
        <v>2016</v>
      </c>
      <c r="T78" s="289">
        <v>2017</v>
      </c>
      <c r="U78" s="289">
        <v>2018</v>
      </c>
      <c r="V78" s="289">
        <v>2019</v>
      </c>
      <c r="W78" s="515">
        <v>2020</v>
      </c>
      <c r="X78" s="307">
        <v>2021</v>
      </c>
      <c r="Y78" s="307">
        <v>2022</v>
      </c>
      <c r="Z78" s="307">
        <v>2023</v>
      </c>
      <c r="AA78" s="307">
        <v>2024</v>
      </c>
      <c r="AB78" s="307">
        <v>2025</v>
      </c>
      <c r="AC78" s="307">
        <v>2026</v>
      </c>
      <c r="AD78" s="307">
        <v>2027</v>
      </c>
      <c r="AE78" s="307">
        <v>2028</v>
      </c>
      <c r="AF78" s="307">
        <v>2029</v>
      </c>
      <c r="AG78" s="307">
        <v>2030</v>
      </c>
      <c r="AH78" s="308">
        <v>2031</v>
      </c>
    </row>
    <row r="79" spans="1:34" ht="29.7">
      <c r="A79" s="295" t="s">
        <v>12</v>
      </c>
      <c r="B79" s="581">
        <f>'Fentanyl NFLIS'!B41</f>
        <v>0</v>
      </c>
      <c r="C79" s="581">
        <f>'Fentanyl NFLIS'!C41</f>
        <v>0</v>
      </c>
      <c r="D79" s="581">
        <f>'Fentanyl NFLIS'!D41</f>
        <v>0</v>
      </c>
      <c r="E79" s="582">
        <f>'Fentanyl NFLIS'!E41</f>
        <v>0</v>
      </c>
      <c r="F79" s="582">
        <f>'Fentanyl NFLIS'!F41</f>
        <v>0</v>
      </c>
      <c r="G79" s="582">
        <f>'Fentanyl NFLIS'!G41</f>
        <v>0</v>
      </c>
      <c r="H79" s="582">
        <f>'Fentanyl NFLIS'!H41</f>
        <v>0</v>
      </c>
      <c r="I79" s="582">
        <f>'Fentanyl NFLIS'!I41</f>
        <v>0</v>
      </c>
      <c r="J79" s="620">
        <f>'Fentanyl NFLIS'!J41</f>
        <v>1.0755202244563947E-2</v>
      </c>
      <c r="K79" s="620">
        <f>'Fentanyl NFLIS'!K41</f>
        <v>5.6314948870589696E-3</v>
      </c>
      <c r="L79" s="620">
        <f>'Fentanyl NFLIS'!L41</f>
        <v>5.7798856433668722E-3</v>
      </c>
      <c r="M79" s="620">
        <f>'Fentanyl NFLIS'!M41</f>
        <v>6.1042036175059195E-3</v>
      </c>
      <c r="N79" s="620">
        <f>'Fentanyl NFLIS'!N41</f>
        <v>5.3814787439894363E-3</v>
      </c>
      <c r="O79" s="620">
        <f>'Fentanyl NFLIS'!O41</f>
        <v>0</v>
      </c>
      <c r="P79" s="620">
        <f>'Fentanyl NFLIS'!P41</f>
        <v>6.4060575890166902E-3</v>
      </c>
      <c r="Q79" s="620">
        <f>'Fentanyl NFLIS'!Q41</f>
        <v>2.7908994218554105E-2</v>
      </c>
      <c r="R79" s="620">
        <f>'Fentanyl NFLIS'!R41</f>
        <v>8.2317311449785074E-2</v>
      </c>
      <c r="S79" s="620">
        <f>'Fentanyl NFLIS'!S41</f>
        <v>0.18473601770824541</v>
      </c>
      <c r="T79" s="620">
        <f>'Fentanyl NFLIS'!T41</f>
        <v>0.32210083779712445</v>
      </c>
      <c r="U79" s="620">
        <f>'Fentanyl NFLIS'!U41</f>
        <v>0.40610436550278561</v>
      </c>
      <c r="V79" s="620">
        <f>'Fentanyl NFLIS'!V41</f>
        <v>0.47271690770965785</v>
      </c>
      <c r="W79" s="621">
        <f t="shared" ref="W79:AH79" si="10">$W$80*LN(W82)+$W$81</f>
        <v>0.51458798512639836</v>
      </c>
      <c r="X79" s="621">
        <f t="shared" si="10"/>
        <v>0.55221915444867054</v>
      </c>
      <c r="Y79" s="621">
        <f t="shared" si="10"/>
        <v>0.58403585476501663</v>
      </c>
      <c r="Z79" s="621">
        <f t="shared" si="10"/>
        <v>0.6115967342027181</v>
      </c>
      <c r="AA79" s="621">
        <f t="shared" si="10"/>
        <v>0.63590715276219578</v>
      </c>
      <c r="AB79" s="621">
        <f t="shared" si="10"/>
        <v>0.65765356319397106</v>
      </c>
      <c r="AC79" s="621">
        <f t="shared" si="10"/>
        <v>0.67732558430558365</v>
      </c>
      <c r="AD79" s="621">
        <f t="shared" si="10"/>
        <v>0.69528473251624323</v>
      </c>
      <c r="AE79" s="621">
        <f t="shared" si="10"/>
        <v>0.71180554738006119</v>
      </c>
      <c r="AF79" s="621">
        <f t="shared" si="10"/>
        <v>0.72710143283258932</v>
      </c>
      <c r="AG79" s="621">
        <f t="shared" si="10"/>
        <v>0.74134156150749619</v>
      </c>
      <c r="AH79" s="293">
        <f t="shared" si="10"/>
        <v>0.75466231227029079</v>
      </c>
    </row>
    <row r="80" spans="1:34">
      <c r="A80" s="295"/>
      <c r="B80" s="581"/>
      <c r="C80" s="581"/>
      <c r="D80" s="581"/>
      <c r="E80" s="582"/>
      <c r="F80" s="582"/>
      <c r="G80" s="582"/>
      <c r="H80" s="582"/>
      <c r="I80" s="582"/>
      <c r="J80" s="582"/>
      <c r="K80" s="582"/>
      <c r="L80" s="582"/>
      <c r="M80" s="582"/>
      <c r="N80" s="582"/>
      <c r="O80" s="582"/>
      <c r="P80" s="582"/>
      <c r="Q80" s="582"/>
      <c r="R80" s="582"/>
      <c r="S80" s="582"/>
      <c r="T80" s="582"/>
      <c r="U80" s="582"/>
      <c r="V80" s="584" t="s">
        <v>587</v>
      </c>
      <c r="W80" s="588">
        <v>0.2064</v>
      </c>
      <c r="X80" s="305"/>
      <c r="Y80" s="588"/>
      <c r="Z80" s="588"/>
      <c r="AA80" s="588"/>
      <c r="AB80" s="588"/>
      <c r="AC80" s="588"/>
      <c r="AD80" s="588"/>
      <c r="AE80" s="588"/>
      <c r="AF80" s="588"/>
      <c r="AG80" s="588"/>
      <c r="AH80" s="304"/>
    </row>
    <row r="81" spans="1:34">
      <c r="A81" s="295"/>
      <c r="B81" s="581"/>
      <c r="C81" s="581"/>
      <c r="D81" s="581"/>
      <c r="E81" s="582"/>
      <c r="F81" s="582"/>
      <c r="G81" s="582"/>
      <c r="H81" s="582"/>
      <c r="I81" s="582"/>
      <c r="J81" s="582"/>
      <c r="K81" s="582"/>
      <c r="L81" s="582"/>
      <c r="M81" s="582"/>
      <c r="N81" s="582"/>
      <c r="O81" s="582"/>
      <c r="P81" s="582"/>
      <c r="Q81" s="582"/>
      <c r="R81" s="582"/>
      <c r="S81" s="582"/>
      <c r="T81" s="582"/>
      <c r="U81" s="582"/>
      <c r="V81" s="587" t="s">
        <v>588</v>
      </c>
      <c r="W81" s="588">
        <v>0.18240000000000001</v>
      </c>
      <c r="X81" s="305"/>
      <c r="Y81" s="588"/>
      <c r="Z81" s="588"/>
      <c r="AA81" s="588"/>
      <c r="AB81" s="588"/>
      <c r="AC81" s="588"/>
      <c r="AD81" s="588"/>
      <c r="AE81" s="588"/>
      <c r="AF81" s="588"/>
      <c r="AG81" s="588"/>
      <c r="AH81" s="304"/>
    </row>
    <row r="82" spans="1:34" ht="29.1" thickBot="1">
      <c r="A82" s="296"/>
      <c r="B82" s="499"/>
      <c r="C82" s="499"/>
      <c r="D82" s="499"/>
      <c r="E82" s="291"/>
      <c r="F82" s="291"/>
      <c r="G82" s="291"/>
      <c r="H82" s="291"/>
      <c r="I82" s="291"/>
      <c r="J82" s="291"/>
      <c r="K82" s="291"/>
      <c r="L82" s="291"/>
      <c r="M82" s="291"/>
      <c r="N82" s="291"/>
      <c r="O82" s="291"/>
      <c r="P82" s="291"/>
      <c r="Q82" s="291"/>
      <c r="R82" s="291"/>
      <c r="S82" s="291"/>
      <c r="T82" s="291"/>
      <c r="U82" s="291"/>
      <c r="V82" s="314" t="s">
        <v>613</v>
      </c>
      <c r="W82" s="310">
        <f>COUNT(S78:W78)</f>
        <v>5</v>
      </c>
      <c r="X82" s="316">
        <v>6</v>
      </c>
      <c r="Y82" s="316">
        <v>7</v>
      </c>
      <c r="Z82" s="316">
        <v>8</v>
      </c>
      <c r="AA82" s="316">
        <v>9</v>
      </c>
      <c r="AB82" s="316">
        <v>10</v>
      </c>
      <c r="AC82" s="316">
        <v>11</v>
      </c>
      <c r="AD82" s="316">
        <v>12</v>
      </c>
      <c r="AE82" s="316">
        <v>13</v>
      </c>
      <c r="AF82" s="316">
        <v>14</v>
      </c>
      <c r="AG82" s="316">
        <v>15</v>
      </c>
      <c r="AH82" s="317">
        <v>16</v>
      </c>
    </row>
  </sheetData>
  <mergeCells count="1">
    <mergeCell ref="A1:AH1"/>
  </mergeCells>
  <pageMargins left="0.7" right="0.7" top="0.75" bottom="0.75" header="0.3" footer="0.3"/>
  <pageSetup orientation="portrait" r:id="rId1"/>
  <ignoredErrors>
    <ignoredError sqref="W9 W38 W30 W22 W45 W58 W75 W82 W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3984375" defaultRowHeight="14.4"/>
  <cols>
    <col min="1" max="1" width="33.15625" customWidth="1"/>
    <col min="2" max="2" width="14.26171875" bestFit="1" customWidth="1"/>
    <col min="3" max="3" width="14" customWidth="1"/>
    <col min="4" max="4" width="11.41796875" customWidth="1"/>
    <col min="5" max="5" width="13.41796875" customWidth="1"/>
    <col min="6" max="6" width="13.83984375" style="49" bestFit="1" customWidth="1"/>
    <col min="7" max="7" width="12.83984375" bestFit="1" customWidth="1"/>
    <col min="8" max="9" width="13.15625" bestFit="1" customWidth="1"/>
    <col min="10" max="21" width="14.15625" bestFit="1" customWidth="1"/>
    <col min="22" max="22" width="11.41796875" customWidth="1"/>
    <col min="23" max="23" width="22.2617187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65" t="s">
        <v>68</v>
      </c>
      <c r="X1" s="656" t="s">
        <v>69</v>
      </c>
      <c r="Y1" s="657"/>
      <c r="Z1" s="657"/>
      <c r="AA1" s="657"/>
      <c r="AB1" s="657"/>
      <c r="AC1" s="657"/>
      <c r="AD1" s="657"/>
      <c r="AE1" s="657"/>
      <c r="AF1" s="657"/>
      <c r="AG1" s="658"/>
    </row>
    <row r="2" spans="1:33" ht="15" customHeight="1">
      <c r="A2" s="26" t="s">
        <v>53</v>
      </c>
      <c r="B2" s="269">
        <f>B12</f>
        <v>1.1166666666666667</v>
      </c>
      <c r="C2" s="269">
        <f t="shared" ref="C2:U2" si="0">C12</f>
        <v>1.1378691983122362</v>
      </c>
      <c r="D2" s="269">
        <f t="shared" si="0"/>
        <v>1.130801687763713</v>
      </c>
      <c r="E2" s="269">
        <f t="shared" si="0"/>
        <v>0.94704641350210972</v>
      </c>
      <c r="F2" s="269">
        <f t="shared" si="0"/>
        <v>1.0177215189873416</v>
      </c>
      <c r="G2" s="269">
        <f t="shared" si="0"/>
        <v>0.9753164556962024</v>
      </c>
      <c r="H2" s="269">
        <f t="shared" si="0"/>
        <v>0.81983122362869199</v>
      </c>
      <c r="I2" s="269">
        <f t="shared" si="0"/>
        <v>0.89050632911392402</v>
      </c>
      <c r="J2" s="269">
        <f t="shared" si="0"/>
        <v>0.84810126582278478</v>
      </c>
      <c r="K2" s="269">
        <f t="shared" si="0"/>
        <v>0.75384316237189009</v>
      </c>
      <c r="L2" s="269">
        <f t="shared" si="0"/>
        <v>0.71368850500333314</v>
      </c>
      <c r="M2" s="269">
        <f t="shared" si="0"/>
        <v>0.76106533480047445</v>
      </c>
      <c r="N2" s="269">
        <f t="shared" si="0"/>
        <v>0.62318032241313726</v>
      </c>
      <c r="O2" s="269">
        <f>O12</f>
        <v>0.65617947485189854</v>
      </c>
      <c r="P2" s="269">
        <f t="shared" si="0"/>
        <v>0.6908647104684591</v>
      </c>
      <c r="Q2" s="269">
        <f t="shared" si="0"/>
        <v>0.71288547231011723</v>
      </c>
      <c r="R2" s="269">
        <f t="shared" si="0"/>
        <v>0.59976676400988693</v>
      </c>
      <c r="S2" s="269">
        <f t="shared" si="0"/>
        <v>0.54882297113524636</v>
      </c>
      <c r="T2" s="269">
        <f t="shared" si="0"/>
        <v>0.53736690874896442</v>
      </c>
      <c r="U2" s="269">
        <f t="shared" si="0"/>
        <v>0.54408739565454922</v>
      </c>
      <c r="V2" s="271">
        <f>U12</f>
        <v>0.54408739565454922</v>
      </c>
      <c r="W2" s="665"/>
      <c r="X2" s="659"/>
      <c r="Y2" s="660"/>
      <c r="Z2" s="660"/>
      <c r="AA2" s="660"/>
      <c r="AB2" s="660"/>
      <c r="AC2" s="660"/>
      <c r="AD2" s="660"/>
      <c r="AE2" s="660"/>
      <c r="AF2" s="660"/>
      <c r="AG2" s="661"/>
    </row>
    <row r="3" spans="1:33" ht="14.85" customHeight="1">
      <c r="A3" s="168" t="s">
        <v>70</v>
      </c>
      <c r="B3" s="30"/>
      <c r="C3" s="30"/>
      <c r="D3" s="30"/>
      <c r="E3" s="269"/>
      <c r="F3" s="269"/>
      <c r="G3" s="269"/>
      <c r="H3" s="269"/>
      <c r="I3" s="269"/>
      <c r="J3" s="269"/>
      <c r="K3" s="269"/>
      <c r="L3" s="269"/>
      <c r="M3" s="269">
        <v>0.74272494700000002</v>
      </c>
      <c r="N3" s="269">
        <v>0.73415333699999996</v>
      </c>
      <c r="O3" s="269">
        <v>0.830865674</v>
      </c>
      <c r="P3" s="270">
        <v>0.82803807399999996</v>
      </c>
      <c r="Q3" s="269">
        <v>0.77878078799999995</v>
      </c>
      <c r="R3" s="269">
        <v>0.77209737700000003</v>
      </c>
      <c r="S3" s="269">
        <v>0.76544734000000003</v>
      </c>
      <c r="T3" s="269">
        <v>0.74997359900000005</v>
      </c>
      <c r="U3" s="269">
        <v>0.76687717099999997</v>
      </c>
      <c r="V3" s="277">
        <v>0.76687717099999997</v>
      </c>
      <c r="W3" s="665"/>
      <c r="X3" s="659"/>
      <c r="Y3" s="660"/>
      <c r="Z3" s="660"/>
      <c r="AA3" s="660"/>
      <c r="AB3" s="660"/>
      <c r="AC3" s="660"/>
      <c r="AD3" s="660"/>
      <c r="AE3" s="660"/>
      <c r="AF3" s="660"/>
      <c r="AG3" s="661"/>
    </row>
    <row r="4" spans="1:33">
      <c r="A4" s="30"/>
      <c r="B4" s="30"/>
      <c r="C4" s="30"/>
      <c r="D4" s="30"/>
      <c r="F4"/>
      <c r="V4" s="49"/>
      <c r="W4" s="665"/>
      <c r="X4" s="662"/>
      <c r="Y4" s="663"/>
      <c r="Z4" s="663"/>
      <c r="AA4" s="663"/>
      <c r="AB4" s="663"/>
      <c r="AC4" s="663"/>
      <c r="AD4" s="663"/>
      <c r="AE4" s="663"/>
      <c r="AF4" s="663"/>
      <c r="AG4" s="664"/>
    </row>
    <row r="5" spans="1:33" s="49" customFormat="1" ht="60.3">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42">
      <c r="A6" s="400" t="s">
        <v>74</v>
      </c>
      <c r="B6" s="396">
        <v>0.79</v>
      </c>
      <c r="C6" s="396">
        <v>0.80500000000000005</v>
      </c>
      <c r="D6" s="396">
        <v>0.8</v>
      </c>
      <c r="E6" s="164">
        <v>0.67</v>
      </c>
      <c r="F6" s="164">
        <v>0.72</v>
      </c>
      <c r="G6" s="164">
        <v>0.69</v>
      </c>
      <c r="H6" s="164">
        <v>0.57999999999999996</v>
      </c>
      <c r="I6" s="164">
        <v>0.63</v>
      </c>
      <c r="J6" s="274">
        <v>0.6</v>
      </c>
      <c r="K6" s="274">
        <v>0.6</v>
      </c>
      <c r="L6" s="164">
        <v>0.48</v>
      </c>
      <c r="M6" s="164">
        <v>0.55000000000000004</v>
      </c>
      <c r="N6" s="164">
        <v>0.45</v>
      </c>
      <c r="O6" s="164"/>
      <c r="P6" s="164">
        <v>0.52</v>
      </c>
      <c r="Q6" s="164"/>
      <c r="R6" s="164">
        <v>0.41</v>
      </c>
      <c r="S6" s="165"/>
      <c r="T6" s="165"/>
      <c r="U6" s="225"/>
      <c r="X6" s="226" t="s">
        <v>75</v>
      </c>
      <c r="Y6" s="227" t="s">
        <v>76</v>
      </c>
    </row>
    <row r="7" spans="1:33">
      <c r="A7" s="401" t="s">
        <v>77</v>
      </c>
      <c r="B7" s="397">
        <f>B6/$J$6</f>
        <v>1.3166666666666669</v>
      </c>
      <c r="C7" s="397">
        <f t="shared" ref="C7:F7" si="1">C6/$J$6</f>
        <v>1.3416666666666668</v>
      </c>
      <c r="D7" s="397">
        <f t="shared" si="1"/>
        <v>1.3333333333333335</v>
      </c>
      <c r="E7" s="397">
        <f t="shared" si="1"/>
        <v>1.1166666666666667</v>
      </c>
      <c r="F7" s="397">
        <f t="shared" si="1"/>
        <v>1.2</v>
      </c>
      <c r="G7" s="397">
        <f t="shared" ref="G7" si="2">G6/$J$6</f>
        <v>1.1499999999999999</v>
      </c>
      <c r="H7" s="397">
        <f t="shared" ref="H7" si="3">H6/$J$6</f>
        <v>0.96666666666666667</v>
      </c>
      <c r="I7" s="397">
        <f t="shared" ref="I7:J7" si="4">I6/$J$6</f>
        <v>1.05</v>
      </c>
      <c r="J7" s="397">
        <f t="shared" si="4"/>
        <v>1</v>
      </c>
      <c r="K7" s="397">
        <f>K6/$J$6</f>
        <v>1</v>
      </c>
      <c r="L7" s="397">
        <f t="shared" ref="L7" si="5">L6/$J$6</f>
        <v>0.8</v>
      </c>
      <c r="M7" s="397">
        <f t="shared" ref="M7" si="6">M6/$J$6</f>
        <v>0.91666666666666674</v>
      </c>
      <c r="N7" s="397">
        <f t="shared" ref="N7" si="7">N6/$J$6</f>
        <v>0.75</v>
      </c>
      <c r="O7" s="397"/>
      <c r="P7" s="397">
        <f t="shared" ref="P7" si="8">P6/$J$6</f>
        <v>0.8666666666666667</v>
      </c>
      <c r="Q7" s="397"/>
      <c r="R7" s="397">
        <f t="shared" ref="R7" si="9">R6/$J$6</f>
        <v>0.68333333333333335</v>
      </c>
      <c r="S7" s="273"/>
      <c r="T7" s="273"/>
      <c r="U7" s="269"/>
      <c r="X7" s="226"/>
      <c r="Y7" s="227" t="s">
        <v>78</v>
      </c>
    </row>
    <row r="8" spans="1:33" ht="39" customHeight="1">
      <c r="A8" s="400" t="s">
        <v>79</v>
      </c>
      <c r="B8" s="163"/>
      <c r="C8" s="163"/>
      <c r="D8" s="163"/>
      <c r="E8" s="274"/>
      <c r="F8" s="274"/>
      <c r="G8" s="274"/>
      <c r="H8" s="274"/>
      <c r="I8" s="274"/>
      <c r="J8" s="276">
        <v>84173</v>
      </c>
      <c r="K8" s="276">
        <v>65463</v>
      </c>
      <c r="L8" s="276">
        <v>74327</v>
      </c>
      <c r="M8" s="276">
        <v>73911</v>
      </c>
      <c r="N8" s="276">
        <v>60570</v>
      </c>
      <c r="O8" s="276">
        <v>65125</v>
      </c>
      <c r="P8" s="276">
        <v>64185</v>
      </c>
      <c r="Q8" s="276">
        <v>70753</v>
      </c>
      <c r="R8" s="276">
        <v>61534</v>
      </c>
      <c r="S8" s="276">
        <v>54470</v>
      </c>
      <c r="T8" s="276">
        <v>53333</v>
      </c>
      <c r="U8" s="276">
        <v>54000</v>
      </c>
      <c r="V8" s="226"/>
      <c r="W8" s="226"/>
      <c r="X8" s="402" t="s">
        <v>80</v>
      </c>
      <c r="Y8" s="227" t="s">
        <v>81</v>
      </c>
    </row>
    <row r="9" spans="1:33" ht="28.2">
      <c r="A9" s="401" t="s">
        <v>82</v>
      </c>
      <c r="B9" s="166"/>
      <c r="C9" s="166"/>
      <c r="D9" s="166"/>
      <c r="E9" s="275"/>
      <c r="F9" s="275"/>
      <c r="G9" s="275"/>
      <c r="H9" s="275"/>
      <c r="I9" s="275"/>
      <c r="J9" s="275">
        <f>J8/$J$8</f>
        <v>1</v>
      </c>
      <c r="K9" s="275">
        <f>K8/$J$8</f>
        <v>0.77771969633968141</v>
      </c>
      <c r="L9" s="275">
        <f>L8/$J$8</f>
        <v>0.88302662373920382</v>
      </c>
      <c r="M9" s="275">
        <f t="shared" ref="M9:U9" si="10">M8/$J$8</f>
        <v>0.87808442137027309</v>
      </c>
      <c r="N9" s="275">
        <f t="shared" si="10"/>
        <v>0.71958941703396573</v>
      </c>
      <c r="O9" s="275">
        <f t="shared" si="10"/>
        <v>0.77370415691492522</v>
      </c>
      <c r="P9" s="275">
        <f t="shared" si="10"/>
        <v>0.76253668040820688</v>
      </c>
      <c r="Q9" s="275">
        <f t="shared" si="10"/>
        <v>0.8405664524253621</v>
      </c>
      <c r="R9" s="275">
        <f t="shared" si="10"/>
        <v>0.73104202060043011</v>
      </c>
      <c r="S9" s="275">
        <f t="shared" si="10"/>
        <v>0.64711962268185763</v>
      </c>
      <c r="T9" s="275">
        <f t="shared" si="10"/>
        <v>0.63361172822639089</v>
      </c>
      <c r="U9" s="275">
        <f t="shared" si="10"/>
        <v>0.6415358844284984</v>
      </c>
      <c r="V9" s="227"/>
      <c r="W9" s="227"/>
      <c r="X9" s="226"/>
      <c r="Y9" s="227" t="s">
        <v>83</v>
      </c>
    </row>
    <row r="10" spans="1:33" ht="28.2">
      <c r="A10" s="400" t="s">
        <v>84</v>
      </c>
      <c r="B10" s="399">
        <f>AVERAGE(B7,B9)</f>
        <v>1.3166666666666669</v>
      </c>
      <c r="C10" s="399">
        <f t="shared" ref="C10:F10" si="11">AVERAGE(C7,C9)</f>
        <v>1.3416666666666668</v>
      </c>
      <c r="D10" s="399">
        <f t="shared" si="11"/>
        <v>1.3333333333333335</v>
      </c>
      <c r="E10" s="399">
        <f t="shared" si="11"/>
        <v>1.1166666666666667</v>
      </c>
      <c r="F10" s="399">
        <f t="shared" si="11"/>
        <v>1.2</v>
      </c>
      <c r="G10" s="399">
        <f>AVERAGE(G7,G9)</f>
        <v>1.1499999999999999</v>
      </c>
      <c r="H10" s="399">
        <f>AVERAGE(H7,H9)</f>
        <v>0.96666666666666667</v>
      </c>
      <c r="I10" s="399">
        <f t="shared" ref="I10:J10" si="12">AVERAGE(I7,I9)</f>
        <v>1.05</v>
      </c>
      <c r="J10" s="399">
        <f t="shared" si="12"/>
        <v>1</v>
      </c>
      <c r="K10" s="399">
        <f t="shared" ref="K10" si="13">AVERAGE(K7,K9)</f>
        <v>0.88885984816984065</v>
      </c>
      <c r="L10" s="399">
        <f t="shared" ref="L10" si="14">AVERAGE(L7,L9)</f>
        <v>0.84151331186960188</v>
      </c>
      <c r="M10" s="399">
        <f t="shared" ref="M10" si="15">AVERAGE(M7,M9)</f>
        <v>0.89737554401846986</v>
      </c>
      <c r="N10" s="399">
        <f t="shared" ref="N10:P10" si="16">AVERAGE(N7,N9)</f>
        <v>0.73479470851698281</v>
      </c>
      <c r="O10" s="399">
        <f t="shared" si="16"/>
        <v>0.77370415691492522</v>
      </c>
      <c r="P10" s="399">
        <f t="shared" si="16"/>
        <v>0.81460167353743684</v>
      </c>
      <c r="Q10" s="399">
        <f t="shared" ref="Q10:R10" si="17">AVERAGE(Q7,Q9)</f>
        <v>0.8405664524253621</v>
      </c>
      <c r="R10" s="399">
        <f t="shared" si="17"/>
        <v>0.70718767696688167</v>
      </c>
      <c r="S10" s="399">
        <f t="shared" ref="S10" si="18">AVERAGE(S7,S9)</f>
        <v>0.64711962268185763</v>
      </c>
      <c r="T10" s="399">
        <f t="shared" ref="T10" si="19">AVERAGE(T7,T9)</f>
        <v>0.63361172822639089</v>
      </c>
      <c r="U10" s="399">
        <f t="shared" ref="U10" si="20">AVERAGE(U7,U9)</f>
        <v>0.6415358844284984</v>
      </c>
      <c r="X10" s="226"/>
      <c r="Y10" s="227" t="s">
        <v>85</v>
      </c>
    </row>
    <row r="11" spans="1:33" ht="28.2">
      <c r="A11" s="401" t="s">
        <v>86</v>
      </c>
      <c r="B11" s="273">
        <f>B10/$E$10</f>
        <v>1.1791044776119404</v>
      </c>
      <c r="C11" s="273">
        <f t="shared" ref="C11:D11" si="21">C10/$E$10</f>
        <v>1.2014925373134329</v>
      </c>
      <c r="D11" s="273">
        <f t="shared" si="21"/>
        <v>1.1940298507462688</v>
      </c>
      <c r="E11" s="273">
        <f>E10/$E$10</f>
        <v>1</v>
      </c>
      <c r="F11" s="273">
        <f>F10/$E$10</f>
        <v>1.0746268656716418</v>
      </c>
      <c r="G11" s="273">
        <f t="shared" ref="G11:I11" si="22">G10/$E$10</f>
        <v>1.0298507462686566</v>
      </c>
      <c r="H11" s="273">
        <f t="shared" si="22"/>
        <v>0.86567164179104472</v>
      </c>
      <c r="I11" s="273">
        <f t="shared" si="22"/>
        <v>0.94029850746268662</v>
      </c>
      <c r="J11" s="273">
        <f>J10/$E$10</f>
        <v>0.89552238805970152</v>
      </c>
      <c r="K11" s="273">
        <f>K10/$E$10</f>
        <v>0.79599389388343933</v>
      </c>
      <c r="L11" s="273">
        <f>L10/$E$10</f>
        <v>0.75359401062949416</v>
      </c>
      <c r="M11" s="273">
        <f>M10/$E$10</f>
        <v>0.80361989016579394</v>
      </c>
      <c r="N11" s="273">
        <f t="shared" ref="N11" si="23">N10/$E$10</f>
        <v>0.65802511210476067</v>
      </c>
      <c r="O11" s="273">
        <f>O10/$E$10</f>
        <v>0.69286939425217187</v>
      </c>
      <c r="P11" s="273">
        <f>P10/$E$10</f>
        <v>0.7294940360036748</v>
      </c>
      <c r="Q11" s="273">
        <f t="shared" ref="Q11" si="24">Q10/$E$10</f>
        <v>0.75274607679883176</v>
      </c>
      <c r="R11" s="273">
        <f t="shared" ref="R11" si="25">R10/$E$10</f>
        <v>0.63330239728377458</v>
      </c>
      <c r="S11" s="273">
        <f t="shared" ref="S11" si="26">S10/$E$10</f>
        <v>0.57951010986435014</v>
      </c>
      <c r="T11" s="273">
        <f>T10/$E$10</f>
        <v>0.56741348796393209</v>
      </c>
      <c r="U11" s="273">
        <f>U10/$E$10</f>
        <v>0.57450974724940151</v>
      </c>
      <c r="V11" s="226"/>
      <c r="W11" s="226"/>
      <c r="X11" s="226"/>
      <c r="Y11" s="227" t="s">
        <v>87</v>
      </c>
    </row>
    <row r="12" spans="1:33" ht="28.2">
      <c r="A12" s="401"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topLeftCell="B1" zoomScale="85" zoomScaleNormal="85" workbookViewId="0">
      <selection activeCell="N15" sqref="N15"/>
    </sheetView>
  </sheetViews>
  <sheetFormatPr defaultColWidth="8.83984375" defaultRowHeight="14.4"/>
  <cols>
    <col min="1" max="1" width="50.15625" customWidth="1"/>
    <col min="2" max="2" width="10.41796875" customWidth="1"/>
    <col min="3" max="3" width="8" bestFit="1" customWidth="1"/>
    <col min="4" max="4" width="10.41796875" customWidth="1"/>
    <col min="5" max="6" width="11.83984375" customWidth="1"/>
    <col min="7" max="7" width="9.41796875" bestFit="1" customWidth="1"/>
    <col min="8" max="15" width="9" bestFit="1" customWidth="1"/>
    <col min="16" max="16" width="11.68359375" customWidth="1"/>
    <col min="17" max="23" width="13.1562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49"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639"/>
      <c r="H4" s="639"/>
      <c r="I4" s="639"/>
      <c r="J4" s="639"/>
      <c r="K4" s="639"/>
      <c r="L4" s="639"/>
      <c r="M4" s="639"/>
      <c r="N4" s="639"/>
      <c r="O4" s="639"/>
      <c r="P4" s="639"/>
      <c r="Q4" s="639"/>
      <c r="R4" s="639"/>
      <c r="S4" s="639"/>
      <c r="T4" s="639"/>
      <c r="U4" s="639"/>
      <c r="V4" s="639"/>
      <c r="W4" s="639"/>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67" t="s">
        <v>94</v>
      </c>
      <c r="B7" s="667"/>
      <c r="C7" s="667"/>
      <c r="D7" s="667"/>
      <c r="E7" s="667"/>
      <c r="F7" s="667"/>
      <c r="G7" s="667"/>
      <c r="H7" s="667"/>
      <c r="I7" s="667"/>
      <c r="J7" s="667"/>
      <c r="K7" s="667"/>
      <c r="L7" s="667"/>
      <c r="M7" s="667"/>
      <c r="N7" s="667"/>
      <c r="O7" s="667"/>
      <c r="V7" s="31"/>
    </row>
    <row r="8" spans="1:23" ht="14.85" customHeight="1">
      <c r="W8" s="666"/>
    </row>
    <row r="9" spans="1:23">
      <c r="W9" s="666"/>
    </row>
    <row r="10" spans="1:23">
      <c r="W10" s="666"/>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11" sqref="A11"/>
    </sheetView>
  </sheetViews>
  <sheetFormatPr defaultColWidth="8.83984375" defaultRowHeight="14.4"/>
  <cols>
    <col min="1" max="1" width="80" customWidth="1"/>
    <col min="2" max="2" width="14" customWidth="1"/>
    <col min="3" max="3" width="9" bestFit="1" customWidth="1"/>
    <col min="4" max="17" width="11.41796875" bestFit="1" customWidth="1"/>
    <col min="18" max="18" width="15.41796875" customWidth="1"/>
    <col min="19" max="19" width="13.41796875" customWidth="1"/>
    <col min="20" max="20" width="11.41796875" bestFit="1" customWidth="1"/>
    <col min="21" max="21" width="12.41796875" bestFit="1" customWidth="1"/>
    <col min="22" max="22" width="16" customWidth="1"/>
    <col min="23" max="23" width="12.41796875" bestFit="1" customWidth="1"/>
    <col min="24" max="24" width="16.41796875" customWidth="1"/>
    <col min="25" max="31" width="13.83984375" bestFit="1" customWidth="1"/>
  </cols>
  <sheetData>
    <row r="1" spans="1:24" ht="24.6" customHeight="1">
      <c r="A1" s="38"/>
      <c r="B1" s="331">
        <v>1999</v>
      </c>
      <c r="C1" s="330">
        <v>2000</v>
      </c>
      <c r="D1" s="330">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 customHeight="1">
      <c r="A6" s="672" t="s">
        <v>99</v>
      </c>
      <c r="B6" s="672"/>
      <c r="C6" s="672"/>
      <c r="D6" s="672"/>
      <c r="E6" s="672"/>
      <c r="F6" s="672"/>
      <c r="G6" s="672"/>
      <c r="H6" s="672"/>
      <c r="I6" s="672"/>
      <c r="J6" s="38"/>
      <c r="K6" s="38"/>
      <c r="L6" s="38"/>
      <c r="X6" s="498" t="s">
        <v>100</v>
      </c>
    </row>
    <row r="7" spans="1:24" ht="59.85" customHeight="1">
      <c r="A7" s="204" t="s">
        <v>101</v>
      </c>
      <c r="B7" s="202"/>
      <c r="C7" s="203">
        <v>2002</v>
      </c>
      <c r="D7" s="205">
        <v>2003</v>
      </c>
      <c r="E7" s="642"/>
      <c r="F7" s="642"/>
      <c r="G7" s="642"/>
      <c r="H7" s="642"/>
      <c r="I7" s="642"/>
      <c r="J7" s="38"/>
      <c r="K7" s="38"/>
      <c r="L7" s="38"/>
      <c r="X7" s="498"/>
    </row>
    <row r="8" spans="1:24">
      <c r="A8" s="671" t="s">
        <v>102</v>
      </c>
      <c r="B8" s="669"/>
      <c r="C8" s="64">
        <v>0</v>
      </c>
      <c r="D8" s="71">
        <v>1986</v>
      </c>
      <c r="E8" s="642"/>
      <c r="F8" s="642"/>
      <c r="G8" s="642"/>
      <c r="H8" s="642"/>
      <c r="I8" s="642"/>
      <c r="J8" s="38"/>
      <c r="K8" s="38"/>
      <c r="L8" s="38"/>
    </row>
    <row r="9" spans="1:24">
      <c r="A9" s="69" t="s">
        <v>103</v>
      </c>
      <c r="B9" s="67"/>
      <c r="C9" s="64"/>
      <c r="D9" s="71">
        <f>D8</f>
        <v>1986</v>
      </c>
      <c r="E9" s="210"/>
      <c r="F9" s="642"/>
      <c r="G9" s="642"/>
      <c r="H9" s="642"/>
      <c r="I9" s="642"/>
      <c r="J9" s="38"/>
      <c r="K9" s="38"/>
      <c r="L9" s="38"/>
    </row>
    <row r="11" spans="1:24" ht="14.85" customHeight="1">
      <c r="A11" s="211" t="s">
        <v>104</v>
      </c>
      <c r="B11" s="202"/>
      <c r="C11" s="184">
        <v>2002</v>
      </c>
      <c r="D11" s="184">
        <v>2003</v>
      </c>
      <c r="E11" s="184">
        <v>2004</v>
      </c>
      <c r="F11" s="184">
        <v>2005</v>
      </c>
      <c r="G11" s="184">
        <v>2006</v>
      </c>
    </row>
    <row r="12" spans="1:24">
      <c r="A12" s="671" t="s">
        <v>102</v>
      </c>
      <c r="B12" s="669"/>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68" t="s">
        <v>102</v>
      </c>
      <c r="B16" s="669"/>
      <c r="C16" s="64"/>
      <c r="D16" s="64"/>
      <c r="E16" s="64"/>
      <c r="F16" s="64"/>
      <c r="G16" s="64">
        <v>8818</v>
      </c>
      <c r="H16" s="64"/>
      <c r="I16" s="64">
        <v>13095</v>
      </c>
    </row>
    <row r="17" spans="1:23">
      <c r="A17" s="668" t="s">
        <v>106</v>
      </c>
      <c r="B17" s="669"/>
      <c r="C17" s="65"/>
      <c r="D17" s="65"/>
      <c r="E17" s="65"/>
      <c r="F17" s="65"/>
      <c r="G17" s="65"/>
      <c r="H17" s="65"/>
      <c r="I17" s="65">
        <v>2567</v>
      </c>
    </row>
    <row r="18" spans="1:23">
      <c r="A18" s="668" t="s">
        <v>107</v>
      </c>
      <c r="B18" s="669"/>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68" t="s">
        <v>102</v>
      </c>
      <c r="B22" s="669"/>
      <c r="C22" s="64">
        <v>0</v>
      </c>
      <c r="D22" s="64">
        <v>0</v>
      </c>
      <c r="E22" s="64">
        <v>3293</v>
      </c>
      <c r="F22" s="64">
        <v>5549</v>
      </c>
      <c r="G22" s="64">
        <v>8068</v>
      </c>
      <c r="H22" s="64">
        <v>8639</v>
      </c>
      <c r="I22" s="64">
        <v>11140</v>
      </c>
      <c r="J22" s="64">
        <v>12349</v>
      </c>
      <c r="K22" s="64">
        <v>13665</v>
      </c>
      <c r="L22" s="71">
        <v>15007</v>
      </c>
    </row>
    <row r="23" spans="1:23">
      <c r="A23" s="668" t="s">
        <v>106</v>
      </c>
      <c r="B23" s="669"/>
      <c r="C23" s="65">
        <v>0</v>
      </c>
      <c r="D23" s="65">
        <v>0</v>
      </c>
      <c r="E23" s="65">
        <v>0</v>
      </c>
      <c r="F23" s="65">
        <v>0</v>
      </c>
      <c r="G23" s="65">
        <v>0</v>
      </c>
      <c r="H23" s="65">
        <v>2132</v>
      </c>
      <c r="I23" s="65">
        <v>2756</v>
      </c>
      <c r="J23" s="65">
        <v>3678</v>
      </c>
      <c r="K23" s="65">
        <v>4597</v>
      </c>
      <c r="L23" s="67">
        <v>5403</v>
      </c>
    </row>
    <row r="24" spans="1:23" ht="33.75" customHeight="1">
      <c r="A24" s="668" t="s">
        <v>107</v>
      </c>
      <c r="B24" s="669"/>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68" t="s">
        <v>102</v>
      </c>
      <c r="B28" s="669"/>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8" t="s">
        <v>106</v>
      </c>
      <c r="B29" s="669"/>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70" t="s">
        <v>102</v>
      </c>
      <c r="B33" s="670"/>
      <c r="C33" s="28"/>
      <c r="D33" s="28"/>
      <c r="E33" s="28"/>
      <c r="F33" s="28"/>
      <c r="G33" s="28"/>
      <c r="H33" s="28"/>
      <c r="I33" s="28"/>
      <c r="J33" s="28"/>
      <c r="K33" s="28"/>
      <c r="L33" s="28"/>
      <c r="M33" s="28"/>
      <c r="N33" s="28">
        <v>16777</v>
      </c>
      <c r="P33" s="22"/>
      <c r="W33" s="31"/>
    </row>
    <row r="34" spans="1:23">
      <c r="A34" s="670" t="s">
        <v>106</v>
      </c>
      <c r="B34" s="670"/>
      <c r="C34" s="28"/>
      <c r="D34" s="28"/>
      <c r="E34" s="28"/>
      <c r="F34" s="28"/>
      <c r="G34" s="28"/>
      <c r="H34" s="28"/>
      <c r="I34" s="28"/>
      <c r="J34" s="28"/>
      <c r="K34" s="28"/>
      <c r="L34" s="28"/>
      <c r="M34" s="28"/>
      <c r="N34" s="28">
        <v>6852</v>
      </c>
      <c r="P34" s="22"/>
    </row>
    <row r="35" spans="1:23" ht="34.5" customHeight="1">
      <c r="A35" s="670" t="s">
        <v>107</v>
      </c>
      <c r="B35" s="670"/>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70" t="s">
        <v>102</v>
      </c>
      <c r="B39" s="670"/>
      <c r="C39" s="28"/>
      <c r="D39" s="28"/>
      <c r="E39" s="28"/>
      <c r="F39" s="28"/>
      <c r="G39" s="28"/>
      <c r="H39" s="28"/>
      <c r="I39" s="28"/>
      <c r="J39" s="28"/>
      <c r="K39" s="28"/>
      <c r="L39" s="28"/>
      <c r="M39" s="28"/>
      <c r="N39" s="29"/>
      <c r="O39" s="28">
        <v>17759</v>
      </c>
      <c r="P39" s="55">
        <f>O39/O42</f>
        <v>0.68999145232729819</v>
      </c>
      <c r="W39" s="31"/>
    </row>
    <row r="40" spans="1:23">
      <c r="A40" s="670" t="s">
        <v>106</v>
      </c>
      <c r="B40" s="670"/>
      <c r="C40" s="28"/>
      <c r="D40" s="28"/>
      <c r="E40" s="28"/>
      <c r="F40" s="28"/>
      <c r="G40" s="28"/>
      <c r="H40" s="28"/>
      <c r="I40" s="28"/>
      <c r="J40" s="28"/>
      <c r="K40" s="28"/>
      <c r="L40" s="28"/>
      <c r="M40" s="28"/>
      <c r="N40" s="29"/>
      <c r="O40" s="28">
        <v>7979</v>
      </c>
      <c r="P40" s="32">
        <f>O40/O42</f>
        <v>0.31000854767270186</v>
      </c>
    </row>
    <row r="41" spans="1:23" ht="43.5" customHeight="1">
      <c r="A41" s="670" t="s">
        <v>107</v>
      </c>
      <c r="B41" s="670"/>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70" t="s">
        <v>102</v>
      </c>
      <c r="B45" s="670"/>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70" t="s">
        <v>106</v>
      </c>
      <c r="B46" s="670"/>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70" t="s">
        <v>107</v>
      </c>
      <c r="B47" s="670"/>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8"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641"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641"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641"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641"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641" t="s">
        <v>106</v>
      </c>
      <c r="B58" s="28"/>
      <c r="C58" s="28"/>
      <c r="D58" s="28"/>
      <c r="E58" s="28"/>
      <c r="F58" s="28"/>
      <c r="G58" s="28"/>
      <c r="H58" s="28"/>
      <c r="I58" s="28"/>
      <c r="J58" s="28"/>
      <c r="K58" s="28"/>
      <c r="L58" s="28"/>
      <c r="M58" s="28"/>
      <c r="N58" s="28"/>
      <c r="O58" s="28"/>
      <c r="P58" s="34"/>
      <c r="Q58" s="28"/>
      <c r="R58" s="28"/>
      <c r="S58" s="35">
        <v>11000</v>
      </c>
      <c r="T58" s="35">
        <v>12000</v>
      </c>
    </row>
    <row r="59" spans="1:23">
      <c r="A59" s="641"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641"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641"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641"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8"/>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46:B46"/>
    <mergeCell ref="A47:B47"/>
    <mergeCell ref="A33:B33"/>
    <mergeCell ref="A34:B34"/>
    <mergeCell ref="A35:B35"/>
    <mergeCell ref="A39:B39"/>
    <mergeCell ref="A40:B40"/>
    <mergeCell ref="A6:I6"/>
    <mergeCell ref="A22:B22"/>
    <mergeCell ref="A23:B23"/>
    <mergeCell ref="A24:B24"/>
    <mergeCell ref="A28:B28"/>
    <mergeCell ref="A29:B29"/>
    <mergeCell ref="A41:B41"/>
    <mergeCell ref="A45:B45"/>
    <mergeCell ref="A8:B8"/>
    <mergeCell ref="A16:B16"/>
    <mergeCell ref="A17:B17"/>
    <mergeCell ref="A18:B18"/>
    <mergeCell ref="A12:B12"/>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85" zoomScaleNormal="85" workbookViewId="0">
      <selection activeCell="W3" sqref="W3"/>
    </sheetView>
  </sheetViews>
  <sheetFormatPr defaultColWidth="8.83984375" defaultRowHeight="14.4"/>
  <cols>
    <col min="1" max="1" width="31" customWidth="1"/>
    <col min="2" max="4" width="17.83984375" customWidth="1"/>
    <col min="5" max="5" width="14" customWidth="1"/>
    <col min="6" max="7" width="11.83984375" customWidth="1"/>
    <col min="12" max="12" width="11.68359375" customWidth="1"/>
    <col min="13" max="13" width="10.41796875" customWidth="1"/>
    <col min="25" max="25" width="16.83984375" customWidth="1"/>
  </cols>
  <sheetData>
    <row r="1" spans="1:28" ht="43.35" customHeight="1">
      <c r="A1" s="673" t="s">
        <v>131</v>
      </c>
      <c r="B1" s="673"/>
      <c r="C1" s="673"/>
      <c r="D1" s="673"/>
      <c r="E1" s="673"/>
      <c r="F1" s="673"/>
      <c r="G1" s="673"/>
      <c r="H1" s="673"/>
      <c r="I1" s="30"/>
      <c r="J1" s="30"/>
      <c r="K1" s="30"/>
      <c r="L1" s="30"/>
      <c r="M1" s="30"/>
      <c r="N1" s="30"/>
      <c r="O1" s="30"/>
      <c r="P1" s="30"/>
      <c r="Q1" s="30"/>
      <c r="R1" s="30"/>
      <c r="S1" s="30"/>
      <c r="T1" s="30" t="s">
        <v>132</v>
      </c>
      <c r="U1" s="30"/>
      <c r="V1" s="30"/>
      <c r="W1" s="30"/>
      <c r="X1" s="30"/>
    </row>
    <row r="2" spans="1:28" ht="15.6">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W2" s="63">
        <v>2020</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636">
        <v>306440</v>
      </c>
      <c r="O3" s="20">
        <v>311718</v>
      </c>
      <c r="P3" s="20">
        <v>330308</v>
      </c>
      <c r="Q3" s="20">
        <v>343576</v>
      </c>
      <c r="R3" s="20">
        <v>356843</v>
      </c>
      <c r="S3" s="20">
        <v>345443</v>
      </c>
      <c r="T3" s="20">
        <v>382867</v>
      </c>
      <c r="U3" s="199">
        <f>(T3+V3)/2</f>
        <v>395708.5</v>
      </c>
      <c r="V3" s="20">
        <v>408550</v>
      </c>
      <c r="W3" s="20">
        <v>311531</v>
      </c>
      <c r="X3" s="30"/>
      <c r="Y3" s="30"/>
      <c r="Z3" s="30"/>
      <c r="AA3" s="30"/>
      <c r="AB3" s="30"/>
    </row>
    <row r="4" spans="1:28" s="49" customFormat="1" ht="57.9">
      <c r="A4" s="145"/>
      <c r="B4" s="145" t="s">
        <v>134</v>
      </c>
      <c r="C4" s="145"/>
      <c r="D4" s="145" t="s">
        <v>135</v>
      </c>
      <c r="E4" s="145"/>
      <c r="F4" s="145"/>
      <c r="G4" s="145"/>
      <c r="H4" s="145"/>
      <c r="I4" s="145"/>
      <c r="L4" s="327" t="s">
        <v>136</v>
      </c>
      <c r="M4" s="635"/>
      <c r="N4" s="635"/>
      <c r="O4" s="145"/>
      <c r="P4" s="145"/>
      <c r="Q4" s="145"/>
      <c r="R4" s="145"/>
      <c r="S4" s="328" t="s">
        <v>137</v>
      </c>
      <c r="T4" s="329"/>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72">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W2" sqref="W2"/>
    </sheetView>
  </sheetViews>
  <sheetFormatPr defaultColWidth="8.41796875" defaultRowHeight="14.4"/>
  <cols>
    <col min="1" max="1" width="25.41796875" customWidth="1"/>
    <col min="2" max="2" width="11.68359375" customWidth="1"/>
    <col min="3" max="3" width="18" customWidth="1"/>
    <col min="4" max="4" width="14.83984375" bestFit="1" customWidth="1"/>
    <col min="5" max="5" width="19.578125" customWidth="1"/>
    <col min="6" max="12" width="5.26171875" bestFit="1" customWidth="1"/>
    <col min="13" max="13" width="5.41796875" bestFit="1" customWidth="1"/>
    <col min="14" max="17" width="7" bestFit="1" customWidth="1"/>
    <col min="18" max="23" width="8.1562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15.6">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74" t="s">
        <v>163</v>
      </c>
      <c r="B4" s="674"/>
      <c r="C4" s="674"/>
      <c r="D4" s="674"/>
      <c r="E4" s="674"/>
      <c r="F4" s="674"/>
      <c r="G4" s="674"/>
      <c r="H4" s="674"/>
    </row>
    <row r="5" spans="1:23">
      <c r="A5" s="675"/>
      <c r="B5" s="675"/>
      <c r="C5" s="642"/>
      <c r="E5" s="49"/>
      <c r="F5" s="23"/>
    </row>
    <row r="6" spans="1:23" ht="50.85" customHeight="1">
      <c r="A6" s="516" t="s">
        <v>164</v>
      </c>
      <c r="B6" s="517" t="s">
        <v>165</v>
      </c>
      <c r="C6" s="517" t="s">
        <v>166</v>
      </c>
      <c r="D6" s="517" t="s">
        <v>167</v>
      </c>
      <c r="E6" s="518" t="s">
        <v>168</v>
      </c>
      <c r="K6" s="174"/>
    </row>
    <row r="7" spans="1:23">
      <c r="A7" s="519">
        <v>2002</v>
      </c>
      <c r="B7" s="520">
        <v>0</v>
      </c>
      <c r="C7" s="520"/>
      <c r="D7" s="520">
        <v>0</v>
      </c>
      <c r="E7" s="520">
        <f>0</f>
        <v>0</v>
      </c>
      <c r="K7" s="175"/>
    </row>
    <row r="8" spans="1:23">
      <c r="A8" s="521">
        <v>2003</v>
      </c>
      <c r="B8" s="522">
        <v>0</v>
      </c>
      <c r="C8" s="522"/>
      <c r="D8" s="522">
        <v>0</v>
      </c>
      <c r="E8" s="522">
        <f>0</f>
        <v>0</v>
      </c>
      <c r="K8" s="176"/>
    </row>
    <row r="9" spans="1:23">
      <c r="A9" s="519">
        <v>2004</v>
      </c>
      <c r="B9" s="520">
        <v>0</v>
      </c>
      <c r="C9" s="520"/>
      <c r="D9" s="520">
        <v>0</v>
      </c>
      <c r="E9" s="520">
        <f>0</f>
        <v>0</v>
      </c>
      <c r="K9" s="175"/>
    </row>
    <row r="10" spans="1:23">
      <c r="A10" s="521">
        <v>2005</v>
      </c>
      <c r="B10" s="522">
        <v>0</v>
      </c>
      <c r="C10" s="522"/>
      <c r="D10" s="522">
        <v>0</v>
      </c>
      <c r="E10" s="522">
        <f>0</f>
        <v>0</v>
      </c>
      <c r="K10" s="176"/>
    </row>
    <row r="11" spans="1:23">
      <c r="A11" s="519">
        <v>2006</v>
      </c>
      <c r="B11" s="520">
        <v>4081</v>
      </c>
      <c r="C11" s="520"/>
      <c r="D11" s="520">
        <v>0</v>
      </c>
      <c r="E11" s="520">
        <f>0</f>
        <v>0</v>
      </c>
      <c r="K11" s="175"/>
    </row>
    <row r="12" spans="1:23">
      <c r="A12" s="521">
        <v>2007</v>
      </c>
      <c r="B12" s="522">
        <v>23767</v>
      </c>
      <c r="C12" s="522"/>
      <c r="D12" s="522">
        <v>0</v>
      </c>
      <c r="E12" s="522">
        <f>0</f>
        <v>0</v>
      </c>
      <c r="K12" s="176"/>
    </row>
    <row r="13" spans="1:23">
      <c r="A13" s="519">
        <v>2008</v>
      </c>
      <c r="B13" s="520">
        <v>23555</v>
      </c>
      <c r="C13" s="520"/>
      <c r="D13" s="520">
        <v>0</v>
      </c>
      <c r="E13" s="520">
        <f>0</f>
        <v>0</v>
      </c>
      <c r="K13" s="175"/>
    </row>
    <row r="14" spans="1:23">
      <c r="A14" s="521">
        <v>2009</v>
      </c>
      <c r="B14" s="522">
        <v>24029</v>
      </c>
      <c r="C14" s="522"/>
      <c r="D14" s="522">
        <v>0</v>
      </c>
      <c r="E14" s="522">
        <v>0</v>
      </c>
      <c r="K14" s="176"/>
    </row>
    <row r="15" spans="1:23">
      <c r="A15" s="519">
        <v>2010</v>
      </c>
      <c r="B15" s="520">
        <v>30740</v>
      </c>
      <c r="C15" s="520">
        <f>AVERAGE(B12:B15)</f>
        <v>25522.75</v>
      </c>
      <c r="D15" s="520">
        <f t="shared" ref="D15:D25" si="2">B15-$C$15</f>
        <v>5217.25</v>
      </c>
      <c r="E15" s="520">
        <f t="shared" ref="E15:E25" si="3">D15/12</f>
        <v>434.77083333333331</v>
      </c>
      <c r="K15" s="175"/>
    </row>
    <row r="16" spans="1:23">
      <c r="A16" s="521">
        <v>2011</v>
      </c>
      <c r="B16" s="523">
        <v>44045</v>
      </c>
      <c r="C16" s="523"/>
      <c r="D16" s="523">
        <f t="shared" si="2"/>
        <v>18522.25</v>
      </c>
      <c r="E16" s="523">
        <f t="shared" si="3"/>
        <v>1543.5208333333333</v>
      </c>
      <c r="K16" s="177"/>
    </row>
    <row r="17" spans="1:23">
      <c r="A17" s="519">
        <v>2012</v>
      </c>
      <c r="B17" s="520">
        <v>61406</v>
      </c>
      <c r="C17" s="520"/>
      <c r="D17" s="520">
        <f t="shared" si="2"/>
        <v>35883.25</v>
      </c>
      <c r="E17" s="520">
        <f t="shared" si="3"/>
        <v>2990.2708333333335</v>
      </c>
      <c r="K17" s="175"/>
    </row>
    <row r="18" spans="1:23">
      <c r="A18" s="521">
        <v>2013</v>
      </c>
      <c r="B18" s="523">
        <v>81991</v>
      </c>
      <c r="C18" s="523"/>
      <c r="D18" s="523">
        <f t="shared" si="2"/>
        <v>56468.25</v>
      </c>
      <c r="E18" s="523">
        <f t="shared" si="3"/>
        <v>4705.6875</v>
      </c>
      <c r="K18" s="177"/>
    </row>
    <row r="19" spans="1:23">
      <c r="A19" s="519">
        <v>2014</v>
      </c>
      <c r="B19" s="520">
        <v>105746</v>
      </c>
      <c r="C19" s="520"/>
      <c r="D19" s="520">
        <f t="shared" si="2"/>
        <v>80223.25</v>
      </c>
      <c r="E19" s="520">
        <f t="shared" si="3"/>
        <v>6685.270833333333</v>
      </c>
      <c r="K19" s="175"/>
    </row>
    <row r="20" spans="1:23">
      <c r="A20" s="521">
        <v>2015</v>
      </c>
      <c r="B20" s="523">
        <v>155716</v>
      </c>
      <c r="C20" s="523"/>
      <c r="D20" s="523">
        <f t="shared" si="2"/>
        <v>130193.25</v>
      </c>
      <c r="E20" s="523">
        <f t="shared" si="3"/>
        <v>10849.4375</v>
      </c>
      <c r="K20" s="177"/>
    </row>
    <row r="21" spans="1:23">
      <c r="A21" s="519">
        <v>2016</v>
      </c>
      <c r="B21" s="520">
        <v>259872</v>
      </c>
      <c r="C21" s="520"/>
      <c r="D21" s="520">
        <f t="shared" si="2"/>
        <v>234349.25</v>
      </c>
      <c r="E21" s="520">
        <f t="shared" si="3"/>
        <v>19529.104166666668</v>
      </c>
      <c r="K21" s="175"/>
    </row>
    <row r="22" spans="1:23">
      <c r="A22" s="521">
        <v>2017</v>
      </c>
      <c r="B22" s="523">
        <v>349002</v>
      </c>
      <c r="C22" s="523"/>
      <c r="D22" s="523">
        <f t="shared" si="2"/>
        <v>323479.25</v>
      </c>
      <c r="E22" s="523">
        <f t="shared" si="3"/>
        <v>26956.604166666668</v>
      </c>
      <c r="K22" s="177"/>
    </row>
    <row r="23" spans="1:23">
      <c r="A23" s="519">
        <v>2018</v>
      </c>
      <c r="B23" s="520">
        <v>393282</v>
      </c>
      <c r="C23" s="520"/>
      <c r="D23" s="520">
        <f t="shared" si="2"/>
        <v>367759.25</v>
      </c>
      <c r="E23" s="520">
        <f t="shared" si="3"/>
        <v>30646.604166666668</v>
      </c>
      <c r="K23" s="175"/>
    </row>
    <row r="24" spans="1:23">
      <c r="A24" s="521">
        <v>2019</v>
      </c>
      <c r="B24" s="523">
        <v>412249</v>
      </c>
      <c r="C24" s="523"/>
      <c r="D24" s="523">
        <f t="shared" si="2"/>
        <v>386726.25</v>
      </c>
      <c r="E24" s="523">
        <f t="shared" si="3"/>
        <v>32227.1875</v>
      </c>
      <c r="K24" s="177"/>
    </row>
    <row r="25" spans="1:23">
      <c r="A25" s="457">
        <v>2020</v>
      </c>
      <c r="B25" s="520">
        <v>372528</v>
      </c>
      <c r="D25" s="520">
        <f t="shared" si="2"/>
        <v>347005.25</v>
      </c>
      <c r="E25" s="520">
        <f t="shared" si="3"/>
        <v>28917.104166666668</v>
      </c>
    </row>
    <row r="26" spans="1:23">
      <c r="A26" s="1"/>
    </row>
    <row r="28" spans="1:23">
      <c r="A28" s="408"/>
      <c r="B28" s="408" t="s">
        <v>141</v>
      </c>
      <c r="C28" s="408" t="s">
        <v>142</v>
      </c>
      <c r="D28" s="408" t="s">
        <v>143</v>
      </c>
      <c r="E28" s="408" t="s">
        <v>144</v>
      </c>
      <c r="F28" s="408" t="s">
        <v>145</v>
      </c>
      <c r="G28" s="408" t="s">
        <v>146</v>
      </c>
      <c r="H28" s="408" t="s">
        <v>147</v>
      </c>
      <c r="I28" s="408" t="s">
        <v>148</v>
      </c>
      <c r="J28" s="408" t="s">
        <v>149</v>
      </c>
      <c r="K28" s="408" t="s">
        <v>150</v>
      </c>
      <c r="L28" s="408" t="s">
        <v>151</v>
      </c>
      <c r="M28" s="408" t="s">
        <v>152</v>
      </c>
      <c r="N28" s="408" t="s">
        <v>153</v>
      </c>
      <c r="O28" s="408" t="s">
        <v>154</v>
      </c>
      <c r="P28" s="408" t="s">
        <v>155</v>
      </c>
      <c r="Q28" s="408" t="s">
        <v>156</v>
      </c>
      <c r="R28" s="408" t="s">
        <v>157</v>
      </c>
      <c r="S28" s="408" t="s">
        <v>158</v>
      </c>
      <c r="T28" s="408" t="s">
        <v>159</v>
      </c>
      <c r="U28" s="408" t="s">
        <v>160</v>
      </c>
      <c r="V28" s="408" t="s">
        <v>161</v>
      </c>
      <c r="W28" s="1" t="s">
        <v>162</v>
      </c>
    </row>
    <row r="29" spans="1:23" ht="15.6">
      <c r="A29" s="409" t="s">
        <v>24</v>
      </c>
      <c r="B29" s="410">
        <v>0</v>
      </c>
      <c r="C29" s="410">
        <v>0</v>
      </c>
      <c r="D29" s="410">
        <v>0</v>
      </c>
      <c r="E29" s="410">
        <v>0</v>
      </c>
      <c r="F29" s="410">
        <v>0</v>
      </c>
      <c r="G29" s="410">
        <v>0</v>
      </c>
      <c r="H29" s="410">
        <v>0</v>
      </c>
      <c r="I29" s="410">
        <v>0</v>
      </c>
      <c r="J29" s="410">
        <v>0</v>
      </c>
      <c r="K29" s="410">
        <v>0</v>
      </c>
      <c r="L29" s="410">
        <v>0</v>
      </c>
      <c r="M29" s="411">
        <f>$E15</f>
        <v>434.77083333333331</v>
      </c>
      <c r="N29" s="411">
        <f>$E16</f>
        <v>1543.5208333333333</v>
      </c>
      <c r="O29" s="411">
        <f>$E17</f>
        <v>2990.2708333333335</v>
      </c>
      <c r="P29" s="411">
        <f>$E18</f>
        <v>4705.6875</v>
      </c>
      <c r="Q29" s="411">
        <f>$E19</f>
        <v>6685.270833333333</v>
      </c>
      <c r="R29" s="411">
        <f>$E20</f>
        <v>10849.4375</v>
      </c>
      <c r="S29" s="411">
        <f>$E21</f>
        <v>19529.104166666668</v>
      </c>
      <c r="T29" s="411">
        <f>$E22</f>
        <v>26956.604166666668</v>
      </c>
      <c r="U29" s="411">
        <f>$E23</f>
        <v>30646.604166666668</v>
      </c>
      <c r="V29" s="412">
        <f>$E24</f>
        <v>32227.1875</v>
      </c>
      <c r="W29" s="412">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76" t="s">
        <v>173</v>
      </c>
      <c r="B38" s="676"/>
      <c r="C38" s="676"/>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55" zoomScaleNormal="55" workbookViewId="0">
      <selection activeCell="N6" sqref="N6"/>
    </sheetView>
  </sheetViews>
  <sheetFormatPr defaultColWidth="8.83984375" defaultRowHeight="14.4"/>
  <cols>
    <col min="1" max="1" width="26.41796875" style="39" customWidth="1"/>
    <col min="2" max="3" width="17.26171875" style="39" customWidth="1"/>
    <col min="4" max="4" width="25.68359375" style="39" customWidth="1"/>
    <col min="5" max="8" width="17.26171875" style="39" customWidth="1"/>
    <col min="9" max="16" width="17.26171875" customWidth="1"/>
    <col min="17" max="32" width="17.26171875" style="39" customWidth="1"/>
    <col min="33" max="34" width="6.68359375" style="39" bestFit="1" customWidth="1"/>
    <col min="35" max="37" width="7.68359375" style="39" bestFit="1" customWidth="1"/>
    <col min="38" max="38" width="8.41796875" style="39" bestFit="1" customWidth="1"/>
    <col min="39" max="39" width="7.68359375" style="39" bestFit="1" customWidth="1"/>
    <col min="40" max="41" width="8.83984375" style="39" bestFit="1" customWidth="1"/>
    <col min="42" max="42" width="13.41796875" style="39" customWidth="1"/>
    <col min="43" max="53" width="10.83984375" style="39" bestFit="1" customWidth="1"/>
    <col min="54" max="16384" width="8.83984375" style="39"/>
  </cols>
  <sheetData>
    <row r="1" spans="1:56" ht="14.85" customHeight="1">
      <c r="A1" s="679" t="s">
        <v>174</v>
      </c>
      <c r="B1" s="680"/>
      <c r="C1" s="680"/>
      <c r="D1" s="680"/>
      <c r="E1" s="680"/>
      <c r="F1" s="680"/>
      <c r="G1" s="680"/>
      <c r="H1" s="680"/>
      <c r="I1" s="680"/>
      <c r="J1" s="680"/>
      <c r="K1" s="680"/>
      <c r="L1" s="680"/>
      <c r="M1" s="680"/>
      <c r="N1" s="680"/>
      <c r="O1" s="680"/>
      <c r="P1" s="680"/>
      <c r="Q1" s="680"/>
      <c r="R1" s="680"/>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9"/>
      <c r="B2" s="680"/>
      <c r="C2" s="680"/>
      <c r="D2" s="680"/>
      <c r="E2" s="680"/>
      <c r="F2" s="680"/>
      <c r="G2" s="680"/>
      <c r="H2" s="680"/>
      <c r="I2" s="680"/>
      <c r="J2" s="680"/>
      <c r="K2" s="680"/>
      <c r="L2" s="680"/>
      <c r="M2" s="680"/>
      <c r="N2" s="680"/>
      <c r="O2" s="680"/>
      <c r="P2" s="680"/>
      <c r="Q2" s="680"/>
      <c r="R2" s="680"/>
      <c r="T2" s="84" t="s">
        <v>175</v>
      </c>
      <c r="U2" s="159">
        <f>R7</f>
        <v>1103.5</v>
      </c>
      <c r="V2" s="159">
        <f>R8</f>
        <v>3310.5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1"/>
      <c r="AR2" s="281"/>
      <c r="AS2" s="281"/>
      <c r="AT2" s="281"/>
      <c r="AU2" s="281"/>
      <c r="AV2" s="281"/>
      <c r="AW2" s="281"/>
      <c r="AX2" s="281"/>
      <c r="AY2" s="281"/>
      <c r="AZ2" s="281"/>
      <c r="BA2" s="281"/>
    </row>
    <row r="3" spans="1:56" ht="40.35" customHeight="1">
      <c r="A3" s="679"/>
      <c r="B3" s="680"/>
      <c r="C3" s="680"/>
      <c r="D3" s="680"/>
      <c r="E3" s="680"/>
      <c r="F3" s="680"/>
      <c r="G3" s="680"/>
      <c r="H3" s="680"/>
      <c r="I3" s="680"/>
      <c r="J3" s="680"/>
      <c r="K3" s="680"/>
      <c r="L3" s="680"/>
      <c r="M3" s="680"/>
      <c r="N3" s="680"/>
      <c r="O3" s="680"/>
      <c r="P3" s="680"/>
      <c r="Q3" s="680"/>
      <c r="R3" s="680"/>
      <c r="X3" s="218"/>
      <c r="Y3" s="222"/>
      <c r="Z3" s="221"/>
      <c r="AA3" s="222"/>
      <c r="AB3" s="222"/>
      <c r="AC3" s="222"/>
      <c r="AD3" s="222"/>
      <c r="AE3" s="222"/>
      <c r="AF3" s="222"/>
      <c r="AG3" s="222"/>
      <c r="AH3" s="218"/>
      <c r="AI3" s="222"/>
      <c r="AJ3" s="222"/>
      <c r="AK3" s="222"/>
      <c r="AL3" s="218"/>
      <c r="AM3" s="222"/>
      <c r="AN3" s="222"/>
      <c r="AO3" s="222"/>
    </row>
    <row r="4" spans="1:56" ht="45.6" customHeight="1" thickBot="1">
      <c r="A4" s="679"/>
      <c r="B4" s="681"/>
      <c r="C4" s="681"/>
      <c r="D4" s="681"/>
      <c r="E4" s="681"/>
      <c r="F4" s="681"/>
      <c r="G4" s="681"/>
      <c r="H4" s="681"/>
      <c r="I4" s="681"/>
      <c r="J4" s="681"/>
      <c r="K4" s="681"/>
      <c r="L4" s="681"/>
      <c r="M4" s="681"/>
      <c r="N4" s="681"/>
      <c r="O4" s="681"/>
      <c r="P4" s="681"/>
      <c r="Q4" s="681"/>
      <c r="R4" s="681"/>
      <c r="X4" s="218"/>
      <c r="Y4" s="198"/>
      <c r="Z4" s="198"/>
      <c r="AA4" s="198"/>
      <c r="AB4" s="198"/>
      <c r="AC4" s="198"/>
      <c r="AD4" s="198"/>
      <c r="AE4" s="198"/>
      <c r="AF4" s="197"/>
      <c r="AG4" s="198"/>
      <c r="AH4" s="198"/>
      <c r="AI4" s="198"/>
      <c r="AJ4" s="197"/>
      <c r="AK4" s="198"/>
      <c r="AL4" s="198"/>
      <c r="AM4" s="198"/>
      <c r="AN4" s="198"/>
      <c r="AO4" s="198"/>
      <c r="AP4" s="197"/>
    </row>
    <row r="5" spans="1:56">
      <c r="A5" s="97"/>
      <c r="B5" s="682" t="s">
        <v>176</v>
      </c>
      <c r="C5" s="682"/>
      <c r="D5" s="682"/>
      <c r="E5" s="682"/>
      <c r="F5" s="682"/>
      <c r="G5" s="682"/>
      <c r="H5" s="682"/>
      <c r="I5" s="683" t="s">
        <v>177</v>
      </c>
      <c r="J5" s="683"/>
      <c r="K5" s="683"/>
      <c r="L5" s="683"/>
      <c r="M5" s="683" t="s">
        <v>178</v>
      </c>
      <c r="N5" s="683"/>
      <c r="O5" s="683"/>
      <c r="P5" s="683"/>
      <c r="Q5" s="643" t="s">
        <v>179</v>
      </c>
      <c r="R5" s="594" t="s">
        <v>180</v>
      </c>
      <c r="X5" s="219"/>
      <c r="Y5" s="1"/>
      <c r="Z5" s="1"/>
      <c r="AA5" s="1"/>
      <c r="AB5" s="1"/>
      <c r="AC5" s="1"/>
      <c r="AD5" s="1"/>
      <c r="AE5" s="1"/>
      <c r="AF5" s="1"/>
      <c r="AG5" s="1"/>
      <c r="AH5" s="1"/>
      <c r="AI5" s="1"/>
      <c r="AJ5" s="1"/>
      <c r="AK5" s="1"/>
      <c r="AL5" s="1"/>
      <c r="AM5" s="1"/>
      <c r="AN5" s="1"/>
    </row>
    <row r="6" spans="1:56" ht="57.6">
      <c r="A6" s="611" t="s">
        <v>181</v>
      </c>
      <c r="B6" s="597" t="s">
        <v>182</v>
      </c>
      <c r="C6" s="597" t="s">
        <v>183</v>
      </c>
      <c r="D6" s="598" t="s">
        <v>72</v>
      </c>
      <c r="E6" s="597" t="s">
        <v>184</v>
      </c>
      <c r="F6" s="597" t="s">
        <v>72</v>
      </c>
      <c r="G6" s="597" t="s">
        <v>185</v>
      </c>
      <c r="H6" s="597" t="s">
        <v>186</v>
      </c>
      <c r="I6" s="599" t="s">
        <v>187</v>
      </c>
      <c r="J6" s="599" t="s">
        <v>188</v>
      </c>
      <c r="K6" s="599" t="s">
        <v>189</v>
      </c>
      <c r="L6" s="599" t="s">
        <v>190</v>
      </c>
      <c r="M6" s="599" t="s">
        <v>187</v>
      </c>
      <c r="N6" s="599" t="s">
        <v>188</v>
      </c>
      <c r="O6" s="599" t="s">
        <v>189</v>
      </c>
      <c r="P6" s="599" t="s">
        <v>190</v>
      </c>
      <c r="Q6" s="599" t="s">
        <v>191</v>
      </c>
      <c r="R6" s="612" t="s">
        <v>175</v>
      </c>
      <c r="S6" s="642"/>
      <c r="T6" s="642"/>
      <c r="U6" s="642"/>
      <c r="V6" s="642"/>
      <c r="W6" s="642"/>
      <c r="X6" s="224"/>
      <c r="Y6" s="642"/>
      <c r="Z6" s="151"/>
      <c r="AA6" s="151"/>
      <c r="AB6" s="151"/>
      <c r="AC6" s="151"/>
      <c r="AD6" s="151"/>
      <c r="AE6" s="151"/>
      <c r="AF6" s="151"/>
      <c r="AG6" s="151"/>
      <c r="AH6" s="151"/>
      <c r="AI6" s="151"/>
      <c r="AJ6" s="151"/>
      <c r="AK6" s="151"/>
      <c r="AL6" s="151"/>
      <c r="AM6" s="151"/>
      <c r="AN6" s="151"/>
      <c r="AO6" s="159"/>
    </row>
    <row r="7" spans="1:56">
      <c r="A7" s="393">
        <v>1999</v>
      </c>
      <c r="B7" s="597"/>
      <c r="C7" s="394">
        <f>C17/E17*E7</f>
        <v>971.5</v>
      </c>
      <c r="D7" s="598"/>
      <c r="E7" s="600">
        <v>1</v>
      </c>
      <c r="F7" s="684" t="s">
        <v>192</v>
      </c>
      <c r="G7" s="601">
        <v>0</v>
      </c>
      <c r="H7" s="602">
        <v>0</v>
      </c>
      <c r="I7" s="590"/>
      <c r="J7" s="590"/>
      <c r="K7" s="590"/>
      <c r="L7" s="590"/>
      <c r="M7" s="590"/>
      <c r="N7" s="590"/>
      <c r="O7" s="590"/>
      <c r="P7" s="590"/>
      <c r="Q7" s="590">
        <f t="shared" ref="Q7:Q8" si="0">(Q8/C8)*C7</f>
        <v>132</v>
      </c>
      <c r="R7" s="395">
        <f t="shared" ref="R7:R9" si="1">SUM(C7,Q7)</f>
        <v>1103.5</v>
      </c>
      <c r="S7" s="642"/>
      <c r="T7" s="642"/>
      <c r="U7" s="642"/>
      <c r="V7" s="642"/>
      <c r="W7" s="642"/>
      <c r="X7" s="224"/>
      <c r="Y7" s="642"/>
      <c r="Z7" s="151"/>
      <c r="AA7" s="151"/>
      <c r="AB7" s="151"/>
      <c r="AC7" s="151"/>
      <c r="AD7" s="151"/>
      <c r="AE7" s="151"/>
      <c r="AF7" s="151"/>
      <c r="AG7" s="151"/>
      <c r="AH7" s="151"/>
      <c r="AI7" s="151"/>
      <c r="AJ7" s="151"/>
      <c r="AK7" s="151"/>
      <c r="AL7" s="151"/>
      <c r="AM7" s="151"/>
      <c r="AN7" s="151"/>
      <c r="AO7" s="159"/>
    </row>
    <row r="8" spans="1:56">
      <c r="A8" s="154">
        <v>2000</v>
      </c>
      <c r="B8" s="155"/>
      <c r="C8" s="394">
        <f>C7*H8</f>
        <v>2914.5</v>
      </c>
      <c r="D8" s="603"/>
      <c r="E8" s="604">
        <v>3</v>
      </c>
      <c r="F8" s="684"/>
      <c r="G8" s="601">
        <f t="shared" ref="G8" si="2">E8-E7</f>
        <v>2</v>
      </c>
      <c r="H8" s="602">
        <f t="shared" ref="H8:H9" si="3">E8/E7</f>
        <v>3</v>
      </c>
      <c r="I8" s="590"/>
      <c r="J8" s="590"/>
      <c r="K8" s="590"/>
      <c r="L8" s="590"/>
      <c r="M8" s="590"/>
      <c r="N8" s="590"/>
      <c r="O8" s="590"/>
      <c r="P8" s="590"/>
      <c r="Q8" s="590">
        <f t="shared" si="0"/>
        <v>396</v>
      </c>
      <c r="R8" s="395">
        <f t="shared" si="1"/>
        <v>3310.5</v>
      </c>
      <c r="X8" s="220"/>
      <c r="Z8" s="152"/>
      <c r="AA8" s="152"/>
      <c r="AB8" s="152"/>
      <c r="AC8" s="152"/>
      <c r="AD8" s="152"/>
      <c r="AE8" s="152"/>
      <c r="AF8" s="152"/>
      <c r="AG8" s="152"/>
      <c r="AH8" s="152"/>
      <c r="AI8" s="152"/>
      <c r="AJ8" s="152"/>
      <c r="AK8" s="152"/>
      <c r="AL8" s="152"/>
      <c r="AM8" s="152"/>
      <c r="AN8" s="152"/>
      <c r="AO8" s="98"/>
    </row>
    <row r="9" spans="1:56">
      <c r="A9" s="154">
        <v>2001</v>
      </c>
      <c r="B9" s="603"/>
      <c r="C9" s="394">
        <f>C8*H9</f>
        <v>3886</v>
      </c>
      <c r="D9" s="603"/>
      <c r="E9" s="605">
        <v>4</v>
      </c>
      <c r="F9" s="684"/>
      <c r="G9" s="601">
        <f t="shared" ref="G9:G22" si="4">E9-E8</f>
        <v>1</v>
      </c>
      <c r="H9" s="602">
        <f t="shared" si="3"/>
        <v>1.3333333333333333</v>
      </c>
      <c r="I9" s="590"/>
      <c r="J9" s="590"/>
      <c r="K9" s="590"/>
      <c r="L9" s="590"/>
      <c r="M9" s="590"/>
      <c r="N9" s="590"/>
      <c r="O9" s="590"/>
      <c r="P9" s="590"/>
      <c r="Q9" s="590">
        <f>(Q10/C10)*C9</f>
        <v>528</v>
      </c>
      <c r="R9" s="395">
        <f t="shared" si="1"/>
        <v>4414</v>
      </c>
      <c r="X9" s="220"/>
      <c r="Z9" s="153"/>
      <c r="AA9" s="153"/>
      <c r="AB9" s="153"/>
      <c r="AC9" s="153"/>
      <c r="AD9" s="153"/>
      <c r="AE9" s="153"/>
      <c r="AF9" s="153"/>
      <c r="AG9" s="153"/>
      <c r="AH9" s="153"/>
      <c r="AI9" s="153"/>
      <c r="AJ9" s="153"/>
      <c r="AK9" s="153"/>
      <c r="AL9" s="153"/>
      <c r="AM9" s="153"/>
      <c r="AN9" s="153"/>
      <c r="AO9" s="99"/>
    </row>
    <row r="10" spans="1:56">
      <c r="A10" s="156">
        <v>2002</v>
      </c>
      <c r="B10" s="101"/>
      <c r="C10" s="606">
        <f t="shared" ref="C10:C16" si="5">C9*H10</f>
        <v>4857.5</v>
      </c>
      <c r="D10" s="596"/>
      <c r="E10" s="607">
        <v>5</v>
      </c>
      <c r="F10" s="684"/>
      <c r="G10" s="608">
        <f t="shared" si="4"/>
        <v>1</v>
      </c>
      <c r="H10" s="602">
        <f>E10/E9</f>
        <v>1.25</v>
      </c>
      <c r="I10" s="590">
        <v>0</v>
      </c>
      <c r="J10" s="590">
        <v>0</v>
      </c>
      <c r="K10" s="590">
        <v>67</v>
      </c>
      <c r="L10" s="590">
        <v>573</v>
      </c>
      <c r="M10" s="590">
        <v>0</v>
      </c>
      <c r="N10" s="590">
        <v>0</v>
      </c>
      <c r="O10" s="590">
        <v>0</v>
      </c>
      <c r="P10" s="590">
        <v>20</v>
      </c>
      <c r="Q10" s="590">
        <f>SUM(I10:P10)</f>
        <v>660</v>
      </c>
      <c r="R10" s="395">
        <f t="shared" ref="R10:R26" si="6">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06">
        <f t="shared" si="5"/>
        <v>8743.5</v>
      </c>
      <c r="D11" s="596"/>
      <c r="E11" s="607">
        <v>9</v>
      </c>
      <c r="F11" s="684"/>
      <c r="G11" s="608">
        <f t="shared" si="4"/>
        <v>4</v>
      </c>
      <c r="H11" s="602">
        <f t="shared" ref="H11:H22" si="7">E11/E10</f>
        <v>1.8</v>
      </c>
      <c r="I11" s="590">
        <v>0</v>
      </c>
      <c r="J11" s="590">
        <v>0</v>
      </c>
      <c r="K11" s="590">
        <v>62</v>
      </c>
      <c r="L11" s="590">
        <v>444</v>
      </c>
      <c r="M11" s="590">
        <v>0</v>
      </c>
      <c r="N11" s="590">
        <v>0</v>
      </c>
      <c r="O11" s="590">
        <v>1</v>
      </c>
      <c r="P11" s="590">
        <v>100</v>
      </c>
      <c r="Q11" s="590">
        <f t="shared" ref="Q11:Q26" si="8">SUM(I11:P11)</f>
        <v>607</v>
      </c>
      <c r="R11" s="395">
        <f t="shared" si="6"/>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06">
        <f t="shared" si="5"/>
        <v>12629.5</v>
      </c>
      <c r="D12" s="596"/>
      <c r="E12" s="607">
        <v>13</v>
      </c>
      <c r="F12" s="684"/>
      <c r="G12" s="608">
        <f t="shared" si="4"/>
        <v>4</v>
      </c>
      <c r="H12" s="602">
        <f t="shared" si="7"/>
        <v>1.4444444444444444</v>
      </c>
      <c r="I12" s="590">
        <v>0</v>
      </c>
      <c r="J12" s="590">
        <v>0</v>
      </c>
      <c r="K12" s="590">
        <v>134</v>
      </c>
      <c r="L12" s="590">
        <v>271</v>
      </c>
      <c r="M12" s="590">
        <v>0</v>
      </c>
      <c r="N12" s="590">
        <v>0</v>
      </c>
      <c r="O12" s="590">
        <v>0</v>
      </c>
      <c r="P12" s="590">
        <v>79</v>
      </c>
      <c r="Q12" s="590">
        <f t="shared" si="8"/>
        <v>484</v>
      </c>
      <c r="R12" s="395">
        <f t="shared" si="6"/>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06">
        <f t="shared" si="5"/>
        <v>14572.499999999998</v>
      </c>
      <c r="D13" s="596"/>
      <c r="E13" s="607">
        <v>15</v>
      </c>
      <c r="F13" s="684"/>
      <c r="G13" s="608">
        <f t="shared" si="4"/>
        <v>2</v>
      </c>
      <c r="H13" s="602">
        <f t="shared" si="7"/>
        <v>1.1538461538461537</v>
      </c>
      <c r="I13" s="590">
        <v>0</v>
      </c>
      <c r="J13" s="590">
        <v>0</v>
      </c>
      <c r="K13" s="590">
        <v>120</v>
      </c>
      <c r="L13" s="590">
        <v>200</v>
      </c>
      <c r="M13" s="590">
        <v>0</v>
      </c>
      <c r="N13" s="590">
        <v>0</v>
      </c>
      <c r="O13" s="590">
        <v>0</v>
      </c>
      <c r="P13" s="590">
        <v>48</v>
      </c>
      <c r="Q13" s="590">
        <f t="shared" si="8"/>
        <v>368</v>
      </c>
      <c r="R13" s="395">
        <f t="shared" si="6"/>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06">
        <f t="shared" si="5"/>
        <v>24287.499999999996</v>
      </c>
      <c r="D14" s="596"/>
      <c r="E14" s="607">
        <v>25</v>
      </c>
      <c r="F14" s="684"/>
      <c r="G14" s="608">
        <f t="shared" si="4"/>
        <v>10</v>
      </c>
      <c r="H14" s="602">
        <f t="shared" si="7"/>
        <v>1.6666666666666667</v>
      </c>
      <c r="I14" s="590">
        <v>0</v>
      </c>
      <c r="J14" s="590">
        <v>0</v>
      </c>
      <c r="K14" s="590">
        <v>201</v>
      </c>
      <c r="L14" s="590">
        <v>235</v>
      </c>
      <c r="M14" s="590">
        <v>0</v>
      </c>
      <c r="N14" s="590">
        <v>0</v>
      </c>
      <c r="O14" s="590">
        <v>2</v>
      </c>
      <c r="P14" s="590">
        <v>1</v>
      </c>
      <c r="Q14" s="590">
        <f t="shared" si="8"/>
        <v>439</v>
      </c>
      <c r="R14" s="395">
        <f t="shared" si="6"/>
        <v>24726.499999999996</v>
      </c>
      <c r="S14" s="223"/>
      <c r="T14"/>
      <c r="U14"/>
      <c r="V14"/>
      <c r="W14"/>
      <c r="X14" s="220"/>
      <c r="Y14"/>
      <c r="Z14" s="21"/>
      <c r="AO14"/>
    </row>
    <row r="15" spans="1:56">
      <c r="A15" s="156">
        <v>2007</v>
      </c>
      <c r="B15" s="101"/>
      <c r="C15" s="606">
        <f t="shared" si="5"/>
        <v>26230.499999999996</v>
      </c>
      <c r="D15" s="596"/>
      <c r="E15" s="607">
        <v>27</v>
      </c>
      <c r="F15" s="684"/>
      <c r="G15" s="608">
        <f t="shared" si="4"/>
        <v>2</v>
      </c>
      <c r="H15" s="602">
        <f t="shared" si="7"/>
        <v>1.08</v>
      </c>
      <c r="I15" s="590">
        <v>0</v>
      </c>
      <c r="J15" s="590">
        <v>0</v>
      </c>
      <c r="K15" s="590">
        <v>220</v>
      </c>
      <c r="L15" s="590">
        <v>212</v>
      </c>
      <c r="M15" s="590">
        <v>0</v>
      </c>
      <c r="N15" s="590">
        <v>0</v>
      </c>
      <c r="O15" s="590">
        <v>2</v>
      </c>
      <c r="P15" s="590">
        <v>12</v>
      </c>
      <c r="Q15" s="590">
        <f t="shared" si="8"/>
        <v>446</v>
      </c>
      <c r="R15" s="395">
        <f t="shared" si="6"/>
        <v>26676.499999999996</v>
      </c>
      <c r="S15" s="223"/>
      <c r="T15"/>
      <c r="U15"/>
      <c r="V15"/>
      <c r="W15"/>
      <c r="X15" s="220"/>
      <c r="Y15"/>
      <c r="Z15" s="21"/>
      <c r="AO15"/>
    </row>
    <row r="16" spans="1:56" ht="14.85" customHeight="1">
      <c r="A16" s="156">
        <v>2008</v>
      </c>
      <c r="B16" s="101"/>
      <c r="C16" s="606">
        <f t="shared" si="5"/>
        <v>34973.999999999993</v>
      </c>
      <c r="D16" s="596"/>
      <c r="E16" s="607">
        <v>36</v>
      </c>
      <c r="F16" s="684"/>
      <c r="G16" s="608">
        <f t="shared" si="4"/>
        <v>9</v>
      </c>
      <c r="H16" s="602">
        <f t="shared" si="7"/>
        <v>1.3333333333333333</v>
      </c>
      <c r="I16" s="590">
        <v>0</v>
      </c>
      <c r="J16" s="590">
        <v>0</v>
      </c>
      <c r="K16" s="590">
        <v>172</v>
      </c>
      <c r="L16" s="590">
        <v>300</v>
      </c>
      <c r="M16" s="590">
        <v>0</v>
      </c>
      <c r="N16" s="590">
        <v>0</v>
      </c>
      <c r="O16" s="590">
        <v>0</v>
      </c>
      <c r="P16" s="590">
        <v>45</v>
      </c>
      <c r="Q16" s="590">
        <f t="shared" si="8"/>
        <v>517</v>
      </c>
      <c r="R16" s="395">
        <f t="shared" si="6"/>
        <v>35490.999999999993</v>
      </c>
      <c r="S16" s="223"/>
      <c r="T16"/>
      <c r="U16"/>
      <c r="V16"/>
      <c r="W16"/>
      <c r="X16" s="220"/>
      <c r="Y16"/>
      <c r="Z16" s="21"/>
      <c r="AO16"/>
    </row>
    <row r="17" spans="1:41" ht="14.85" customHeight="1">
      <c r="A17" s="156">
        <v>2009</v>
      </c>
      <c r="B17" s="102">
        <v>38860</v>
      </c>
      <c r="C17" s="103">
        <v>38860</v>
      </c>
      <c r="D17" s="609" t="s">
        <v>193</v>
      </c>
      <c r="E17" s="607">
        <v>40</v>
      </c>
      <c r="F17" s="684"/>
      <c r="G17" s="608">
        <f t="shared" si="4"/>
        <v>4</v>
      </c>
      <c r="H17" s="602">
        <f t="shared" si="7"/>
        <v>1.1111111111111112</v>
      </c>
      <c r="I17" s="590">
        <v>0</v>
      </c>
      <c r="J17" s="590">
        <v>0</v>
      </c>
      <c r="K17" s="590">
        <v>213</v>
      </c>
      <c r="L17" s="590">
        <v>357</v>
      </c>
      <c r="M17" s="590">
        <v>0</v>
      </c>
      <c r="N17" s="590">
        <v>0</v>
      </c>
      <c r="O17" s="590">
        <v>1</v>
      </c>
      <c r="P17" s="590">
        <v>11</v>
      </c>
      <c r="Q17" s="590">
        <f t="shared" si="8"/>
        <v>582</v>
      </c>
      <c r="R17" s="395">
        <f t="shared" si="6"/>
        <v>39442</v>
      </c>
      <c r="S17" s="223"/>
      <c r="T17"/>
      <c r="U17"/>
      <c r="V17"/>
      <c r="W17"/>
      <c r="X17" s="220"/>
      <c r="Y17"/>
      <c r="Z17" s="21"/>
      <c r="AO17"/>
    </row>
    <row r="18" spans="1:41" ht="14.85" customHeight="1">
      <c r="A18" s="156">
        <v>2010</v>
      </c>
      <c r="B18" s="101"/>
      <c r="C18" s="606">
        <f>C17*H18</f>
        <v>46632</v>
      </c>
      <c r="D18" s="609"/>
      <c r="E18" s="607">
        <v>48</v>
      </c>
      <c r="F18" s="684"/>
      <c r="G18" s="608">
        <f t="shared" si="4"/>
        <v>8</v>
      </c>
      <c r="H18" s="602">
        <f t="shared" si="7"/>
        <v>1.2</v>
      </c>
      <c r="I18" s="590">
        <v>0</v>
      </c>
      <c r="J18" s="590">
        <v>0</v>
      </c>
      <c r="K18" s="590">
        <v>297</v>
      </c>
      <c r="L18" s="590">
        <v>503</v>
      </c>
      <c r="M18" s="590">
        <v>0</v>
      </c>
      <c r="N18" s="590">
        <v>0</v>
      </c>
      <c r="O18" s="590">
        <v>0</v>
      </c>
      <c r="P18" s="590">
        <v>3</v>
      </c>
      <c r="Q18" s="590">
        <f t="shared" si="8"/>
        <v>803</v>
      </c>
      <c r="R18" s="395">
        <f t="shared" si="6"/>
        <v>47435</v>
      </c>
      <c r="S18" s="223"/>
      <c r="T18"/>
      <c r="U18"/>
      <c r="V18"/>
      <c r="W18"/>
      <c r="X18" s="220"/>
      <c r="Y18"/>
      <c r="Z18" s="21"/>
      <c r="AO18"/>
    </row>
    <row r="19" spans="1:41" ht="14.85" customHeight="1">
      <c r="A19" s="156">
        <v>2011</v>
      </c>
      <c r="B19" s="101"/>
      <c r="C19" s="606">
        <f>C18*H19</f>
        <v>48575</v>
      </c>
      <c r="D19" s="609"/>
      <c r="E19" s="607">
        <v>50</v>
      </c>
      <c r="F19" s="678" t="s">
        <v>194</v>
      </c>
      <c r="G19" s="608">
        <f t="shared" si="4"/>
        <v>2</v>
      </c>
      <c r="H19" s="602">
        <f t="shared" si="7"/>
        <v>1.0416666666666667</v>
      </c>
      <c r="I19" s="590">
        <v>0</v>
      </c>
      <c r="J19" s="590">
        <v>0</v>
      </c>
      <c r="K19" s="590">
        <v>305</v>
      </c>
      <c r="L19" s="590">
        <v>693</v>
      </c>
      <c r="M19" s="590">
        <v>0</v>
      </c>
      <c r="N19" s="590">
        <v>0</v>
      </c>
      <c r="O19" s="590">
        <v>0</v>
      </c>
      <c r="P19" s="590">
        <v>13</v>
      </c>
      <c r="Q19" s="590">
        <f t="shared" si="8"/>
        <v>1011</v>
      </c>
      <c r="R19" s="395">
        <f t="shared" si="6"/>
        <v>49586</v>
      </c>
      <c r="S19" s="223"/>
      <c r="T19"/>
      <c r="U19"/>
      <c r="V19"/>
      <c r="W19"/>
      <c r="X19" s="220"/>
      <c r="Y19"/>
      <c r="Z19" s="21"/>
      <c r="AO19"/>
    </row>
    <row r="20" spans="1:41" ht="14.85" customHeight="1">
      <c r="A20" s="156">
        <v>2012</v>
      </c>
      <c r="B20" s="101"/>
      <c r="C20" s="606">
        <f>C19*H20</f>
        <v>68005</v>
      </c>
      <c r="D20" s="609"/>
      <c r="E20" s="607">
        <v>70</v>
      </c>
      <c r="F20" s="678"/>
      <c r="G20" s="608">
        <f t="shared" si="4"/>
        <v>20</v>
      </c>
      <c r="H20" s="602">
        <f t="shared" si="7"/>
        <v>1.4</v>
      </c>
      <c r="I20" s="590">
        <v>0</v>
      </c>
      <c r="J20" s="590">
        <v>0</v>
      </c>
      <c r="K20" s="590">
        <v>456</v>
      </c>
      <c r="L20" s="590">
        <v>589</v>
      </c>
      <c r="M20" s="590">
        <v>0</v>
      </c>
      <c r="N20" s="590">
        <v>0</v>
      </c>
      <c r="O20" s="590">
        <v>0</v>
      </c>
      <c r="P20" s="590">
        <v>3</v>
      </c>
      <c r="Q20" s="590">
        <f t="shared" si="8"/>
        <v>1048</v>
      </c>
      <c r="R20" s="395">
        <f t="shared" si="6"/>
        <v>69053</v>
      </c>
      <c r="S20" s="223"/>
      <c r="T20"/>
      <c r="U20"/>
      <c r="V20"/>
      <c r="W20"/>
      <c r="X20" s="220"/>
      <c r="Y20"/>
      <c r="Z20" s="21"/>
      <c r="AO20"/>
    </row>
    <row r="21" spans="1:41" ht="14.85" customHeight="1">
      <c r="A21" s="156">
        <v>2013</v>
      </c>
      <c r="B21" s="102">
        <v>140053</v>
      </c>
      <c r="C21" s="103">
        <v>140053</v>
      </c>
      <c r="D21" s="609" t="s">
        <v>194</v>
      </c>
      <c r="E21" s="610">
        <v>93</v>
      </c>
      <c r="F21" s="678"/>
      <c r="G21" s="608">
        <f t="shared" si="4"/>
        <v>23</v>
      </c>
      <c r="H21" s="602">
        <f t="shared" si="7"/>
        <v>1.3285714285714285</v>
      </c>
      <c r="I21" s="590">
        <v>0</v>
      </c>
      <c r="J21" s="590">
        <v>0</v>
      </c>
      <c r="K21" s="590">
        <v>767</v>
      </c>
      <c r="L21" s="590">
        <v>677</v>
      </c>
      <c r="M21" s="590">
        <v>0</v>
      </c>
      <c r="N21" s="590">
        <v>0</v>
      </c>
      <c r="O21" s="590">
        <v>0</v>
      </c>
      <c r="P21" s="590">
        <v>5</v>
      </c>
      <c r="Q21" s="590">
        <f t="shared" si="8"/>
        <v>1449</v>
      </c>
      <c r="R21" s="395">
        <f t="shared" si="6"/>
        <v>141502</v>
      </c>
      <c r="S21" s="223"/>
      <c r="T21"/>
      <c r="U21"/>
      <c r="V21"/>
      <c r="W21"/>
      <c r="X21" s="220"/>
      <c r="Y21"/>
      <c r="Z21" s="21"/>
      <c r="AO21"/>
    </row>
    <row r="22" spans="1:41" ht="14.85" customHeight="1">
      <c r="A22" s="156">
        <v>2014</v>
      </c>
      <c r="B22" s="101"/>
      <c r="C22" s="606">
        <f>C21*H22</f>
        <v>204808.68817204301</v>
      </c>
      <c r="D22" s="609"/>
      <c r="E22" s="610">
        <v>136</v>
      </c>
      <c r="F22" s="678"/>
      <c r="G22" s="608">
        <f t="shared" si="4"/>
        <v>43</v>
      </c>
      <c r="H22" s="602">
        <f t="shared" si="7"/>
        <v>1.4623655913978495</v>
      </c>
      <c r="I22" s="590">
        <v>0</v>
      </c>
      <c r="J22" s="590">
        <v>1366</v>
      </c>
      <c r="K22" s="590">
        <v>3824</v>
      </c>
      <c r="L22" s="590">
        <v>1254</v>
      </c>
      <c r="M22" s="590">
        <v>0</v>
      </c>
      <c r="N22" s="590">
        <v>11</v>
      </c>
      <c r="O22" s="590">
        <v>0</v>
      </c>
      <c r="P22" s="590">
        <v>15</v>
      </c>
      <c r="Q22" s="590">
        <f t="shared" si="8"/>
        <v>6470</v>
      </c>
      <c r="R22" s="395">
        <f t="shared" si="6"/>
        <v>211278.68817204301</v>
      </c>
      <c r="S22" s="223"/>
      <c r="T22"/>
      <c r="U22"/>
      <c r="V22"/>
      <c r="W22"/>
      <c r="X22" s="220"/>
      <c r="Y22"/>
      <c r="Z22" s="21"/>
      <c r="AO22"/>
    </row>
    <row r="23" spans="1:41" ht="14.85" customHeight="1">
      <c r="A23" s="156">
        <v>2015</v>
      </c>
      <c r="B23" s="101"/>
      <c r="C23" s="606">
        <f>C22*$H$22</f>
        <v>299505.17840212741</v>
      </c>
      <c r="D23" s="609"/>
      <c r="E23" s="596"/>
      <c r="F23" s="596"/>
      <c r="G23" s="596"/>
      <c r="H23" s="596"/>
      <c r="I23" s="590">
        <v>2</v>
      </c>
      <c r="J23" s="590">
        <v>11921</v>
      </c>
      <c r="K23" s="590">
        <v>11840</v>
      </c>
      <c r="L23" s="590">
        <v>2392</v>
      </c>
      <c r="M23" s="590">
        <v>0</v>
      </c>
      <c r="N23" s="590">
        <v>142</v>
      </c>
      <c r="O23" s="590">
        <v>9</v>
      </c>
      <c r="P23" s="590">
        <v>6</v>
      </c>
      <c r="Q23" s="590">
        <f t="shared" si="8"/>
        <v>26312</v>
      </c>
      <c r="R23" s="395">
        <f t="shared" si="6"/>
        <v>325817.17840212741</v>
      </c>
      <c r="S23" s="223"/>
      <c r="T23"/>
      <c r="U23"/>
      <c r="V23"/>
      <c r="W23"/>
      <c r="X23" s="220"/>
      <c r="Y23"/>
      <c r="Z23" s="21"/>
      <c r="AO23"/>
    </row>
    <row r="24" spans="1:41" ht="14.85" customHeight="1">
      <c r="A24" s="156">
        <v>2016</v>
      </c>
      <c r="B24" s="101"/>
      <c r="C24" s="606">
        <f>C23*$H$22</f>
        <v>437986.06734074547</v>
      </c>
      <c r="D24" s="609"/>
      <c r="E24" s="596"/>
      <c r="F24" s="596"/>
      <c r="G24" s="596"/>
      <c r="H24" s="596"/>
      <c r="I24" s="590">
        <v>48123</v>
      </c>
      <c r="J24" s="590">
        <v>47043</v>
      </c>
      <c r="K24" s="590">
        <v>31435</v>
      </c>
      <c r="L24" s="590">
        <v>7381</v>
      </c>
      <c r="M24" s="590">
        <v>158</v>
      </c>
      <c r="N24" s="590">
        <v>1614</v>
      </c>
      <c r="O24" s="590">
        <v>47</v>
      </c>
      <c r="P24" s="590">
        <v>10</v>
      </c>
      <c r="Q24" s="590">
        <f t="shared" si="8"/>
        <v>135811</v>
      </c>
      <c r="R24" s="395">
        <f t="shared" si="6"/>
        <v>573797.06734074547</v>
      </c>
      <c r="S24" s="223"/>
      <c r="T24"/>
      <c r="U24"/>
      <c r="V24"/>
      <c r="W24"/>
      <c r="X24" s="220"/>
      <c r="Y24"/>
      <c r="Z24" s="21"/>
      <c r="AO24"/>
    </row>
    <row r="25" spans="1:41" ht="14.85" customHeight="1">
      <c r="A25" s="156">
        <v>2017</v>
      </c>
      <c r="B25" s="596"/>
      <c r="C25" s="606">
        <f>C24*$H$22</f>
        <v>640495.75439076754</v>
      </c>
      <c r="D25" s="609"/>
      <c r="E25" s="596"/>
      <c r="F25" s="596"/>
      <c r="G25" s="596"/>
      <c r="H25" s="596"/>
      <c r="I25" s="590">
        <v>188256</v>
      </c>
      <c r="J25" s="590">
        <v>47357</v>
      </c>
      <c r="K25" s="590">
        <v>25895</v>
      </c>
      <c r="L25" s="590">
        <v>8986</v>
      </c>
      <c r="M25" s="590">
        <v>962</v>
      </c>
      <c r="N25" s="590">
        <v>4256</v>
      </c>
      <c r="O25" s="590">
        <v>87</v>
      </c>
      <c r="P25" s="590">
        <v>41</v>
      </c>
      <c r="Q25" s="590">
        <f t="shared" si="8"/>
        <v>275840</v>
      </c>
      <c r="R25" s="395">
        <f t="shared" si="6"/>
        <v>916335.75439076754</v>
      </c>
      <c r="S25" s="223"/>
      <c r="T25"/>
      <c r="U25"/>
      <c r="V25"/>
      <c r="W25"/>
      <c r="X25" s="220"/>
      <c r="Y25"/>
      <c r="Z25" s="21"/>
      <c r="AO25"/>
    </row>
    <row r="26" spans="1:41" ht="14.85" customHeight="1">
      <c r="A26" s="156">
        <v>2018</v>
      </c>
      <c r="B26" s="596"/>
      <c r="C26" s="606">
        <f>C25*$H$22</f>
        <v>936638.95265746652</v>
      </c>
      <c r="D26" s="609"/>
      <c r="E26" s="596"/>
      <c r="F26" s="596"/>
      <c r="G26" s="596"/>
      <c r="H26" s="596"/>
      <c r="I26" s="590">
        <v>491235</v>
      </c>
      <c r="J26" s="590">
        <v>29859</v>
      </c>
      <c r="K26" s="590">
        <v>23956</v>
      </c>
      <c r="L26" s="590">
        <v>11599</v>
      </c>
      <c r="M26" s="590">
        <v>5297</v>
      </c>
      <c r="N26" s="590">
        <v>1601</v>
      </c>
      <c r="O26" s="590">
        <v>186</v>
      </c>
      <c r="P26" s="590">
        <v>114</v>
      </c>
      <c r="Q26" s="590">
        <f t="shared" si="8"/>
        <v>563847</v>
      </c>
      <c r="R26" s="395">
        <f t="shared" si="6"/>
        <v>1500485.9526574665</v>
      </c>
      <c r="S26" s="223"/>
      <c r="T26"/>
      <c r="U26"/>
      <c r="V26"/>
      <c r="W26"/>
      <c r="X26" s="220"/>
      <c r="Y26"/>
      <c r="Z26" s="21"/>
      <c r="AO26"/>
    </row>
    <row r="27" spans="1:41" ht="14.85" customHeight="1">
      <c r="A27" s="156">
        <v>2019</v>
      </c>
      <c r="B27" s="102">
        <v>1012700</v>
      </c>
      <c r="C27" s="103">
        <v>1012700</v>
      </c>
      <c r="D27" s="609" t="s">
        <v>195</v>
      </c>
      <c r="E27" s="596"/>
      <c r="F27" s="596"/>
      <c r="G27" s="596"/>
      <c r="H27" s="596"/>
      <c r="I27" s="590">
        <v>874141</v>
      </c>
      <c r="J27" s="590">
        <v>6109</v>
      </c>
      <c r="K27" s="590">
        <v>17028</v>
      </c>
      <c r="L27" s="590">
        <v>7573</v>
      </c>
      <c r="M27" s="590">
        <v>6874</v>
      </c>
      <c r="N27" s="590">
        <v>6493</v>
      </c>
      <c r="O27" s="590">
        <v>107</v>
      </c>
      <c r="P27" s="590">
        <v>124</v>
      </c>
      <c r="Q27" s="590">
        <f>SUM(I27:P27)</f>
        <v>918449</v>
      </c>
      <c r="R27" s="395">
        <f>SUM(C27,Q27)</f>
        <v>1931149</v>
      </c>
      <c r="S27" s="223"/>
      <c r="T27"/>
      <c r="U27"/>
      <c r="V27"/>
      <c r="W27"/>
      <c r="X27" s="220"/>
      <c r="Y27"/>
      <c r="Z27" s="21"/>
      <c r="AO27"/>
    </row>
    <row r="28" spans="1:41" ht="14.85" customHeight="1" thickBot="1">
      <c r="A28" s="158">
        <v>2020</v>
      </c>
      <c r="B28" s="104"/>
      <c r="C28" s="613">
        <v>1296290</v>
      </c>
      <c r="D28" s="105" t="s">
        <v>196</v>
      </c>
      <c r="E28" s="106"/>
      <c r="F28" s="106"/>
      <c r="G28" s="106"/>
      <c r="H28" s="106"/>
      <c r="I28" s="106">
        <v>981142</v>
      </c>
      <c r="J28" s="106">
        <v>313</v>
      </c>
      <c r="K28" s="106">
        <v>11636</v>
      </c>
      <c r="L28" s="106">
        <v>5906</v>
      </c>
      <c r="M28" s="106">
        <v>8001</v>
      </c>
      <c r="N28" s="106">
        <v>5</v>
      </c>
      <c r="O28" s="106">
        <v>87</v>
      </c>
      <c r="P28" s="106">
        <v>244</v>
      </c>
      <c r="Q28" s="106">
        <f>SUM(I28:P28)</f>
        <v>1007334</v>
      </c>
      <c r="R28" s="614">
        <f>SUM(C28,Q28)</f>
        <v>2303624</v>
      </c>
      <c r="S28" s="595"/>
      <c r="T28"/>
      <c r="U28"/>
      <c r="V28"/>
      <c r="W28"/>
      <c r="X28" s="220"/>
      <c r="Y28"/>
      <c r="Z28" s="21"/>
      <c r="AO28"/>
    </row>
    <row r="29" spans="1:41" ht="14.85" customHeight="1">
      <c r="A29" s="461"/>
      <c r="B29" s="102"/>
      <c r="C29" s="103"/>
      <c r="D29" s="157"/>
      <c r="I29" s="19"/>
      <c r="J29" s="19"/>
      <c r="K29" s="19"/>
      <c r="L29" s="19"/>
      <c r="M29" s="19"/>
      <c r="N29" s="19"/>
      <c r="O29" s="19"/>
      <c r="P29" s="19"/>
      <c r="Q29" s="501" t="s">
        <v>197</v>
      </c>
      <c r="R29" s="19"/>
      <c r="S29" s="49"/>
      <c r="T29"/>
      <c r="U29"/>
      <c r="V29"/>
      <c r="W29"/>
      <c r="X29" s="220"/>
      <c r="Y29"/>
      <c r="Z29" s="21"/>
      <c r="AO29"/>
    </row>
    <row r="30" spans="1:41">
      <c r="A30" s="107" t="s">
        <v>198</v>
      </c>
      <c r="AO30"/>
    </row>
    <row r="31" spans="1:41">
      <c r="A31" s="107" t="s">
        <v>199</v>
      </c>
      <c r="B31" s="640"/>
      <c r="C31" s="640"/>
    </row>
    <row r="32" spans="1:41">
      <c r="A32" s="107" t="s">
        <v>200</v>
      </c>
      <c r="B32" s="107"/>
      <c r="C32" s="107"/>
    </row>
    <row r="33" spans="1:31">
      <c r="A33" s="107" t="s">
        <v>201</v>
      </c>
      <c r="B33" s="107"/>
      <c r="C33" s="107"/>
    </row>
    <row r="34" spans="1:31">
      <c r="A34" s="39" t="s">
        <v>202</v>
      </c>
      <c r="B34" s="107"/>
      <c r="C34" s="107"/>
    </row>
    <row r="35" spans="1:31" ht="18" customHeight="1">
      <c r="A35" s="39" t="s">
        <v>203</v>
      </c>
    </row>
    <row r="37" spans="1:31" ht="43.2">
      <c r="A37" s="201" t="s">
        <v>204</v>
      </c>
      <c r="B37" s="39">
        <v>0.86</v>
      </c>
    </row>
    <row r="38" spans="1:31">
      <c r="A38" s="201"/>
    </row>
    <row r="39" spans="1:31" ht="14.7" thickBot="1">
      <c r="A39" s="108" t="s">
        <v>205</v>
      </c>
    </row>
    <row r="40" spans="1:31" ht="30" customHeight="1" thickBot="1">
      <c r="A40" s="472"/>
      <c r="B40" s="496">
        <v>2006</v>
      </c>
      <c r="C40" s="491">
        <v>2006</v>
      </c>
      <c r="D40" s="496">
        <v>2007</v>
      </c>
      <c r="E40" s="491">
        <v>2007</v>
      </c>
      <c r="F40" s="491">
        <v>2008</v>
      </c>
      <c r="G40" s="491">
        <v>2008</v>
      </c>
      <c r="H40" s="491">
        <v>2009</v>
      </c>
      <c r="I40" s="491">
        <v>2009</v>
      </c>
      <c r="J40" s="491">
        <v>2010</v>
      </c>
      <c r="K40" s="491">
        <v>2010</v>
      </c>
      <c r="L40" s="491">
        <v>2011</v>
      </c>
      <c r="M40" s="491">
        <v>2011</v>
      </c>
      <c r="N40" s="491">
        <v>2012</v>
      </c>
      <c r="O40" s="491">
        <v>2012</v>
      </c>
      <c r="P40" s="491">
        <v>2013</v>
      </c>
      <c r="Q40" s="491">
        <v>2013</v>
      </c>
      <c r="R40" s="491">
        <v>2014</v>
      </c>
      <c r="S40" s="491">
        <v>2014</v>
      </c>
      <c r="T40" s="491">
        <v>2015</v>
      </c>
      <c r="U40" s="491">
        <v>2015</v>
      </c>
      <c r="V40" s="491">
        <v>2016</v>
      </c>
      <c r="W40" s="491">
        <v>2016</v>
      </c>
      <c r="X40" s="491">
        <v>2017</v>
      </c>
      <c r="Y40" s="491">
        <v>2017</v>
      </c>
      <c r="Z40" s="491">
        <v>2018</v>
      </c>
      <c r="AA40" s="491">
        <v>2018</v>
      </c>
      <c r="AB40" s="491">
        <v>2019</v>
      </c>
      <c r="AC40" s="491">
        <v>2019</v>
      </c>
      <c r="AD40" s="491">
        <v>2020</v>
      </c>
      <c r="AE40" s="492">
        <v>2020</v>
      </c>
    </row>
    <row r="41" spans="1:31" ht="33" customHeight="1">
      <c r="A41" s="473"/>
      <c r="B41" s="493" t="s">
        <v>206</v>
      </c>
      <c r="C41" s="494" t="s">
        <v>207</v>
      </c>
      <c r="D41" s="493" t="s">
        <v>206</v>
      </c>
      <c r="E41" s="494" t="s">
        <v>207</v>
      </c>
      <c r="F41" s="494" t="s">
        <v>206</v>
      </c>
      <c r="G41" s="494" t="s">
        <v>207</v>
      </c>
      <c r="H41" s="494" t="s">
        <v>206</v>
      </c>
      <c r="I41" s="494" t="s">
        <v>207</v>
      </c>
      <c r="J41" s="494" t="s">
        <v>206</v>
      </c>
      <c r="K41" s="494" t="s">
        <v>207</v>
      </c>
      <c r="L41" s="494" t="s">
        <v>206</v>
      </c>
      <c r="M41" s="494" t="s">
        <v>207</v>
      </c>
      <c r="N41" s="494" t="s">
        <v>206</v>
      </c>
      <c r="O41" s="494" t="s">
        <v>207</v>
      </c>
      <c r="P41" s="494" t="s">
        <v>206</v>
      </c>
      <c r="Q41" s="494" t="s">
        <v>207</v>
      </c>
      <c r="R41" s="494" t="s">
        <v>206</v>
      </c>
      <c r="S41" s="494" t="s">
        <v>207</v>
      </c>
      <c r="T41" s="494" t="s">
        <v>206</v>
      </c>
      <c r="U41" s="494" t="s">
        <v>207</v>
      </c>
      <c r="V41" s="494" t="s">
        <v>206</v>
      </c>
      <c r="W41" s="494" t="s">
        <v>207</v>
      </c>
      <c r="X41" s="494" t="s">
        <v>206</v>
      </c>
      <c r="Y41" s="494" t="s">
        <v>207</v>
      </c>
      <c r="Z41" s="494" t="s">
        <v>206</v>
      </c>
      <c r="AA41" s="494" t="s">
        <v>207</v>
      </c>
      <c r="AB41" s="494" t="s">
        <v>206</v>
      </c>
      <c r="AC41" s="494" t="s">
        <v>207</v>
      </c>
      <c r="AD41" s="494" t="s">
        <v>206</v>
      </c>
      <c r="AE41" s="495" t="s">
        <v>207</v>
      </c>
    </row>
    <row r="42" spans="1:31" ht="44.85" customHeight="1">
      <c r="A42" s="474" t="s">
        <v>208</v>
      </c>
      <c r="B42" s="463">
        <v>928</v>
      </c>
      <c r="C42" s="464">
        <v>1</v>
      </c>
      <c r="D42" s="463">
        <v>810</v>
      </c>
      <c r="E42" s="465">
        <v>1</v>
      </c>
      <c r="F42" s="466">
        <v>845</v>
      </c>
      <c r="G42" s="464">
        <v>1</v>
      </c>
      <c r="H42" s="463">
        <v>893</v>
      </c>
      <c r="I42" s="465">
        <v>1</v>
      </c>
      <c r="J42" s="466">
        <v>914</v>
      </c>
      <c r="K42" s="464">
        <v>1</v>
      </c>
      <c r="L42" s="463">
        <v>775</v>
      </c>
      <c r="M42" s="464">
        <v>1</v>
      </c>
      <c r="N42" s="463">
        <v>821</v>
      </c>
      <c r="O42" s="464">
        <v>1</v>
      </c>
      <c r="P42" s="469">
        <v>1238</v>
      </c>
      <c r="Q42" s="464">
        <v>1</v>
      </c>
      <c r="R42" s="469">
        <v>5688</v>
      </c>
      <c r="S42" s="464">
        <v>1</v>
      </c>
      <c r="T42" s="469">
        <v>23183</v>
      </c>
      <c r="U42" s="464">
        <v>1</v>
      </c>
      <c r="V42" s="469">
        <v>120340</v>
      </c>
      <c r="W42" s="465">
        <v>1</v>
      </c>
      <c r="X42" s="471">
        <v>241661</v>
      </c>
      <c r="Y42" s="464">
        <v>1</v>
      </c>
      <c r="Z42" s="469">
        <v>501898</v>
      </c>
      <c r="AA42" s="464">
        <v>1</v>
      </c>
      <c r="AB42" s="469">
        <v>814693</v>
      </c>
      <c r="AC42" s="464">
        <v>1</v>
      </c>
      <c r="AD42" s="469">
        <v>895419</v>
      </c>
      <c r="AE42" s="475">
        <v>1</v>
      </c>
    </row>
    <row r="43" spans="1:31" ht="17.100000000000001">
      <c r="A43" s="476" t="s">
        <v>209</v>
      </c>
      <c r="B43" s="467">
        <v>148</v>
      </c>
      <c r="C43" s="477">
        <v>0.16</v>
      </c>
      <c r="D43" s="467">
        <v>34</v>
      </c>
      <c r="E43" s="468">
        <v>4.2000000000000003E-2</v>
      </c>
      <c r="F43" s="478">
        <v>13</v>
      </c>
      <c r="G43" s="477">
        <v>1.4999999999999999E-2</v>
      </c>
      <c r="H43" s="467">
        <v>4</v>
      </c>
      <c r="I43" s="468">
        <v>4.0000000000000001E-3</v>
      </c>
      <c r="J43" s="478">
        <v>1</v>
      </c>
      <c r="K43" s="477">
        <v>1E-3</v>
      </c>
      <c r="L43" s="467">
        <v>1</v>
      </c>
      <c r="M43" s="477">
        <v>2E-3</v>
      </c>
      <c r="N43" s="467">
        <v>2</v>
      </c>
      <c r="O43" s="477">
        <v>3.0000000000000001E-3</v>
      </c>
      <c r="P43" s="467">
        <v>1</v>
      </c>
      <c r="Q43" s="477">
        <v>1E-3</v>
      </c>
      <c r="R43" s="467">
        <v>2</v>
      </c>
      <c r="S43" s="478" t="s">
        <v>210</v>
      </c>
      <c r="T43" s="467">
        <v>3</v>
      </c>
      <c r="U43" s="478" t="s">
        <v>210</v>
      </c>
      <c r="V43" s="470">
        <v>44508</v>
      </c>
      <c r="W43" s="468">
        <v>0.37</v>
      </c>
      <c r="X43" s="479">
        <v>170825</v>
      </c>
      <c r="Y43" s="477">
        <v>0.70699999999999996</v>
      </c>
      <c r="Z43" s="470">
        <v>447068</v>
      </c>
      <c r="AA43" s="477">
        <v>0.89100000000000001</v>
      </c>
      <c r="AB43" s="470">
        <v>789374</v>
      </c>
      <c r="AC43" s="477">
        <v>0.96899999999999997</v>
      </c>
      <c r="AD43" s="470">
        <v>880307</v>
      </c>
      <c r="AE43" s="480">
        <v>0.98299999999999998</v>
      </c>
    </row>
    <row r="44" spans="1:31" ht="17.100000000000001">
      <c r="A44" s="476" t="s">
        <v>211</v>
      </c>
      <c r="B44" s="467">
        <v>811</v>
      </c>
      <c r="C44" s="477">
        <v>0.873</v>
      </c>
      <c r="D44" s="467">
        <v>778</v>
      </c>
      <c r="E44" s="468">
        <v>0.96099999999999997</v>
      </c>
      <c r="F44" s="478">
        <v>811</v>
      </c>
      <c r="G44" s="477">
        <v>0.96</v>
      </c>
      <c r="H44" s="467">
        <v>853</v>
      </c>
      <c r="I44" s="468">
        <v>0.95499999999999996</v>
      </c>
      <c r="J44" s="478">
        <v>886</v>
      </c>
      <c r="K44" s="477">
        <v>0.96899999999999997</v>
      </c>
      <c r="L44" s="467">
        <v>709</v>
      </c>
      <c r="M44" s="477">
        <v>0.91500000000000004</v>
      </c>
      <c r="N44" s="467">
        <v>703</v>
      </c>
      <c r="O44" s="477">
        <v>0.85599999999999998</v>
      </c>
      <c r="P44" s="470">
        <v>1120</v>
      </c>
      <c r="Q44" s="477">
        <v>0.90500000000000003</v>
      </c>
      <c r="R44" s="470">
        <v>4225</v>
      </c>
      <c r="S44" s="477">
        <v>0.74299999999999999</v>
      </c>
      <c r="T44" s="470">
        <v>12081</v>
      </c>
      <c r="U44" s="477">
        <v>0.52100000000000002</v>
      </c>
      <c r="V44" s="470">
        <v>32007</v>
      </c>
      <c r="W44" s="468">
        <v>0.26600000000000001</v>
      </c>
      <c r="X44" s="479">
        <v>28815</v>
      </c>
      <c r="Y44" s="477">
        <v>0.11899999999999999</v>
      </c>
      <c r="Z44" s="470">
        <v>31012</v>
      </c>
      <c r="AA44" s="477">
        <v>6.2E-2</v>
      </c>
      <c r="AB44" s="470">
        <v>21476</v>
      </c>
      <c r="AC44" s="477">
        <v>2.5999999999999999E-2</v>
      </c>
      <c r="AD44" s="470">
        <v>15681</v>
      </c>
      <c r="AE44" s="480">
        <v>1.7999999999999999E-2</v>
      </c>
    </row>
    <row r="45" spans="1:31" ht="17.100000000000001">
      <c r="A45" s="476" t="s">
        <v>212</v>
      </c>
      <c r="B45" s="467">
        <v>15</v>
      </c>
      <c r="C45" s="477">
        <v>1.6E-2</v>
      </c>
      <c r="D45" s="467">
        <v>9</v>
      </c>
      <c r="E45" s="468">
        <v>1.0999999999999999E-2</v>
      </c>
      <c r="F45" s="478">
        <v>24</v>
      </c>
      <c r="G45" s="477">
        <v>2.8000000000000001E-2</v>
      </c>
      <c r="H45" s="467">
        <v>46</v>
      </c>
      <c r="I45" s="468">
        <v>5.1999999999999998E-2</v>
      </c>
      <c r="J45" s="478">
        <v>32</v>
      </c>
      <c r="K45" s="477">
        <v>3.5000000000000003E-2</v>
      </c>
      <c r="L45" s="467">
        <v>72</v>
      </c>
      <c r="M45" s="477">
        <v>9.2999999999999999E-2</v>
      </c>
      <c r="N45" s="467">
        <v>132</v>
      </c>
      <c r="O45" s="477">
        <v>0.161</v>
      </c>
      <c r="P45" s="467">
        <v>130</v>
      </c>
      <c r="Q45" s="477">
        <v>0.105</v>
      </c>
      <c r="R45" s="467">
        <v>241</v>
      </c>
      <c r="S45" s="477">
        <v>4.2000000000000003E-2</v>
      </c>
      <c r="T45" s="467">
        <v>382</v>
      </c>
      <c r="U45" s="477">
        <v>1.6E-2</v>
      </c>
      <c r="V45" s="470">
        <v>2970</v>
      </c>
      <c r="W45" s="468">
        <v>2.5000000000000001E-2</v>
      </c>
      <c r="X45" s="479">
        <v>2797</v>
      </c>
      <c r="Y45" s="477">
        <v>1.2E-2</v>
      </c>
      <c r="Z45" s="470">
        <v>1350</v>
      </c>
      <c r="AA45" s="477">
        <v>3.0000000000000001E-3</v>
      </c>
      <c r="AB45" s="467">
        <v>965</v>
      </c>
      <c r="AC45" s="477">
        <v>1E-3</v>
      </c>
      <c r="AD45" s="467">
        <v>723</v>
      </c>
      <c r="AE45" s="480">
        <v>1E-3</v>
      </c>
    </row>
    <row r="46" spans="1:31" ht="17.399999999999999" thickBot="1">
      <c r="A46" s="481" t="s">
        <v>213</v>
      </c>
      <c r="B46" s="482" t="s">
        <v>214</v>
      </c>
      <c r="C46" s="483" t="s">
        <v>214</v>
      </c>
      <c r="D46" s="482" t="s">
        <v>214</v>
      </c>
      <c r="E46" s="484" t="s">
        <v>214</v>
      </c>
      <c r="F46" s="483" t="s">
        <v>214</v>
      </c>
      <c r="G46" s="483" t="s">
        <v>214</v>
      </c>
      <c r="H46" s="482" t="s">
        <v>214</v>
      </c>
      <c r="I46" s="484" t="s">
        <v>214</v>
      </c>
      <c r="J46" s="483" t="s">
        <v>214</v>
      </c>
      <c r="K46" s="483" t="s">
        <v>214</v>
      </c>
      <c r="L46" s="482" t="s">
        <v>214</v>
      </c>
      <c r="M46" s="483" t="s">
        <v>214</v>
      </c>
      <c r="N46" s="482" t="s">
        <v>214</v>
      </c>
      <c r="O46" s="483" t="s">
        <v>214</v>
      </c>
      <c r="P46" s="482" t="s">
        <v>214</v>
      </c>
      <c r="Q46" s="483" t="s">
        <v>214</v>
      </c>
      <c r="R46" s="485">
        <v>1257</v>
      </c>
      <c r="S46" s="486">
        <v>0.221</v>
      </c>
      <c r="T46" s="485">
        <v>10880</v>
      </c>
      <c r="U46" s="486">
        <v>0.46899999999999997</v>
      </c>
      <c r="V46" s="485">
        <v>43011</v>
      </c>
      <c r="W46" s="487">
        <v>0.35699999999999998</v>
      </c>
      <c r="X46" s="488">
        <v>41788</v>
      </c>
      <c r="Y46" s="486">
        <v>0.17299999999999999</v>
      </c>
      <c r="Z46" s="485">
        <v>24375</v>
      </c>
      <c r="AA46" s="486">
        <v>4.9000000000000002E-2</v>
      </c>
      <c r="AB46" s="485">
        <v>5269</v>
      </c>
      <c r="AC46" s="486">
        <v>6.0000000000000001E-3</v>
      </c>
      <c r="AD46" s="489">
        <v>262</v>
      </c>
      <c r="AE46" s="490" t="s">
        <v>210</v>
      </c>
    </row>
    <row r="47" spans="1:31" ht="17.100000000000001">
      <c r="C47" s="462"/>
    </row>
    <row r="48" spans="1:31" ht="64.150000000000006" customHeight="1">
      <c r="A48" s="677" t="s">
        <v>215</v>
      </c>
      <c r="B48" s="677"/>
      <c r="C48" s="677"/>
      <c r="D48" s="677"/>
      <c r="E48" s="677"/>
    </row>
    <row r="49" spans="1:5" ht="127.5" customHeight="1">
      <c r="A49" s="677" t="s">
        <v>216</v>
      </c>
      <c r="B49" s="677"/>
      <c r="C49" s="677"/>
      <c r="D49" s="677"/>
      <c r="E49" s="677"/>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3984375" defaultRowHeight="14.4"/>
  <cols>
    <col min="1" max="1" width="30" customWidth="1"/>
    <col min="2" max="2" width="9.41796875" customWidth="1"/>
    <col min="3" max="3" width="12.41796875" customWidth="1"/>
    <col min="4" max="4" width="8.41796875" customWidth="1"/>
    <col min="5" max="5" width="12.41796875" customWidth="1"/>
    <col min="6" max="6" width="9" customWidth="1"/>
    <col min="7" max="7" width="11.41796875" bestFit="1" customWidth="1"/>
    <col min="8" max="8" width="8.83984375" customWidth="1"/>
    <col min="9" max="9" width="12.41796875" customWidth="1"/>
    <col min="10" max="10" width="12.68359375" bestFit="1" customWidth="1"/>
    <col min="11" max="11" width="11.41796875" bestFit="1" customWidth="1"/>
    <col min="12" max="12" width="13.26171875" customWidth="1"/>
    <col min="13" max="13" width="11.41796875" bestFit="1" customWidth="1"/>
    <col min="14" max="14" width="9.15625" customWidth="1"/>
    <col min="15" max="15" width="11.41796875" bestFit="1" customWidth="1"/>
    <col min="16" max="16" width="8.83984375" customWidth="1"/>
    <col min="17" max="17" width="11.41796875" bestFit="1" customWidth="1"/>
    <col min="18" max="18" width="8.41796875" customWidth="1"/>
    <col min="19" max="19" width="11.41796875" bestFit="1" customWidth="1"/>
    <col min="20" max="20" width="11" bestFit="1" customWidth="1"/>
    <col min="21" max="21" width="8.15625" customWidth="1"/>
    <col min="22" max="22" width="8.41796875" customWidth="1"/>
    <col min="23" max="23" width="11.41796875" bestFit="1" customWidth="1"/>
    <col min="24" max="24" width="7.83984375" bestFit="1" customWidth="1"/>
    <col min="25" max="25" width="11.83984375" bestFit="1" customWidth="1"/>
    <col min="26" max="26" width="7.83984375" bestFit="1" customWidth="1"/>
    <col min="27" max="27" width="12.41796875" bestFit="1" customWidth="1"/>
    <col min="28" max="28" width="10" customWidth="1"/>
    <col min="29" max="29" width="11.83984375" bestFit="1" customWidth="1"/>
    <col min="30" max="30" width="12" bestFit="1" customWidth="1"/>
  </cols>
  <sheetData>
    <row r="1" spans="1:33">
      <c r="A1" t="s">
        <v>181</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85" t="s">
        <v>217</v>
      </c>
      <c r="B3" s="685"/>
      <c r="C3" s="685"/>
      <c r="D3" s="685"/>
      <c r="E3" s="685"/>
      <c r="F3" s="685"/>
      <c r="G3" s="685"/>
      <c r="H3" s="24"/>
      <c r="I3" s="24"/>
      <c r="J3" s="24"/>
      <c r="K3" s="24"/>
      <c r="L3" s="24"/>
      <c r="M3" s="24"/>
      <c r="N3" s="24"/>
      <c r="O3" s="24"/>
      <c r="P3" s="24"/>
      <c r="Q3" s="24"/>
      <c r="R3" s="24"/>
      <c r="AB3" s="23" t="s">
        <v>218</v>
      </c>
    </row>
    <row r="4" spans="1:33" ht="78.75" customHeight="1">
      <c r="A4" s="685"/>
      <c r="B4" s="685"/>
      <c r="C4" s="685"/>
      <c r="D4" s="685"/>
      <c r="E4" s="685"/>
      <c r="F4" s="685"/>
      <c r="G4" s="685"/>
      <c r="AB4" s="23" t="s">
        <v>219</v>
      </c>
    </row>
    <row r="5" spans="1:33" ht="14.85" customHeight="1">
      <c r="A5" s="57" t="s">
        <v>181</v>
      </c>
      <c r="B5" s="686">
        <v>2007</v>
      </c>
      <c r="C5" s="686"/>
      <c r="D5" s="686">
        <v>2008</v>
      </c>
      <c r="E5" s="686"/>
      <c r="F5" s="686">
        <v>2009</v>
      </c>
      <c r="G5" s="686"/>
      <c r="H5" s="686">
        <v>2010</v>
      </c>
      <c r="I5" s="686"/>
      <c r="J5" s="686">
        <v>2011</v>
      </c>
      <c r="K5" s="686"/>
      <c r="L5" s="686">
        <v>2012</v>
      </c>
      <c r="M5" s="686"/>
      <c r="N5" s="686">
        <v>2013</v>
      </c>
      <c r="O5" s="686"/>
      <c r="P5" s="686">
        <v>2014</v>
      </c>
      <c r="Q5" s="686"/>
      <c r="R5" s="686">
        <v>2015</v>
      </c>
      <c r="S5" s="686"/>
      <c r="T5" s="686">
        <v>2016</v>
      </c>
      <c r="U5" s="686"/>
      <c r="V5" s="686">
        <v>2017</v>
      </c>
      <c r="W5" s="686"/>
      <c r="X5" s="686">
        <v>2018</v>
      </c>
      <c r="Y5" s="686"/>
      <c r="Z5" s="687">
        <v>2019</v>
      </c>
      <c r="AA5" s="687"/>
      <c r="AB5" s="687">
        <v>2020</v>
      </c>
      <c r="AC5" s="687"/>
      <c r="AD5" t="s">
        <v>220</v>
      </c>
    </row>
    <row r="6" spans="1:33" ht="14.85" customHeight="1">
      <c r="A6" s="77" t="s">
        <v>221</v>
      </c>
      <c r="B6" s="148" t="s">
        <v>222</v>
      </c>
      <c r="C6" s="149" t="s">
        <v>223</v>
      </c>
      <c r="D6" s="1" t="s">
        <v>222</v>
      </c>
      <c r="E6" s="149" t="s">
        <v>223</v>
      </c>
      <c r="F6" s="1" t="s">
        <v>222</v>
      </c>
      <c r="G6" s="149" t="s">
        <v>223</v>
      </c>
      <c r="H6" s="1" t="s">
        <v>222</v>
      </c>
      <c r="I6" s="149" t="s">
        <v>223</v>
      </c>
      <c r="J6" s="1" t="s">
        <v>222</v>
      </c>
      <c r="K6" s="149" t="s">
        <v>223</v>
      </c>
      <c r="L6" s="1" t="s">
        <v>222</v>
      </c>
      <c r="M6" s="149" t="s">
        <v>223</v>
      </c>
      <c r="N6" s="1" t="s">
        <v>222</v>
      </c>
      <c r="O6" s="149" t="s">
        <v>223</v>
      </c>
      <c r="P6" s="1" t="s">
        <v>222</v>
      </c>
      <c r="Q6" s="149" t="s">
        <v>223</v>
      </c>
      <c r="R6" s="1" t="s">
        <v>222</v>
      </c>
      <c r="S6" s="149" t="s">
        <v>223</v>
      </c>
      <c r="T6" s="1" t="s">
        <v>222</v>
      </c>
      <c r="U6" s="149" t="s">
        <v>223</v>
      </c>
      <c r="V6" s="1" t="s">
        <v>222</v>
      </c>
      <c r="W6" s="149" t="s">
        <v>223</v>
      </c>
      <c r="X6" s="1" t="s">
        <v>222</v>
      </c>
      <c r="Y6" s="1" t="s">
        <v>223</v>
      </c>
      <c r="Z6" s="241" t="s">
        <v>222</v>
      </c>
      <c r="AA6" s="242" t="s">
        <v>223</v>
      </c>
      <c r="AB6" s="241" t="s">
        <v>222</v>
      </c>
      <c r="AC6" s="242" t="s">
        <v>223</v>
      </c>
      <c r="AD6" s="1"/>
    </row>
    <row r="7" spans="1:33" ht="14.85" customHeight="1">
      <c r="A7" s="26" t="s">
        <v>224</v>
      </c>
      <c r="B7" s="318">
        <v>88851</v>
      </c>
      <c r="C7" s="319">
        <f t="shared" ref="C7:C33" si="2">(B7/$B$38)</f>
        <v>0.48468235525153014</v>
      </c>
      <c r="D7" s="26">
        <v>95879</v>
      </c>
      <c r="E7" s="319">
        <f t="shared" ref="E7:E33" si="3">(D7/$D$38)</f>
        <v>0.48312715729006578</v>
      </c>
      <c r="F7" s="26">
        <v>112153</v>
      </c>
      <c r="G7" s="319">
        <f t="shared" ref="G7:G33" si="4">(F7/$F$38)</f>
        <v>0.46621245250704602</v>
      </c>
      <c r="H7" s="26">
        <v>110393</v>
      </c>
      <c r="I7" s="319">
        <f t="shared" ref="I7:I33" si="5">(H7/$H$38)</f>
        <v>0.42913398070329567</v>
      </c>
      <c r="J7" s="320">
        <v>119765</v>
      </c>
      <c r="K7" s="319">
        <f t="shared" ref="K7:K33" si="6">(J7/$J$38)</f>
        <v>0.44819379006575183</v>
      </c>
      <c r="L7" s="26">
        <v>131624</v>
      </c>
      <c r="M7" s="319">
        <f t="shared" ref="M7:M33" si="7">(L7/$L$38)</f>
        <v>0.48354555006135058</v>
      </c>
      <c r="N7" s="26">
        <v>151690</v>
      </c>
      <c r="O7" s="319">
        <f t="shared" ref="O7:O33" si="8">(N7/$N$38)</f>
        <v>0.55279403511585024</v>
      </c>
      <c r="P7" s="26">
        <v>163600</v>
      </c>
      <c r="Q7" s="319">
        <f t="shared" ref="Q7:Q33" si="9">(P7/$P$38)</f>
        <v>0.57268876675884761</v>
      </c>
      <c r="R7" s="26">
        <v>187868</v>
      </c>
      <c r="S7" s="319">
        <f t="shared" ref="S7:S33" si="10">(R7/$R$38)</f>
        <v>0.58675195122789159</v>
      </c>
      <c r="T7" s="26">
        <v>173842</v>
      </c>
      <c r="U7" s="319">
        <f t="shared" ref="U7:U33" si="11">(T7/$T$38)</f>
        <v>0.54350592303339351</v>
      </c>
      <c r="V7" s="26">
        <v>157055</v>
      </c>
      <c r="W7" s="319">
        <f t="shared" ref="W7:W33" si="12">(V7/$V$38)</f>
        <v>0.47820222392731437</v>
      </c>
      <c r="X7" s="26">
        <v>140818</v>
      </c>
      <c r="Y7" s="321">
        <f t="shared" ref="Y7:Y33" si="13">(X7/$X$38)</f>
        <v>0.43634459379899726</v>
      </c>
      <c r="Z7" s="322">
        <v>127641</v>
      </c>
      <c r="AA7" s="323">
        <f t="shared" ref="AA7:AA33" si="14">(Z7/$Z$38)</f>
        <v>0.40382498101746395</v>
      </c>
      <c r="AB7" s="26">
        <f>46476*2</f>
        <v>92952</v>
      </c>
      <c r="AC7" s="321">
        <f t="shared" ref="AC7:AC33" si="15">AB7/$AB$38</f>
        <v>0.358250372888411</v>
      </c>
    </row>
    <row r="8" spans="1:33" ht="14.85" customHeight="1">
      <c r="A8" t="s">
        <v>225</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3">
        <v>22470</v>
      </c>
      <c r="AA8" s="278">
        <f t="shared" si="14"/>
        <v>7.1089597570235377E-2</v>
      </c>
      <c r="AB8">
        <f>8331*2</f>
        <v>16662</v>
      </c>
      <c r="AC8" s="24">
        <f t="shared" si="15"/>
        <v>6.4217743707146738E-2</v>
      </c>
    </row>
    <row r="9" spans="1:33" ht="14.85" customHeight="1">
      <c r="A9" t="s">
        <v>226</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4">
        <v>0</v>
      </c>
      <c r="AA9" s="278">
        <f t="shared" si="14"/>
        <v>0</v>
      </c>
      <c r="AB9" s="279">
        <f>Z9</f>
        <v>0</v>
      </c>
      <c r="AC9" s="24">
        <f t="shared" si="15"/>
        <v>0</v>
      </c>
    </row>
    <row r="10" spans="1:33" ht="14.85" customHeight="1">
      <c r="A10" t="s">
        <v>227</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3">
        <v>12747</v>
      </c>
      <c r="AA10" s="278">
        <f t="shared" si="14"/>
        <v>4.0328397873955958E-2</v>
      </c>
      <c r="AB10">
        <f>4529*2</f>
        <v>9058</v>
      </c>
      <c r="AC10" s="24">
        <f t="shared" si="15"/>
        <v>3.4910834383587511E-2</v>
      </c>
      <c r="AD10" s="27"/>
      <c r="AE10" s="27"/>
      <c r="AF10" s="27"/>
      <c r="AG10" s="27"/>
    </row>
    <row r="11" spans="1:33" ht="14.85" customHeight="1">
      <c r="A11" t="s">
        <v>228</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3">
        <v>20552</v>
      </c>
      <c r="AA11" s="278">
        <f t="shared" si="14"/>
        <v>6.5021513540875722E-2</v>
      </c>
      <c r="AB11">
        <f>8638*2</f>
        <v>17276</v>
      </c>
      <c r="AC11" s="24">
        <f t="shared" si="15"/>
        <v>6.6584187989717145E-2</v>
      </c>
      <c r="AD11" s="27"/>
      <c r="AE11" s="27"/>
      <c r="AF11" s="27"/>
      <c r="AG11" s="27"/>
    </row>
    <row r="12" spans="1:33" ht="14.85" customHeight="1">
      <c r="A12" t="s">
        <v>229</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3">
        <v>3003</v>
      </c>
      <c r="AA12" s="278">
        <f t="shared" si="14"/>
        <v>9.5007593014426722E-3</v>
      </c>
      <c r="AB12">
        <f>1241*2</f>
        <v>2482</v>
      </c>
      <c r="AC12" s="24">
        <f t="shared" si="15"/>
        <v>9.5659848686315083E-3</v>
      </c>
      <c r="AD12" s="27"/>
      <c r="AE12" s="27"/>
      <c r="AF12" s="27"/>
      <c r="AG12" s="27"/>
    </row>
    <row r="13" spans="1:33" ht="14.85" customHeight="1">
      <c r="A13" t="s">
        <v>230</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3">
        <v>1839</v>
      </c>
      <c r="AA13" s="278">
        <f t="shared" si="14"/>
        <v>5.8181473044798789E-3</v>
      </c>
      <c r="AB13" s="460">
        <f>717*2</f>
        <v>1434</v>
      </c>
      <c r="AC13" s="24">
        <f t="shared" si="15"/>
        <v>5.5268421843745301E-3</v>
      </c>
    </row>
    <row r="14" spans="1:33" ht="14.85" customHeight="1">
      <c r="A14" t="s">
        <v>231</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3">
        <v>2210</v>
      </c>
      <c r="AA14" s="278">
        <f t="shared" si="14"/>
        <v>6.9919007846114909E-3</v>
      </c>
      <c r="AB14" s="460">
        <f>708*2</f>
        <v>1416</v>
      </c>
      <c r="AC14" s="24">
        <f t="shared" si="15"/>
        <v>5.4574675962861469E-3</v>
      </c>
    </row>
    <row r="15" spans="1:33" ht="14.85" customHeight="1">
      <c r="A15" t="s">
        <v>232</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3">
        <v>8196</v>
      </c>
      <c r="AA15" s="278">
        <f t="shared" si="14"/>
        <v>2.5930144267274108E-2</v>
      </c>
      <c r="AB15">
        <f>3886*2</f>
        <v>7772</v>
      </c>
      <c r="AC15" s="24">
        <f t="shared" si="15"/>
        <v>2.9954405479050802E-2</v>
      </c>
    </row>
    <row r="16" spans="1:33" ht="14.85" customHeight="1">
      <c r="A16" t="s">
        <v>233</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3">
        <v>1582</v>
      </c>
      <c r="AA16" s="278">
        <f t="shared" si="14"/>
        <v>5.0050620096178181E-3</v>
      </c>
      <c r="AB16" s="460">
        <f>564*2</f>
        <v>1128</v>
      </c>
      <c r="AC16" s="24">
        <f t="shared" si="15"/>
        <v>4.3474741868720157E-3</v>
      </c>
    </row>
    <row r="17" spans="1:33" ht="14.85" customHeight="1">
      <c r="A17" t="s">
        <v>234</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4">
        <v>0</v>
      </c>
      <c r="AA17" s="278">
        <f t="shared" si="14"/>
        <v>0</v>
      </c>
      <c r="AB17" s="279">
        <f>Z17</f>
        <v>0</v>
      </c>
      <c r="AC17" s="24">
        <f t="shared" si="15"/>
        <v>0</v>
      </c>
    </row>
    <row r="18" spans="1:33" ht="14.85" customHeight="1">
      <c r="A18" t="s">
        <v>235</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4">
        <v>0</v>
      </c>
      <c r="AA18" s="278">
        <f t="shared" si="14"/>
        <v>0</v>
      </c>
      <c r="AB18" s="460">
        <f>169*2</f>
        <v>338</v>
      </c>
      <c r="AC18" s="24">
        <f t="shared" si="15"/>
        <v>1.3027005985485295E-3</v>
      </c>
    </row>
    <row r="19" spans="1:33" ht="14.85" customHeight="1">
      <c r="A19" t="s">
        <v>236</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3">
        <v>1408</v>
      </c>
      <c r="AA19" s="278">
        <f t="shared" si="14"/>
        <v>4.4545684636800812E-3</v>
      </c>
      <c r="AB19" s="279">
        <f t="shared" ref="AB19:AB21" si="16">Z19</f>
        <v>1408</v>
      </c>
      <c r="AC19" s="24">
        <f t="shared" si="15"/>
        <v>5.4266344460246431E-3</v>
      </c>
    </row>
    <row r="20" spans="1:33" ht="14.85" customHeight="1">
      <c r="A20" t="s">
        <v>237</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4">
        <v>0</v>
      </c>
      <c r="AA20" s="278">
        <f t="shared" si="14"/>
        <v>0</v>
      </c>
      <c r="AB20" s="279">
        <f t="shared" si="16"/>
        <v>0</v>
      </c>
      <c r="AC20" s="24">
        <f t="shared" si="15"/>
        <v>0</v>
      </c>
    </row>
    <row r="21" spans="1:33" ht="14.25" customHeight="1">
      <c r="A21" t="s">
        <v>238</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4">
        <v>0</v>
      </c>
      <c r="AA21" s="278">
        <f t="shared" si="14"/>
        <v>0</v>
      </c>
      <c r="AB21" s="279">
        <f t="shared" si="16"/>
        <v>0</v>
      </c>
      <c r="AC21" s="24">
        <f t="shared" si="15"/>
        <v>0</v>
      </c>
    </row>
    <row r="22" spans="1:33" ht="14.85" customHeight="1">
      <c r="A22" s="457" t="s">
        <v>239</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3">
        <v>98954</v>
      </c>
      <c r="AA22" s="278">
        <f t="shared" si="14"/>
        <v>0.31306631232599341</v>
      </c>
      <c r="AB22">
        <f>49284*2</f>
        <v>98568</v>
      </c>
      <c r="AC22" s="24">
        <f t="shared" si="15"/>
        <v>0.37989524437198652</v>
      </c>
    </row>
    <row r="23" spans="1:33" ht="14.85" customHeight="1">
      <c r="A23" s="457" t="s">
        <v>240</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3">
        <v>0</v>
      </c>
      <c r="AA23" s="278">
        <f t="shared" si="14"/>
        <v>0</v>
      </c>
      <c r="AB23">
        <f>(861-279)+571</f>
        <v>1153</v>
      </c>
      <c r="AC23" s="24">
        <f t="shared" si="15"/>
        <v>4.4438277814392146E-3</v>
      </c>
    </row>
    <row r="24" spans="1:33" ht="14.85" customHeight="1">
      <c r="A24" s="457" t="s">
        <v>241</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3">
        <v>12190</v>
      </c>
      <c r="AA24" s="278">
        <f t="shared" si="14"/>
        <v>3.8566185775752972E-2</v>
      </c>
      <c r="AB24" s="21">
        <f>2337*2</f>
        <v>4674</v>
      </c>
      <c r="AC24" s="24">
        <f t="shared" si="15"/>
        <v>1.8014268040283509E-2</v>
      </c>
      <c r="AD24" s="21"/>
      <c r="AE24" s="27"/>
      <c r="AF24" s="27"/>
      <c r="AG24" s="27"/>
    </row>
    <row r="25" spans="1:33" ht="14.85" customHeight="1">
      <c r="A25" s="457" t="s">
        <v>242</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4">
        <v>0</v>
      </c>
      <c r="AA25" s="278">
        <f t="shared" si="14"/>
        <v>0</v>
      </c>
      <c r="AB25" s="280">
        <f>Z25</f>
        <v>0</v>
      </c>
      <c r="AC25" s="24">
        <f t="shared" si="15"/>
        <v>0</v>
      </c>
    </row>
    <row r="26" spans="1:33" ht="14.85" customHeight="1">
      <c r="A26" s="457" t="s">
        <v>243</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4">
        <v>0</v>
      </c>
      <c r="AA26" s="278">
        <f t="shared" si="14"/>
        <v>0</v>
      </c>
      <c r="AB26" s="280">
        <f t="shared" ref="AB26:AB27" si="17">Z26</f>
        <v>0</v>
      </c>
      <c r="AC26" s="24">
        <f t="shared" si="15"/>
        <v>0</v>
      </c>
    </row>
    <row r="27" spans="1:33" ht="14.85" customHeight="1">
      <c r="A27" s="457" t="s">
        <v>244</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4">
        <v>0</v>
      </c>
      <c r="AA27" s="278">
        <f t="shared" si="14"/>
        <v>0</v>
      </c>
      <c r="AB27" s="280">
        <f t="shared" si="17"/>
        <v>0</v>
      </c>
      <c r="AC27" s="24">
        <f t="shared" si="15"/>
        <v>0</v>
      </c>
    </row>
    <row r="28" spans="1:33" ht="14.85" customHeight="1">
      <c r="A28" s="457" t="s">
        <v>245</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4">
        <v>0</v>
      </c>
      <c r="AA28" s="278">
        <f t="shared" si="14"/>
        <v>0</v>
      </c>
      <c r="AB28">
        <f>82</f>
        <v>82</v>
      </c>
      <c r="AC28" s="24">
        <f t="shared" si="15"/>
        <v>3.1603979018041248E-4</v>
      </c>
    </row>
    <row r="29" spans="1:33" ht="14.85" customHeight="1">
      <c r="A29" s="457" t="s">
        <v>246</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3">
        <v>3288</v>
      </c>
      <c r="AA29" s="278">
        <f t="shared" si="14"/>
        <v>1.0402429764616554E-2</v>
      </c>
      <c r="AB29">
        <f>1210*2</f>
        <v>2420</v>
      </c>
      <c r="AC29" s="24">
        <f t="shared" si="15"/>
        <v>9.3270279541048558E-3</v>
      </c>
    </row>
    <row r="30" spans="1:33" ht="14.85" customHeight="1">
      <c r="A30" s="457" t="s">
        <v>247</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4">
        <v>0</v>
      </c>
      <c r="AA30" s="278">
        <f t="shared" si="14"/>
        <v>0</v>
      </c>
      <c r="AB30" s="280">
        <f>Z30</f>
        <v>0</v>
      </c>
      <c r="AC30" s="24">
        <f t="shared" si="15"/>
        <v>0</v>
      </c>
    </row>
    <row r="31" spans="1:33" ht="14.85" customHeight="1">
      <c r="A31" s="457" t="s">
        <v>248</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4">
        <v>0</v>
      </c>
      <c r="AA31" s="278">
        <f t="shared" si="14"/>
        <v>0</v>
      </c>
      <c r="AB31" s="280">
        <f t="shared" ref="AB31:AB32" si="18">Z31</f>
        <v>0</v>
      </c>
      <c r="AC31" s="24">
        <f t="shared" si="15"/>
        <v>0</v>
      </c>
    </row>
    <row r="32" spans="1:33" ht="14.85" customHeight="1">
      <c r="A32" s="457" t="s">
        <v>249</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4">
        <v>0</v>
      </c>
      <c r="AA32" s="278">
        <f t="shared" si="14"/>
        <v>0</v>
      </c>
      <c r="AB32" s="280">
        <f t="shared" si="18"/>
        <v>0</v>
      </c>
      <c r="AC32" s="24">
        <f t="shared" si="15"/>
        <v>0</v>
      </c>
    </row>
    <row r="33" spans="1:29" ht="14.85" customHeight="1">
      <c r="A33" s="457" t="s">
        <v>250</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4">
        <v>0</v>
      </c>
      <c r="AA33" s="278">
        <f t="shared" si="14"/>
        <v>0</v>
      </c>
      <c r="AB33" s="21">
        <f>319*2</f>
        <v>638</v>
      </c>
      <c r="AC33" s="24">
        <f t="shared" si="15"/>
        <v>2.4589437333549166E-3</v>
      </c>
    </row>
    <row r="34" spans="1:29" ht="14.85" customHeight="1">
      <c r="A34" s="458" t="s">
        <v>251</v>
      </c>
      <c r="B34" s="459"/>
      <c r="C34" s="319"/>
      <c r="D34" s="26"/>
      <c r="E34" s="319"/>
      <c r="F34" s="26">
        <f>SUM(F23:F33)</f>
        <v>0</v>
      </c>
      <c r="G34" s="319">
        <f>F34/F35</f>
        <v>0</v>
      </c>
      <c r="H34" s="26">
        <f>SUM(H23:H33)</f>
        <v>0</v>
      </c>
      <c r="I34" s="319">
        <f>H34/H35</f>
        <v>0</v>
      </c>
      <c r="J34" s="26">
        <f>SUM(J23:J33)</f>
        <v>0</v>
      </c>
      <c r="K34" s="319">
        <f>J34/J35</f>
        <v>0</v>
      </c>
      <c r="L34" s="26">
        <f>SUM(L23:L33)</f>
        <v>0</v>
      </c>
      <c r="M34" s="319">
        <v>0</v>
      </c>
      <c r="N34" s="26">
        <f>SUM(N23:N33)</f>
        <v>0</v>
      </c>
      <c r="O34" s="319">
        <f>N34/N35</f>
        <v>0</v>
      </c>
      <c r="P34" s="26">
        <f>SUM(P23:P33)</f>
        <v>0</v>
      </c>
      <c r="Q34" s="319">
        <f>P34/P35</f>
        <v>0</v>
      </c>
      <c r="R34" s="26">
        <f>SUM(R23:R33)</f>
        <v>2412</v>
      </c>
      <c r="S34" s="319">
        <f>R34/R35</f>
        <v>0.14312841205791599</v>
      </c>
      <c r="T34" s="26">
        <f>SUM(T23:T33)</f>
        <v>5193</v>
      </c>
      <c r="U34" s="319">
        <f>T34/T35</f>
        <v>0.13182879772542649</v>
      </c>
      <c r="V34" s="26">
        <f>SUM(V23:V33)</f>
        <v>18094</v>
      </c>
      <c r="W34" s="319">
        <f>V34/V35</f>
        <v>0.24246891080617497</v>
      </c>
      <c r="X34" s="26">
        <f>SUM(X23:X33)</f>
        <v>12526</v>
      </c>
      <c r="Y34" s="319">
        <f>X34/X35</f>
        <v>0.13008484697427589</v>
      </c>
      <c r="Z34" s="26">
        <f>SUM(Z23:Z33)</f>
        <v>15478</v>
      </c>
      <c r="AA34" s="319">
        <f>Z34/Z35</f>
        <v>0.13525936800894856</v>
      </c>
      <c r="AB34" s="26">
        <f>SUM(AB23:AB33)</f>
        <v>8967</v>
      </c>
      <c r="AC34" s="319">
        <f>AB34/AB35</f>
        <v>8.3386804296275638E-2</v>
      </c>
    </row>
    <row r="35" spans="1:29" ht="14.85" customHeight="1">
      <c r="A35" s="324" t="s">
        <v>252</v>
      </c>
      <c r="B35" s="318">
        <f>SUM(B22:B33)</f>
        <v>966</v>
      </c>
      <c r="C35" s="319">
        <f>(B35/$B$38)</f>
        <v>5.2695316335548067E-3</v>
      </c>
      <c r="D35" s="318">
        <f>SUM(D22:D33)</f>
        <v>543</v>
      </c>
      <c r="E35" s="319">
        <f>(D35/$D$38)</f>
        <v>2.7361366556650124E-3</v>
      </c>
      <c r="F35" s="318">
        <f>SUM(F22:F33)</f>
        <v>652</v>
      </c>
      <c r="G35" s="319">
        <f>(F35/$F$38)</f>
        <v>2.710320000665109E-3</v>
      </c>
      <c r="H35" s="318">
        <f>SUM(H22:H33)</f>
        <v>678</v>
      </c>
      <c r="I35" s="319">
        <f>(H35/$H$38)</f>
        <v>2.6356094944139075E-3</v>
      </c>
      <c r="J35" s="318">
        <f>SUM(J22:J33)</f>
        <v>648</v>
      </c>
      <c r="K35" s="319">
        <f>(J35/$J$38)</f>
        <v>2.424995415710827E-3</v>
      </c>
      <c r="L35" s="318">
        <f>SUM(L22:L33)</f>
        <v>0</v>
      </c>
      <c r="M35" s="319">
        <f>(L35/$L$38)</f>
        <v>0</v>
      </c>
      <c r="N35" s="318">
        <f>SUM(N22:N33)</f>
        <v>978</v>
      </c>
      <c r="O35" s="319">
        <f>(N35/$N$38)</f>
        <v>3.564062010305897E-3</v>
      </c>
      <c r="P35" s="318">
        <f>SUM(P22:P33)</f>
        <v>4697</v>
      </c>
      <c r="Q35" s="319">
        <f>(P35/$P$38)</f>
        <v>1.6442048517520215E-2</v>
      </c>
      <c r="R35" s="318">
        <f>SUM(R22:R33)</f>
        <v>16852</v>
      </c>
      <c r="S35" s="319">
        <f>(R35/$R$38)</f>
        <v>5.2632400845766328E-2</v>
      </c>
      <c r="T35" s="318">
        <f>SUM(T22:T33)</f>
        <v>39392</v>
      </c>
      <c r="U35" s="319">
        <f>(T35/$T$38)</f>
        <v>0.12315657505166436</v>
      </c>
      <c r="V35" s="318">
        <f>SUM(V22:V33)</f>
        <v>74624</v>
      </c>
      <c r="W35" s="319">
        <f>(V35/$V$38)</f>
        <v>0.22721570633441729</v>
      </c>
      <c r="X35" s="318">
        <f>SUM(X22:X33)</f>
        <v>96291</v>
      </c>
      <c r="Y35" s="321">
        <f>(X35/$X$38)</f>
        <v>0.29837135367282058</v>
      </c>
      <c r="Z35" s="318">
        <f>SUM(Z22:Z33)</f>
        <v>114432</v>
      </c>
      <c r="AA35" s="323">
        <f>(Z35/$Z$38)</f>
        <v>0.36203492786636293</v>
      </c>
      <c r="AB35" s="318">
        <f>SUM(AB22:AB33)</f>
        <v>107535</v>
      </c>
      <c r="AC35" s="321">
        <f>AB35/$AB$38</f>
        <v>0.41445535167134945</v>
      </c>
    </row>
    <row r="36" spans="1:29" ht="14.85" customHeight="1">
      <c r="A36" s="324" t="s">
        <v>253</v>
      </c>
      <c r="B36" s="320">
        <f>SUM(B8:B18)</f>
        <v>92897</v>
      </c>
      <c r="C36" s="321">
        <f>(B36/$B$38)</f>
        <v>0.5067532920935206</v>
      </c>
      <c r="D36" s="320">
        <f>SUM(D8:D18)</f>
        <v>101665</v>
      </c>
      <c r="E36" s="319">
        <f>(D36/$D$38)</f>
        <v>0.51228238139628635</v>
      </c>
      <c r="F36" s="320">
        <f>SUM(F8:F18)</f>
        <v>127757</v>
      </c>
      <c r="G36" s="319">
        <f>(F36/$F$38)</f>
        <v>0.53107722749228892</v>
      </c>
      <c r="H36" s="320">
        <f>SUM(H8:H18)</f>
        <v>145716</v>
      </c>
      <c r="I36" s="319">
        <f>(H36/$H$38)</f>
        <v>0.56644612549855</v>
      </c>
      <c r="J36" s="320">
        <f>SUM(J8:J18)</f>
        <v>146804</v>
      </c>
      <c r="K36" s="319">
        <f>(J36/$J$38)</f>
        <v>0.54938121451853739</v>
      </c>
      <c r="L36" s="320">
        <f>SUM(L8:L18)</f>
        <v>140582</v>
      </c>
      <c r="M36" s="319">
        <f>(L36/$L$38)</f>
        <v>0.51645444993864942</v>
      </c>
      <c r="N36" s="320">
        <f>SUM(N8:N18)</f>
        <v>121738</v>
      </c>
      <c r="O36" s="319">
        <f>(N36/$N$38)</f>
        <v>0.44364190287384386</v>
      </c>
      <c r="P36" s="320">
        <f>SUM(P8:P18)</f>
        <v>117373</v>
      </c>
      <c r="Q36" s="319">
        <f>(P36/$P$38)</f>
        <v>0.41086918472363215</v>
      </c>
      <c r="R36" s="320">
        <f>SUM(R8:R18)</f>
        <v>114537</v>
      </c>
      <c r="S36" s="319">
        <f>(R36/$R$38)</f>
        <v>0.35772355184378934</v>
      </c>
      <c r="T36" s="320">
        <f>SUM(T8:T18)</f>
        <v>105745</v>
      </c>
      <c r="U36" s="319">
        <f>(T36/$T$38)</f>
        <v>0.33060499667034543</v>
      </c>
      <c r="V36" s="320">
        <f>SUM(V8:V18)</f>
        <v>95553</v>
      </c>
      <c r="W36" s="319">
        <f>(V36/$V$38)</f>
        <v>0.29094048010522855</v>
      </c>
      <c r="X36" s="320">
        <f>SUM(X8:X18)</f>
        <v>84478</v>
      </c>
      <c r="Y36" s="321">
        <f>(X36/$X$38)</f>
        <v>0.26176709365955836</v>
      </c>
      <c r="Z36" s="320">
        <f>SUM(Z8:Z18)</f>
        <v>72599</v>
      </c>
      <c r="AA36" s="323">
        <f>(Z36/$Z$38)</f>
        <v>0.22968552265249303</v>
      </c>
      <c r="AB36" s="320">
        <f>SUM(AB8:AB18)</f>
        <v>57566</v>
      </c>
      <c r="AC36" s="321">
        <f>AB36/$AB$38</f>
        <v>0.22186764099421494</v>
      </c>
    </row>
    <row r="37" spans="1:29" ht="14.85" customHeight="1">
      <c r="A37" s="324" t="s">
        <v>254</v>
      </c>
      <c r="B37" s="320">
        <f>SUM(B35,B7)</f>
        <v>89817</v>
      </c>
      <c r="C37" s="325">
        <f>B35/B37</f>
        <v>1.0755202244563947E-2</v>
      </c>
      <c r="D37" s="320">
        <f>SUM(D35,D7)</f>
        <v>96422</v>
      </c>
      <c r="E37" s="325">
        <f>D35/D37</f>
        <v>5.6314948870589696E-3</v>
      </c>
      <c r="F37" s="320">
        <f>SUM(F35,F7)</f>
        <v>112805</v>
      </c>
      <c r="G37" s="325">
        <f>F35/F37</f>
        <v>5.7798856433668722E-3</v>
      </c>
      <c r="H37" s="320">
        <f>SUM(H35,H7)</f>
        <v>111071</v>
      </c>
      <c r="I37" s="325">
        <f>H35/H37</f>
        <v>6.1042036175059195E-3</v>
      </c>
      <c r="J37" s="320">
        <f>SUM(J35,J7)</f>
        <v>120413</v>
      </c>
      <c r="K37" s="325">
        <f>J35/J37</f>
        <v>5.3814787439894363E-3</v>
      </c>
      <c r="L37" s="320">
        <f>SUM(L35,L7)</f>
        <v>131624</v>
      </c>
      <c r="M37" s="325">
        <f>L35/L37</f>
        <v>0</v>
      </c>
      <c r="N37" s="320">
        <f>SUM(N35,N7)</f>
        <v>152668</v>
      </c>
      <c r="O37" s="325">
        <f>N35/N37</f>
        <v>6.4060575890166902E-3</v>
      </c>
      <c r="P37" s="320">
        <f>SUM(P35,P7)</f>
        <v>168297</v>
      </c>
      <c r="Q37" s="325">
        <f>P35/P37</f>
        <v>2.7908994218554105E-2</v>
      </c>
      <c r="R37" s="320">
        <f>SUM(R35,R7)</f>
        <v>204720</v>
      </c>
      <c r="S37" s="325">
        <f>R35/R37</f>
        <v>8.2317311449785074E-2</v>
      </c>
      <c r="T37" s="320">
        <f>SUM(T35,T7)</f>
        <v>213234</v>
      </c>
      <c r="U37" s="325">
        <f>T35/T37</f>
        <v>0.18473601770824541</v>
      </c>
      <c r="V37" s="320">
        <f>SUM(V35,V7)</f>
        <v>231679</v>
      </c>
      <c r="W37" s="325">
        <f>V35/V37</f>
        <v>0.32210083779712445</v>
      </c>
      <c r="X37" s="320">
        <f>SUM(X35,X7)</f>
        <v>237109</v>
      </c>
      <c r="Y37" s="325">
        <f>X35/X37</f>
        <v>0.40610436550278561</v>
      </c>
      <c r="Z37" s="320">
        <f>SUM(Z35,Z7)</f>
        <v>242073</v>
      </c>
      <c r="AA37" s="325">
        <f>Z35/Z37</f>
        <v>0.47271690770965785</v>
      </c>
      <c r="AB37" s="322">
        <f>SUM(AB35,AB7)</f>
        <v>200487</v>
      </c>
      <c r="AC37" s="325">
        <f>AB35/AB37</f>
        <v>0.53636894162713789</v>
      </c>
    </row>
    <row r="38" spans="1:29" ht="14.85" customHeight="1">
      <c r="A38" t="s">
        <v>255</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5"/>
      <c r="AB38" s="192">
        <f>SUM(AB7:AB33)</f>
        <v>259461</v>
      </c>
      <c r="AC38" s="61"/>
    </row>
    <row r="39" spans="1:29" ht="14.85" customHeight="1">
      <c r="E39" s="24"/>
      <c r="I39" s="24"/>
      <c r="Q39" s="24"/>
    </row>
    <row r="40" spans="1:29">
      <c r="A40" t="s">
        <v>181</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B5:AC5"/>
    <mergeCell ref="Z5:AA5"/>
    <mergeCell ref="N5:O5"/>
    <mergeCell ref="P5:Q5"/>
    <mergeCell ref="R5:S5"/>
    <mergeCell ref="T5:U5"/>
    <mergeCell ref="A3:G4"/>
    <mergeCell ref="V5:W5"/>
    <mergeCell ref="X5:Y5"/>
    <mergeCell ref="B5:C5"/>
    <mergeCell ref="D5:E5"/>
    <mergeCell ref="F5:G5"/>
    <mergeCell ref="H5:I5"/>
    <mergeCell ref="J5:K5"/>
    <mergeCell ref="L5:M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T123"/>
  <sheetViews>
    <sheetView tabSelected="1" zoomScale="85" zoomScaleNormal="85" workbookViewId="0">
      <selection activeCell="W7" sqref="W7"/>
    </sheetView>
  </sheetViews>
  <sheetFormatPr defaultColWidth="8.83984375" defaultRowHeight="14.4"/>
  <cols>
    <col min="1" max="1" width="48.26171875" customWidth="1"/>
    <col min="2" max="23" width="15.68359375" customWidth="1"/>
    <col min="24" max="24" width="18.26171875" customWidth="1"/>
    <col min="25" max="25" width="16.68359375" bestFit="1" customWidth="1"/>
    <col min="26" max="26" width="16" customWidth="1"/>
    <col min="27" max="27" width="17.83984375" customWidth="1"/>
    <col min="28" max="28" width="16.68359375" bestFit="1" customWidth="1"/>
    <col min="29" max="29" width="17.68359375" bestFit="1" customWidth="1"/>
    <col min="30" max="30" width="22.41796875" customWidth="1"/>
    <col min="31" max="31" width="17.26171875" customWidth="1"/>
    <col min="32" max="32" width="12.41796875" customWidth="1"/>
    <col min="33" max="33" width="12.68359375" customWidth="1"/>
    <col min="34" max="36" width="9" bestFit="1" customWidth="1"/>
  </cols>
  <sheetData>
    <row r="1" spans="1:46">
      <c r="A1" s="524"/>
      <c r="B1" s="525">
        <v>1999</v>
      </c>
      <c r="C1" s="525">
        <v>2000</v>
      </c>
      <c r="D1" s="525">
        <v>2001</v>
      </c>
      <c r="E1" s="525">
        <v>2002</v>
      </c>
      <c r="F1" s="525">
        <v>2003</v>
      </c>
      <c r="G1" s="525">
        <v>2004</v>
      </c>
      <c r="H1" s="525">
        <v>2005</v>
      </c>
      <c r="I1" s="525">
        <v>2006</v>
      </c>
      <c r="J1" s="525">
        <v>2007</v>
      </c>
      <c r="K1" s="525">
        <v>2008</v>
      </c>
      <c r="L1" s="525">
        <v>2009</v>
      </c>
      <c r="M1" s="525">
        <v>2010</v>
      </c>
      <c r="N1" s="525">
        <v>2011</v>
      </c>
      <c r="O1" s="525">
        <v>2012</v>
      </c>
      <c r="P1" s="525">
        <v>2013</v>
      </c>
      <c r="Q1" s="525">
        <v>2014</v>
      </c>
      <c r="R1" s="525">
        <v>2015</v>
      </c>
      <c r="S1" s="525">
        <v>2016</v>
      </c>
      <c r="T1" s="525">
        <v>2017</v>
      </c>
      <c r="U1" s="525">
        <v>2018</v>
      </c>
      <c r="V1" s="525">
        <v>2019</v>
      </c>
      <c r="W1" s="526">
        <v>2020</v>
      </c>
    </row>
    <row r="2" spans="1:46">
      <c r="A2" s="74" t="s">
        <v>256</v>
      </c>
      <c r="B2" s="112">
        <f t="shared" ref="B2:V2" si="0">B58</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27"/>
    </row>
    <row r="3" spans="1:46">
      <c r="A3" s="74" t="s">
        <v>257</v>
      </c>
      <c r="B3" s="112">
        <f t="shared" ref="B3:H3" si="1">B11</f>
        <v>0</v>
      </c>
      <c r="C3" s="112">
        <f t="shared" si="1"/>
        <v>0</v>
      </c>
      <c r="D3" s="112">
        <f t="shared" si="1"/>
        <v>0</v>
      </c>
      <c r="E3" s="112">
        <f t="shared" si="1"/>
        <v>0</v>
      </c>
      <c r="F3" s="112">
        <f t="shared" si="1"/>
        <v>0</v>
      </c>
      <c r="G3" s="112">
        <f t="shared" si="1"/>
        <v>0</v>
      </c>
      <c r="H3" s="112">
        <f t="shared" si="1"/>
        <v>0</v>
      </c>
      <c r="I3" s="112">
        <f>I11</f>
        <v>72484377.091890693</v>
      </c>
      <c r="J3" s="112">
        <f t="shared" ref="J3:W3" si="2">J11</f>
        <v>71731564.967042297</v>
      </c>
      <c r="K3" s="112">
        <f t="shared" si="2"/>
        <v>71966640.718910307</v>
      </c>
      <c r="L3" s="112">
        <f t="shared" si="2"/>
        <v>70242672.282253996</v>
      </c>
      <c r="M3" s="112">
        <f t="shared" si="2"/>
        <v>72196826.934210598</v>
      </c>
      <c r="N3" s="112">
        <f t="shared" si="2"/>
        <v>72354218.425861493</v>
      </c>
      <c r="O3" s="112">
        <f t="shared" si="2"/>
        <v>72620520.514616698</v>
      </c>
      <c r="P3" s="112">
        <f t="shared" si="2"/>
        <v>69782268.831006601</v>
      </c>
      <c r="Q3" s="112">
        <f t="shared" si="2"/>
        <v>68451960.146435499</v>
      </c>
      <c r="R3" s="112">
        <f t="shared" si="2"/>
        <v>67098851.729051702</v>
      </c>
      <c r="S3" s="112">
        <f t="shared" si="2"/>
        <v>64662029.880932502</v>
      </c>
      <c r="T3" s="112">
        <f t="shared" si="2"/>
        <v>57543442.3193608</v>
      </c>
      <c r="U3" s="112">
        <f t="shared" si="2"/>
        <v>50847486.582352601</v>
      </c>
      <c r="V3" s="112">
        <f t="shared" si="2"/>
        <v>45900215</v>
      </c>
      <c r="W3" s="112">
        <f t="shared" si="2"/>
        <v>0</v>
      </c>
    </row>
    <row r="4" spans="1:46">
      <c r="A4" s="441" t="s">
        <v>3</v>
      </c>
      <c r="B4" s="19">
        <f t="shared" ref="B4:W4" si="3">B62</f>
        <v>156716600</v>
      </c>
      <c r="C4" s="19">
        <f t="shared" si="3"/>
        <v>167976040</v>
      </c>
      <c r="D4" s="19">
        <f t="shared" si="3"/>
        <v>183715880</v>
      </c>
      <c r="E4" s="19">
        <f t="shared" si="3"/>
        <v>187651428</v>
      </c>
      <c r="F4" s="19">
        <f t="shared" si="3"/>
        <v>194953119</v>
      </c>
      <c r="G4" s="19">
        <f t="shared" si="3"/>
        <v>204027579</v>
      </c>
      <c r="H4" s="19">
        <f t="shared" si="3"/>
        <v>211944467</v>
      </c>
      <c r="I4" s="19">
        <f t="shared" si="3"/>
        <v>224458726</v>
      </c>
      <c r="J4" s="19">
        <f t="shared" si="3"/>
        <v>237583497</v>
      </c>
      <c r="K4" s="19">
        <f t="shared" si="3"/>
        <v>246965271</v>
      </c>
      <c r="L4" s="19">
        <f t="shared" si="3"/>
        <v>253048448</v>
      </c>
      <c r="M4" s="19">
        <f t="shared" si="3"/>
        <v>259934115</v>
      </c>
      <c r="N4" s="19">
        <f t="shared" si="3"/>
        <v>260625937</v>
      </c>
      <c r="O4" s="19">
        <f t="shared" si="3"/>
        <v>263067911</v>
      </c>
      <c r="P4" s="19">
        <f t="shared" si="3"/>
        <v>253919348</v>
      </c>
      <c r="Q4" s="19">
        <f t="shared" si="3"/>
        <v>246326325</v>
      </c>
      <c r="R4" s="19">
        <f t="shared" si="3"/>
        <v>229140550</v>
      </c>
      <c r="S4" s="19">
        <f t="shared" si="3"/>
        <v>217313967</v>
      </c>
      <c r="T4" s="19">
        <f t="shared" si="3"/>
        <v>193782638</v>
      </c>
      <c r="U4" s="19">
        <f t="shared" si="3"/>
        <v>169863949</v>
      </c>
      <c r="V4" s="19">
        <f t="shared" si="3"/>
        <v>154658303</v>
      </c>
      <c r="W4" s="395">
        <f t="shared" si="3"/>
        <v>144174733</v>
      </c>
    </row>
    <row r="5" spans="1:46">
      <c r="A5" s="26" t="s">
        <v>5</v>
      </c>
      <c r="B5" s="19">
        <f t="shared" ref="B5:W5" si="4">B65</f>
        <v>83860335346.247116</v>
      </c>
      <c r="C5" s="19">
        <f t="shared" si="4"/>
        <v>88243037645.415298</v>
      </c>
      <c r="D5" s="19">
        <f t="shared" si="4"/>
        <v>104432410000.00002</v>
      </c>
      <c r="E5" s="19">
        <f t="shared" si="4"/>
        <v>113914397673</v>
      </c>
      <c r="F5" s="19">
        <f t="shared" si="4"/>
        <v>128182380208</v>
      </c>
      <c r="G5" s="19">
        <f t="shared" si="4"/>
        <v>141266597589</v>
      </c>
      <c r="H5" s="19">
        <f t="shared" si="4"/>
        <v>152741116253</v>
      </c>
      <c r="I5" s="19">
        <f t="shared" si="4"/>
        <v>172377484435</v>
      </c>
      <c r="J5" s="19">
        <f t="shared" si="4"/>
        <v>194816933897</v>
      </c>
      <c r="K5" s="19">
        <f t="shared" si="4"/>
        <v>214803554568</v>
      </c>
      <c r="L5" s="19">
        <f t="shared" si="4"/>
        <v>227757668789</v>
      </c>
      <c r="M5" s="19">
        <f t="shared" si="4"/>
        <v>245404960604</v>
      </c>
      <c r="N5" s="19">
        <f t="shared" si="4"/>
        <v>246463188398</v>
      </c>
      <c r="O5" s="19">
        <f t="shared" si="4"/>
        <v>239867616739</v>
      </c>
      <c r="P5" s="19">
        <f t="shared" si="4"/>
        <v>228965844787</v>
      </c>
      <c r="Q5" s="19">
        <f t="shared" si="4"/>
        <v>221271525079</v>
      </c>
      <c r="R5" s="19">
        <f t="shared" si="4"/>
        <v>209409702158</v>
      </c>
      <c r="S5" s="19">
        <f t="shared" si="4"/>
        <v>197124327717</v>
      </c>
      <c r="T5" s="19">
        <f t="shared" si="4"/>
        <v>170285611746</v>
      </c>
      <c r="U5" s="19">
        <f t="shared" si="4"/>
        <v>141100706124</v>
      </c>
      <c r="V5" s="19">
        <f t="shared" si="4"/>
        <v>120407890118</v>
      </c>
      <c r="W5" s="395">
        <f t="shared" si="4"/>
        <v>110314545203</v>
      </c>
      <c r="AA5" s="49"/>
    </row>
    <row r="6" spans="1:46">
      <c r="A6" s="75" t="s">
        <v>258</v>
      </c>
      <c r="B6" s="528">
        <f t="shared" ref="B6:W6" si="5">B75</f>
        <v>0</v>
      </c>
      <c r="C6" s="528">
        <f t="shared" si="5"/>
        <v>0</v>
      </c>
      <c r="D6" s="528">
        <f t="shared" si="5"/>
        <v>0</v>
      </c>
      <c r="E6" s="528">
        <f t="shared" si="5"/>
        <v>0</v>
      </c>
      <c r="F6" s="528">
        <f t="shared" si="5"/>
        <v>0</v>
      </c>
      <c r="G6" s="528">
        <f t="shared" si="5"/>
        <v>0</v>
      </c>
      <c r="H6" s="528">
        <f t="shared" si="5"/>
        <v>0</v>
      </c>
      <c r="I6" s="528">
        <f t="shared" si="5"/>
        <v>0</v>
      </c>
      <c r="J6" s="528">
        <f t="shared" si="5"/>
        <v>0</v>
      </c>
      <c r="K6" s="528">
        <f t="shared" si="5"/>
        <v>0</v>
      </c>
      <c r="L6" s="528">
        <f t="shared" si="5"/>
        <v>1.2868150677794213E-4</v>
      </c>
      <c r="M6" s="528">
        <f t="shared" si="5"/>
        <v>3.0440046129983321E-2</v>
      </c>
      <c r="N6" s="528">
        <f t="shared" si="5"/>
        <v>0.10357235362782942</v>
      </c>
      <c r="O6" s="528">
        <f t="shared" si="5"/>
        <v>9.0387600251146713E-2</v>
      </c>
      <c r="P6" s="528">
        <f t="shared" si="5"/>
        <v>8.5121503878147764E-2</v>
      </c>
      <c r="Q6" s="528">
        <f t="shared" si="5"/>
        <v>7.9822156563950336E-2</v>
      </c>
      <c r="R6" s="528">
        <f t="shared" si="5"/>
        <v>7.5699132306866743E-2</v>
      </c>
      <c r="S6" s="528">
        <f t="shared" si="5"/>
        <v>7.0648063363307451E-2</v>
      </c>
      <c r="T6" s="528">
        <f t="shared" si="5"/>
        <v>6.5304469508482815E-2</v>
      </c>
      <c r="U6" s="528">
        <f t="shared" si="5"/>
        <v>6.2178924571006849E-2</v>
      </c>
      <c r="V6" s="528">
        <f t="shared" si="5"/>
        <v>5.5745186078936089E-2</v>
      </c>
      <c r="W6" s="529">
        <f t="shared" si="5"/>
        <v>4.9272336100354815E-2</v>
      </c>
      <c r="AA6" s="49"/>
    </row>
    <row r="7" spans="1:46">
      <c r="A7" s="653" t="s">
        <v>259</v>
      </c>
      <c r="B7" s="618">
        <f>B13</f>
        <v>50608436.274199456</v>
      </c>
      <c r="C7" s="618">
        <f t="shared" ref="C7:V7" si="6">C13</f>
        <v>54244443.255739212</v>
      </c>
      <c r="D7" s="618">
        <f t="shared" si="6"/>
        <v>59327304.226472974</v>
      </c>
      <c r="E7" s="618">
        <f t="shared" si="6"/>
        <v>60598209.351788692</v>
      </c>
      <c r="F7" s="618">
        <f t="shared" si="6"/>
        <v>62956141.84692575</v>
      </c>
      <c r="G7" s="618">
        <f t="shared" si="6"/>
        <v>65886554.008960731</v>
      </c>
      <c r="H7" s="618">
        <f t="shared" si="6"/>
        <v>68443151.853975073</v>
      </c>
      <c r="I7" s="618">
        <f t="shared" si="6"/>
        <v>72484377.091890693</v>
      </c>
      <c r="J7" s="618">
        <f t="shared" si="6"/>
        <v>71731564.967042297</v>
      </c>
      <c r="K7" s="618">
        <f t="shared" si="6"/>
        <v>71966640.718910307</v>
      </c>
      <c r="L7" s="618">
        <f t="shared" si="6"/>
        <v>70242672.282253996</v>
      </c>
      <c r="M7" s="618">
        <f t="shared" si="6"/>
        <v>72196826.934210598</v>
      </c>
      <c r="N7" s="618">
        <f t="shared" si="6"/>
        <v>72354218.425861493</v>
      </c>
      <c r="O7" s="618">
        <f t="shared" si="6"/>
        <v>72620520.514616698</v>
      </c>
      <c r="P7" s="618">
        <f t="shared" si="6"/>
        <v>69782268.831006601</v>
      </c>
      <c r="Q7" s="618">
        <f t="shared" si="6"/>
        <v>68451960.146435499</v>
      </c>
      <c r="R7" s="618">
        <f t="shared" si="6"/>
        <v>67098851.729051702</v>
      </c>
      <c r="S7" s="618">
        <f t="shared" si="6"/>
        <v>64662029.880932502</v>
      </c>
      <c r="T7" s="618">
        <f t="shared" si="6"/>
        <v>57543442.3193608</v>
      </c>
      <c r="U7" s="618">
        <f t="shared" si="6"/>
        <v>50847486.582352601</v>
      </c>
      <c r="V7" s="618">
        <f t="shared" si="6"/>
        <v>45900215</v>
      </c>
      <c r="W7" s="618"/>
      <c r="AA7" s="49"/>
    </row>
    <row r="8" spans="1:46">
      <c r="Z8" s="525"/>
      <c r="AA8" s="525"/>
      <c r="AB8" s="525"/>
      <c r="AC8" s="525"/>
      <c r="AD8" s="525"/>
      <c r="AE8" s="525"/>
      <c r="AF8" s="525"/>
      <c r="AG8" s="525"/>
      <c r="AH8" s="525"/>
      <c r="AI8" s="525"/>
      <c r="AJ8" s="525"/>
      <c r="AK8" s="525"/>
      <c r="AL8" s="525"/>
      <c r="AM8" s="525"/>
      <c r="AN8" s="525"/>
      <c r="AO8" s="525"/>
      <c r="AP8" s="525"/>
      <c r="AQ8" s="525"/>
      <c r="AR8" s="525"/>
      <c r="AS8" s="525"/>
      <c r="AT8" s="525"/>
    </row>
    <row r="9" spans="1:46" ht="18.3">
      <c r="A9" s="698" t="s">
        <v>260</v>
      </c>
      <c r="B9" s="699"/>
      <c r="C9" s="700"/>
      <c r="X9" s="649"/>
      <c r="Y9" s="442"/>
      <c r="Z9" s="282"/>
    </row>
    <row r="10" spans="1:46">
      <c r="A10" t="s">
        <v>261</v>
      </c>
    </row>
    <row r="11" spans="1:46">
      <c r="A11" t="s">
        <v>257</v>
      </c>
      <c r="I11" s="648">
        <v>72484377.091890693</v>
      </c>
      <c r="J11" s="648">
        <v>71731564.967042297</v>
      </c>
      <c r="K11" s="648">
        <v>71966640.718910307</v>
      </c>
      <c r="L11" s="648">
        <v>70242672.282253996</v>
      </c>
      <c r="M11" s="648">
        <v>72196826.934210598</v>
      </c>
      <c r="N11" s="648">
        <v>72354218.425861493</v>
      </c>
      <c r="O11" s="648">
        <v>72620520.514616698</v>
      </c>
      <c r="P11" s="648">
        <v>69782268.831006601</v>
      </c>
      <c r="Q11" s="648">
        <v>68451960.146435499</v>
      </c>
      <c r="R11" s="648">
        <v>67098851.729051702</v>
      </c>
      <c r="S11" s="648">
        <v>64662029.880932502</v>
      </c>
      <c r="T11" s="648">
        <v>57543442.3193608</v>
      </c>
      <c r="U11" s="648">
        <v>50847486.582352601</v>
      </c>
      <c r="V11" s="648">
        <v>45900215</v>
      </c>
    </row>
    <row r="12" spans="1:46">
      <c r="A12" t="s">
        <v>262</v>
      </c>
      <c r="I12" s="272">
        <f t="shared" ref="I12:V12" si="7">I62/I11</f>
        <v>3.0966497196416092</v>
      </c>
      <c r="J12" s="272">
        <f t="shared" si="7"/>
        <v>3.3121192477699299</v>
      </c>
      <c r="K12" s="272">
        <f t="shared" si="7"/>
        <v>3.4316631780077822</v>
      </c>
      <c r="L12" s="272">
        <f t="shared" si="7"/>
        <v>3.6024889113441345</v>
      </c>
      <c r="M12" s="272">
        <f t="shared" si="7"/>
        <v>3.6003537279673679</v>
      </c>
      <c r="N12" s="272">
        <f t="shared" si="7"/>
        <v>3.6020835090223953</v>
      </c>
      <c r="O12" s="272">
        <f t="shared" si="7"/>
        <v>3.6225010387670107</v>
      </c>
      <c r="P12" s="272">
        <f t="shared" si="7"/>
        <v>3.6387373505284355</v>
      </c>
      <c r="Q12" s="272">
        <f t="shared" si="7"/>
        <v>3.5985284347306883</v>
      </c>
      <c r="R12" s="272">
        <f t="shared" si="7"/>
        <v>3.4149697661784177</v>
      </c>
      <c r="S12" s="272">
        <f t="shared" si="7"/>
        <v>3.3607662394786866</v>
      </c>
      <c r="T12" s="272">
        <f t="shared" si="7"/>
        <v>3.3675885589972916</v>
      </c>
      <c r="U12" s="272">
        <f t="shared" si="7"/>
        <v>3.3406557613204404</v>
      </c>
      <c r="V12" s="272">
        <f t="shared" si="7"/>
        <v>3.3694461561890288</v>
      </c>
    </row>
    <row r="13" spans="1:46">
      <c r="A13" t="s">
        <v>259</v>
      </c>
      <c r="B13" s="652">
        <f t="shared" ref="B13:G13" si="8">B62/$I$12</f>
        <v>50608436.274199456</v>
      </c>
      <c r="C13" s="652">
        <f t="shared" si="8"/>
        <v>54244443.255739212</v>
      </c>
      <c r="D13" s="652">
        <f t="shared" si="8"/>
        <v>59327304.226472974</v>
      </c>
      <c r="E13" s="652">
        <f t="shared" si="8"/>
        <v>60598209.351788692</v>
      </c>
      <c r="F13" s="652">
        <f t="shared" si="8"/>
        <v>62956141.84692575</v>
      </c>
      <c r="G13" s="652">
        <f t="shared" si="8"/>
        <v>65886554.008960731</v>
      </c>
      <c r="H13" s="652">
        <f>H62/$I$12</f>
        <v>68443151.853975073</v>
      </c>
      <c r="I13" s="652">
        <f>I11</f>
        <v>72484377.091890693</v>
      </c>
      <c r="J13" s="652">
        <f t="shared" ref="J13:V13" si="9">J11</f>
        <v>71731564.967042297</v>
      </c>
      <c r="K13" s="652">
        <f t="shared" si="9"/>
        <v>71966640.718910307</v>
      </c>
      <c r="L13" s="652">
        <f t="shared" si="9"/>
        <v>70242672.282253996</v>
      </c>
      <c r="M13" s="652">
        <f t="shared" si="9"/>
        <v>72196826.934210598</v>
      </c>
      <c r="N13" s="652">
        <f t="shared" si="9"/>
        <v>72354218.425861493</v>
      </c>
      <c r="O13" s="652">
        <f t="shared" si="9"/>
        <v>72620520.514616698</v>
      </c>
      <c r="P13" s="652">
        <f t="shared" si="9"/>
        <v>69782268.831006601</v>
      </c>
      <c r="Q13" s="652">
        <f t="shared" si="9"/>
        <v>68451960.146435499</v>
      </c>
      <c r="R13" s="652">
        <f t="shared" si="9"/>
        <v>67098851.729051702</v>
      </c>
      <c r="S13" s="652">
        <f t="shared" si="9"/>
        <v>64662029.880932502</v>
      </c>
      <c r="T13" s="652">
        <f t="shared" si="9"/>
        <v>57543442.3193608</v>
      </c>
      <c r="U13" s="652">
        <f t="shared" si="9"/>
        <v>50847486.582352601</v>
      </c>
      <c r="V13" s="652">
        <f t="shared" si="9"/>
        <v>45900215</v>
      </c>
    </row>
    <row r="14" spans="1:46">
      <c r="A14" s="1" t="s">
        <v>263</v>
      </c>
    </row>
    <row r="15" spans="1:46" ht="40.9" hidden="1" customHeight="1" thickBot="1">
      <c r="A15" s="711" t="s">
        <v>264</v>
      </c>
      <c r="B15" s="712"/>
      <c r="C15" s="712"/>
      <c r="D15" s="712"/>
      <c r="E15" s="712"/>
      <c r="F15" s="712"/>
      <c r="G15" s="712"/>
      <c r="H15" s="712"/>
      <c r="I15" s="712"/>
      <c r="J15" s="712"/>
      <c r="K15" s="712"/>
      <c r="L15" s="712"/>
      <c r="M15" s="712"/>
      <c r="N15" s="712"/>
      <c r="O15" s="712"/>
      <c r="P15" s="712"/>
      <c r="Q15" s="712"/>
      <c r="R15" s="712"/>
      <c r="S15" s="712"/>
      <c r="T15" s="712"/>
      <c r="U15" s="712"/>
      <c r="V15" s="712"/>
      <c r="W15" s="713"/>
    </row>
    <row r="16" spans="1:46" ht="45.6" hidden="1" customHeight="1">
      <c r="A16" s="718" t="s">
        <v>265</v>
      </c>
      <c r="B16" s="719"/>
      <c r="C16" s="719"/>
      <c r="D16" s="719"/>
      <c r="E16" s="719"/>
      <c r="F16" s="719"/>
      <c r="G16" s="719"/>
      <c r="H16" s="719"/>
      <c r="I16" s="719"/>
      <c r="J16" s="719"/>
      <c r="K16" s="719"/>
      <c r="L16" s="719"/>
      <c r="M16" s="719"/>
      <c r="N16" s="719"/>
      <c r="O16" s="719"/>
      <c r="P16" s="719"/>
      <c r="Q16" s="719"/>
      <c r="R16" s="719"/>
      <c r="S16" s="719"/>
      <c r="T16" s="719"/>
      <c r="U16" s="719"/>
      <c r="V16" s="719"/>
      <c r="W16" s="720"/>
      <c r="X16" s="530"/>
      <c r="Y16" s="420"/>
      <c r="Z16" s="282"/>
    </row>
    <row r="17" spans="1:36" ht="41.25" hidden="1" customHeight="1">
      <c r="A17" s="531"/>
      <c r="W17" s="532"/>
      <c r="X17" s="5"/>
    </row>
    <row r="18" spans="1:36" hidden="1">
      <c r="A18" s="531"/>
      <c r="B18" s="645">
        <v>1999</v>
      </c>
      <c r="C18" s="645">
        <v>2000</v>
      </c>
      <c r="D18" s="645">
        <v>2001</v>
      </c>
      <c r="E18" s="645">
        <v>2002</v>
      </c>
      <c r="F18" s="645">
        <v>2003</v>
      </c>
      <c r="G18" s="645">
        <v>2004</v>
      </c>
      <c r="H18" s="645">
        <v>2005</v>
      </c>
      <c r="I18" s="645">
        <v>2006</v>
      </c>
      <c r="J18" s="645">
        <v>2007</v>
      </c>
      <c r="K18" s="645">
        <v>2008</v>
      </c>
      <c r="L18" s="645">
        <v>2009</v>
      </c>
      <c r="M18" s="645">
        <v>2010</v>
      </c>
      <c r="N18" s="645">
        <v>2011</v>
      </c>
      <c r="O18" s="645">
        <v>2012</v>
      </c>
      <c r="P18" s="645">
        <v>2013</v>
      </c>
      <c r="Q18" s="645">
        <v>2014</v>
      </c>
      <c r="R18" s="645">
        <v>2015</v>
      </c>
      <c r="S18" s="645">
        <v>2016</v>
      </c>
      <c r="T18" s="645">
        <v>2017</v>
      </c>
      <c r="U18" s="645">
        <v>2018</v>
      </c>
      <c r="V18" s="645">
        <v>2019</v>
      </c>
      <c r="W18" s="431">
        <v>2020</v>
      </c>
    </row>
    <row r="19" spans="1:36" ht="24" hidden="1" customHeight="1">
      <c r="A19" s="533" t="s">
        <v>266</v>
      </c>
      <c r="C19" s="534"/>
      <c r="D19" s="534"/>
      <c r="E19" s="535"/>
      <c r="F19" s="535"/>
      <c r="G19" s="535"/>
      <c r="H19" s="535"/>
      <c r="I19" s="535"/>
      <c r="J19" s="535"/>
      <c r="K19" s="535"/>
      <c r="L19" s="536">
        <v>23258806</v>
      </c>
      <c r="M19" s="536">
        <v>25429918</v>
      </c>
      <c r="N19" s="536">
        <v>25798751</v>
      </c>
      <c r="O19" s="536">
        <v>25993402</v>
      </c>
      <c r="P19" s="536">
        <v>25589547</v>
      </c>
      <c r="Q19" s="536">
        <v>25291294</v>
      </c>
      <c r="R19" s="536">
        <v>25137513</v>
      </c>
      <c r="S19" s="536">
        <v>24370396</v>
      </c>
      <c r="T19" s="536">
        <v>23159070</v>
      </c>
      <c r="U19" s="536">
        <v>21477752</v>
      </c>
      <c r="V19" s="536">
        <v>20326898</v>
      </c>
      <c r="W19" s="537"/>
    </row>
    <row r="20" spans="1:36" hidden="1">
      <c r="A20" s="533" t="s">
        <v>267</v>
      </c>
      <c r="C20" s="534"/>
      <c r="D20" s="534"/>
      <c r="E20" s="535"/>
      <c r="F20" s="535"/>
      <c r="G20" s="535"/>
      <c r="H20" s="535"/>
      <c r="I20" s="535"/>
      <c r="J20" s="535"/>
      <c r="K20" s="535"/>
      <c r="L20" s="536">
        <v>9281438</v>
      </c>
      <c r="M20" s="536">
        <v>9778929</v>
      </c>
      <c r="N20" s="536">
        <v>9937157</v>
      </c>
      <c r="O20" s="536">
        <v>9821515</v>
      </c>
      <c r="P20" s="536">
        <v>9543836</v>
      </c>
      <c r="Q20" s="536">
        <v>9253083</v>
      </c>
      <c r="R20" s="536">
        <v>8856090</v>
      </c>
      <c r="S20" s="536">
        <v>8266434</v>
      </c>
      <c r="T20" s="536">
        <v>7393821</v>
      </c>
      <c r="U20" s="536">
        <v>6480323</v>
      </c>
      <c r="V20" s="536">
        <v>5918623</v>
      </c>
      <c r="W20" s="537"/>
    </row>
    <row r="21" spans="1:36" hidden="1">
      <c r="A21" s="533" t="s">
        <v>268</v>
      </c>
      <c r="C21" s="534"/>
      <c r="D21" s="534"/>
      <c r="E21" s="535"/>
      <c r="F21" s="535"/>
      <c r="G21" s="535"/>
      <c r="H21" s="535"/>
      <c r="I21" s="535"/>
      <c r="J21" s="535"/>
      <c r="K21" s="535"/>
      <c r="L21" s="536">
        <v>4202336</v>
      </c>
      <c r="M21" s="536">
        <v>4289866</v>
      </c>
      <c r="N21" s="536">
        <v>4363507</v>
      </c>
      <c r="O21" s="536">
        <v>4237278</v>
      </c>
      <c r="P21" s="536">
        <v>4098103</v>
      </c>
      <c r="Q21" s="536">
        <v>3887087</v>
      </c>
      <c r="R21" s="536">
        <v>3644195</v>
      </c>
      <c r="S21" s="536">
        <v>3304716</v>
      </c>
      <c r="T21" s="536">
        <v>2825160</v>
      </c>
      <c r="U21" s="536">
        <v>2421720</v>
      </c>
      <c r="V21" s="536">
        <v>2200193</v>
      </c>
      <c r="W21" s="537"/>
    </row>
    <row r="22" spans="1:36" hidden="1">
      <c r="A22" s="533" t="s">
        <v>269</v>
      </c>
      <c r="C22" s="534"/>
      <c r="D22" s="534"/>
      <c r="E22" s="535"/>
      <c r="F22" s="535"/>
      <c r="G22" s="535"/>
      <c r="H22" s="535"/>
      <c r="I22" s="535"/>
      <c r="J22" s="535"/>
      <c r="K22" s="535"/>
      <c r="L22" s="536">
        <v>2227083</v>
      </c>
      <c r="M22" s="536">
        <v>2224468</v>
      </c>
      <c r="N22" s="536">
        <v>2266880</v>
      </c>
      <c r="O22" s="536">
        <v>2165440</v>
      </c>
      <c r="P22" s="536">
        <v>2088347</v>
      </c>
      <c r="Q22" s="536">
        <v>1942296</v>
      </c>
      <c r="R22" s="536">
        <v>1784569</v>
      </c>
      <c r="S22" s="536">
        <v>1587844</v>
      </c>
      <c r="T22" s="536">
        <v>1320046</v>
      </c>
      <c r="U22" s="536">
        <v>1125235</v>
      </c>
      <c r="V22" s="536">
        <v>1036166</v>
      </c>
      <c r="W22" s="537"/>
    </row>
    <row r="23" spans="1:36" hidden="1">
      <c r="A23" s="533" t="s">
        <v>270</v>
      </c>
      <c r="C23" s="534"/>
      <c r="D23" s="534"/>
      <c r="E23" s="535"/>
      <c r="F23" s="535"/>
      <c r="G23" s="535"/>
      <c r="H23" s="535"/>
      <c r="I23" s="535"/>
      <c r="J23" s="535"/>
      <c r="K23" s="535"/>
      <c r="L23" s="536">
        <v>5046641</v>
      </c>
      <c r="M23" s="536">
        <v>4896697</v>
      </c>
      <c r="N23" s="536">
        <v>5032950</v>
      </c>
      <c r="O23" s="536">
        <v>4655017</v>
      </c>
      <c r="P23" s="536">
        <v>4605484</v>
      </c>
      <c r="Q23" s="536">
        <v>3946240</v>
      </c>
      <c r="R23" s="536">
        <v>3539867</v>
      </c>
      <c r="S23" s="536">
        <v>3075285</v>
      </c>
      <c r="T23" s="536">
        <v>2443596</v>
      </c>
      <c r="U23" s="536">
        <v>2132075</v>
      </c>
      <c r="V23" s="536">
        <v>2206189</v>
      </c>
      <c r="W23" s="537"/>
    </row>
    <row r="24" spans="1:36" hidden="1">
      <c r="A24" s="533" t="s">
        <v>271</v>
      </c>
      <c r="C24" s="534"/>
      <c r="D24" s="534"/>
      <c r="E24" s="535"/>
      <c r="F24" s="535"/>
      <c r="G24" s="535"/>
      <c r="H24" s="535"/>
      <c r="I24" s="535"/>
      <c r="J24" s="535"/>
      <c r="K24" s="535"/>
      <c r="L24" s="536">
        <v>44016304</v>
      </c>
      <c r="M24" s="536">
        <v>46619878</v>
      </c>
      <c r="N24" s="536">
        <v>47399246</v>
      </c>
      <c r="O24" s="536">
        <v>46872652</v>
      </c>
      <c r="P24" s="536">
        <v>45925317</v>
      </c>
      <c r="Q24" s="536">
        <v>44320000</v>
      </c>
      <c r="R24" s="536">
        <v>42962235</v>
      </c>
      <c r="S24" s="536">
        <v>40604676</v>
      </c>
      <c r="T24" s="536">
        <v>37141693</v>
      </c>
      <c r="U24" s="536">
        <v>33637105</v>
      </c>
      <c r="V24" s="536">
        <v>31688069</v>
      </c>
      <c r="W24" s="537"/>
    </row>
    <row r="25" spans="1:36" hidden="1">
      <c r="A25" s="533"/>
      <c r="B25" s="645">
        <v>1999</v>
      </c>
      <c r="C25" s="645">
        <v>2000</v>
      </c>
      <c r="D25" s="645">
        <v>2001</v>
      </c>
      <c r="E25" s="645">
        <v>2002</v>
      </c>
      <c r="F25" s="645">
        <v>2003</v>
      </c>
      <c r="G25" s="645">
        <v>2004</v>
      </c>
      <c r="H25" s="645">
        <v>2005</v>
      </c>
      <c r="I25" s="645">
        <v>2006</v>
      </c>
      <c r="J25" s="645">
        <v>2007</v>
      </c>
      <c r="K25" s="645">
        <v>2008</v>
      </c>
      <c r="L25" s="645">
        <v>2009</v>
      </c>
      <c r="M25" s="645">
        <v>2010</v>
      </c>
      <c r="N25" s="645">
        <v>2011</v>
      </c>
      <c r="O25" s="645">
        <v>2012</v>
      </c>
      <c r="P25" s="645">
        <v>2013</v>
      </c>
      <c r="Q25" s="645">
        <v>2014</v>
      </c>
      <c r="R25" s="645">
        <v>2015</v>
      </c>
      <c r="S25" s="645">
        <v>2016</v>
      </c>
      <c r="T25" s="645">
        <v>2017</v>
      </c>
      <c r="U25" s="645">
        <v>2018</v>
      </c>
      <c r="V25" s="645">
        <v>2019</v>
      </c>
      <c r="W25" s="431">
        <v>2020</v>
      </c>
      <c r="Y25" s="538"/>
      <c r="Z25" s="538"/>
      <c r="AA25" s="538"/>
    </row>
    <row r="26" spans="1:36" hidden="1">
      <c r="A26" s="533" t="s">
        <v>272</v>
      </c>
      <c r="C26" s="534"/>
      <c r="D26" s="534"/>
      <c r="E26" s="535"/>
      <c r="F26" s="535"/>
      <c r="G26" s="535"/>
      <c r="H26" s="535"/>
      <c r="I26" s="535"/>
      <c r="J26" s="535"/>
      <c r="K26" s="535"/>
      <c r="L26" s="536">
        <v>23258806</v>
      </c>
      <c r="M26" s="536">
        <v>25429918</v>
      </c>
      <c r="N26" s="536">
        <v>25798751</v>
      </c>
      <c r="O26" s="536">
        <v>25993402</v>
      </c>
      <c r="P26" s="536">
        <v>25589547</v>
      </c>
      <c r="Q26" s="536">
        <v>25291294</v>
      </c>
      <c r="R26" s="536">
        <v>25137513</v>
      </c>
      <c r="S26" s="536">
        <v>24370396</v>
      </c>
      <c r="T26" s="536">
        <v>23159070</v>
      </c>
      <c r="U26" s="536">
        <v>21477752</v>
      </c>
      <c r="V26" s="536">
        <v>20326898</v>
      </c>
      <c r="W26" s="537"/>
      <c r="Y26" s="538"/>
      <c r="Z26" s="538"/>
      <c r="AA26" s="538"/>
    </row>
    <row r="27" spans="1:36" hidden="1">
      <c r="A27" s="533" t="s">
        <v>273</v>
      </c>
      <c r="C27" s="534"/>
      <c r="D27" s="534"/>
      <c r="E27" s="535"/>
      <c r="F27" s="535"/>
      <c r="G27" s="535"/>
      <c r="H27" s="535"/>
      <c r="I27" s="535"/>
      <c r="J27" s="535"/>
      <c r="K27" s="535"/>
      <c r="L27" s="536">
        <v>18562877</v>
      </c>
      <c r="M27" s="536">
        <v>19557858</v>
      </c>
      <c r="N27" s="536">
        <v>19874314</v>
      </c>
      <c r="O27" s="536">
        <v>19643030</v>
      </c>
      <c r="P27" s="536">
        <v>19087671</v>
      </c>
      <c r="Q27" s="536">
        <v>18506166</v>
      </c>
      <c r="R27" s="536">
        <v>17712180</v>
      </c>
      <c r="S27" s="536">
        <v>16532869</v>
      </c>
      <c r="T27" s="536">
        <v>14787642</v>
      </c>
      <c r="U27" s="536">
        <v>12960645</v>
      </c>
      <c r="V27" s="536">
        <v>11837245</v>
      </c>
      <c r="W27" s="537"/>
      <c r="Y27" s="539"/>
      <c r="Z27" s="538"/>
      <c r="AA27" s="538"/>
      <c r="AB27" s="538"/>
      <c r="AC27" s="538"/>
      <c r="AD27" s="538"/>
      <c r="AE27" s="538"/>
      <c r="AF27" s="538"/>
      <c r="AG27" s="538"/>
      <c r="AH27" s="538"/>
      <c r="AI27" s="538"/>
      <c r="AJ27" s="538"/>
    </row>
    <row r="28" spans="1:36" hidden="1">
      <c r="A28" s="533" t="s">
        <v>274</v>
      </c>
      <c r="C28" s="534"/>
      <c r="D28" s="534"/>
      <c r="E28" s="535"/>
      <c r="F28" s="535"/>
      <c r="G28" s="535"/>
      <c r="H28" s="535"/>
      <c r="I28" s="535"/>
      <c r="J28" s="535"/>
      <c r="K28" s="535"/>
      <c r="L28" s="536">
        <v>12607007</v>
      </c>
      <c r="M28" s="536">
        <v>12869597</v>
      </c>
      <c r="N28" s="536">
        <v>13090522</v>
      </c>
      <c r="O28" s="536">
        <v>12711835</v>
      </c>
      <c r="P28" s="536">
        <v>12294310</v>
      </c>
      <c r="Q28" s="536">
        <v>11661261</v>
      </c>
      <c r="R28" s="536">
        <v>10932585</v>
      </c>
      <c r="S28" s="536">
        <v>9914147</v>
      </c>
      <c r="T28" s="536">
        <v>8475479</v>
      </c>
      <c r="U28" s="536">
        <v>7265160</v>
      </c>
      <c r="V28" s="536">
        <v>6600580</v>
      </c>
      <c r="W28" s="537"/>
      <c r="Y28" s="539"/>
      <c r="Z28" s="538"/>
      <c r="AA28" s="538"/>
      <c r="AB28" s="538"/>
      <c r="AC28" s="538"/>
      <c r="AD28" s="538"/>
      <c r="AE28" s="538"/>
      <c r="AF28" s="538"/>
      <c r="AG28" s="538"/>
      <c r="AH28" s="538"/>
      <c r="AI28" s="538"/>
      <c r="AJ28" s="538"/>
    </row>
    <row r="29" spans="1:36" hidden="1">
      <c r="A29" s="533" t="s">
        <v>275</v>
      </c>
      <c r="C29" s="534"/>
      <c r="D29" s="534"/>
      <c r="E29" s="535"/>
      <c r="F29" s="535"/>
      <c r="G29" s="535"/>
      <c r="H29" s="535"/>
      <c r="I29" s="535"/>
      <c r="J29" s="535"/>
      <c r="K29" s="535"/>
      <c r="L29" s="536">
        <v>8908333</v>
      </c>
      <c r="M29" s="536">
        <v>8897874</v>
      </c>
      <c r="N29" s="536">
        <v>9067520</v>
      </c>
      <c r="O29" s="536">
        <v>8661761</v>
      </c>
      <c r="P29" s="536">
        <v>8353390</v>
      </c>
      <c r="Q29" s="536">
        <v>7769183</v>
      </c>
      <c r="R29" s="536">
        <v>7138277</v>
      </c>
      <c r="S29" s="536">
        <v>6351377</v>
      </c>
      <c r="T29" s="536">
        <v>5280185</v>
      </c>
      <c r="U29" s="536">
        <v>4500942</v>
      </c>
      <c r="V29" s="536">
        <v>4144664</v>
      </c>
      <c r="W29" s="537"/>
      <c r="Y29" s="539"/>
      <c r="Z29" s="538"/>
      <c r="AA29" s="538"/>
      <c r="AB29" s="538"/>
      <c r="AC29" s="538"/>
      <c r="AD29" s="538"/>
      <c r="AE29" s="538"/>
      <c r="AF29" s="538"/>
      <c r="AG29" s="538"/>
      <c r="AH29" s="538"/>
      <c r="AI29" s="538"/>
      <c r="AJ29" s="538"/>
    </row>
    <row r="30" spans="1:36" hidden="1">
      <c r="A30" s="533" t="s">
        <v>276</v>
      </c>
      <c r="C30" s="534"/>
      <c r="D30" s="534"/>
      <c r="E30" s="535"/>
      <c r="F30" s="535"/>
      <c r="G30" s="535"/>
      <c r="H30" s="535"/>
      <c r="I30" s="535"/>
      <c r="J30" s="535"/>
      <c r="K30" s="535"/>
      <c r="L30" s="536">
        <v>47487465</v>
      </c>
      <c r="M30" s="536">
        <v>44345347</v>
      </c>
      <c r="N30" s="536">
        <v>45434569</v>
      </c>
      <c r="O30" s="536">
        <v>41097873</v>
      </c>
      <c r="P30" s="536">
        <v>41408626</v>
      </c>
      <c r="Q30" s="536">
        <v>33538627</v>
      </c>
      <c r="R30" s="536">
        <v>30096782</v>
      </c>
      <c r="S30" s="536">
        <v>26314996</v>
      </c>
      <c r="T30" s="536">
        <v>20463814</v>
      </c>
      <c r="U30" s="536">
        <v>18004769</v>
      </c>
      <c r="V30" s="536">
        <v>19556053</v>
      </c>
      <c r="W30" s="537"/>
      <c r="Y30" s="539"/>
      <c r="Z30" s="538"/>
      <c r="AA30" s="538"/>
      <c r="AB30" s="538"/>
      <c r="AC30" s="538"/>
      <c r="AD30" s="538"/>
      <c r="AE30" s="538"/>
      <c r="AF30" s="538"/>
      <c r="AG30" s="538"/>
      <c r="AH30" s="538"/>
      <c r="AI30" s="538"/>
      <c r="AJ30" s="538"/>
    </row>
    <row r="31" spans="1:36" hidden="1">
      <c r="A31" s="533" t="s">
        <v>277</v>
      </c>
      <c r="B31" s="540"/>
      <c r="C31" s="540"/>
      <c r="D31" s="540"/>
      <c r="E31" s="541"/>
      <c r="F31" s="541"/>
      <c r="G31" s="541"/>
      <c r="H31" s="541"/>
      <c r="I31" s="541"/>
      <c r="J31" s="541"/>
      <c r="K31" s="541"/>
      <c r="L31" s="536">
        <v>110824488</v>
      </c>
      <c r="M31" s="536">
        <v>111100594</v>
      </c>
      <c r="N31" s="536">
        <v>113265676</v>
      </c>
      <c r="O31" s="536">
        <v>108107900</v>
      </c>
      <c r="P31" s="536">
        <v>106733544</v>
      </c>
      <c r="Q31" s="536">
        <v>96766531</v>
      </c>
      <c r="R31" s="536">
        <v>91017337</v>
      </c>
      <c r="S31" s="536">
        <v>83483786</v>
      </c>
      <c r="T31" s="536">
        <v>72166190</v>
      </c>
      <c r="U31" s="536">
        <v>64209268</v>
      </c>
      <c r="V31" s="536">
        <v>62465440</v>
      </c>
      <c r="W31" s="542"/>
    </row>
    <row r="32" spans="1:36" ht="14.7" hidden="1" thickBot="1">
      <c r="A32" s="543" t="s">
        <v>278</v>
      </c>
      <c r="B32" s="544"/>
      <c r="C32" s="544"/>
      <c r="D32" s="544"/>
      <c r="E32" s="545"/>
      <c r="F32" s="545"/>
      <c r="G32" s="545"/>
      <c r="H32" s="545"/>
      <c r="I32" s="545"/>
      <c r="J32" s="545"/>
      <c r="K32" s="545"/>
      <c r="L32" s="546">
        <f t="shared" ref="L32:V32" si="10">L30/L23</f>
        <v>9.4097172753124312</v>
      </c>
      <c r="M32" s="546">
        <f t="shared" si="10"/>
        <v>9.05617541783778</v>
      </c>
      <c r="N32" s="546">
        <f t="shared" si="10"/>
        <v>9.0274230818903423</v>
      </c>
      <c r="O32" s="546">
        <f t="shared" si="10"/>
        <v>8.8287267264544891</v>
      </c>
      <c r="P32" s="546">
        <f t="shared" si="10"/>
        <v>8.9911561955268979</v>
      </c>
      <c r="Q32" s="546">
        <f t="shared" si="10"/>
        <v>8.4988817203211156</v>
      </c>
      <c r="R32" s="546">
        <f t="shared" si="10"/>
        <v>8.5022352534713868</v>
      </c>
      <c r="S32" s="546">
        <f t="shared" si="10"/>
        <v>8.5569291951802846</v>
      </c>
      <c r="T32" s="546">
        <f t="shared" si="10"/>
        <v>8.3744669740824591</v>
      </c>
      <c r="U32" s="546">
        <f t="shared" si="10"/>
        <v>8.4447165320169315</v>
      </c>
      <c r="V32" s="546">
        <f t="shared" si="10"/>
        <v>8.8641784543391342</v>
      </c>
      <c r="W32" s="547"/>
      <c r="Y32" s="548"/>
      <c r="Z32" s="549"/>
      <c r="AA32" s="549"/>
      <c r="AB32" s="549"/>
      <c r="AC32" s="549"/>
      <c r="AD32" s="549"/>
      <c r="AE32" s="549"/>
      <c r="AF32" s="549"/>
      <c r="AG32" s="549"/>
      <c r="AH32" s="549"/>
      <c r="AI32" s="549"/>
      <c r="AJ32" s="549"/>
    </row>
    <row r="33" spans="1:36" ht="14.7" hidden="1" thickBot="1">
      <c r="A33" s="543"/>
      <c r="B33" s="544"/>
      <c r="C33" s="544"/>
      <c r="D33" s="544"/>
      <c r="E33" s="545"/>
      <c r="F33" s="545"/>
      <c r="G33" s="545"/>
      <c r="H33" s="545"/>
      <c r="I33" s="545"/>
      <c r="J33" s="545"/>
      <c r="K33" s="545"/>
      <c r="L33" s="546"/>
      <c r="M33" s="546"/>
      <c r="N33" s="546"/>
      <c r="O33" s="546"/>
      <c r="P33" s="546"/>
      <c r="Q33" s="546"/>
      <c r="R33" s="546"/>
      <c r="S33" s="546"/>
      <c r="T33" s="546"/>
      <c r="U33" s="546"/>
      <c r="V33" s="546"/>
      <c r="W33" s="547"/>
      <c r="Y33" s="548"/>
      <c r="Z33" s="549"/>
      <c r="AA33" s="549"/>
      <c r="AB33" s="549"/>
      <c r="AC33" s="549"/>
      <c r="AD33" s="549"/>
      <c r="AE33" s="549"/>
      <c r="AF33" s="549"/>
      <c r="AG33" s="549"/>
      <c r="AH33" s="549"/>
      <c r="AI33" s="549"/>
      <c r="AJ33" s="549"/>
    </row>
    <row r="34" spans="1:36" ht="53.25" hidden="1" customHeight="1" thickBot="1">
      <c r="A34" s="721" t="s">
        <v>279</v>
      </c>
      <c r="B34" s="722"/>
      <c r="C34" s="722"/>
      <c r="D34" s="722"/>
      <c r="E34" s="722"/>
      <c r="F34" s="722"/>
      <c r="G34" s="722"/>
      <c r="H34" s="722"/>
      <c r="I34" s="722"/>
      <c r="J34" s="722"/>
      <c r="K34" s="722"/>
      <c r="L34" s="722"/>
      <c r="M34" s="722"/>
      <c r="N34" s="722"/>
      <c r="O34" s="722"/>
      <c r="P34" s="722"/>
      <c r="Q34" s="722"/>
      <c r="R34" s="722"/>
      <c r="S34" s="722"/>
      <c r="T34" s="722"/>
      <c r="U34" s="722"/>
      <c r="V34" s="722"/>
      <c r="W34" s="723"/>
      <c r="Y34" s="548"/>
      <c r="Z34" s="549"/>
      <c r="AA34" s="549"/>
      <c r="AB34" s="549"/>
      <c r="AC34" s="549"/>
      <c r="AD34" s="549"/>
      <c r="AE34" s="549"/>
      <c r="AF34" s="549"/>
      <c r="AG34" s="549"/>
      <c r="AH34" s="549"/>
      <c r="AI34" s="549"/>
      <c r="AJ34" s="549"/>
    </row>
    <row r="35" spans="1:36" ht="79.150000000000006" hidden="1" customHeight="1" thickBot="1">
      <c r="X35" s="704" t="s">
        <v>280</v>
      </c>
      <c r="Y35" s="704"/>
      <c r="Z35" s="704"/>
      <c r="AA35" s="704"/>
      <c r="AB35" s="503"/>
      <c r="AC35" s="503"/>
      <c r="AD35" s="503"/>
      <c r="AE35" s="503"/>
      <c r="AF35" s="503"/>
      <c r="AG35" s="503"/>
      <c r="AH35" s="503"/>
    </row>
    <row r="36" spans="1:36" ht="48" hidden="1" customHeight="1">
      <c r="A36" s="524"/>
      <c r="B36" s="429">
        <v>1999</v>
      </c>
      <c r="C36" s="429">
        <v>2000</v>
      </c>
      <c r="D36" s="429">
        <v>2001</v>
      </c>
      <c r="E36" s="429">
        <v>2002</v>
      </c>
      <c r="F36" s="429">
        <v>2003</v>
      </c>
      <c r="G36" s="429">
        <v>2004</v>
      </c>
      <c r="H36" s="429">
        <v>2005</v>
      </c>
      <c r="I36" s="429">
        <v>2006</v>
      </c>
      <c r="J36" s="429">
        <v>2007</v>
      </c>
      <c r="K36" s="429">
        <v>2008</v>
      </c>
      <c r="L36" s="429">
        <v>2009</v>
      </c>
      <c r="M36" s="429">
        <v>2010</v>
      </c>
      <c r="N36" s="429">
        <v>2011</v>
      </c>
      <c r="O36" s="429">
        <v>2012</v>
      </c>
      <c r="P36" s="429">
        <v>2013</v>
      </c>
      <c r="Q36" s="429">
        <v>2014</v>
      </c>
      <c r="R36" s="429">
        <v>2015</v>
      </c>
      <c r="S36" s="429">
        <v>2016</v>
      </c>
      <c r="T36" s="429">
        <v>2017</v>
      </c>
      <c r="U36" s="429">
        <v>2018</v>
      </c>
      <c r="V36" s="429">
        <v>2019</v>
      </c>
      <c r="W36" s="430">
        <v>2020</v>
      </c>
      <c r="X36" s="247" t="s">
        <v>281</v>
      </c>
    </row>
    <row r="37" spans="1:36" ht="48" hidden="1" customHeight="1">
      <c r="A37" s="533" t="s">
        <v>282</v>
      </c>
      <c r="B37" s="436">
        <f t="shared" ref="B37:K37" si="11">TREND($L37:$V37,$L36:$V36,B36)</f>
        <v>0.40435106414411948</v>
      </c>
      <c r="C37" s="436">
        <f t="shared" si="11"/>
        <v>0.41611788590348908</v>
      </c>
      <c r="D37" s="436">
        <f t="shared" si="11"/>
        <v>0.42788470766285869</v>
      </c>
      <c r="E37" s="436">
        <f t="shared" si="11"/>
        <v>0.43965152942222829</v>
      </c>
      <c r="F37" s="436">
        <f t="shared" si="11"/>
        <v>0.4514183511815979</v>
      </c>
      <c r="G37" s="436">
        <f t="shared" si="11"/>
        <v>0.4631851729409675</v>
      </c>
      <c r="H37" s="436">
        <f t="shared" si="11"/>
        <v>0.47495199470033711</v>
      </c>
      <c r="I37" s="436">
        <f t="shared" si="11"/>
        <v>0.48671881645970672</v>
      </c>
      <c r="J37" s="436">
        <f t="shared" si="11"/>
        <v>0.49848563821907632</v>
      </c>
      <c r="K37" s="436">
        <f t="shared" si="11"/>
        <v>0.51025245997844593</v>
      </c>
      <c r="L37" s="436">
        <f t="shared" ref="L37:V37" si="12">L19/L24</f>
        <v>0.52841342607957265</v>
      </c>
      <c r="M37" s="436">
        <f t="shared" si="12"/>
        <v>0.54547371402387623</v>
      </c>
      <c r="N37" s="436">
        <f t="shared" si="12"/>
        <v>0.54428610531062038</v>
      </c>
      <c r="O37" s="436">
        <f t="shared" si="12"/>
        <v>0.55455368729723253</v>
      </c>
      <c r="P37" s="436">
        <f t="shared" si="12"/>
        <v>0.55719913702500956</v>
      </c>
      <c r="Q37" s="436">
        <f t="shared" si="12"/>
        <v>0.57065194043321299</v>
      </c>
      <c r="R37" s="436">
        <f t="shared" si="12"/>
        <v>0.58510719938103783</v>
      </c>
      <c r="S37" s="436">
        <f t="shared" si="12"/>
        <v>0.60018693413536905</v>
      </c>
      <c r="T37" s="436">
        <f t="shared" si="12"/>
        <v>0.62353296603900099</v>
      </c>
      <c r="U37" s="436">
        <f t="shared" si="12"/>
        <v>0.63851368897531458</v>
      </c>
      <c r="V37" s="436">
        <f t="shared" si="12"/>
        <v>0.64146849718106835</v>
      </c>
      <c r="W37" s="573"/>
      <c r="X37" s="540">
        <f>0.5*1</f>
        <v>0.5</v>
      </c>
      <c r="Y37" t="s">
        <v>283</v>
      </c>
    </row>
    <row r="38" spans="1:36" ht="48" hidden="1" customHeight="1">
      <c r="A38" s="533" t="s">
        <v>284</v>
      </c>
      <c r="B38" s="436">
        <f t="shared" ref="B38:K38" si="13">TREND($L38:$V38,$L36:$V36,B36)</f>
        <v>0.23598756759296169</v>
      </c>
      <c r="C38" s="436">
        <f t="shared" si="13"/>
        <v>0.23385881965844124</v>
      </c>
      <c r="D38" s="436">
        <f t="shared" si="13"/>
        <v>0.23173007172391991</v>
      </c>
      <c r="E38" s="436">
        <f t="shared" si="13"/>
        <v>0.22960132378939946</v>
      </c>
      <c r="F38" s="436">
        <f t="shared" si="13"/>
        <v>0.22747257585487901</v>
      </c>
      <c r="G38" s="436">
        <f t="shared" si="13"/>
        <v>0.22534382792035768</v>
      </c>
      <c r="H38" s="436">
        <f t="shared" si="13"/>
        <v>0.22321507998583723</v>
      </c>
      <c r="I38" s="436">
        <f t="shared" si="13"/>
        <v>0.22108633205131678</v>
      </c>
      <c r="J38" s="436">
        <f t="shared" si="13"/>
        <v>0.21895758411679545</v>
      </c>
      <c r="K38" s="436">
        <f t="shared" si="13"/>
        <v>0.216828836182275</v>
      </c>
      <c r="L38" s="436">
        <f t="shared" ref="L38:V38" si="14">L20/L24</f>
        <v>0.21086363816462192</v>
      </c>
      <c r="M38" s="436">
        <f t="shared" si="14"/>
        <v>0.2097587857265521</v>
      </c>
      <c r="N38" s="436">
        <f t="shared" si="14"/>
        <v>0.20964799735421952</v>
      </c>
      <c r="O38" s="436">
        <f t="shared" si="14"/>
        <v>0.20953614913873445</v>
      </c>
      <c r="P38" s="436">
        <f t="shared" si="14"/>
        <v>0.20781208761171971</v>
      </c>
      <c r="Q38" s="436">
        <f t="shared" si="14"/>
        <v>0.20877894855595669</v>
      </c>
      <c r="R38" s="436">
        <f t="shared" si="14"/>
        <v>0.20613662208216124</v>
      </c>
      <c r="S38" s="436">
        <f t="shared" si="14"/>
        <v>0.20358330158822102</v>
      </c>
      <c r="T38" s="436">
        <f t="shared" si="14"/>
        <v>0.19907065087205367</v>
      </c>
      <c r="U38" s="436">
        <f t="shared" si="14"/>
        <v>0.19265400515294048</v>
      </c>
      <c r="V38" s="436">
        <f t="shared" si="14"/>
        <v>0.18677764807947117</v>
      </c>
      <c r="W38" s="574"/>
      <c r="X38" s="540">
        <f>0.5*2</f>
        <v>1</v>
      </c>
    </row>
    <row r="39" spans="1:36" ht="48" hidden="1" customHeight="1">
      <c r="A39" s="533" t="s">
        <v>285</v>
      </c>
      <c r="B39" s="436">
        <f t="shared" ref="B39:K39" si="15">TREND($L39:$V39,$L36:$V36,B36)</f>
        <v>0.12287712234454595</v>
      </c>
      <c r="C39" s="436">
        <f t="shared" si="15"/>
        <v>0.12032526089580564</v>
      </c>
      <c r="D39" s="436">
        <f t="shared" si="15"/>
        <v>0.11777339944706533</v>
      </c>
      <c r="E39" s="436">
        <f t="shared" si="15"/>
        <v>0.11522153799832502</v>
      </c>
      <c r="F39" s="436">
        <f t="shared" si="15"/>
        <v>0.11266967654958471</v>
      </c>
      <c r="G39" s="436">
        <f t="shared" si="15"/>
        <v>0.1101178151008444</v>
      </c>
      <c r="H39" s="436">
        <f t="shared" si="15"/>
        <v>0.10756595365210408</v>
      </c>
      <c r="I39" s="436">
        <f t="shared" si="15"/>
        <v>0.10501409220336377</v>
      </c>
      <c r="J39" s="436">
        <f t="shared" si="15"/>
        <v>0.10246223075462346</v>
      </c>
      <c r="K39" s="436">
        <f t="shared" si="15"/>
        <v>9.9910369305883151E-2</v>
      </c>
      <c r="L39" s="436">
        <f t="shared" ref="L39:V39" si="16">L21/L24</f>
        <v>9.5472259551824257E-2</v>
      </c>
      <c r="M39" s="436">
        <f t="shared" si="16"/>
        <v>9.2017958519754167E-2</v>
      </c>
      <c r="N39" s="436">
        <f t="shared" si="16"/>
        <v>9.2058574096305246E-2</v>
      </c>
      <c r="O39" s="436">
        <f t="shared" si="16"/>
        <v>9.0399792185857114E-2</v>
      </c>
      <c r="P39" s="436">
        <f t="shared" si="16"/>
        <v>8.923407104625973E-2</v>
      </c>
      <c r="Q39" s="436">
        <f t="shared" si="16"/>
        <v>8.7705031588447654E-2</v>
      </c>
      <c r="R39" s="436">
        <f t="shared" si="16"/>
        <v>8.4823217414084717E-2</v>
      </c>
      <c r="S39" s="436">
        <f t="shared" si="16"/>
        <v>8.1387572209663736E-2</v>
      </c>
      <c r="T39" s="436">
        <f t="shared" si="16"/>
        <v>7.6064384033328797E-2</v>
      </c>
      <c r="U39" s="436">
        <f t="shared" si="16"/>
        <v>7.1995494261471074E-2</v>
      </c>
      <c r="V39" s="436">
        <f t="shared" si="16"/>
        <v>6.943285184086162E-2</v>
      </c>
      <c r="W39" s="574"/>
      <c r="X39" s="540">
        <f>0.5*3</f>
        <v>1.5</v>
      </c>
    </row>
    <row r="40" spans="1:36" ht="48" hidden="1" customHeight="1">
      <c r="A40" s="533" t="s">
        <v>286</v>
      </c>
      <c r="B40" s="436">
        <f t="shared" ref="B40:K40" si="17">TREND($L40:$V40,$L$36:$V$36,B36)</f>
        <v>6.9658194268269469E-2</v>
      </c>
      <c r="C40" s="436">
        <f t="shared" si="17"/>
        <v>6.7826238346569312E-2</v>
      </c>
      <c r="D40" s="436">
        <f t="shared" si="17"/>
        <v>6.5994282424868711E-2</v>
      </c>
      <c r="E40" s="436">
        <f t="shared" si="17"/>
        <v>6.4162326503168554E-2</v>
      </c>
      <c r="F40" s="436">
        <f t="shared" si="17"/>
        <v>6.2330370581468397E-2</v>
      </c>
      <c r="G40" s="436">
        <f t="shared" si="17"/>
        <v>6.0498414659767796E-2</v>
      </c>
      <c r="H40" s="436">
        <f t="shared" si="17"/>
        <v>5.8666458738067639E-2</v>
      </c>
      <c r="I40" s="436">
        <f t="shared" si="17"/>
        <v>5.6834502816367483E-2</v>
      </c>
      <c r="J40" s="436">
        <f t="shared" si="17"/>
        <v>5.5002546894666882E-2</v>
      </c>
      <c r="K40" s="436">
        <f t="shared" si="17"/>
        <v>5.3170590972966725E-2</v>
      </c>
      <c r="L40" s="436">
        <f t="shared" ref="L40:V40" si="18">L22/L24</f>
        <v>5.0596774322532852E-2</v>
      </c>
      <c r="M40" s="436">
        <f t="shared" si="18"/>
        <v>4.7715011180423941E-2</v>
      </c>
      <c r="N40" s="436">
        <f t="shared" si="18"/>
        <v>4.7825233338099932E-2</v>
      </c>
      <c r="O40" s="436">
        <f t="shared" si="18"/>
        <v>4.6198367440357331E-2</v>
      </c>
      <c r="P40" s="436">
        <f t="shared" si="18"/>
        <v>4.5472674690519826E-2</v>
      </c>
      <c r="Q40" s="436">
        <f t="shared" si="18"/>
        <v>4.3824368231046934E-2</v>
      </c>
      <c r="R40" s="436">
        <f t="shared" si="18"/>
        <v>4.1538085716443754E-2</v>
      </c>
      <c r="S40" s="436">
        <f t="shared" si="18"/>
        <v>3.9104954316098964E-2</v>
      </c>
      <c r="T40" s="436">
        <f t="shared" si="18"/>
        <v>3.5540813931125861E-2</v>
      </c>
      <c r="U40" s="436">
        <f t="shared" si="18"/>
        <v>3.3452195127969542E-2</v>
      </c>
      <c r="V40" s="436">
        <f t="shared" si="18"/>
        <v>3.2698931575792768E-2</v>
      </c>
      <c r="W40" s="574"/>
      <c r="X40" s="540">
        <f>0.5*4</f>
        <v>2</v>
      </c>
    </row>
    <row r="41" spans="1:36" ht="48" hidden="1" customHeight="1">
      <c r="A41" s="533" t="s">
        <v>287</v>
      </c>
      <c r="B41" s="436">
        <f t="shared" ref="B41:K41" si="19">TREND($L41:$V41,$L$36:$V$36,B36)</f>
        <v>0.16712604663718977</v>
      </c>
      <c r="C41" s="436">
        <f t="shared" si="19"/>
        <v>0.16187179009878427</v>
      </c>
      <c r="D41" s="436">
        <f t="shared" si="19"/>
        <v>0.15661753356038055</v>
      </c>
      <c r="E41" s="436">
        <f t="shared" si="19"/>
        <v>0.15136327702197683</v>
      </c>
      <c r="F41" s="436">
        <f t="shared" si="19"/>
        <v>0.1461090204835731</v>
      </c>
      <c r="G41" s="436">
        <f t="shared" si="19"/>
        <v>0.14085476394516938</v>
      </c>
      <c r="H41" s="436">
        <f t="shared" si="19"/>
        <v>0.13560050740676388</v>
      </c>
      <c r="I41" s="436">
        <f t="shared" si="19"/>
        <v>0.13034625086836016</v>
      </c>
      <c r="J41" s="436">
        <f t="shared" si="19"/>
        <v>0.12509199432995644</v>
      </c>
      <c r="K41" s="436">
        <f t="shared" si="19"/>
        <v>0.11983773779155271</v>
      </c>
      <c r="L41" s="436">
        <f t="shared" ref="L41:V41" si="20">L23/L24</f>
        <v>0.11465390188144829</v>
      </c>
      <c r="M41" s="436">
        <f t="shared" si="20"/>
        <v>0.10503453054939355</v>
      </c>
      <c r="N41" s="436">
        <f t="shared" si="20"/>
        <v>0.10618206880337294</v>
      </c>
      <c r="O41" s="436">
        <f t="shared" si="20"/>
        <v>9.9312003937818583E-2</v>
      </c>
      <c r="P41" s="436">
        <f t="shared" si="20"/>
        <v>0.1002820296264912</v>
      </c>
      <c r="Q41" s="436">
        <f t="shared" si="20"/>
        <v>8.9039711191335746E-2</v>
      </c>
      <c r="R41" s="436">
        <f t="shared" si="20"/>
        <v>8.2394852130016044E-2</v>
      </c>
      <c r="S41" s="436">
        <f t="shared" si="20"/>
        <v>7.5737213122941807E-2</v>
      </c>
      <c r="T41" s="436">
        <f t="shared" si="20"/>
        <v>6.5791185124490684E-2</v>
      </c>
      <c r="U41" s="436">
        <f t="shared" si="20"/>
        <v>6.3384616482304285E-2</v>
      </c>
      <c r="V41" s="436">
        <f t="shared" si="20"/>
        <v>6.9622071322806067E-2</v>
      </c>
      <c r="W41" s="574"/>
      <c r="X41" s="550">
        <f>L32</f>
        <v>9.4097172753124312</v>
      </c>
    </row>
    <row r="42" spans="1:36" ht="51" hidden="1" customHeight="1" thickBot="1">
      <c r="A42" s="551"/>
      <c r="B42" s="714" t="s">
        <v>288</v>
      </c>
      <c r="C42" s="715"/>
      <c r="D42" s="715"/>
      <c r="E42" s="715"/>
      <c r="F42" s="715"/>
      <c r="G42" s="715"/>
      <c r="H42" s="715"/>
      <c r="I42" s="715"/>
      <c r="J42" s="715"/>
      <c r="K42" s="716"/>
      <c r="L42" s="437"/>
      <c r="M42" s="437"/>
      <c r="N42" s="437"/>
      <c r="O42" s="437"/>
      <c r="P42" s="437"/>
      <c r="Q42" s="437"/>
      <c r="R42" s="437"/>
      <c r="S42" s="437"/>
      <c r="T42" s="437"/>
      <c r="U42" s="437"/>
      <c r="V42" s="437"/>
      <c r="W42" s="438"/>
      <c r="X42" s="628">
        <f>V32</f>
        <v>8.8641784543391342</v>
      </c>
      <c r="Y42" s="548"/>
      <c r="Z42" s="549"/>
      <c r="AA42" s="549"/>
      <c r="AB42" s="549"/>
      <c r="AC42" s="549"/>
      <c r="AD42" s="549"/>
      <c r="AE42" s="549"/>
      <c r="AF42" s="549"/>
      <c r="AG42" s="549"/>
      <c r="AH42" s="549"/>
      <c r="AI42" s="549"/>
      <c r="AJ42" s="549"/>
    </row>
    <row r="43" spans="1:36" ht="51" customHeight="1">
      <c r="B43" s="645"/>
      <c r="C43" s="645"/>
      <c r="D43" s="645"/>
      <c r="E43" s="645"/>
      <c r="F43" s="645"/>
      <c r="G43" s="645"/>
      <c r="H43" s="645"/>
      <c r="I43" s="645"/>
      <c r="J43" s="645"/>
      <c r="K43" s="645"/>
      <c r="L43" s="436"/>
      <c r="M43" s="436"/>
      <c r="N43" s="436"/>
      <c r="O43" s="436"/>
      <c r="P43" s="436"/>
      <c r="Q43" s="436"/>
      <c r="R43" s="436"/>
      <c r="S43" s="436"/>
      <c r="T43" s="436"/>
      <c r="U43" s="436"/>
      <c r="V43" s="436"/>
      <c r="W43" s="436"/>
      <c r="X43" s="269"/>
      <c r="Y43" s="548"/>
      <c r="Z43" s="549"/>
      <c r="AA43" s="549"/>
      <c r="AB43" s="549"/>
      <c r="AC43" s="549"/>
      <c r="AD43" s="549"/>
      <c r="AE43" s="549"/>
      <c r="AF43" s="549"/>
      <c r="AG43" s="549"/>
      <c r="AH43" s="549"/>
      <c r="AI43" s="549"/>
      <c r="AJ43" s="549"/>
    </row>
    <row r="44" spans="1:36" ht="51" hidden="1" customHeight="1">
      <c r="A44" s="705" t="s">
        <v>289</v>
      </c>
      <c r="B44" s="706"/>
      <c r="C44" s="706"/>
      <c r="D44" s="706"/>
      <c r="E44" s="706"/>
      <c r="F44" s="706"/>
      <c r="G44" s="706"/>
      <c r="H44" s="706"/>
      <c r="I44" s="706"/>
      <c r="J44" s="706"/>
      <c r="K44" s="706"/>
      <c r="L44" s="706"/>
      <c r="M44" s="706"/>
      <c r="N44" s="706"/>
      <c r="O44" s="706"/>
      <c r="P44" s="706"/>
      <c r="Q44" s="706"/>
      <c r="R44" s="706"/>
      <c r="S44" s="706"/>
      <c r="T44" s="706"/>
      <c r="U44" s="706"/>
      <c r="V44" s="706"/>
      <c r="W44" s="707"/>
      <c r="X44" s="269"/>
      <c r="Y44" s="548"/>
      <c r="Z44" s="549"/>
      <c r="AA44" s="549"/>
      <c r="AB44" s="549"/>
      <c r="AC44" s="549"/>
      <c r="AD44" s="549"/>
      <c r="AE44" s="549"/>
      <c r="AF44" s="549"/>
      <c r="AG44" s="549"/>
      <c r="AH44" s="549"/>
      <c r="AI44" s="549"/>
      <c r="AJ44" s="549"/>
    </row>
    <row r="45" spans="1:36" ht="51" hidden="1" customHeight="1">
      <c r="A45" s="531"/>
      <c r="B45" s="645">
        <v>1999</v>
      </c>
      <c r="C45" s="645">
        <v>2000</v>
      </c>
      <c r="D45" s="645">
        <v>2001</v>
      </c>
      <c r="E45" s="645">
        <v>2002</v>
      </c>
      <c r="F45" s="645">
        <v>2003</v>
      </c>
      <c r="G45" s="645">
        <v>2004</v>
      </c>
      <c r="H45" s="645">
        <v>2005</v>
      </c>
      <c r="I45" s="645">
        <v>2006</v>
      </c>
      <c r="J45" s="645">
        <v>2007</v>
      </c>
      <c r="K45" s="645">
        <v>2008</v>
      </c>
      <c r="L45" s="645">
        <v>2009</v>
      </c>
      <c r="M45" s="645">
        <v>2010</v>
      </c>
      <c r="N45" s="645">
        <v>2011</v>
      </c>
      <c r="O45" s="645">
        <v>2012</v>
      </c>
      <c r="P45" s="645">
        <v>2013</v>
      </c>
      <c r="Q45" s="645">
        <v>2014</v>
      </c>
      <c r="R45" s="645">
        <v>2015</v>
      </c>
      <c r="S45" s="645">
        <v>2016</v>
      </c>
      <c r="T45" s="645">
        <v>2017</v>
      </c>
      <c r="U45" s="645">
        <v>2018</v>
      </c>
      <c r="V45" s="645">
        <v>2019</v>
      </c>
      <c r="W45" s="431">
        <v>2020</v>
      </c>
    </row>
    <row r="46" spans="1:36" hidden="1">
      <c r="A46" s="505" t="s">
        <v>290</v>
      </c>
      <c r="B46" s="552">
        <f t="shared" ref="B46:K46" si="21">(B37*1)+(B38*2)+(B39*3)+(B40*4)+(B41*$X$41)</f>
        <v>3.096199191633394</v>
      </c>
      <c r="C46" s="552">
        <f t="shared" si="21"/>
        <v>3.0392840409723441</v>
      </c>
      <c r="D46" s="552">
        <f t="shared" si="21"/>
        <v>2.9823688903113066</v>
      </c>
      <c r="E46" s="552">
        <f t="shared" si="21"/>
        <v>2.9254537396502731</v>
      </c>
      <c r="F46" s="552">
        <f t="shared" si="21"/>
        <v>2.8685385889892396</v>
      </c>
      <c r="G46" s="552">
        <f t="shared" si="21"/>
        <v>2.8116234383282022</v>
      </c>
      <c r="H46" s="552">
        <f t="shared" si="21"/>
        <v>2.7547082876671518</v>
      </c>
      <c r="I46" s="552">
        <f t="shared" si="21"/>
        <v>2.6977931370061183</v>
      </c>
      <c r="J46" s="552">
        <f t="shared" si="21"/>
        <v>2.6408779863450809</v>
      </c>
      <c r="K46" s="552">
        <f t="shared" si="21"/>
        <v>2.5839628356840469</v>
      </c>
      <c r="L46" s="504">
        <f t="shared" ref="L46:V46" si="22">L31/L24</f>
        <v>2.5178054022891154</v>
      </c>
      <c r="M46" s="504">
        <f t="shared" si="22"/>
        <v>2.3831163607935655</v>
      </c>
      <c r="N46" s="504">
        <f t="shared" si="22"/>
        <v>2.3896092355561942</v>
      </c>
      <c r="O46" s="504">
        <f t="shared" si="22"/>
        <v>2.3064173966516766</v>
      </c>
      <c r="P46" s="504">
        <f t="shared" si="22"/>
        <v>2.3240676596745105</v>
      </c>
      <c r="Q46" s="504">
        <f t="shared" si="22"/>
        <v>2.1833603564981949</v>
      </c>
      <c r="R46" s="504">
        <f t="shared" si="22"/>
        <v>2.1185428784140306</v>
      </c>
      <c r="S46" s="504">
        <f t="shared" si="22"/>
        <v>2.0560140905939011</v>
      </c>
      <c r="T46" s="504">
        <f t="shared" si="22"/>
        <v>1.9429967826183907</v>
      </c>
      <c r="U46" s="504">
        <f t="shared" si="22"/>
        <v>1.9088821109902294</v>
      </c>
      <c r="V46" s="504">
        <f t="shared" si="22"/>
        <v>1.9712605397318468</v>
      </c>
      <c r="W46" s="506"/>
      <c r="AB46" s="549"/>
      <c r="AC46" s="549"/>
      <c r="AD46" s="549"/>
      <c r="AE46" s="549"/>
      <c r="AF46" s="549"/>
      <c r="AG46" s="549"/>
      <c r="AH46" s="247"/>
    </row>
    <row r="47" spans="1:36" ht="14.85" hidden="1" customHeight="1">
      <c r="A47" s="509"/>
      <c r="B47" s="717"/>
      <c r="C47" s="717"/>
      <c r="D47" s="717"/>
      <c r="E47" s="717"/>
      <c r="F47" s="717"/>
      <c r="G47" s="717"/>
      <c r="H47" s="717"/>
      <c r="I47" s="717"/>
      <c r="J47" s="717"/>
      <c r="K47" s="717"/>
      <c r="L47" s="504"/>
      <c r="M47" s="504"/>
      <c r="N47" s="504"/>
      <c r="O47" s="504"/>
      <c r="P47" s="504"/>
      <c r="Q47" s="504"/>
      <c r="R47" s="504"/>
      <c r="S47" s="504"/>
      <c r="T47" s="504"/>
      <c r="U47" s="504"/>
      <c r="V47" s="504"/>
      <c r="W47" s="506"/>
      <c r="AB47" s="549"/>
      <c r="AC47" s="549"/>
      <c r="AD47" s="549"/>
      <c r="AE47" s="549"/>
      <c r="AF47" s="549"/>
      <c r="AG47" s="549"/>
      <c r="AH47" s="247"/>
    </row>
    <row r="48" spans="1:36" ht="14.85" hidden="1" customHeight="1">
      <c r="A48" s="531" t="s">
        <v>291</v>
      </c>
      <c r="B48" s="645"/>
      <c r="C48" s="645"/>
      <c r="D48" s="645"/>
      <c r="E48" s="645"/>
      <c r="F48" s="645"/>
      <c r="G48" s="645"/>
      <c r="H48" s="645"/>
      <c r="I48" s="645"/>
      <c r="J48" s="645"/>
      <c r="K48" s="645"/>
      <c r="L48" s="504"/>
      <c r="M48" s="504"/>
      <c r="N48" s="504"/>
      <c r="O48" s="504"/>
      <c r="P48" s="504"/>
      <c r="Q48" s="504"/>
      <c r="R48" s="504"/>
      <c r="S48" s="504"/>
      <c r="T48" s="504"/>
      <c r="U48" s="504"/>
      <c r="V48" s="504"/>
      <c r="W48" s="506"/>
      <c r="AB48" s="549"/>
      <c r="AC48" s="549"/>
      <c r="AD48" s="549"/>
      <c r="AE48" s="549"/>
      <c r="AF48" s="549"/>
      <c r="AG48" s="549"/>
      <c r="AH48" s="247"/>
    </row>
    <row r="49" spans="1:34" ht="14.85" hidden="1" customHeight="1" thickBot="1">
      <c r="A49" s="551" t="s">
        <v>292</v>
      </c>
      <c r="B49" s="510"/>
      <c r="C49" s="510"/>
      <c r="D49" s="510"/>
      <c r="E49" s="510"/>
      <c r="F49" s="510"/>
      <c r="G49" s="510"/>
      <c r="H49" s="510"/>
      <c r="I49" s="510"/>
      <c r="J49" s="510"/>
      <c r="K49" s="510"/>
      <c r="L49" s="507"/>
      <c r="M49" s="507"/>
      <c r="N49" s="507"/>
      <c r="O49" s="507"/>
      <c r="P49" s="507"/>
      <c r="Q49" s="507"/>
      <c r="R49" s="507"/>
      <c r="S49" s="507"/>
      <c r="T49" s="507"/>
      <c r="U49" s="507"/>
      <c r="V49" s="507"/>
      <c r="W49" s="508"/>
      <c r="AB49" s="549"/>
      <c r="AC49" s="549"/>
      <c r="AD49" s="549"/>
      <c r="AE49" s="549"/>
      <c r="AF49" s="549"/>
      <c r="AG49" s="549"/>
      <c r="AH49" s="247"/>
    </row>
    <row r="50" spans="1:34" ht="14.85" customHeight="1" thickBot="1">
      <c r="B50" s="645"/>
      <c r="C50" s="645"/>
      <c r="D50" s="645"/>
      <c r="E50" s="645"/>
      <c r="F50" s="645"/>
      <c r="G50" s="645"/>
      <c r="H50" s="645"/>
      <c r="I50" s="645"/>
      <c r="J50" s="645"/>
      <c r="K50" s="645"/>
      <c r="L50" s="504"/>
      <c r="M50" s="504"/>
      <c r="N50" s="504"/>
      <c r="O50" s="504"/>
      <c r="P50" s="504"/>
      <c r="Q50" s="504"/>
      <c r="R50" s="504"/>
      <c r="S50" s="504"/>
      <c r="T50" s="504"/>
      <c r="U50" s="504"/>
      <c r="V50" s="504"/>
      <c r="W50" s="504"/>
      <c r="AB50" s="549"/>
      <c r="AC50" s="549"/>
      <c r="AD50" s="549"/>
      <c r="AE50" s="549"/>
      <c r="AF50" s="549"/>
      <c r="AG50" s="549"/>
      <c r="AH50" s="247"/>
    </row>
    <row r="51" spans="1:34" ht="61.2">
      <c r="A51" s="708" t="s">
        <v>293</v>
      </c>
      <c r="B51" s="709"/>
      <c r="C51" s="709"/>
      <c r="D51" s="709"/>
      <c r="E51" s="709"/>
      <c r="F51" s="709"/>
      <c r="G51" s="709"/>
      <c r="H51" s="709"/>
      <c r="I51" s="709"/>
      <c r="J51" s="709"/>
      <c r="K51" s="709"/>
      <c r="L51" s="709"/>
      <c r="M51" s="709"/>
      <c r="N51" s="709"/>
      <c r="O51" s="709"/>
      <c r="P51" s="709"/>
      <c r="Q51" s="709"/>
      <c r="R51" s="709"/>
      <c r="S51" s="709"/>
      <c r="T51" s="709"/>
      <c r="U51" s="709"/>
      <c r="V51" s="709"/>
      <c r="W51" s="710"/>
      <c r="X51" s="629" t="s">
        <v>294</v>
      </c>
      <c r="Y51" s="512" t="s">
        <v>295</v>
      </c>
      <c r="AD51" s="19"/>
      <c r="AE51" s="19"/>
    </row>
    <row r="52" spans="1:34" ht="15.6">
      <c r="A52" s="443" t="s">
        <v>296</v>
      </c>
      <c r="B52" s="626">
        <f t="shared" ref="B52:K52" si="23">SUM((B37*$X37)+(B38*$X38)+(B39*$X39)+(B40*$X40)+(B41*$X41))</f>
        <v>2.3344040199150147</v>
      </c>
      <c r="C52" s="626">
        <f t="shared" si="23"/>
        <v>2.2812259103253112</v>
      </c>
      <c r="D52" s="626">
        <f t="shared" si="23"/>
        <v>2.2280478007356219</v>
      </c>
      <c r="E52" s="626">
        <f t="shared" si="23"/>
        <v>2.1748696911459349</v>
      </c>
      <c r="F52" s="626">
        <f t="shared" si="23"/>
        <v>2.1216915815562478</v>
      </c>
      <c r="G52" s="626">
        <f t="shared" si="23"/>
        <v>2.0685134719665585</v>
      </c>
      <c r="H52" s="626">
        <f t="shared" si="23"/>
        <v>2.0153353623768546</v>
      </c>
      <c r="I52" s="626">
        <f t="shared" si="23"/>
        <v>1.9621572527871673</v>
      </c>
      <c r="J52" s="626">
        <f t="shared" si="23"/>
        <v>1.9089791431974783</v>
      </c>
      <c r="K52" s="626">
        <f t="shared" si="23"/>
        <v>1.855801033607791</v>
      </c>
      <c r="L52" s="626">
        <f t="shared" ref="L52:W52" si="24">SUM((L37*$X37)+(L38*$X38)+(L39*$X39)+(L40*$X40)+(L41*L32))</f>
        <v>1.7983330903930508</v>
      </c>
      <c r="M52" s="626">
        <f t="shared" si="24"/>
        <v>1.6671637364645187</v>
      </c>
      <c r="N52" s="626">
        <f t="shared" si="24"/>
        <v>1.6740798366286249</v>
      </c>
      <c r="O52" s="626">
        <f t="shared" si="24"/>
        <v>1.5916079593704233</v>
      </c>
      <c r="P52" s="626">
        <f t="shared" si="24"/>
        <v>1.6128595040508922</v>
      </c>
      <c r="Q52" s="626">
        <f t="shared" si="24"/>
        <v>1.4700491764440433</v>
      </c>
      <c r="R52" s="626">
        <f t="shared" si="24"/>
        <v>1.4095416358110791</v>
      </c>
      <c r="S52" s="626">
        <f t="shared" si="24"/>
        <v>1.3520460057358914</v>
      </c>
      <c r="T52" s="626">
        <f t="shared" si="24"/>
        <v>1.2469814448145915</v>
      </c>
      <c r="U52" s="626">
        <f t="shared" si="24"/>
        <v>1.2220735999724113</v>
      </c>
      <c r="V52" s="626">
        <f t="shared" si="24"/>
        <v>1.2942015021489635</v>
      </c>
      <c r="W52" s="553">
        <f t="shared" si="24"/>
        <v>0</v>
      </c>
      <c r="X52" s="630">
        <f>AVERAGE(B52:V52)</f>
        <v>1.7757125123546891</v>
      </c>
      <c r="Y52" s="631">
        <f>X52/12</f>
        <v>0.14797604269622408</v>
      </c>
    </row>
    <row r="53" spans="1:34" ht="81.599999999999994">
      <c r="A53" s="554" t="s">
        <v>297</v>
      </c>
      <c r="B53" s="627">
        <f t="shared" ref="B53:V53" si="25">B52*B58</f>
        <v>118157727.71209052</v>
      </c>
      <c r="C53" s="627">
        <f t="shared" si="25"/>
        <v>126079461.34552409</v>
      </c>
      <c r="D53" s="627">
        <f t="shared" si="25"/>
        <v>137249206.06702104</v>
      </c>
      <c r="E53" s="627">
        <f t="shared" si="25"/>
        <v>139505676.58138478</v>
      </c>
      <c r="F53" s="627">
        <f t="shared" si="25"/>
        <v>144195512.29609936</v>
      </c>
      <c r="G53" s="627">
        <f t="shared" si="25"/>
        <v>150103242.86710441</v>
      </c>
      <c r="H53" s="627">
        <f t="shared" si="25"/>
        <v>155057862.61199394</v>
      </c>
      <c r="I53" s="627">
        <f t="shared" si="25"/>
        <v>163253183.17809507</v>
      </c>
      <c r="J53" s="627">
        <f t="shared" si="25"/>
        <v>171739074.23440379</v>
      </c>
      <c r="K53" s="627">
        <f t="shared" si="25"/>
        <v>177370354.88968191</v>
      </c>
      <c r="L53" s="627">
        <f t="shared" si="25"/>
        <v>180738907.42202437</v>
      </c>
      <c r="M53" s="627">
        <f t="shared" si="25"/>
        <v>181842874.95457992</v>
      </c>
      <c r="N53" s="627">
        <f t="shared" si="25"/>
        <v>182585763.20432958</v>
      </c>
      <c r="O53" s="627">
        <f t="shared" si="25"/>
        <v>181537384.17443261</v>
      </c>
      <c r="P53" s="627">
        <f t="shared" si="25"/>
        <v>176215280.12724125</v>
      </c>
      <c r="Q53" s="627">
        <f t="shared" si="25"/>
        <v>165850685.21786049</v>
      </c>
      <c r="R53" s="627">
        <f t="shared" si="25"/>
        <v>152455326.23792812</v>
      </c>
      <c r="S53" s="627">
        <f t="shared" si="25"/>
        <v>142906842.13555112</v>
      </c>
      <c r="T53" s="627">
        <f t="shared" si="25"/>
        <v>124366317.05976546</v>
      </c>
      <c r="U53" s="627">
        <f t="shared" si="25"/>
        <v>108747547.3025807</v>
      </c>
      <c r="V53" s="627">
        <f t="shared" si="25"/>
        <v>101538586.11182743</v>
      </c>
      <c r="W53" s="444" t="e">
        <f>W52*W58</f>
        <v>#DIV/0!</v>
      </c>
      <c r="X53" s="629" t="s">
        <v>298</v>
      </c>
      <c r="Y53" s="512" t="s">
        <v>299</v>
      </c>
    </row>
    <row r="54" spans="1:34" ht="15.9" thickBot="1">
      <c r="A54" s="445" t="s">
        <v>300</v>
      </c>
      <c r="B54" s="291">
        <f t="shared" ref="B54:W54" si="26">B52/B46</f>
        <v>0.75395795794504561</v>
      </c>
      <c r="C54" s="291">
        <f t="shared" si="26"/>
        <v>0.75058003120876093</v>
      </c>
      <c r="D54" s="291">
        <f t="shared" si="26"/>
        <v>0.74707317661935946</v>
      </c>
      <c r="E54" s="291">
        <f t="shared" si="26"/>
        <v>0.7434298692434399</v>
      </c>
      <c r="F54" s="291">
        <f t="shared" si="26"/>
        <v>0.73964198693378869</v>
      </c>
      <c r="G54" s="291">
        <f t="shared" si="26"/>
        <v>0.73570074988295786</v>
      </c>
      <c r="H54" s="291">
        <f t="shared" si="26"/>
        <v>0.73159665268352558</v>
      </c>
      <c r="I54" s="291">
        <f t="shared" si="26"/>
        <v>0.72731938778844829</v>
      </c>
      <c r="J54" s="291">
        <f t="shared" si="26"/>
        <v>0.72285775907408167</v>
      </c>
      <c r="K54" s="291">
        <f t="shared" si="26"/>
        <v>0.71819958397989447</v>
      </c>
      <c r="L54" s="291">
        <f t="shared" si="26"/>
        <v>0.71424625936462705</v>
      </c>
      <c r="M54" s="291">
        <f t="shared" si="26"/>
        <v>0.6995729473777611</v>
      </c>
      <c r="N54" s="291">
        <f t="shared" si="26"/>
        <v>0.70056635692528779</v>
      </c>
      <c r="O54" s="291">
        <f t="shared" si="26"/>
        <v>0.6900780239001959</v>
      </c>
      <c r="P54" s="291">
        <f t="shared" si="26"/>
        <v>0.69398130357219279</v>
      </c>
      <c r="Q54" s="291">
        <f t="shared" si="26"/>
        <v>0.67329663290296105</v>
      </c>
      <c r="R54" s="291">
        <f t="shared" si="26"/>
        <v>0.66533542944680957</v>
      </c>
      <c r="S54" s="291">
        <f t="shared" si="26"/>
        <v>0.65760541813472628</v>
      </c>
      <c r="T54" s="291">
        <f t="shared" si="26"/>
        <v>0.64178255773236748</v>
      </c>
      <c r="U54" s="291">
        <f t="shared" si="26"/>
        <v>0.64020380983006997</v>
      </c>
      <c r="V54" s="291">
        <f t="shared" si="26"/>
        <v>0.65653498158341639</v>
      </c>
      <c r="W54" s="555" t="e">
        <f t="shared" si="26"/>
        <v>#DIV/0!</v>
      </c>
      <c r="X54" s="630">
        <f>AVERAGE(B54:V54)</f>
        <v>0.70493147029189118</v>
      </c>
      <c r="Y54" s="632">
        <f>X54/12</f>
        <v>5.874428919099093E-2</v>
      </c>
    </row>
    <row r="55" spans="1:34" ht="20.7" thickBot="1">
      <c r="A55" s="1"/>
      <c r="X55" s="513"/>
    </row>
    <row r="56" spans="1:34" ht="47.5" customHeight="1">
      <c r="A56" s="701" t="s">
        <v>301</v>
      </c>
      <c r="B56" s="702"/>
      <c r="C56" s="702"/>
      <c r="D56" s="702"/>
      <c r="E56" s="702"/>
      <c r="F56" s="702"/>
      <c r="G56" s="702"/>
      <c r="H56" s="702"/>
      <c r="I56" s="702"/>
      <c r="J56" s="702"/>
      <c r="K56" s="702"/>
      <c r="L56" s="702"/>
      <c r="M56" s="702"/>
      <c r="N56" s="702"/>
      <c r="O56" s="702"/>
      <c r="P56" s="702"/>
      <c r="Q56" s="702"/>
      <c r="R56" s="702"/>
      <c r="S56" s="702"/>
      <c r="T56" s="702"/>
      <c r="U56" s="702"/>
      <c r="V56" s="702"/>
      <c r="W56" s="703"/>
      <c r="X56" s="556"/>
    </row>
    <row r="57" spans="1:34" ht="14.85" customHeight="1">
      <c r="A57" s="531"/>
      <c r="B57" s="624">
        <v>1999</v>
      </c>
      <c r="C57" s="624">
        <v>2000</v>
      </c>
      <c r="D57" s="624">
        <v>2001</v>
      </c>
      <c r="E57" s="624">
        <v>2002</v>
      </c>
      <c r="F57" s="624">
        <v>2003</v>
      </c>
      <c r="G57" s="624">
        <v>2004</v>
      </c>
      <c r="H57" s="624">
        <v>2005</v>
      </c>
      <c r="I57" s="624">
        <v>2006</v>
      </c>
      <c r="J57" s="624">
        <v>2007</v>
      </c>
      <c r="K57" s="624">
        <v>2008</v>
      </c>
      <c r="L57" s="624">
        <v>2009</v>
      </c>
      <c r="M57" s="624">
        <v>2010</v>
      </c>
      <c r="N57" s="624">
        <v>2011</v>
      </c>
      <c r="O57" s="624">
        <v>2012</v>
      </c>
      <c r="P57" s="624">
        <v>2013</v>
      </c>
      <c r="Q57" s="624">
        <v>2014</v>
      </c>
      <c r="R57" s="624">
        <v>2015</v>
      </c>
      <c r="S57" s="624">
        <v>2016</v>
      </c>
      <c r="T57" s="624">
        <v>2017</v>
      </c>
      <c r="U57" s="624">
        <v>2018</v>
      </c>
      <c r="V57" s="625">
        <v>2019</v>
      </c>
      <c r="W57" s="514">
        <v>2020</v>
      </c>
      <c r="AB57" s="549"/>
      <c r="AC57" s="549"/>
      <c r="AD57" s="549"/>
      <c r="AE57" s="549"/>
      <c r="AF57" s="549"/>
      <c r="AG57" s="549"/>
      <c r="AH57" s="247"/>
    </row>
    <row r="58" spans="1:34" ht="42.6" customHeight="1" thickBot="1">
      <c r="A58" s="557" t="s">
        <v>256</v>
      </c>
      <c r="B58" s="558">
        <f t="shared" ref="B58:W58" si="27">B62/B46</f>
        <v>50615800.308805212</v>
      </c>
      <c r="C58" s="558">
        <f t="shared" si="27"/>
        <v>55268292.708259083</v>
      </c>
      <c r="D58" s="558">
        <f t="shared" si="27"/>
        <v>61600655.974125087</v>
      </c>
      <c r="E58" s="558">
        <f t="shared" si="27"/>
        <v>64144383.982784502</v>
      </c>
      <c r="F58" s="558">
        <f t="shared" si="27"/>
        <v>67962522.71045579</v>
      </c>
      <c r="G58" s="558">
        <f t="shared" si="27"/>
        <v>72565755.505764052</v>
      </c>
      <c r="H58" s="558">
        <f t="shared" si="27"/>
        <v>76938987.677525371</v>
      </c>
      <c r="I58" s="558">
        <f t="shared" si="27"/>
        <v>83200866.264006272</v>
      </c>
      <c r="J58" s="558">
        <f t="shared" si="27"/>
        <v>89963829.540194139</v>
      </c>
      <c r="K58" s="558">
        <f t="shared" si="27"/>
        <v>95576169.900532424</v>
      </c>
      <c r="L58" s="558">
        <f t="shared" si="27"/>
        <v>100503576.55517608</v>
      </c>
      <c r="M58" s="558">
        <f t="shared" si="27"/>
        <v>109073194.77822027</v>
      </c>
      <c r="N58" s="558">
        <f t="shared" si="27"/>
        <v>109066341.52647889</v>
      </c>
      <c r="O58" s="558">
        <f t="shared" si="27"/>
        <v>114059108.02698019</v>
      </c>
      <c r="P58" s="558">
        <f t="shared" si="27"/>
        <v>109256435.34644848</v>
      </c>
      <c r="Q58" s="558">
        <f t="shared" si="27"/>
        <v>112819821.18383473</v>
      </c>
      <c r="R58" s="558">
        <f t="shared" si="27"/>
        <v>108159505.44816807</v>
      </c>
      <c r="S58" s="558">
        <f t="shared" si="27"/>
        <v>105696730.38438496</v>
      </c>
      <c r="T58" s="558">
        <f t="shared" si="27"/>
        <v>99733895.461657792</v>
      </c>
      <c r="U58" s="558">
        <f t="shared" si="27"/>
        <v>88986086.68498829</v>
      </c>
      <c r="V58" s="558">
        <f t="shared" si="27"/>
        <v>78456550.964611903</v>
      </c>
      <c r="W58" s="559" t="e">
        <f t="shared" si="27"/>
        <v>#DIV/0!</v>
      </c>
      <c r="Y58" s="560"/>
      <c r="Z58" s="549"/>
      <c r="AA58" s="549"/>
      <c r="AB58" s="549"/>
      <c r="AC58" s="549"/>
      <c r="AD58" s="549"/>
      <c r="AE58" s="549"/>
      <c r="AF58" s="549"/>
      <c r="AG58" s="549"/>
      <c r="AH58" s="247"/>
    </row>
    <row r="59" spans="1:34" ht="51.6" customHeight="1">
      <c r="V59" s="582"/>
      <c r="W59" s="289"/>
    </row>
    <row r="60" spans="1:34" ht="20.399999999999999">
      <c r="A60" s="511" t="s">
        <v>302</v>
      </c>
    </row>
    <row r="61" spans="1:34" ht="14.7" thickBot="1">
      <c r="B61" s="645"/>
      <c r="C61" s="645"/>
      <c r="D61" s="645"/>
      <c r="E61" s="645"/>
      <c r="F61" s="645"/>
      <c r="G61" s="645"/>
      <c r="H61" s="645"/>
      <c r="I61" s="645"/>
      <c r="J61" s="645"/>
      <c r="K61" s="645"/>
      <c r="L61" s="428"/>
      <c r="M61" s="428"/>
      <c r="N61" s="428"/>
      <c r="O61" s="428"/>
      <c r="P61" s="428"/>
      <c r="Q61" s="428"/>
      <c r="R61" s="428"/>
      <c r="S61" s="428"/>
      <c r="T61" s="428"/>
      <c r="U61" s="428"/>
      <c r="V61" s="428"/>
      <c r="W61" s="428"/>
    </row>
    <row r="62" spans="1:34">
      <c r="A62" s="561" t="s">
        <v>3</v>
      </c>
      <c r="B62" s="432">
        <v>156716600</v>
      </c>
      <c r="C62" s="432">
        <v>167976040</v>
      </c>
      <c r="D62" s="432">
        <v>183715880</v>
      </c>
      <c r="E62" s="432">
        <v>187651428</v>
      </c>
      <c r="F62" s="432">
        <v>194953119</v>
      </c>
      <c r="G62" s="432">
        <v>204027579</v>
      </c>
      <c r="H62" s="432">
        <v>211944467</v>
      </c>
      <c r="I62" s="432">
        <v>224458726</v>
      </c>
      <c r="J62" s="432">
        <v>237583497</v>
      </c>
      <c r="K62" s="432">
        <v>246965271</v>
      </c>
      <c r="L62" s="432">
        <v>253048448</v>
      </c>
      <c r="M62" s="432">
        <v>259934115</v>
      </c>
      <c r="N62" s="432">
        <v>260625937</v>
      </c>
      <c r="O62" s="432">
        <v>263067911</v>
      </c>
      <c r="P62" s="432">
        <v>253919348</v>
      </c>
      <c r="Q62" s="432">
        <v>246326325</v>
      </c>
      <c r="R62" s="432">
        <v>229140550</v>
      </c>
      <c r="S62" s="432">
        <v>217313967</v>
      </c>
      <c r="T62" s="432">
        <v>193782638</v>
      </c>
      <c r="U62" s="432">
        <v>169863949</v>
      </c>
      <c r="V62" s="432">
        <v>154658303</v>
      </c>
      <c r="W62" s="433">
        <v>144174733</v>
      </c>
      <c r="X62" s="562"/>
    </row>
    <row r="63" spans="1:34" ht="40.9" customHeight="1" thickBot="1">
      <c r="A63" s="296" t="s">
        <v>303</v>
      </c>
      <c r="B63" s="688" t="s">
        <v>304</v>
      </c>
      <c r="C63" s="688"/>
      <c r="D63" s="688"/>
      <c r="E63" s="434"/>
      <c r="F63" s="434"/>
      <c r="G63" s="434"/>
      <c r="H63" s="434"/>
      <c r="I63" s="434"/>
      <c r="J63" s="434"/>
      <c r="K63" s="434"/>
      <c r="L63" s="434"/>
      <c r="M63" s="434"/>
      <c r="N63" s="434"/>
      <c r="O63" s="545" t="s">
        <v>305</v>
      </c>
      <c r="P63" s="434"/>
      <c r="Q63" s="434"/>
      <c r="R63" s="434"/>
      <c r="S63" s="434"/>
      <c r="T63" s="434"/>
      <c r="U63" s="434"/>
      <c r="V63" s="434"/>
      <c r="W63" s="435"/>
      <c r="X63" s="562"/>
    </row>
    <row r="64" spans="1:34">
      <c r="A64" s="524"/>
      <c r="B64" s="429">
        <v>1999</v>
      </c>
      <c r="C64" s="429">
        <v>2000</v>
      </c>
      <c r="D64" s="429">
        <v>2001</v>
      </c>
      <c r="E64" s="429">
        <v>2002</v>
      </c>
      <c r="F64" s="429">
        <v>2003</v>
      </c>
      <c r="G64" s="429">
        <v>2004</v>
      </c>
      <c r="H64" s="429">
        <v>2005</v>
      </c>
      <c r="I64" s="429">
        <v>2006</v>
      </c>
      <c r="J64" s="429">
        <v>2007</v>
      </c>
      <c r="K64" s="429">
        <v>2008</v>
      </c>
      <c r="L64" s="429">
        <v>2009</v>
      </c>
      <c r="M64" s="429">
        <v>2010</v>
      </c>
      <c r="N64" s="429">
        <v>2011</v>
      </c>
      <c r="O64" s="429">
        <v>2012</v>
      </c>
      <c r="P64" s="429">
        <v>2013</v>
      </c>
      <c r="Q64" s="429">
        <v>2014</v>
      </c>
      <c r="R64" s="429">
        <v>2015</v>
      </c>
      <c r="S64" s="429">
        <v>2016</v>
      </c>
      <c r="T64" s="429">
        <v>2017</v>
      </c>
      <c r="U64" s="429">
        <v>2018</v>
      </c>
      <c r="V64" s="439">
        <v>2019</v>
      </c>
      <c r="W64" s="440">
        <v>2020</v>
      </c>
      <c r="X64" s="284"/>
    </row>
    <row r="65" spans="1:34" ht="66.599999999999994" customHeight="1">
      <c r="A65" s="563" t="s">
        <v>306</v>
      </c>
      <c r="B65" s="622">
        <f>B91*1000000</f>
        <v>83860335346.247116</v>
      </c>
      <c r="C65" s="622">
        <f>C91*1000000</f>
        <v>88243037645.415298</v>
      </c>
      <c r="D65" s="622">
        <f>D91*1000000</f>
        <v>104432410000.00002</v>
      </c>
      <c r="E65" s="622">
        <v>113914397673</v>
      </c>
      <c r="F65" s="622">
        <v>128182380208</v>
      </c>
      <c r="G65" s="622">
        <v>141266597589</v>
      </c>
      <c r="H65" s="622">
        <v>152741116253</v>
      </c>
      <c r="I65" s="622">
        <v>172377484435</v>
      </c>
      <c r="J65" s="622">
        <v>194816933897</v>
      </c>
      <c r="K65" s="622">
        <v>214803554568</v>
      </c>
      <c r="L65" s="622">
        <v>227757668789</v>
      </c>
      <c r="M65" s="622">
        <v>245404960604</v>
      </c>
      <c r="N65" s="622">
        <v>246463188398</v>
      </c>
      <c r="O65" s="622">
        <v>239867616739</v>
      </c>
      <c r="P65" s="622">
        <v>228965844787</v>
      </c>
      <c r="Q65" s="622">
        <v>221271525079</v>
      </c>
      <c r="R65" s="622">
        <v>209409702158</v>
      </c>
      <c r="S65" s="622">
        <v>197124327717</v>
      </c>
      <c r="T65" s="622">
        <v>170285611746</v>
      </c>
      <c r="U65" s="622">
        <v>141100706124</v>
      </c>
      <c r="V65" s="622">
        <v>120407890118</v>
      </c>
      <c r="W65" s="623">
        <v>110314545203</v>
      </c>
      <c r="X65" s="284"/>
    </row>
    <row r="66" spans="1:34" ht="28.8">
      <c r="A66" s="564" t="s">
        <v>307</v>
      </c>
      <c r="B66" s="697" t="s">
        <v>308</v>
      </c>
      <c r="C66" s="697"/>
      <c r="D66" s="697"/>
      <c r="E66" s="565"/>
      <c r="F66" s="565"/>
      <c r="G66" s="565"/>
      <c r="H66" s="565"/>
      <c r="I66" s="565"/>
      <c r="J66" s="565"/>
      <c r="K66" s="565"/>
      <c r="L66" s="565"/>
      <c r="M66" s="565"/>
      <c r="N66" s="565"/>
      <c r="O66" s="565"/>
      <c r="P66" s="565"/>
      <c r="Q66" s="565"/>
      <c r="R66" s="565"/>
      <c r="S66" s="565"/>
      <c r="T66" s="565"/>
      <c r="U66" s="565"/>
      <c r="V66" s="446"/>
      <c r="W66" s="447"/>
      <c r="X66" s="284"/>
      <c r="Y66" s="285"/>
    </row>
    <row r="67" spans="1:34" ht="14.7" thickBot="1">
      <c r="A67" s="694" t="s">
        <v>309</v>
      </c>
      <c r="B67" s="695"/>
      <c r="C67" s="695"/>
      <c r="D67" s="695"/>
      <c r="E67" s="695"/>
      <c r="F67" s="695"/>
      <c r="G67" s="695"/>
      <c r="H67" s="695"/>
      <c r="I67" s="695"/>
      <c r="J67" s="695"/>
      <c r="K67" s="695"/>
      <c r="L67" s="695"/>
      <c r="M67" s="695"/>
      <c r="N67" s="695"/>
      <c r="O67" s="566"/>
      <c r="P67" s="566"/>
      <c r="Q67" s="566"/>
      <c r="R67" s="448"/>
      <c r="S67" s="291"/>
      <c r="T67" s="449"/>
      <c r="U67" s="449"/>
      <c r="V67" s="449"/>
      <c r="W67" s="450"/>
      <c r="X67" s="285"/>
      <c r="Y67" s="286"/>
      <c r="Z67" s="285"/>
      <c r="AA67" s="285"/>
      <c r="AB67" s="285"/>
      <c r="AC67" s="285"/>
      <c r="AD67" s="285"/>
      <c r="AE67" s="285"/>
      <c r="AF67" s="285"/>
      <c r="AG67" s="285"/>
      <c r="AH67" s="285"/>
    </row>
    <row r="68" spans="1:34" ht="14.7" thickBot="1">
      <c r="A68" s="416"/>
      <c r="B68" s="416"/>
      <c r="C68" s="416"/>
      <c r="D68" s="416"/>
      <c r="E68" s="416"/>
      <c r="F68" s="416"/>
      <c r="G68" s="416"/>
      <c r="H68" s="416"/>
      <c r="I68" s="416"/>
      <c r="J68" s="416"/>
      <c r="K68" s="416"/>
      <c r="L68" s="416"/>
      <c r="M68" s="416"/>
      <c r="N68" s="247"/>
      <c r="O68" s="247"/>
      <c r="P68" s="247"/>
      <c r="Q68" s="247"/>
      <c r="R68" s="287"/>
      <c r="S68" s="284"/>
      <c r="T68" s="284"/>
      <c r="U68" s="284"/>
      <c r="V68" s="284"/>
      <c r="W68" s="284"/>
      <c r="X68" s="286"/>
      <c r="Z68" s="286"/>
      <c r="AA68" s="286"/>
      <c r="AB68" s="286"/>
      <c r="AC68" s="286"/>
      <c r="AD68" s="286"/>
      <c r="AE68" s="286"/>
      <c r="AF68" s="286"/>
      <c r="AG68" s="286"/>
      <c r="AH68" s="286"/>
    </row>
    <row r="69" spans="1:34" ht="46.8">
      <c r="A69" s="451" t="s">
        <v>310</v>
      </c>
      <c r="B69" s="289" t="s">
        <v>311</v>
      </c>
      <c r="C69" s="289"/>
      <c r="D69" s="289"/>
      <c r="E69" s="289"/>
      <c r="F69" s="289"/>
      <c r="G69" s="289"/>
      <c r="H69" s="289"/>
      <c r="I69" s="289"/>
      <c r="J69" s="289"/>
      <c r="K69" s="289"/>
      <c r="L69" s="429">
        <v>2009</v>
      </c>
      <c r="M69" s="429">
        <v>2010</v>
      </c>
      <c r="N69" s="429">
        <v>2011</v>
      </c>
      <c r="O69" s="429">
        <v>2012</v>
      </c>
      <c r="P69" s="429">
        <v>2013</v>
      </c>
      <c r="Q69" s="429">
        <v>2014</v>
      </c>
      <c r="R69" s="429">
        <v>2015</v>
      </c>
      <c r="S69" s="429">
        <v>2016</v>
      </c>
      <c r="T69" s="429">
        <v>2017</v>
      </c>
      <c r="U69" s="429">
        <v>2018</v>
      </c>
      <c r="V69" s="439">
        <v>2019</v>
      </c>
      <c r="W69" s="440">
        <v>2020</v>
      </c>
      <c r="Y69" s="285"/>
      <c r="Z69" s="284"/>
      <c r="AA69" s="284"/>
      <c r="AB69" s="284"/>
      <c r="AC69" s="284"/>
      <c r="AD69" s="284"/>
      <c r="AE69" s="284"/>
    </row>
    <row r="70" spans="1:34">
      <c r="A70" s="452"/>
      <c r="B70" s="453" t="s">
        <v>312</v>
      </c>
      <c r="L70" s="567">
        <v>29308200</v>
      </c>
      <c r="M70" s="567">
        <v>7470138321.3125</v>
      </c>
      <c r="N70" s="568">
        <v>25526772505</v>
      </c>
      <c r="O70" s="568">
        <v>21681058255</v>
      </c>
      <c r="P70" s="568">
        <v>19489917045</v>
      </c>
      <c r="Q70" s="568">
        <v>17662370318</v>
      </c>
      <c r="R70" s="568">
        <v>15852132750</v>
      </c>
      <c r="S70" s="568">
        <v>13926451995</v>
      </c>
      <c r="T70" s="568">
        <v>11120411540</v>
      </c>
      <c r="U70" s="568">
        <v>8773490163</v>
      </c>
      <c r="V70" s="568">
        <v>6712160240</v>
      </c>
      <c r="W70" s="569">
        <v>5435455348</v>
      </c>
      <c r="Y70" s="286"/>
      <c r="Z70" s="285"/>
      <c r="AA70" s="285"/>
      <c r="AB70" s="285"/>
      <c r="AC70" s="285"/>
      <c r="AD70" s="285"/>
      <c r="AE70" s="285"/>
      <c r="AF70" s="285"/>
      <c r="AG70" s="285"/>
      <c r="AH70" s="285"/>
    </row>
    <row r="71" spans="1:34">
      <c r="A71" s="452"/>
      <c r="B71" s="453" t="s">
        <v>313</v>
      </c>
      <c r="M71" s="416"/>
      <c r="N71" s="416"/>
      <c r="O71" s="247"/>
      <c r="P71" s="247"/>
      <c r="Q71" s="247"/>
      <c r="R71" s="454"/>
      <c r="W71" s="532"/>
      <c r="Y71" s="286"/>
      <c r="Z71" s="286"/>
      <c r="AA71" s="286"/>
      <c r="AB71" s="286"/>
      <c r="AC71" s="286"/>
      <c r="AD71" s="286"/>
      <c r="AE71" s="286"/>
      <c r="AF71" s="286"/>
      <c r="AG71" s="286"/>
      <c r="AH71" s="286"/>
    </row>
    <row r="72" spans="1:34" ht="28.5" customHeight="1" thickBot="1">
      <c r="A72" s="692" t="s">
        <v>314</v>
      </c>
      <c r="B72" s="693"/>
      <c r="C72" s="693"/>
      <c r="D72" s="455" t="s">
        <v>315</v>
      </c>
      <c r="E72" s="456" t="s">
        <v>316</v>
      </c>
      <c r="F72" s="456" t="s">
        <v>317</v>
      </c>
      <c r="G72" s="456" t="s">
        <v>318</v>
      </c>
      <c r="H72" s="456" t="s">
        <v>319</v>
      </c>
      <c r="I72" s="456" t="s">
        <v>320</v>
      </c>
      <c r="J72" s="456" t="s">
        <v>321</v>
      </c>
      <c r="K72" s="456" t="s">
        <v>322</v>
      </c>
      <c r="L72" s="570" t="s">
        <v>323</v>
      </c>
      <c r="M72" s="570"/>
      <c r="N72" s="644"/>
      <c r="O72" s="566"/>
      <c r="P72" s="566"/>
      <c r="Q72" s="566"/>
      <c r="R72" s="291"/>
      <c r="S72" s="291"/>
      <c r="T72" s="291"/>
      <c r="U72" s="291"/>
      <c r="V72" s="291"/>
      <c r="W72" s="555"/>
      <c r="Y72" s="284"/>
      <c r="Z72" s="286"/>
      <c r="AA72" s="286"/>
      <c r="AB72" s="286"/>
      <c r="AC72" s="286"/>
      <c r="AD72" s="286"/>
      <c r="AE72" s="286"/>
      <c r="AF72" s="286"/>
      <c r="AG72" s="286"/>
      <c r="AH72" s="286"/>
    </row>
    <row r="73" spans="1:34" ht="14.7" thickBot="1">
      <c r="O73" s="247"/>
      <c r="P73" s="247"/>
      <c r="Q73" s="247"/>
      <c r="Z73" s="284"/>
      <c r="AA73" s="284"/>
      <c r="AB73" s="284"/>
      <c r="AC73" s="284"/>
      <c r="AD73" s="284"/>
      <c r="AE73" s="284"/>
    </row>
    <row r="74" spans="1:34">
      <c r="A74" s="524"/>
      <c r="B74" s="429">
        <v>1999</v>
      </c>
      <c r="C74" s="429">
        <v>2000</v>
      </c>
      <c r="D74" s="429">
        <v>2001</v>
      </c>
      <c r="E74" s="429">
        <v>2002</v>
      </c>
      <c r="F74" s="429">
        <v>2003</v>
      </c>
      <c r="G74" s="429">
        <v>2004</v>
      </c>
      <c r="H74" s="429">
        <v>2005</v>
      </c>
      <c r="I74" s="429">
        <v>2006</v>
      </c>
      <c r="J74" s="429">
        <v>2007</v>
      </c>
      <c r="K74" s="429">
        <v>2008</v>
      </c>
      <c r="L74" s="429">
        <v>2009</v>
      </c>
      <c r="M74" s="429">
        <v>2010</v>
      </c>
      <c r="N74" s="429">
        <v>2011</v>
      </c>
      <c r="O74" s="429">
        <v>2012</v>
      </c>
      <c r="P74" s="429">
        <v>2013</v>
      </c>
      <c r="Q74" s="429">
        <v>2014</v>
      </c>
      <c r="R74" s="429">
        <v>2015</v>
      </c>
      <c r="S74" s="429">
        <v>2016</v>
      </c>
      <c r="T74" s="429">
        <v>2017</v>
      </c>
      <c r="U74" s="429">
        <v>2018</v>
      </c>
      <c r="V74" s="439">
        <v>2019</v>
      </c>
      <c r="W74" s="440">
        <v>2020</v>
      </c>
    </row>
    <row r="75" spans="1:34" ht="37.9" customHeight="1" thickBot="1">
      <c r="A75" s="557" t="s">
        <v>324</v>
      </c>
      <c r="B75" s="291">
        <v>0</v>
      </c>
      <c r="C75" s="291">
        <v>0</v>
      </c>
      <c r="D75" s="291">
        <v>0</v>
      </c>
      <c r="E75" s="291">
        <v>0</v>
      </c>
      <c r="F75" s="291">
        <v>0</v>
      </c>
      <c r="G75" s="291">
        <v>0</v>
      </c>
      <c r="H75" s="291">
        <v>0</v>
      </c>
      <c r="I75" s="291">
        <v>0</v>
      </c>
      <c r="J75" s="291">
        <v>0</v>
      </c>
      <c r="K75" s="291">
        <v>0</v>
      </c>
      <c r="L75" s="291">
        <f t="shared" ref="L75:W75" si="28">L70/L65</f>
        <v>1.2868150677794213E-4</v>
      </c>
      <c r="M75" s="291">
        <f t="shared" si="28"/>
        <v>3.0440046129983321E-2</v>
      </c>
      <c r="N75" s="291">
        <f t="shared" si="28"/>
        <v>0.10357235362782942</v>
      </c>
      <c r="O75" s="291">
        <f t="shared" si="28"/>
        <v>9.0387600251146713E-2</v>
      </c>
      <c r="P75" s="291">
        <f t="shared" si="28"/>
        <v>8.5121503878147764E-2</v>
      </c>
      <c r="Q75" s="291">
        <f t="shared" si="28"/>
        <v>7.9822156563950336E-2</v>
      </c>
      <c r="R75" s="291">
        <f t="shared" si="28"/>
        <v>7.5699132306866743E-2</v>
      </c>
      <c r="S75" s="291">
        <f t="shared" si="28"/>
        <v>7.0648063363307451E-2</v>
      </c>
      <c r="T75" s="291">
        <f t="shared" si="28"/>
        <v>6.5304469508482815E-2</v>
      </c>
      <c r="U75" s="291">
        <f t="shared" si="28"/>
        <v>6.2178924571006849E-2</v>
      </c>
      <c r="V75" s="291">
        <f t="shared" si="28"/>
        <v>5.5745186078936089E-2</v>
      </c>
      <c r="W75" s="555">
        <f t="shared" si="28"/>
        <v>4.9272336100354815E-2</v>
      </c>
    </row>
    <row r="78" spans="1:34" ht="70.900000000000006" customHeight="1" thickBot="1">
      <c r="A78" s="696" t="s">
        <v>325</v>
      </c>
      <c r="B78" s="696"/>
      <c r="C78" s="696"/>
      <c r="D78" s="696"/>
      <c r="E78" s="696"/>
      <c r="F78" s="696"/>
      <c r="G78" s="696"/>
      <c r="H78" s="696"/>
      <c r="I78" s="696"/>
      <c r="J78" s="696"/>
      <c r="K78" s="696"/>
      <c r="L78" s="696"/>
      <c r="M78" s="696"/>
      <c r="N78" s="696"/>
      <c r="O78" s="696"/>
      <c r="P78" s="696"/>
      <c r="Q78" s="696"/>
      <c r="R78" s="696"/>
    </row>
    <row r="79" spans="1:34" ht="20.399999999999999">
      <c r="A79" s="689" t="s">
        <v>326</v>
      </c>
      <c r="B79" s="690"/>
      <c r="C79" s="690"/>
      <c r="D79" s="691"/>
    </row>
    <row r="80" spans="1:34">
      <c r="A80" s="531"/>
      <c r="B80" s="1">
        <v>1999</v>
      </c>
      <c r="C80" s="1">
        <v>2000</v>
      </c>
      <c r="D80" s="421">
        <v>2001</v>
      </c>
    </row>
    <row r="81" spans="1:4" ht="20.5" customHeight="1">
      <c r="A81" s="531" t="s">
        <v>239</v>
      </c>
      <c r="B81" s="21">
        <f t="shared" ref="B81:B90" si="29">B94*B106</f>
        <v>640.80000000000007</v>
      </c>
      <c r="C81" s="21">
        <f t="shared" ref="C81:C90" si="30">C94*B106</f>
        <v>820.80000000000007</v>
      </c>
      <c r="D81" s="571">
        <f t="shared" ref="D81:D90" si="31">D94*B106</f>
        <v>1108.8</v>
      </c>
    </row>
    <row r="82" spans="1:4">
      <c r="A82" s="531" t="s">
        <v>233</v>
      </c>
      <c r="B82" s="21">
        <f t="shared" si="29"/>
        <v>740</v>
      </c>
      <c r="C82" s="21">
        <f t="shared" si="30"/>
        <v>792</v>
      </c>
      <c r="D82" s="571">
        <f t="shared" si="31"/>
        <v>948</v>
      </c>
    </row>
    <row r="83" spans="1:4">
      <c r="A83" s="531" t="s">
        <v>225</v>
      </c>
      <c r="B83" s="21">
        <f t="shared" si="29"/>
        <v>13371</v>
      </c>
      <c r="C83" s="21">
        <f t="shared" si="30"/>
        <v>20812.5</v>
      </c>
      <c r="D83" s="571">
        <f t="shared" si="31"/>
        <v>27420</v>
      </c>
    </row>
    <row r="84" spans="1:4">
      <c r="A84" s="531" t="s">
        <v>227</v>
      </c>
      <c r="B84" s="21">
        <f t="shared" si="29"/>
        <v>12185.380228136883</v>
      </c>
      <c r="C84" s="21">
        <f t="shared" si="30"/>
        <v>13346</v>
      </c>
      <c r="D84" s="571">
        <f t="shared" si="31"/>
        <v>14723</v>
      </c>
    </row>
    <row r="85" spans="1:4">
      <c r="A85" s="531" t="s">
        <v>229</v>
      </c>
      <c r="B85" s="21">
        <f t="shared" si="29"/>
        <v>5337</v>
      </c>
      <c r="C85" s="21">
        <f t="shared" si="30"/>
        <v>6035</v>
      </c>
      <c r="D85" s="571">
        <f t="shared" si="31"/>
        <v>6911</v>
      </c>
    </row>
    <row r="86" spans="1:4">
      <c r="A86" s="531" t="s">
        <v>230</v>
      </c>
      <c r="B86" s="21">
        <f t="shared" si="29"/>
        <v>15906</v>
      </c>
      <c r="C86" s="21">
        <f t="shared" si="30"/>
        <v>15549</v>
      </c>
      <c r="D86" s="571">
        <f t="shared" si="31"/>
        <v>20622</v>
      </c>
    </row>
    <row r="87" spans="1:4">
      <c r="A87" s="531" t="s">
        <v>327</v>
      </c>
      <c r="B87" s="21">
        <f t="shared" si="29"/>
        <v>273</v>
      </c>
      <c r="C87" s="21">
        <f t="shared" si="30"/>
        <v>271.40000000000003</v>
      </c>
      <c r="D87" s="571">
        <f t="shared" si="31"/>
        <v>268.60000000000002</v>
      </c>
    </row>
    <row r="88" spans="1:4">
      <c r="A88" s="531" t="s">
        <v>231</v>
      </c>
      <c r="B88" s="21">
        <f t="shared" si="29"/>
        <v>3976.7551181102363</v>
      </c>
      <c r="C88" s="21">
        <f t="shared" si="30"/>
        <v>3206.0076454152909</v>
      </c>
      <c r="D88" s="571">
        <f t="shared" si="31"/>
        <v>3109.0499999999997</v>
      </c>
    </row>
    <row r="89" spans="1:4">
      <c r="A89" s="531" t="s">
        <v>328</v>
      </c>
      <c r="B89" s="21">
        <f t="shared" si="29"/>
        <v>30668.2</v>
      </c>
      <c r="C89" s="21">
        <f t="shared" si="30"/>
        <v>26731.75</v>
      </c>
      <c r="D89" s="571">
        <f t="shared" si="31"/>
        <v>28727</v>
      </c>
    </row>
    <row r="90" spans="1:4">
      <c r="A90" s="531" t="s">
        <v>329</v>
      </c>
      <c r="B90" s="21">
        <f t="shared" si="29"/>
        <v>762.2</v>
      </c>
      <c r="C90" s="21">
        <f t="shared" si="30"/>
        <v>678.58</v>
      </c>
      <c r="D90" s="571">
        <f t="shared" si="31"/>
        <v>594.96</v>
      </c>
    </row>
    <row r="91" spans="1:4" ht="92.1" customHeight="1">
      <c r="A91" s="531" t="s">
        <v>255</v>
      </c>
      <c r="B91" s="422">
        <f>SUM(B81:B90)</f>
        <v>83860.335346247113</v>
      </c>
      <c r="C91" s="422">
        <f t="shared" ref="C91:D91" si="32">SUM(C81:C90)</f>
        <v>88243.037645415301</v>
      </c>
      <c r="D91" s="423">
        <f t="shared" si="32"/>
        <v>104432.41000000002</v>
      </c>
    </row>
    <row r="92" spans="1:4">
      <c r="A92" s="531"/>
      <c r="B92" s="21"/>
      <c r="D92" s="532"/>
    </row>
    <row r="93" spans="1:4">
      <c r="A93" s="424" t="s">
        <v>330</v>
      </c>
      <c r="D93" s="532"/>
    </row>
    <row r="94" spans="1:4">
      <c r="A94" s="531" t="s">
        <v>331</v>
      </c>
      <c r="B94" s="282">
        <v>89</v>
      </c>
      <c r="C94" s="282">
        <v>114</v>
      </c>
      <c r="D94" s="425">
        <v>154</v>
      </c>
    </row>
    <row r="95" spans="1:4">
      <c r="A95" s="531" t="s">
        <v>233</v>
      </c>
      <c r="B95">
        <v>185</v>
      </c>
      <c r="C95">
        <v>198</v>
      </c>
      <c r="D95" s="532">
        <v>237</v>
      </c>
    </row>
    <row r="96" spans="1:4">
      <c r="A96" s="531" t="s">
        <v>225</v>
      </c>
      <c r="B96" s="282">
        <v>8914</v>
      </c>
      <c r="C96" s="282">
        <v>13875</v>
      </c>
      <c r="D96" s="425">
        <v>18280</v>
      </c>
    </row>
    <row r="97" spans="1:5">
      <c r="A97" s="531" t="s">
        <v>227</v>
      </c>
      <c r="B97" s="426">
        <f>17323*13875/19725</f>
        <v>12185.380228136883</v>
      </c>
      <c r="C97" s="282">
        <v>13346</v>
      </c>
      <c r="D97" s="425">
        <v>14723</v>
      </c>
    </row>
    <row r="98" spans="1:5">
      <c r="A98" s="531" t="s">
        <v>229</v>
      </c>
      <c r="B98" s="282">
        <v>5337</v>
      </c>
      <c r="C98" s="282">
        <v>6035</v>
      </c>
      <c r="D98" s="425">
        <v>6911</v>
      </c>
    </row>
    <row r="99" spans="1:5">
      <c r="A99" s="531" t="s">
        <v>230</v>
      </c>
      <c r="B99">
        <v>5302</v>
      </c>
      <c r="C99">
        <v>5183</v>
      </c>
      <c r="D99" s="532">
        <v>6874</v>
      </c>
    </row>
    <row r="100" spans="1:5">
      <c r="A100" s="531" t="s">
        <v>327</v>
      </c>
      <c r="B100" s="282">
        <v>2730</v>
      </c>
      <c r="C100" s="282">
        <v>2714</v>
      </c>
      <c r="D100" s="425">
        <v>2686</v>
      </c>
    </row>
    <row r="101" spans="1:5">
      <c r="A101" s="531" t="s">
        <v>231</v>
      </c>
      <c r="B101" s="426">
        <f>45322*(D101/35433)</f>
        <v>26511.700787401576</v>
      </c>
      <c r="C101" s="426">
        <f>36538*D101/35433</f>
        <v>21373.384302768605</v>
      </c>
      <c r="D101" s="427">
        <v>20727</v>
      </c>
    </row>
    <row r="102" spans="1:5">
      <c r="A102" s="531" t="s">
        <v>328</v>
      </c>
      <c r="B102" s="21">
        <v>133340</v>
      </c>
      <c r="C102">
        <v>116225</v>
      </c>
      <c r="D102" s="532">
        <v>124900</v>
      </c>
    </row>
    <row r="103" spans="1:5">
      <c r="A103" s="531" t="s">
        <v>329</v>
      </c>
      <c r="B103" s="21">
        <v>2060</v>
      </c>
      <c r="C103">
        <v>1834</v>
      </c>
      <c r="D103" s="532">
        <v>1608</v>
      </c>
    </row>
    <row r="104" spans="1:5" ht="100.8">
      <c r="A104" s="531"/>
      <c r="B104" s="502" t="s">
        <v>332</v>
      </c>
      <c r="C104" s="49" t="s">
        <v>333</v>
      </c>
      <c r="D104" s="572" t="s">
        <v>334</v>
      </c>
    </row>
    <row r="105" spans="1:5">
      <c r="A105" s="424" t="s">
        <v>335</v>
      </c>
      <c r="D105" s="532"/>
    </row>
    <row r="106" spans="1:5">
      <c r="A106" s="531" t="s">
        <v>336</v>
      </c>
      <c r="B106">
        <v>7.2</v>
      </c>
      <c r="D106" s="532"/>
    </row>
    <row r="107" spans="1:5">
      <c r="A107" s="531" t="s">
        <v>233</v>
      </c>
      <c r="B107">
        <v>4</v>
      </c>
      <c r="D107" s="532"/>
    </row>
    <row r="108" spans="1:5">
      <c r="A108" s="531" t="s">
        <v>225</v>
      </c>
      <c r="B108">
        <v>1.5</v>
      </c>
      <c r="D108" s="532"/>
    </row>
    <row r="109" spans="1:5">
      <c r="A109" s="531" t="s">
        <v>227</v>
      </c>
      <c r="B109">
        <v>1</v>
      </c>
      <c r="D109" s="532"/>
    </row>
    <row r="110" spans="1:5">
      <c r="A110" s="531" t="s">
        <v>229</v>
      </c>
      <c r="B110">
        <v>1</v>
      </c>
      <c r="D110" s="532"/>
    </row>
    <row r="111" spans="1:5">
      <c r="A111" s="531" t="s">
        <v>230</v>
      </c>
      <c r="B111">
        <v>3</v>
      </c>
      <c r="D111" s="532"/>
    </row>
    <row r="112" spans="1:5">
      <c r="A112" s="531" t="s">
        <v>327</v>
      </c>
      <c r="B112">
        <v>0.1</v>
      </c>
      <c r="D112" s="532"/>
    </row>
    <row r="113" spans="1:4">
      <c r="A113" s="531" t="s">
        <v>231</v>
      </c>
      <c r="B113">
        <v>0.15</v>
      </c>
      <c r="D113" s="532"/>
    </row>
    <row r="114" spans="1:4">
      <c r="A114" s="531" t="s">
        <v>337</v>
      </c>
      <c r="B114">
        <v>0.23</v>
      </c>
      <c r="D114" s="532"/>
    </row>
    <row r="115" spans="1:4">
      <c r="A115" s="531" t="s">
        <v>329</v>
      </c>
      <c r="B115">
        <v>0.37</v>
      </c>
      <c r="D115" s="532"/>
    </row>
    <row r="116" spans="1:4">
      <c r="A116" s="531" t="s">
        <v>338</v>
      </c>
      <c r="D116" s="532"/>
    </row>
    <row r="117" spans="1:4">
      <c r="A117" s="531"/>
      <c r="D117" s="532"/>
    </row>
    <row r="118" spans="1:4">
      <c r="A118" s="531" t="s">
        <v>339</v>
      </c>
      <c r="D118" s="532"/>
    </row>
    <row r="119" spans="1:4">
      <c r="A119" s="531" t="s">
        <v>225</v>
      </c>
      <c r="B119">
        <v>8914</v>
      </c>
      <c r="D119" s="532"/>
    </row>
    <row r="120" spans="1:4">
      <c r="A120" s="531" t="s">
        <v>229</v>
      </c>
      <c r="B120">
        <v>5337</v>
      </c>
      <c r="D120" s="532"/>
    </row>
    <row r="121" spans="1:4">
      <c r="A121" s="531" t="s">
        <v>233</v>
      </c>
      <c r="B121">
        <v>223</v>
      </c>
      <c r="D121" s="532"/>
    </row>
    <row r="122" spans="1:4" ht="14.1" customHeight="1">
      <c r="A122" s="531" t="s">
        <v>327</v>
      </c>
      <c r="B122">
        <v>2730</v>
      </c>
      <c r="D122" s="532"/>
    </row>
    <row r="123" spans="1:4" ht="14.7" thickBot="1">
      <c r="A123" s="551" t="s">
        <v>239</v>
      </c>
      <c r="B123" s="291">
        <v>89</v>
      </c>
      <c r="C123" s="291"/>
      <c r="D123" s="555"/>
    </row>
  </sheetData>
  <mergeCells count="16">
    <mergeCell ref="A9:C9"/>
    <mergeCell ref="A56:W56"/>
    <mergeCell ref="X35:AA35"/>
    <mergeCell ref="A44:W44"/>
    <mergeCell ref="A51:W51"/>
    <mergeCell ref="A15:W15"/>
    <mergeCell ref="B42:K42"/>
    <mergeCell ref="B47:K47"/>
    <mergeCell ref="A16:W16"/>
    <mergeCell ref="A34:W34"/>
    <mergeCell ref="B63:D63"/>
    <mergeCell ref="A79:D79"/>
    <mergeCell ref="A72:C72"/>
    <mergeCell ref="A67:N67"/>
    <mergeCell ref="A78:R78"/>
    <mergeCell ref="B66:D6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D8AD805-ECCD-402F-AA75-0FF0ED1C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lpstr>Projections using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Celia</cp:lastModifiedBy>
  <cp:revision/>
  <dcterms:created xsi:type="dcterms:W3CDTF">2020-10-06T18:41:18Z</dcterms:created>
  <dcterms:modified xsi:type="dcterms:W3CDTF">2021-07-29T20:33:08Z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