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10" documentId="8_{3A753BFA-B247-44ED-BBE3-FF4982D27918}" xr6:coauthVersionLast="46" xr6:coauthVersionMax="47" xr10:uidLastSave="{1E866199-9C5C-4635-B8DF-FB9B13EE75DF}"/>
  <bookViews>
    <workbookView xWindow="28680" yWindow="-2505" windowWidth="38640" windowHeight="21240" tabRatio="971" firstSheet="4" activeTab="8"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8" l="1"/>
  <c r="L8" i="26"/>
  <c r="K8" i="26"/>
  <c r="J8" i="26"/>
  <c r="I8" i="26"/>
  <c r="I7" i="26"/>
  <c r="I4" i="26"/>
  <c r="J4" i="26"/>
  <c r="K4" i="26"/>
  <c r="L4" i="26"/>
  <c r="I5" i="26"/>
  <c r="J5" i="26"/>
  <c r="K5" i="26"/>
  <c r="L5" i="26"/>
  <c r="I6" i="26"/>
  <c r="J6" i="26"/>
  <c r="K6" i="26"/>
  <c r="L6" i="26"/>
  <c r="J7" i="26"/>
  <c r="K7" i="26"/>
  <c r="L7" i="26"/>
  <c r="H9" i="25"/>
  <c r="H15" i="25" s="1"/>
  <c r="P11" i="26" l="1"/>
  <c r="P12" i="26"/>
  <c r="I16" i="26"/>
  <c r="I15" i="26"/>
  <c r="J16" i="26"/>
  <c r="J15" i="26"/>
  <c r="O13" i="26"/>
  <c r="J13" i="26"/>
  <c r="O11" i="26"/>
  <c r="P14" i="26"/>
  <c r="O14" i="26"/>
  <c r="I13" i="26"/>
  <c r="J14" i="26"/>
  <c r="O12" i="26"/>
  <c r="I14" i="26"/>
  <c r="P13" i="26"/>
  <c r="J12" i="26"/>
  <c r="I12" i="26"/>
  <c r="H11" i="25"/>
  <c r="I46" i="21"/>
  <c r="K16" i="26" l="1"/>
  <c r="I17" i="26"/>
  <c r="K15" i="26"/>
  <c r="J17" i="26"/>
  <c r="K13" i="26"/>
  <c r="K14" i="26"/>
  <c r="K12" i="26"/>
  <c r="B34" i="14"/>
  <c r="K17" i="26" l="1"/>
  <c r="L80" i="24"/>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C23" i="8"/>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<sst xmlns="http://schemas.openxmlformats.org/spreadsheetml/2006/main" count="2509" uniqueCount="1036">
  <si>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</si>
  <si>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</si>
  <si>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</si>
  <si>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</si>
  <si>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</si>
  <si>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</si>
  <si>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</si>
  <si>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</si>
  <si>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</si>
  <si>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</si>
  <si>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</si>
  <si>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</si>
  <si>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</si>
  <si>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</si>
  <si>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</si>
  <si>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</si>
  <si>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</si>
  <si>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</si>
  <si>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</si>
  <si>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</si>
  <si>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</si>
  <si>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</si>
  <si>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</si>
  <si>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</si>
  <si>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</si>
  <si>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</si>
  <si>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</si>
  <si>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</si>
  <si>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</si>
  <si>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</si>
  <si>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</si>
  <si>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</si>
  <si>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</si>
  <si>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</si>
  <si>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</si>
  <si>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</si>
  <si>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</si>
  <si>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</si>
  <si>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</si>
  <si>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</si>
  <si>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</si>
  <si>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</si>
  <si>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</si>
  <si>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</si>
  <si>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</si>
  <si>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</si>
  <si>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</si>
  <si>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</si>
  <si>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</si>
  <si>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</si>
  <si>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</si>
  <si>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</si>
  <si>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</si>
  <si>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</si>
  <si>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</si>
  <si>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</si>
  <si>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</si>
  <si>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</si>
  <si>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</si>
  <si>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</si>
  <si>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</si>
  <si>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</si>
  <si>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</si>
  <si>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</si>
  <si>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</si>
  <si>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</si>
  <si>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</si>
  <si>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</si>
  <si>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</si>
  <si>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</si>
  <si>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</si>
  <si>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</si>
  <si>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</si>
  <si>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</si>
  <si>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</si>
  <si>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</si>
  <si>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</si>
  <si>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</si>
  <si>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</si>
  <si>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</si>
  <si>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</si>
  <si>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</si>
  <si>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</si>
  <si>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</si>
  <si>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</si>
  <si>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</si>
  <si>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</si>
  <si>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</si>
  <si>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</si>
  <si>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</si>
  <si>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</si>
  <si>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</si>
  <si>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</si>
  <si>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</si>
  <si>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</si>
  <si>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</si>
  <si>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</si>
  <si>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</si>
  <si>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</si>
  <si>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</si>
  <si>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</si>
  <si>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</si>
  <si>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</si>
  <si>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</si>
  <si>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</si>
  <si>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</si>
  <si>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</si>
  <si>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</si>
  <si>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</si>
  <si>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</si>
  <si>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</si>
  <si>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</si>
  <si>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</si>
  <si>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</si>
  <si>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</si>
  <si>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</si>
  <si>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</si>
  <si>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</si>
  <si>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</si>
  <si>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</si>
  <si>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</si>
  <si>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</si>
  <si>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</si>
  <si>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</si>
  <si>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</si>
  <si>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</si>
  <si>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</si>
  <si>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</si>
  <si>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</si>
  <si>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</si>
  <si>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</si>
  <si>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</si>
  <si>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</si>
  <si>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</si>
  <si>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</si>
  <si>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</si>
  <si>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</si>
  <si>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</si>
  <si>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</si>
  <si>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</si>
  <si>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</si>
  <si>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</si>
  <si>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</si>
  <si>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</si>
  <si>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</si>
  <si>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</si>
  <si>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</si>
  <si>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</si>
  <si>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</si>
  <si>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</si>
  <si>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</si>
  <si>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</si>
  <si>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</si>
  <si>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</si>
  <si>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</si>
  <si>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</si>
  <si>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</si>
  <si>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</si>
  <si>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</si>
  <si>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</si>
  <si>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</si>
  <si>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</si>
  <si>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</si>
  <si>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</si>
  <si>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</si>
  <si>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</si>
  <si>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</si>
  <si>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</si>
  <si>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</si>
  <si>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</si>
  <si>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</si>
  <si>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</si>
  <si>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</si>
  <si>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</si>
  <si>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</si>
  <si>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</si>
  <si>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</si>
  <si>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</si>
  <si>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</si>
  <si>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</si>
  <si>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</si>
  <si>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</si>
  <si>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</si>
  <si>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</si>
  <si>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</si>
  <si>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</si>
  <si>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</si>
  <si>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</si>
  <si>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</si>
  <si>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</si>
  <si>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</si>
  <si>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</si>
  <si>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</si>
  <si>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</si>
  <si>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</si>
  <si>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</si>
  <si>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</si>
  <si>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</si>
  <si>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</si>
  <si>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</si>
  <si>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</si>
  <si>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</si>
  <si>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</si>
  <si>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</si>
  <si>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</si>
  <si>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</si>
  <si>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</si>
  <si>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</si>
  <si>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</si>
  <si>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</si>
  <si>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</si>
  <si>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</si>
  <si>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</si>
  <si>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</si>
  <si>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</si>
  <si>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</si>
  <si>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</si>
  <si>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</si>
  <si>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</si>
  <si>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</si>
  <si>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</si>
  <si>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</si>
  <si>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</si>
  <si>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</si>
  <si>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</si>
  <si>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</si>
  <si>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</si>
  <si>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</si>
  <si>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</si>
  <si>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</si>
  <si>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</si>
  <si>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</si>
  <si>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</si>
  <si>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</si>
  <si>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</si>
  <si>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</si>
  <si>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</si>
  <si>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</si>
  <si>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</si>
  <si>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</si>
  <si>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</si>
  <si>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</si>
  <si>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</si>
  <si>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</si>
  <si>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</si>
  <si>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</si>
  <si>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</si>
  <si>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</si>
  <si>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</si>
  <si>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</si>
  <si>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</si>
  <si>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</si>
  <si>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</si>
  <si>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</si>
  <si>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</si>
  <si>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</si>
  <si>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</si>
  <si>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</si>
  <si>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</si>
  <si>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</si>
  <si>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</si>
  <si>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</si>
  <si>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</si>
  <si>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</si>
  <si>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</si>
  <si>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</si>
  <si>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</si>
  <si>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</si>
  <si>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</si>
  <si>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</si>
  <si>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</si>
  <si>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</si>
  <si>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</si>
  <si>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</si>
  <si>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</si>
  <si>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</si>
  <si>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</si>
  <si>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</si>
  <si>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</si>
  <si>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</si>
  <si>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</si>
  <si>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</si>
  <si>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</si>
  <si>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</si>
  <si>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</si>
  <si>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</si>
  <si>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</si>
  <si>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</si>
  <si>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</si>
  <si>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</si>
  <si>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</si>
  <si>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</si>
  <si>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NO LONGER USING RAND RATIO AS WE HAVE NO GOOD EVIDENCE THAT THEY'RE NOT ABLE TO IDENTIFY REMISSION, OR AT LEAST NOT AS POORLY AS ACTIVE HUD</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</si>
  <si>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</si>
  <si>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</si>
  <si>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</si>
  <si>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</si>
  <si>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</si>
  <si>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</si>
  <si>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remissoin from HUD &lt;5 years</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</si>
  <si>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</si>
  <si>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</si>
  <si>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</si>
  <si>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</si>
  <si>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</si>
  <si>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</si>
  <si>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</si>
  <si>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</si>
  <si>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</si>
  <si>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</si>
  <si>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</si>
  <si>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</si>
  <si>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</si>
  <si>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</si>
  <si>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</si>
  <si>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</si>
  <si>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</si>
  <si>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</si>
  <si>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</si>
  <si>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</si>
  <si>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</si>
  <si>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</si>
  <si>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</si>
  <si>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</si>
  <si>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</si>
  <si>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</si>
  <si>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</si>
  <si>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</si>
  <si>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</si>
  <si>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</si>
  <si>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</si>
  <si>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</si>
  <si>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</si>
  <si>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</si>
  <si>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</si>
  <si>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</si>
  <si>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</si>
  <si>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</si>
  <si>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</si>
  <si>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</si>
  <si>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</si>
  <si>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</si>
  <si>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</si>
  <si>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</si>
  <si>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</si>
  <si>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</si>
  <si>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</si>
  <si>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</si>
  <si>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</si>
  <si>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</si>
  <si>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</si>
  <si>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</si>
  <si>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</si>
  <si>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</si>
  <si>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</si>
  <si>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</si>
  <si>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</si>
  <si>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</si>
  <si>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</si>
  <si>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</si>
  <si>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</si>
  <si>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</si>
  <si>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</si>
  <si>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</si>
  <si>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</si>
  <si>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</si>
  <si>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</si>
  <si>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</si>
  <si>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</si>
  <si>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</si>
  <si>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</si>
  <si>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</si>
  <si>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</si>
  <si>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</si>
  <si>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</si>
  <si>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</si>
  <si>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</si>
  <si>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</si>
  <si>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</si>
  <si>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</si>
  <si>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</si>
  <si>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</si>
  <si>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</si>
  <si>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</si>
  <si>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</si>
  <si>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</si>
  <si>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</si>
  <si>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</si>
  <si>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</si>
  <si>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</si>
  <si>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</si>
  <si>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</si>
  <si>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</si>
  <si>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</si>
  <si>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</si>
  <si>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</si>
  <si>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</si>
  <si>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</si>
  <si>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</si>
  <si>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</si>
  <si>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</si>
  <si>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</si>
  <si>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</si>
  <si>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</si>
  <si>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</si>
  <si>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</si>
  <si>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</si>
  <si>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</si>
  <si>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</si>
  <si>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</si>
  <si>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</si>
  <si>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</si>
  <si>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</si>
  <si>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</si>
  <si>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</si>
  <si>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</si>
  <si>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</si>
  <si>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</si>
  <si>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</si>
  <si>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</si>
  <si>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</si>
  <si>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</si>
  <si>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</si>
  <si>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</si>
  <si>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</si>
  <si>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</si>
  <si>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</si>
  <si>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</si>
  <si>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</si>
  <si>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</si>
  <si>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</si>
  <si>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</si>
  <si>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</si>
  <si>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</si>
  <si>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</si>
  <si>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</si>
  <si>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</si>
  <si>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</si>
  <si>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</si>
  <si>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</si>
  <si>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</si>
  <si>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</si>
  <si>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</si>
  <si>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</si>
  <si>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</si>
  <si>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</si>
  <si>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</si>
  <si>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</si>
  <si>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</si>
  <si>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</si>
  <si>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</si>
  <si>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</si>
  <si>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</si>
  <si>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</si>
  <si>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</si>
  <si>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</si>
  <si>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</si>
  <si>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</si>
  <si>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</si>
  <si>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</si>
  <si>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</si>
  <si>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</si>
  <si>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</si>
  <si>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</si>
  <si>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</si>
  <si>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</si>
  <si>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</si>
  <si>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</si>
  <si>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</si>
  <si>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</si>
  <si>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</si>
  <si>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</si>
  <si>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</si>
  <si>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</si>
  <si>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</si>
  <si>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</si>
  <si>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</si>
  <si>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</si>
  <si>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</si>
  <si>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</si>
  <si>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</si>
  <si>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</si>
  <si>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</si>
  <si>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</si>
  <si>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</si>
  <si>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</si>
  <si>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</si>
  <si>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</si>
  <si>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</si>
  <si>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</si>
  <si>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</si>
  <si>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</si>
  <si>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</si>
  <si>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</si>
  <si>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</si>
  <si>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</si>
  <si>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</si>
  <si>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</si>
  <si>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</si>
  <si>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</si>
  <si>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</si>
  <si>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</si>
  <si>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</si>
  <si>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</si>
  <si>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</si>
  <si>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</si>
  <si>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</si>
  <si>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</si>
  <si>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</si>
  <si>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</si>
  <si>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</si>
  <si>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</si>
  <si>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</si>
  <si>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</si>
  <si>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</si>
  <si>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</si>
  <si>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</si>
  <si>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</si>
  <si>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</si>
  <si>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</si>
  <si>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</si>
  <si>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</si>
  <si>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</si>
  <si>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</si>
  <si>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</si>
  <si>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</si>
  <si>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</si>
  <si>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</si>
  <si>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</si>
  <si>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</si>
  <si>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</si>
  <si>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</si>
  <si>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</si>
  <si>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</si>
  <si>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</si>
  <si>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</si>
  <si>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</si>
  <si>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</si>
  <si>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</si>
  <si>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</si>
  <si>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</si>
  <si>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</si>
  <si>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</si>
  <si>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</si>
  <si>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</si>
  <si>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</si>
  <si>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</si>
  <si>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</si>
  <si>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</si>
  <si>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</si>
  <si>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</si>
  <si>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</si>
  <si>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</si>
  <si>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</si>
  <si>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</si>
  <si>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</si>
  <si>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</si>
  <si>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</si>
  <si>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</si>
  <si>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</si>
  <si>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</si>
  <si>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</si>
  <si>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</si>
  <si>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</si>
  <si>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</si>
  <si>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</si>
  <si>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</si>
  <si>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</si>
  <si>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</si>
  <si>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</si>
  <si>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</si>
  <si>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</si>
  <si>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</si>
  <si>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</si>
  <si>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</si>
  <si>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</si>
  <si>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</si>
  <si>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</si>
  <si>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</si>
  <si>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</si>
  <si>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</si>
  <si>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</si>
  <si>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</si>
  <si>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</si>
  <si>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</si>
  <si>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</si>
  <si>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</si>
  <si>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</si>
  <si>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</si>
  <si>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</si>
  <si>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</si>
  <si>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</si>
  <si>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</si>
  <si>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</si>
  <si>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</si>
  <si>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</si>
  <si>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</si>
  <si>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</si>
  <si>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</si>
  <si>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</si>
  <si>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</si>
  <si>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</si>
  <si>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</si>
  <si>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</si>
  <si>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</si>
  <si>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</si>
  <si>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</si>
  <si>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</si>
  <si>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</si>
  <si>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</si>
  <si>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</si>
  <si>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</si>
  <si>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</si>
  <si>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</si>
  <si>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</si>
  <si>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</si>
  <si>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</si>
  <si>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</si>
  <si>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</si>
  <si>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</si>
  <si>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</si>
  <si>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</si>
  <si>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</si>
  <si>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</si>
  <si>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</si>
  <si>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</si>
  <si>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</si>
  <si>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</si>
  <si>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</si>
  <si>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</si>
  <si>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</si>
  <si>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</si>
  <si>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</si>
  <si>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</si>
  <si>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</si>
  <si>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</si>
  <si>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</si>
  <si>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</si>
  <si>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</si>
  <si>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</si>
  <si>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</si>
  <si>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</si>
  <si>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</si>
  <si>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</si>
  <si>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</si>
  <si>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</si>
  <si>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</si>
  <si>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</si>
  <si>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</si>
  <si>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</si>
  <si>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</si>
  <si>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</si>
  <si>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</si>
  <si>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</si>
  <si>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</si>
  <si>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</si>
  <si>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</si>
  <si>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</si>
  <si>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</si>
  <si>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</si>
  <si>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</si>
  <si>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</si>
  <si>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</si>
  <si>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</si>
  <si>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</si>
  <si>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</si>
  <si>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</si>
  <si>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</si>
  <si>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</si>
  <si>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</si>
  <si>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</si>
  <si>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</si>
  <si>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</si>
  <si>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</si>
  <si>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</si>
  <si>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</si>
  <si>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</si>
  <si>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</si>
  <si>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</si>
  <si>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</si>
  <si>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</si>
  <si>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</si>
  <si>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</si>
  <si>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</si>
  <si>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</si>
  <si>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</si>
  <si>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</si>
  <si>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</si>
  <si>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</si>
  <si>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</si>
  <si>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</si>
  <si>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</si>
  <si>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</si>
  <si>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</si>
  <si>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</si>
  <si>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</si>
  <si>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</si>
  <si>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</si>
  <si>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</si>
  <si>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</si>
  <si>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</si>
  <si>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</si>
  <si>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</si>
  <si>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</si>
  <si>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</si>
  <si>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</si>
  <si>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</si>
  <si>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</si>
  <si>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</si>
  <si>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</si>
  <si>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</si>
  <si>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</si>
  <si>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</si>
  <si>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</si>
  <si>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</si>
  <si>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</si>
  <si>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</si>
  <si>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</si>
  <si>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</si>
  <si>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</si>
  <si>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</si>
  <si>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</si>
  <si>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</si>
  <si>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</si>
  <si>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</si>
  <si>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</si>
  <si>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</si>
  <si>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</si>
  <si>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</si>
  <si>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</si>
  <si>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</si>
  <si>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</si>
  <si>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</si>
  <si>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</si>
  <si>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</si>
  <si>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</si>
  <si>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</si>
  <si>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</si>
  <si>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</si>
  <si>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</si>
  <si>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</si>
  <si>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</si>
  <si>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</si>
  <si>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</si>
  <si>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</si>
  <si>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</si>
  <si>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</si>
  <si>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</si>
  <si>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</si>
  <si>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</si>
  <si>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</si>
  <si>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</si>
  <si>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</si>
  <si>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</si>
  <si>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</si>
  <si>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</si>
  <si>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</si>
  <si>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</si>
  <si>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</si>
  <si>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</si>
  <si>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</si>
  <si>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</si>
  <si>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</si>
  <si>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</si>
  <si>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</si>
  <si>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</si>
  <si>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</si>
  <si>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</si>
  <si>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</si>
  <si>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</si>
  <si>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</si>
  <si>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</si>
  <si>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</si>
  <si>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</si>
  <si>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</si>
  <si>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</si>
  <si>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</si>
  <si>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</si>
  <si>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</si>
  <si>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</si>
  <si>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</si>
  <si>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</si>
  <si>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</si>
  <si>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</si>
  <si>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</si>
  <si>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</si>
  <si>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</si>
  <si>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</si>
  <si>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</si>
  <si>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</si>
  <si>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</si>
  <si>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</si>
  <si>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</si>
  <si>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</si>
  <si>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</si>
  <si>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</si>
  <si>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</si>
  <si>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</si>
  <si>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</si>
  <si>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</si>
  <si>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</si>
  <si>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</si>
  <si>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</si>
  <si>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</si>
  <si>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</si>
  <si>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</si>
  <si>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</si>
  <si>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</si>
  <si>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</si>
  <si>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</si>
  <si>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</si>
  <si>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</si>
  <si>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</si>
  <si>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</si>
  <si>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</si>
  <si>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</si>
  <si>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</si>
  <si>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</si>
  <si>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</si>
  <si>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</si>
  <si>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</si>
  <si>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</si>
  <si>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</si>
  <si>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</si>
  <si>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</si>
  <si>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</si>
  <si>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</si>
  <si>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</si>
  <si>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</si>
  <si>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</si>
  <si>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</si>
  <si>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</si>
  <si>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</si>
  <si>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</si>
  <si>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</si>
  <si>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</si>
  <si>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</si>
  <si>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</si>
  <si>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</si>
  <si>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</si>
  <si>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</si>
  <si>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</si>
  <si>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</si>
  <si>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</si>
  <si>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</si>
  <si>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</si>
  <si>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</si>
  <si>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</si>
  <si>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</si>
  <si>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</si>
  <si>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</si>
  <si>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</si>
  <si>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</si>
  <si>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</si>
  <si>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</si>
  <si>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</si>
  <si>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</si>
  <si>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</si>
  <si>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</si>
  <si>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</si>
  <si>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</si>
  <si>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</si>
  <si>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</si>
  <si>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</si>
  <si>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</si>
  <si>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</si>
  <si>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</si>
  <si>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</si>
  <si>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</si>
  <si>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</si>
  <si>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</si>
  <si>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</si>
  <si>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</si>
  <si>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</si>
  <si>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</si>
  <si>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</si>
  <si>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</si>
  <si>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</si>
  <si>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</si>
  <si>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</si>
  <si>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</si>
  <si>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</si>
  <si>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</si>
  <si>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</si>
  <si>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</si>
  <si>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</si>
  <si>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</si>
  <si>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</si>
  <si>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</si>
  <si>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</si>
  <si>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</si>
  <si>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</si>
  <si>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</si>
  <si>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</si>
  <si>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</si>
  <si>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</si>
  <si>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</si>
  <si>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</si>
  <si>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</si>
  <si>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</si>
  <si>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</si>
  <si>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</si>
  <si>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</si>
  <si>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</si>
  <si>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</si>
  <si>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</si>
  <si>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</si>
  <si>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</si>
  <si>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</si>
  <si>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</si>
  <si>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</si>
  <si>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</si>
  <si>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</si>
  <si>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</si>
  <si>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</si>
  <si>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</si>
  <si>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</si>
  <si>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</si>
  <si>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</si>
  <si>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</si>
  <si>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</si>
  <si>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</si>
  <si>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</si>
  <si>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</si>
  <si>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</si>
  <si>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</si>
  <si>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</si>
  <si>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</si>
  <si>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</si>
  <si>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</si>
  <si>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</si>
  <si>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</si>
  <si>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</si>
  <si>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</si>
  <si>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</si>
  <si>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</si>
  <si>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</si>
  <si>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</si>
  <si>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</si>
  <si>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</si>
  <si>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</si>
  <si>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</si>
  <si>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</si>
  <si>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</si>
  <si>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</si>
  <si>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</si>
  <si>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</si>
  <si>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</si>
  <si>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</si>
  <si>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</si>
  <si>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</si>
  <si>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</si>
  <si>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</si>
  <si>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</si>
  <si>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</si>
  <si>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</si>
  <si>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</si>
  <si>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</si>
  <si>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</si>
  <si>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</si>
  <si>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</si>
  <si>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</si>
  <si>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</si>
  <si>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</si>
  <si>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</si>
  <si>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</si>
  <si>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</si>
  <si>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</si>
  <si>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</si>
  <si>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</si>
  <si>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</si>
  <si>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</si>
  <si>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</si>
  <si>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</si>
  <si>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</si>
  <si>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</si>
  <si>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</si>
  <si>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</si>
  <si>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</si>
  <si>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</si>
  <si>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</si>
  <si>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</si>
  <si>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</si>
  <si>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</si>
  <si>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</si>
  <si>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</si>
  <si>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</si>
  <si>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</si>
  <si>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</si>
  <si>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</si>
  <si>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</si>
  <si>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</si>
  <si>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</si>
  <si>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</si>
  <si>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</si>
  <si>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</si>
  <si>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</si>
  <si>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</si>
  <si>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</si>
  <si>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</si>
  <si>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</si>
  <si>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</si>
  <si>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</si>
  <si>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</si>
  <si>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</si>
  <si>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</si>
  <si>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</si>
  <si>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</si>
  <si>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</si>
  <si>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</si>
  <si>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</si>
  <si>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</si>
  <si>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</si>
  <si>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</si>
  <si>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</si>
  <si>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</si>
  <si>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</si>
  <si>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</si>
  <si>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</si>
  <si>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</si>
  <si>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</si>
  <si>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</si>
  <si>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</si>
  <si>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</si>
  <si>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</si>
  <si>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</si>
  <si>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</si>
  <si>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</si>
  <si>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</si>
  <si>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</si>
  <si>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</si>
  <si>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</si>
  <si>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</si>
  <si>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</si>
  <si>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more than 16 weeks of bup as part of trial and would have had at most a couple of months after that. This is for Rx OUD, so we would expect lower success rates after a short period for HUD, but nonetheless shows success is possible after just a few months.  </t>
  </si>
  <si>
    <r>
      <t>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t>
    </r>
    <r>
      <rPr>
        <sz val="11"/>
        <color rgb="FFFF0000"/>
        <rFont val="Calibri"/>
        <family val="2"/>
        <scheme val="minor"/>
      </rPr>
      <t xml:space="preserve"> We then adjusted this upwards with the RAND adjustment used elsewhere in the model (3.9x). </t>
    </r>
    <r>
      <rPr>
        <sz val="11"/>
        <color theme="1"/>
        <rFont val="Calibri"/>
        <family val="2"/>
        <scheme val="minor"/>
      </rPr>
      <t xml:space="preserve">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treatment in the past year (Compton .3% of all people with DUD, which was an estimated 2% of adult population), whereas N-SSATS estimated a point-in-time count of 225,000 in MMT.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</si>
</sst>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8">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0" fontId="20" fillId="5" borderId="7" xfId="0" applyFont="1" applyFill="1" applyBorder="1"/>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xf numFmtId="0" fontId="53" fillId="0" borderId="0" xfId="0" applyFont="1" applyAlignment="1">
      <alignment horizontal="left"/>
    </xf>
    <xf numFmtId="0" fontId="71" fillId="0" borderId="0" xfId="5" applyFont="1"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vertical="center" wrapText="1"/>
    </xf>
    <xf numFmtId="0" fontId="2" fillId="5" borderId="0" xfId="0" applyFont="1" applyFill="1"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19" fillId="0" borderId="0" xfId="5" applyAlignment="1">
      <alignment horizontal="center" vertical="center"/>
    </xf>
    <xf numFmtId="0" fontId="19" fillId="0" borderId="0" xfId="5" applyAlignment="1">
      <alignment horizontal="center" vertical="center" wrapText="1"/>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58" fillId="0" borderId="0" xfId="5" applyFont="1" applyAlignment="1">
      <alignment horizontal="right" vertical="center"/>
    </xf>
    <xf numFmtId="164" fontId="19" fillId="0" borderId="0" xfId="5" applyNumberFormat="1" applyAlignment="1">
      <alignment horizontal="right" vertical="center"/>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0" fontId="47" fillId="0" borderId="0" xfId="5" applyFont="1" applyAlignment="1">
      <alignment horizontal="left" vertical="top"/>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numFmt numFmtId="1" formatCode="0"/>
    </dxf>
    <dxf>
      <numFmt numFmtId="167" formatCode="0.0"/>
    </dxf>
    <dxf>
      <alignment horizontal="left" vertical="bottom" textRotation="0" wrapText="1" indent="0" justifyLastLine="0" shrinkToFit="0" readingOrder="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sheetData sheetId="2"/>
      <sheetData sheetId="3"/>
      <sheetData sheetId="4"/>
      <sheetData sheetId="5"/>
      <sheetData sheetId="6">
        <row r="26">
          <cell r="R26">
            <v>1500485.9526574665</v>
          </cell>
        </row>
      </sheetData>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2">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1"/>
    <tableColumn id="7" xr3:uid="{B34C29FA-F666-49C0-9389-DE8012C57386}" name="Estimated patients tot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 Id="rId8" Type="http://schemas.openxmlformats.org/officeDocument/2006/relationships/hyperlink" Target="https://link.springer.com/article/10.1007/s11524-010-9495-8" TargetMode="External"/><Relationship Id="rId3" Type="http://schemas.openxmlformats.org/officeDocument/2006/relationships/hyperlink" Target="https://dx.doi.org/10.1093%2Fjurban%2Fjtg032"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workbookViewId="0">
      <selection activeCell="F15" sqref="F15"/>
    </sheetView>
  </sheetViews>
  <sheetFormatPr defaultRowHeight="14.4" x14ac:dyDescent="0.3"/>
  <cols>
    <col min="1" max="1" width="47.33203125" bestFit="1" customWidth="1"/>
    <col min="2" max="2" width="15.21875" bestFit="1" customWidth="1"/>
  </cols>
  <sheetData>
    <row r="1" spans="1:7" x14ac:dyDescent="0.3">
      <c r="A1" t="s">
        <v>996</v>
      </c>
      <c r="B1" t="s">
        <v>997</v>
      </c>
    </row>
    <row r="2" spans="1:7" ht="15.6" x14ac:dyDescent="0.3">
      <c r="A2" t="s">
        <v>0</v>
      </c>
      <c r="B2" t="s">
        <v>998</v>
      </c>
      <c r="C2" s="167"/>
      <c r="D2" s="167"/>
      <c r="E2" s="167"/>
      <c r="F2" s="167"/>
      <c r="G2" s="167"/>
    </row>
    <row r="3" spans="1:7" x14ac:dyDescent="0.3">
      <c r="A3" t="s">
        <v>999</v>
      </c>
      <c r="B3" t="s">
        <v>1003</v>
      </c>
    </row>
    <row r="4" spans="1:7" x14ac:dyDescent="0.3">
      <c r="A4" t="s">
        <v>1000</v>
      </c>
      <c r="B4" t="s">
        <v>1003</v>
      </c>
    </row>
    <row r="5" spans="1:7" x14ac:dyDescent="0.3">
      <c r="A5" t="s">
        <v>1001</v>
      </c>
      <c r="B5" t="s">
        <v>1003</v>
      </c>
    </row>
    <row r="6" spans="1:7" x14ac:dyDescent="0.3">
      <c r="A6" t="s">
        <v>1002</v>
      </c>
      <c r="B6" t="s">
        <v>1003</v>
      </c>
    </row>
    <row r="7" spans="1:7" x14ac:dyDescent="0.3">
      <c r="A7" t="s">
        <v>1004</v>
      </c>
      <c r="B7" t="s">
        <v>1005</v>
      </c>
    </row>
    <row r="8" spans="1:7" x14ac:dyDescent="0.3">
      <c r="A8" t="s">
        <v>1006</v>
      </c>
      <c r="B8" t="s">
        <v>1010</v>
      </c>
    </row>
    <row r="9" spans="1:7" x14ac:dyDescent="0.3">
      <c r="A9" t="s">
        <v>1007</v>
      </c>
      <c r="B9" t="s">
        <v>1010</v>
      </c>
    </row>
    <row r="10" spans="1:7" x14ac:dyDescent="0.3">
      <c r="A10" t="s">
        <v>1008</v>
      </c>
      <c r="B10" t="s">
        <v>1010</v>
      </c>
    </row>
    <row r="11" spans="1:7" x14ac:dyDescent="0.3">
      <c r="A11" t="s">
        <v>1009</v>
      </c>
      <c r="B11" t="s">
        <v>1010</v>
      </c>
    </row>
    <row r="12" spans="1:7" x14ac:dyDescent="0.3">
      <c r="A12" t="s">
        <v>1011</v>
      </c>
      <c r="B12" t="s">
        <v>1012</v>
      </c>
    </row>
    <row r="13" spans="1:7" x14ac:dyDescent="0.3">
      <c r="A13" t="s">
        <v>497</v>
      </c>
      <c r="B13" t="s">
        <v>1013</v>
      </c>
    </row>
    <row r="14" spans="1:7" x14ac:dyDescent="0.3">
      <c r="A14" t="s">
        <v>1014</v>
      </c>
      <c r="B14" t="s">
        <v>546</v>
      </c>
    </row>
    <row r="15" spans="1:7" x14ac:dyDescent="0.3">
      <c r="A15" t="s">
        <v>1016</v>
      </c>
      <c r="B15" t="s">
        <v>1017</v>
      </c>
    </row>
    <row r="16" spans="1:7" x14ac:dyDescent="0.3">
      <c r="A16" t="s">
        <v>1019</v>
      </c>
      <c r="B16" t="s">
        <v>1018</v>
      </c>
    </row>
    <row r="17" spans="1:2" x14ac:dyDescent="0.3">
      <c r="A17" t="s">
        <v>1020</v>
      </c>
      <c r="B17" t="s">
        <v>1021</v>
      </c>
    </row>
    <row r="18" spans="1:2" x14ac:dyDescent="0.3">
      <c r="A18" t="s">
        <v>1023</v>
      </c>
      <c r="B18" t="s">
        <v>1022</v>
      </c>
    </row>
    <row r="19" spans="1:2" x14ac:dyDescent="0.3">
      <c r="A19" t="s">
        <v>1025</v>
      </c>
      <c r="B19" t="s">
        <v>1024</v>
      </c>
    </row>
    <row r="20" spans="1:2" x14ac:dyDescent="0.3">
      <c r="A20" t="s">
        <v>1026</v>
      </c>
      <c r="B20" t="s">
        <v>1024</v>
      </c>
    </row>
    <row r="21" spans="1:2" x14ac:dyDescent="0.3">
      <c r="A21" t="s">
        <v>1027</v>
      </c>
      <c r="B21" t="s">
        <v>1024</v>
      </c>
    </row>
    <row r="22" spans="1:2" x14ac:dyDescent="0.3">
      <c r="A22" t="s">
        <v>1028</v>
      </c>
      <c r="B22" t="s">
        <v>1024</v>
      </c>
    </row>
    <row r="23" spans="1:2" x14ac:dyDescent="0.3">
      <c r="A23" t="s">
        <v>1029</v>
      </c>
      <c r="B23" t="s">
        <v>1024</v>
      </c>
    </row>
    <row r="24" spans="1:2" x14ac:dyDescent="0.3">
      <c r="A24" t="s">
        <v>1030</v>
      </c>
      <c r="B24" t="s">
        <v>1031</v>
      </c>
    </row>
    <row r="25" spans="1:2" x14ac:dyDescent="0.3">
      <c r="A25" t="s">
        <v>915</v>
      </c>
      <c r="B25" t="s">
        <v>1032</v>
      </c>
    </row>
    <row r="26" spans="1:2" x14ac:dyDescent="0.3">
      <c r="A26" t="s">
        <v>917</v>
      </c>
      <c r="B26" t="s">
        <v>1032</v>
      </c>
    </row>
    <row r="27" spans="1:2" x14ac:dyDescent="0.3">
      <c r="A27" t="s">
        <v>937</v>
      </c>
      <c r="B27" t="s">
        <v>1033</v>
      </c>
    </row>
    <row r="28" spans="1:2" x14ac:dyDescent="0.3">
      <c r="A28" t="s">
        <v>938</v>
      </c>
      <c r="B28" t="s">
        <v>1033</v>
      </c>
    </row>
    <row r="29" spans="1:2" x14ac:dyDescent="0.3">
      <c r="A29" t="s">
        <v>939</v>
      </c>
      <c r="B29" t="s">
        <v>1033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8671875" defaultRowHeight="15.6" x14ac:dyDescent="0.3"/>
  <cols>
    <col min="1" max="1" width="21.33203125" style="167" customWidth="1"/>
    <col min="2" max="2" width="12.33203125" style="167" customWidth="1"/>
    <col min="3" max="3" width="14.33203125" style="167" customWidth="1"/>
    <col min="4" max="5" width="12.109375" style="167" customWidth="1"/>
    <col min="6" max="6" width="8.88671875" style="167"/>
    <col min="7" max="8" width="14.33203125" style="167" customWidth="1"/>
    <col min="9" max="9" width="17.33203125" style="167" customWidth="1"/>
    <col min="10" max="10" width="16.6640625" style="167" customWidth="1"/>
    <col min="11" max="16384" width="8.88671875" style="167"/>
  </cols>
  <sheetData>
    <row r="1" spans="1:10" ht="126.6" customHeight="1" x14ac:dyDescent="0.3">
      <c r="A1" s="361" t="s">
        <v>474</v>
      </c>
      <c r="B1" s="361"/>
      <c r="C1" s="361"/>
      <c r="D1" s="361"/>
      <c r="E1" s="361"/>
      <c r="F1" s="361"/>
      <c r="G1" s="361"/>
      <c r="H1" s="361"/>
      <c r="I1" s="361"/>
    </row>
    <row r="2" spans="1:10" ht="39.6" customHeight="1" x14ac:dyDescent="0.3">
      <c r="A2" s="361"/>
      <c r="B2" s="361"/>
      <c r="C2" s="361"/>
      <c r="D2" s="361"/>
      <c r="E2" s="361"/>
      <c r="F2" s="361"/>
      <c r="G2" s="361"/>
      <c r="H2" s="361"/>
      <c r="I2" s="361"/>
    </row>
    <row r="3" spans="1:10" x14ac:dyDescent="0.3">
      <c r="C3" s="359" t="s">
        <v>475</v>
      </c>
      <c r="D3" s="359"/>
      <c r="E3" s="359"/>
      <c r="F3" s="359"/>
      <c r="G3" s="359"/>
      <c r="I3" s="170"/>
    </row>
    <row r="4" spans="1:10" ht="46.8" x14ac:dyDescent="0.3">
      <c r="C4" s="293" t="s">
        <v>476</v>
      </c>
      <c r="D4" s="293" t="s">
        <v>477</v>
      </c>
      <c r="E4" s="293" t="s">
        <v>478</v>
      </c>
      <c r="F4" s="293" t="s">
        <v>479</v>
      </c>
      <c r="G4" s="293" t="s">
        <v>480</v>
      </c>
      <c r="H4" s="170" t="s">
        <v>481</v>
      </c>
      <c r="J4" s="293"/>
    </row>
    <row r="5" spans="1:10" x14ac:dyDescent="0.3">
      <c r="C5" s="167">
        <v>154</v>
      </c>
      <c r="D5" s="167">
        <f>233+258</f>
        <v>491</v>
      </c>
      <c r="E5" s="167">
        <f>F5-D5</f>
        <v>358</v>
      </c>
      <c r="F5" s="167">
        <f>432+417</f>
        <v>849</v>
      </c>
      <c r="G5" s="167">
        <v>1092</v>
      </c>
      <c r="H5" s="167">
        <f>C5+E5</f>
        <v>512</v>
      </c>
    </row>
    <row r="6" spans="1:10" ht="46.8" x14ac:dyDescent="0.3">
      <c r="A6" s="360" t="s">
        <v>482</v>
      </c>
      <c r="B6" s="170" t="s">
        <v>483</v>
      </c>
      <c r="H6" s="167">
        <f>C5</f>
        <v>154</v>
      </c>
    </row>
    <row r="7" spans="1:10" x14ac:dyDescent="0.3">
      <c r="A7" s="360"/>
      <c r="B7" s="170" t="s">
        <v>484</v>
      </c>
      <c r="H7" s="167">
        <v>9</v>
      </c>
    </row>
    <row r="8" spans="1:10" ht="78" x14ac:dyDescent="0.3">
      <c r="A8" s="360"/>
      <c r="B8" s="170" t="s">
        <v>485</v>
      </c>
      <c r="F8" s="178"/>
      <c r="G8" s="178"/>
      <c r="H8" s="177">
        <f>0.44*E5</f>
        <v>157.52000000000001</v>
      </c>
    </row>
    <row r="9" spans="1:10" ht="46.8" x14ac:dyDescent="0.3">
      <c r="A9" s="360"/>
      <c r="B9" s="170" t="s">
        <v>486</v>
      </c>
      <c r="F9" s="178"/>
      <c r="G9" s="178"/>
      <c r="H9" s="177">
        <v>130</v>
      </c>
    </row>
    <row r="10" spans="1:10" ht="30" customHeight="1" x14ac:dyDescent="0.3">
      <c r="A10" s="360"/>
      <c r="B10" s="170" t="s">
        <v>487</v>
      </c>
      <c r="F10" s="177"/>
      <c r="G10" s="177"/>
      <c r="H10" s="177">
        <f>0.17*E5</f>
        <v>60.860000000000007</v>
      </c>
    </row>
    <row r="11" spans="1:10" x14ac:dyDescent="0.3">
      <c r="G11" s="362" t="s">
        <v>488</v>
      </c>
      <c r="H11" s="362"/>
      <c r="I11" s="362"/>
    </row>
    <row r="12" spans="1:10" x14ac:dyDescent="0.3">
      <c r="G12" s="362"/>
      <c r="H12" s="362"/>
      <c r="I12" s="362"/>
    </row>
    <row r="13" spans="1:10" x14ac:dyDescent="0.3">
      <c r="D13" s="167" t="s">
        <v>489</v>
      </c>
      <c r="J13" s="167">
        <f>D5</f>
        <v>491</v>
      </c>
    </row>
    <row r="14" spans="1:10" x14ac:dyDescent="0.3">
      <c r="D14" s="167" t="s">
        <v>490</v>
      </c>
      <c r="J14" s="177">
        <f>SUM(D5+H6+H9+H10)</f>
        <v>835.86</v>
      </c>
    </row>
    <row r="15" spans="1:10" ht="21" x14ac:dyDescent="0.4">
      <c r="J15" s="181">
        <f>J13/J14</f>
        <v>0.58741894575646636</v>
      </c>
    </row>
    <row r="16" spans="1:10" x14ac:dyDescent="0.3">
      <c r="D16" s="167" t="s">
        <v>491</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4" x14ac:dyDescent="0.3"/>
  <cols>
    <col min="2" max="2" width="12" customWidth="1"/>
    <col min="3" max="5" width="13" customWidth="1"/>
    <col min="11" max="11" width="17.44140625" customWidth="1"/>
    <col min="14" max="14" width="16.5546875" customWidth="1"/>
  </cols>
  <sheetData>
    <row r="1" spans="1:17" ht="25.5" customHeight="1" x14ac:dyDescent="0.3">
      <c r="A1" s="363" t="s">
        <v>492</v>
      </c>
      <c r="B1" s="363"/>
      <c r="C1" s="363"/>
      <c r="D1" s="363"/>
      <c r="E1" s="363"/>
      <c r="F1" s="363"/>
      <c r="G1" s="363"/>
      <c r="H1" s="363"/>
      <c r="I1" s="363"/>
      <c r="J1" s="363"/>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t="s">
        <v>493</v>
      </c>
      <c r="C3" s="2"/>
      <c r="D3" s="2"/>
      <c r="E3" s="2"/>
      <c r="F3" s="2"/>
      <c r="G3" s="2"/>
      <c r="H3" s="2"/>
      <c r="I3" s="2"/>
      <c r="J3" s="2"/>
      <c r="K3" s="18" t="s">
        <v>494</v>
      </c>
      <c r="M3" s="2"/>
      <c r="N3" s="2"/>
      <c r="O3" s="2"/>
      <c r="P3" s="2"/>
      <c r="Q3" s="2"/>
    </row>
    <row r="4" spans="1:17" ht="43.8" x14ac:dyDescent="0.35">
      <c r="A4" s="2"/>
      <c r="B4" s="6" t="s">
        <v>495</v>
      </c>
      <c r="C4" s="2" t="s">
        <v>496</v>
      </c>
      <c r="D4" s="2"/>
      <c r="E4" s="2"/>
      <c r="F4" s="2"/>
      <c r="G4" s="2"/>
      <c r="H4" s="2"/>
      <c r="I4" s="2"/>
      <c r="J4" s="2"/>
      <c r="K4" s="19" t="s">
        <v>497</v>
      </c>
      <c r="L4" s="182">
        <f>(C37*C35+D37*D35+E37*E35)/100</f>
        <v>0.86602290000000015</v>
      </c>
      <c r="M4" s="2"/>
      <c r="N4" s="2"/>
      <c r="O4" s="2"/>
      <c r="P4" s="2"/>
      <c r="Q4" s="2"/>
    </row>
    <row r="5" spans="1:17" s="5" customFormat="1" ht="63" customHeight="1" x14ac:dyDescent="0.3">
      <c r="A5" s="1"/>
      <c r="B5" s="1" t="s">
        <v>498</v>
      </c>
      <c r="C5" s="2" t="s">
        <v>499</v>
      </c>
      <c r="D5" s="2" t="s">
        <v>500</v>
      </c>
      <c r="E5" s="2" t="s">
        <v>501</v>
      </c>
      <c r="F5" s="1" t="s">
        <v>502</v>
      </c>
      <c r="G5" s="1" t="s">
        <v>503</v>
      </c>
      <c r="H5" s="1"/>
      <c r="I5" s="1"/>
      <c r="J5" s="1"/>
      <c r="K5" s="6" t="s">
        <v>504</v>
      </c>
      <c r="L5" s="1"/>
      <c r="M5" s="1"/>
      <c r="N5" s="1" t="s">
        <v>505</v>
      </c>
      <c r="O5" s="1"/>
      <c r="P5" s="1"/>
      <c r="Q5" s="1"/>
    </row>
    <row r="6" spans="1:17" x14ac:dyDescent="0.3">
      <c r="A6" s="2" t="s">
        <v>506</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x14ac:dyDescent="0.3">
      <c r="A7" s="8" t="s">
        <v>507</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x14ac:dyDescent="0.3">
      <c r="A8" s="8" t="s">
        <v>508</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x14ac:dyDescent="0.3">
      <c r="A9" s="8" t="s">
        <v>509</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x14ac:dyDescent="0.3">
      <c r="A10" s="8" t="s">
        <v>510</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x14ac:dyDescent="0.3">
      <c r="A11" s="8" t="s">
        <v>511</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x14ac:dyDescent="0.3">
      <c r="A12" s="8" t="s">
        <v>512</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x14ac:dyDescent="0.3">
      <c r="A13" s="8" t="s">
        <v>513</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x14ac:dyDescent="0.3">
      <c r="A14" s="8" t="s">
        <v>514</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x14ac:dyDescent="0.3">
      <c r="A15" s="8" t="s">
        <v>515</v>
      </c>
      <c r="B15" s="8">
        <v>12</v>
      </c>
      <c r="C15" s="8"/>
      <c r="D15" s="8">
        <v>8.3000000000000004E-2</v>
      </c>
      <c r="E15" s="8">
        <v>0.41699999999999998</v>
      </c>
      <c r="F15" s="8">
        <v>0.25</v>
      </c>
      <c r="G15" s="8">
        <v>0.25</v>
      </c>
      <c r="H15" s="8">
        <v>0.5</v>
      </c>
      <c r="I15" s="8"/>
      <c r="J15" s="2"/>
      <c r="K15" s="2"/>
      <c r="L15" s="2"/>
      <c r="M15" s="2"/>
      <c r="N15" s="2"/>
      <c r="O15" s="2"/>
      <c r="P15" s="2"/>
      <c r="Q15" s="2"/>
    </row>
    <row r="16" spans="1:17" x14ac:dyDescent="0.3">
      <c r="A16" s="8" t="s">
        <v>516</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x14ac:dyDescent="0.3">
      <c r="A17" s="2"/>
      <c r="B17" s="2"/>
      <c r="C17" s="2"/>
      <c r="D17" s="2"/>
      <c r="E17" s="2"/>
      <c r="F17" s="2"/>
      <c r="G17" s="2"/>
      <c r="H17" s="2"/>
      <c r="I17" s="2"/>
      <c r="J17" s="2"/>
      <c r="K17" s="7" t="s">
        <v>517</v>
      </c>
      <c r="L17" s="2"/>
      <c r="M17" s="2"/>
      <c r="N17" s="2" t="s">
        <v>505</v>
      </c>
      <c r="O17" s="2"/>
      <c r="P17" s="2"/>
      <c r="Q17" s="2"/>
    </row>
    <row r="18" spans="1:17" ht="57.6" x14ac:dyDescent="0.3">
      <c r="A18" s="2"/>
      <c r="B18" s="6" t="s">
        <v>518</v>
      </c>
      <c r="C18" s="2" t="s">
        <v>496</v>
      </c>
      <c r="D18" s="2"/>
      <c r="E18" s="2"/>
      <c r="F18" s="2"/>
      <c r="G18" s="2"/>
      <c r="H18" s="2"/>
      <c r="I18" s="2"/>
      <c r="J18" s="2"/>
      <c r="K18" s="7">
        <v>95.5</v>
      </c>
      <c r="L18" s="2"/>
      <c r="M18" s="2"/>
      <c r="N18" s="2"/>
      <c r="O18" s="2"/>
      <c r="P18" s="2"/>
      <c r="Q18" s="2"/>
    </row>
    <row r="19" spans="1:17" x14ac:dyDescent="0.3">
      <c r="A19" s="2"/>
      <c r="B19" s="2" t="s">
        <v>498</v>
      </c>
      <c r="C19" s="2" t="s">
        <v>519</v>
      </c>
      <c r="D19" s="2" t="s">
        <v>520</v>
      </c>
      <c r="E19" s="2" t="s">
        <v>521</v>
      </c>
      <c r="F19" s="2" t="s">
        <v>522</v>
      </c>
      <c r="G19" s="2"/>
      <c r="H19" s="2"/>
      <c r="I19" s="2"/>
      <c r="J19" s="2"/>
      <c r="K19" s="2"/>
      <c r="L19" s="2"/>
      <c r="M19" s="2"/>
      <c r="N19" s="2"/>
      <c r="O19" s="2"/>
      <c r="P19" s="2"/>
      <c r="Q19" s="2"/>
    </row>
    <row r="20" spans="1:17" x14ac:dyDescent="0.3">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x14ac:dyDescent="0.3">
      <c r="A21" s="2"/>
      <c r="B21" s="2"/>
      <c r="C21" s="2"/>
      <c r="D21" s="2"/>
      <c r="E21" s="2"/>
      <c r="F21" s="2"/>
      <c r="G21" s="2"/>
      <c r="H21" s="2"/>
      <c r="I21" s="2"/>
      <c r="J21" s="2"/>
      <c r="K21" s="2"/>
      <c r="L21" s="2"/>
      <c r="M21" s="2"/>
      <c r="N21" s="2"/>
      <c r="O21" s="2"/>
      <c r="P21" s="2"/>
      <c r="Q21" s="2"/>
    </row>
    <row r="22" spans="1:17" ht="43.2" x14ac:dyDescent="0.3">
      <c r="A22" s="2"/>
      <c r="B22" s="6" t="s">
        <v>523</v>
      </c>
      <c r="C22" s="2" t="s">
        <v>496</v>
      </c>
      <c r="D22" s="2"/>
      <c r="E22" s="2"/>
      <c r="F22" s="2"/>
      <c r="G22" s="2"/>
      <c r="H22" s="2"/>
      <c r="I22" s="2"/>
      <c r="J22" s="2"/>
      <c r="K22" s="7" t="s">
        <v>524</v>
      </c>
      <c r="L22" s="2"/>
      <c r="M22" s="2"/>
      <c r="N22" s="2" t="s">
        <v>505</v>
      </c>
      <c r="O22" s="2"/>
      <c r="P22" s="2"/>
      <c r="Q22" s="2"/>
    </row>
    <row r="23" spans="1:17" x14ac:dyDescent="0.3">
      <c r="A23" s="2"/>
      <c r="B23" s="2" t="s">
        <v>498</v>
      </c>
      <c r="C23" s="2" t="s">
        <v>519</v>
      </c>
      <c r="D23" s="2" t="s">
        <v>520</v>
      </c>
      <c r="E23" s="2" t="s">
        <v>521</v>
      </c>
      <c r="F23" s="2" t="s">
        <v>522</v>
      </c>
      <c r="G23" s="2"/>
      <c r="H23" s="2"/>
      <c r="I23" s="2"/>
      <c r="J23" s="2"/>
      <c r="K23" s="7">
        <v>70.5</v>
      </c>
      <c r="L23" s="2"/>
      <c r="M23" s="2"/>
      <c r="N23" s="2"/>
      <c r="O23" s="2"/>
      <c r="P23" s="2"/>
      <c r="Q23" s="2"/>
    </row>
    <row r="24" spans="1:17" x14ac:dyDescent="0.3">
      <c r="A24" s="2"/>
      <c r="B24" s="2">
        <v>483</v>
      </c>
      <c r="C24" s="2">
        <v>0.182</v>
      </c>
      <c r="D24" s="2">
        <v>0.27300000000000002</v>
      </c>
      <c r="E24" s="2">
        <v>0.34599999999999997</v>
      </c>
      <c r="F24" s="2">
        <v>0.19900000000000001</v>
      </c>
      <c r="G24" s="2"/>
      <c r="H24" s="2"/>
      <c r="I24" s="2"/>
      <c r="J24" s="2"/>
      <c r="K24" s="2"/>
      <c r="L24" s="2"/>
      <c r="M24" s="2"/>
      <c r="N24" s="2"/>
      <c r="O24" s="2"/>
      <c r="P24" s="2"/>
      <c r="Q24" s="2"/>
    </row>
    <row r="25" spans="1:17" x14ac:dyDescent="0.3">
      <c r="A25" s="2"/>
      <c r="B25" s="2"/>
      <c r="C25" s="2"/>
      <c r="D25" s="2"/>
      <c r="E25" s="2"/>
      <c r="F25" s="2"/>
      <c r="G25" s="2"/>
      <c r="H25" s="2"/>
      <c r="I25" s="2"/>
      <c r="J25" s="2"/>
      <c r="K25" s="2"/>
      <c r="L25" s="2"/>
      <c r="M25" s="2"/>
      <c r="N25" s="2"/>
      <c r="O25" s="2"/>
      <c r="P25" s="2"/>
      <c r="Q25" s="2"/>
    </row>
    <row r="26" spans="1:17" x14ac:dyDescent="0.3">
      <c r="A26" s="9" t="s">
        <v>525</v>
      </c>
      <c r="B26" s="9" t="s">
        <v>526</v>
      </c>
      <c r="C26" s="9"/>
      <c r="D26" s="9"/>
      <c r="E26" s="9"/>
      <c r="F26" s="9"/>
      <c r="G26" s="9"/>
      <c r="H26" s="9"/>
      <c r="I26" s="9"/>
      <c r="J26" s="2"/>
      <c r="K26" s="2"/>
      <c r="L26" s="2"/>
      <c r="M26" s="2"/>
      <c r="N26" s="2"/>
      <c r="O26" s="2"/>
      <c r="P26" s="2"/>
      <c r="Q26" s="2"/>
    </row>
    <row r="27" spans="1:17" ht="52.2" x14ac:dyDescent="0.3">
      <c r="A27" s="9"/>
      <c r="B27" s="9" t="s">
        <v>506</v>
      </c>
      <c r="C27" s="10" t="s">
        <v>527</v>
      </c>
      <c r="D27" s="10" t="s">
        <v>528</v>
      </c>
      <c r="E27" s="10" t="s">
        <v>529</v>
      </c>
      <c r="F27" s="10" t="s">
        <v>530</v>
      </c>
      <c r="G27" s="10" t="s">
        <v>531</v>
      </c>
      <c r="H27" s="10" t="s">
        <v>532</v>
      </c>
      <c r="I27" s="10" t="s">
        <v>533</v>
      </c>
      <c r="J27" s="11"/>
      <c r="K27" s="2"/>
      <c r="L27" s="2"/>
      <c r="M27" s="2"/>
      <c r="N27" s="2"/>
      <c r="O27" s="2"/>
      <c r="P27" s="2"/>
      <c r="Q27" s="2"/>
    </row>
    <row r="28" spans="1:17" x14ac:dyDescent="0.3">
      <c r="A28" s="9" t="s">
        <v>534</v>
      </c>
      <c r="B28" s="9">
        <v>1283</v>
      </c>
      <c r="C28" s="204">
        <v>1131</v>
      </c>
      <c r="D28" s="204">
        <v>45</v>
      </c>
      <c r="E28" s="204">
        <v>31</v>
      </c>
      <c r="F28" s="9">
        <v>26</v>
      </c>
      <c r="G28" s="9">
        <v>26</v>
      </c>
      <c r="H28" s="9">
        <v>10</v>
      </c>
      <c r="I28" s="9">
        <v>14</v>
      </c>
      <c r="J28" s="2"/>
      <c r="K28" s="2"/>
      <c r="L28" s="2"/>
      <c r="M28" s="2"/>
      <c r="N28" s="2"/>
      <c r="O28" s="2"/>
      <c r="P28" s="2"/>
      <c r="Q28" s="2"/>
    </row>
    <row r="29" spans="1:17" x14ac:dyDescent="0.3">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x14ac:dyDescent="0.3">
      <c r="A30" s="2"/>
      <c r="B30" s="2" t="s">
        <v>535</v>
      </c>
      <c r="C30" s="1">
        <v>0.94076380000000004</v>
      </c>
      <c r="D30" s="1"/>
      <c r="E30" s="1"/>
      <c r="F30" s="2"/>
      <c r="G30" s="2"/>
      <c r="H30" s="2"/>
      <c r="I30" s="2"/>
      <c r="J30" s="2"/>
      <c r="K30" s="2"/>
      <c r="L30" s="2"/>
      <c r="M30" s="2"/>
      <c r="N30" s="2"/>
      <c r="O30" s="2"/>
      <c r="P30" s="2"/>
      <c r="Q30" s="2"/>
    </row>
    <row r="31" spans="1:17" ht="57.6" x14ac:dyDescent="0.3">
      <c r="A31" s="2"/>
      <c r="B31" s="2"/>
      <c r="C31" s="1" t="s">
        <v>536</v>
      </c>
      <c r="D31" s="1" t="s">
        <v>537</v>
      </c>
      <c r="E31" s="1" t="s">
        <v>538</v>
      </c>
      <c r="F31" s="1"/>
      <c r="G31" s="1"/>
      <c r="H31" s="1"/>
      <c r="I31" s="2"/>
      <c r="J31" s="2"/>
      <c r="K31" s="2"/>
      <c r="L31" s="2"/>
      <c r="M31" s="2"/>
      <c r="N31" s="2"/>
      <c r="O31" s="2"/>
      <c r="P31" s="2"/>
      <c r="Q31" s="2"/>
    </row>
    <row r="32" spans="1:17" x14ac:dyDescent="0.3">
      <c r="A32" s="2"/>
      <c r="B32" s="2"/>
      <c r="C32" s="205">
        <v>0.93703000000000003</v>
      </c>
      <c r="D32" s="205">
        <v>3.7280000000000001E-2</v>
      </c>
      <c r="E32" s="205">
        <v>2.5680000000000001E-2</v>
      </c>
      <c r="F32" s="2"/>
      <c r="G32" s="2"/>
      <c r="H32" s="2"/>
      <c r="I32" s="2"/>
      <c r="J32" s="2"/>
      <c r="K32" s="2"/>
      <c r="L32" s="2"/>
      <c r="M32" s="2"/>
      <c r="N32" s="2"/>
      <c r="O32" s="2"/>
      <c r="P32" s="2"/>
      <c r="Q32" s="2"/>
    </row>
    <row r="33" spans="1:17" x14ac:dyDescent="0.3">
      <c r="A33" s="2"/>
      <c r="B33" s="2"/>
      <c r="C33" s="1"/>
      <c r="D33" s="1"/>
      <c r="E33" s="1"/>
      <c r="F33" s="2"/>
      <c r="G33" s="2"/>
      <c r="H33" s="2"/>
      <c r="I33" s="2"/>
      <c r="J33" s="2"/>
      <c r="K33" s="2"/>
      <c r="L33" s="2"/>
      <c r="M33" s="2"/>
      <c r="N33" s="2"/>
      <c r="O33" s="2"/>
      <c r="P33" s="2"/>
      <c r="Q33" s="2"/>
    </row>
    <row r="34" spans="1:17" ht="36.6" x14ac:dyDescent="0.3">
      <c r="A34" s="2"/>
      <c r="B34" s="2"/>
      <c r="C34" s="12" t="s">
        <v>504</v>
      </c>
      <c r="D34" s="13" t="s">
        <v>524</v>
      </c>
      <c r="E34" s="14" t="s">
        <v>517</v>
      </c>
      <c r="F34" s="2"/>
      <c r="G34" s="2"/>
      <c r="H34" s="2"/>
      <c r="I34" s="2"/>
      <c r="J34" s="2"/>
      <c r="K34" s="2"/>
      <c r="L34" s="2"/>
      <c r="M34" s="2"/>
      <c r="N34" s="2"/>
      <c r="O34" s="2"/>
      <c r="P34" s="2"/>
      <c r="Q34" s="2"/>
    </row>
    <row r="35" spans="1:17" x14ac:dyDescent="0.3">
      <c r="A35" s="2"/>
      <c r="B35" s="2"/>
      <c r="C35" s="206">
        <v>87</v>
      </c>
      <c r="D35" s="6">
        <v>70.5</v>
      </c>
      <c r="E35" s="207">
        <v>95.5</v>
      </c>
      <c r="F35" s="2"/>
      <c r="G35" s="2"/>
      <c r="H35" s="2"/>
      <c r="I35" s="2"/>
      <c r="J35" s="2"/>
      <c r="K35" s="2"/>
      <c r="L35" s="2"/>
      <c r="M35" s="2"/>
      <c r="N35" s="2"/>
      <c r="O35" s="2"/>
      <c r="P35" s="2"/>
      <c r="Q35" s="2"/>
    </row>
    <row r="36" spans="1:17" ht="48.6" x14ac:dyDescent="0.3">
      <c r="A36" s="2"/>
      <c r="B36" s="2"/>
      <c r="C36" s="15" t="s">
        <v>536</v>
      </c>
      <c r="D36" s="16" t="s">
        <v>537</v>
      </c>
      <c r="E36" s="17" t="s">
        <v>538</v>
      </c>
      <c r="F36" s="2"/>
      <c r="G36" s="2"/>
      <c r="H36" s="2"/>
      <c r="I36" s="2"/>
      <c r="J36" s="2"/>
      <c r="K36" s="2"/>
      <c r="L36" s="2"/>
      <c r="M36" s="2"/>
      <c r="N36" s="2"/>
      <c r="O36" s="2"/>
      <c r="P36" s="2"/>
      <c r="Q36" s="2"/>
    </row>
    <row r="37" spans="1:17" x14ac:dyDescent="0.3">
      <c r="A37" s="2"/>
      <c r="B37" s="2"/>
      <c r="C37" s="208">
        <v>0.93703000000000003</v>
      </c>
      <c r="D37" s="209">
        <v>3.7280000000000001E-2</v>
      </c>
      <c r="E37" s="210">
        <v>2.5680000000000001E-2</v>
      </c>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C39" s="2"/>
      <c r="D39" s="2"/>
      <c r="E39" s="2"/>
      <c r="F39" s="2"/>
      <c r="G39" s="2"/>
      <c r="H39" s="2"/>
      <c r="I39" s="2"/>
      <c r="J39" s="2"/>
      <c r="K39" s="2"/>
      <c r="L39" s="2"/>
      <c r="M39" s="2"/>
      <c r="N39" s="2"/>
      <c r="O39" s="2"/>
      <c r="P39" s="2"/>
      <c r="Q39" s="2"/>
    </row>
    <row r="40" spans="1:17" x14ac:dyDescent="0.3">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4" x14ac:dyDescent="0.3"/>
  <cols>
    <col min="1" max="1" width="15.5546875" customWidth="1"/>
    <col min="2" max="2" width="21.88671875" customWidth="1"/>
    <col min="3" max="3" width="15.109375" customWidth="1"/>
    <col min="4" max="10" width="12.6640625" customWidth="1"/>
    <col min="11" max="11" width="15.88671875" customWidth="1"/>
    <col min="12" max="12" width="12.6640625" customWidth="1"/>
  </cols>
  <sheetData>
    <row r="1" spans="1:12" ht="46.95" customHeight="1" x14ac:dyDescent="0.3">
      <c r="D1" s="356" t="s">
        <v>539</v>
      </c>
      <c r="E1" s="356"/>
      <c r="F1" s="356"/>
      <c r="G1" s="356"/>
    </row>
    <row r="2" spans="1:12" ht="47.25" customHeight="1" x14ac:dyDescent="0.3">
      <c r="A2" s="5" t="s">
        <v>540</v>
      </c>
      <c r="B2" s="5" t="s">
        <v>541</v>
      </c>
      <c r="D2" s="5" t="s">
        <v>251</v>
      </c>
      <c r="E2" s="118" t="s">
        <v>527</v>
      </c>
      <c r="F2" s="118" t="s">
        <v>528</v>
      </c>
      <c r="G2" s="118" t="s">
        <v>529</v>
      </c>
      <c r="I2" s="118" t="s">
        <v>530</v>
      </c>
      <c r="J2" s="118" t="s">
        <v>531</v>
      </c>
      <c r="K2" s="118" t="s">
        <v>532</v>
      </c>
      <c r="L2" s="118" t="s">
        <v>533</v>
      </c>
    </row>
    <row r="3" spans="1:12" s="5" customFormat="1" ht="55.5" customHeight="1" x14ac:dyDescent="0.3">
      <c r="A3" s="5">
        <f>H13</f>
        <v>0.88044573693529926</v>
      </c>
      <c r="C3" s="5" t="s">
        <v>542</v>
      </c>
      <c r="D3">
        <v>6825</v>
      </c>
      <c r="E3">
        <v>4061</v>
      </c>
      <c r="F3">
        <v>235</v>
      </c>
      <c r="G3">
        <v>1122</v>
      </c>
      <c r="I3">
        <v>362</v>
      </c>
      <c r="J3">
        <v>796</v>
      </c>
      <c r="K3">
        <v>55</v>
      </c>
      <c r="L3">
        <v>194</v>
      </c>
    </row>
    <row r="4" spans="1:12" x14ac:dyDescent="0.3">
      <c r="E4">
        <v>0.59501831999999999</v>
      </c>
      <c r="F4">
        <v>3.4432230000000001E-2</v>
      </c>
      <c r="G4">
        <v>0.1643956</v>
      </c>
    </row>
    <row r="5" spans="1:12" x14ac:dyDescent="0.3">
      <c r="D5" t="s">
        <v>535</v>
      </c>
      <c r="E5">
        <f>E4+F4+G4</f>
        <v>0.79384614999999992</v>
      </c>
    </row>
    <row r="7" spans="1:12" ht="57.6" x14ac:dyDescent="0.3">
      <c r="D7" s="5"/>
      <c r="E7" s="28" t="s">
        <v>543</v>
      </c>
      <c r="F7" s="28" t="s">
        <v>544</v>
      </c>
      <c r="G7" s="28" t="s">
        <v>545</v>
      </c>
      <c r="J7" s="5"/>
      <c r="K7" s="5"/>
      <c r="L7" s="5"/>
    </row>
    <row r="8" spans="1:12" s="5" customFormat="1" x14ac:dyDescent="0.3">
      <c r="D8"/>
      <c r="E8" s="59">
        <f>E4/E5</f>
        <v>0.74953858502683435</v>
      </c>
      <c r="F8" s="59">
        <f>F4/E5</f>
        <v>4.3373933349679913E-2</v>
      </c>
      <c r="G8" s="59">
        <f>G4/E5</f>
        <v>0.20708748162348589</v>
      </c>
      <c r="J8"/>
      <c r="K8"/>
      <c r="L8"/>
    </row>
    <row r="10" spans="1:12" ht="36.6" x14ac:dyDescent="0.3">
      <c r="A10" s="57"/>
      <c r="B10" s="60"/>
      <c r="D10" s="5"/>
      <c r="E10" s="200" t="s">
        <v>504</v>
      </c>
      <c r="F10" s="201" t="s">
        <v>524</v>
      </c>
      <c r="G10" s="202" t="s">
        <v>517</v>
      </c>
      <c r="I10" s="5"/>
      <c r="J10" s="5"/>
      <c r="K10" s="5"/>
      <c r="L10" s="5"/>
    </row>
    <row r="11" spans="1:12" s="5" customFormat="1" x14ac:dyDescent="0.3">
      <c r="D11"/>
      <c r="E11" s="62">
        <v>87</v>
      </c>
      <c r="F11" s="63">
        <v>70.5</v>
      </c>
      <c r="G11" s="64">
        <v>95.5</v>
      </c>
      <c r="I11"/>
      <c r="J11"/>
      <c r="K11"/>
      <c r="L11"/>
    </row>
    <row r="12" spans="1:12" ht="57.6" x14ac:dyDescent="0.3">
      <c r="D12" s="5"/>
      <c r="E12" s="65" t="s">
        <v>543</v>
      </c>
      <c r="F12" s="28" t="s">
        <v>544</v>
      </c>
      <c r="G12" s="66" t="s">
        <v>545</v>
      </c>
      <c r="H12" s="71" t="s">
        <v>546</v>
      </c>
    </row>
    <row r="13" spans="1:12" ht="15.6" x14ac:dyDescent="0.3">
      <c r="E13" s="67">
        <f>E8</f>
        <v>0.74953858502683435</v>
      </c>
      <c r="F13" s="68">
        <f>F8</f>
        <v>4.3373933349679913E-2</v>
      </c>
      <c r="G13" s="69">
        <f>G8</f>
        <v>0.20708748162348589</v>
      </c>
      <c r="H13" s="203">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4" x14ac:dyDescent="0.3"/>
  <cols>
    <col min="1" max="1" width="18.33203125" customWidth="1"/>
    <col min="6" max="6" width="17.6640625" customWidth="1"/>
    <col min="9" max="9" width="11.109375" customWidth="1"/>
    <col min="11" max="11" width="11.44140625" customWidth="1"/>
    <col min="14" max="14" width="14.109375" customWidth="1"/>
    <col min="15" max="15" width="16.6640625" customWidth="1"/>
    <col min="16" max="16" width="12.5546875" customWidth="1"/>
  </cols>
  <sheetData>
    <row r="1" spans="1:15" ht="15.6" x14ac:dyDescent="0.3">
      <c r="A1" s="95" t="s">
        <v>547</v>
      </c>
      <c r="B1" s="74"/>
      <c r="C1" s="74"/>
      <c r="D1" s="74"/>
      <c r="E1" s="74"/>
      <c r="F1" s="74"/>
      <c r="G1" s="74"/>
      <c r="H1" s="74"/>
      <c r="I1" s="74"/>
      <c r="J1" s="74"/>
      <c r="K1" s="74"/>
      <c r="L1" s="76"/>
    </row>
    <row r="2" spans="1:15" ht="45.75" customHeight="1" x14ac:dyDescent="0.3">
      <c r="A2" s="198" t="s">
        <v>548</v>
      </c>
      <c r="B2" s="198" t="s">
        <v>48</v>
      </c>
      <c r="C2" s="198" t="s">
        <v>549</v>
      </c>
      <c r="D2" s="198" t="s">
        <v>550</v>
      </c>
      <c r="E2" s="198" t="s">
        <v>551</v>
      </c>
      <c r="F2" s="198" t="s">
        <v>552</v>
      </c>
      <c r="G2" s="198" t="s">
        <v>553</v>
      </c>
      <c r="H2" s="198" t="s">
        <v>554</v>
      </c>
      <c r="I2" s="198" t="s">
        <v>555</v>
      </c>
      <c r="J2" s="198" t="s">
        <v>556</v>
      </c>
      <c r="K2" s="198" t="s">
        <v>557</v>
      </c>
      <c r="L2" s="199" t="s">
        <v>558</v>
      </c>
    </row>
    <row r="3" spans="1:15" ht="27.6" x14ac:dyDescent="0.3">
      <c r="A3" s="76" t="s">
        <v>559</v>
      </c>
      <c r="B3" s="89">
        <v>1994</v>
      </c>
      <c r="C3" s="76" t="s">
        <v>560</v>
      </c>
      <c r="D3" s="74" t="s">
        <v>561</v>
      </c>
      <c r="E3" s="76"/>
      <c r="F3" s="77">
        <f>329*0.68</f>
        <v>223.72000000000003</v>
      </c>
      <c r="G3" s="86">
        <v>0.85</v>
      </c>
      <c r="H3" s="77">
        <f t="shared" ref="H3:H13" si="0">E3*G3</f>
        <v>0</v>
      </c>
      <c r="I3" s="77">
        <f t="shared" ref="I3:I13" si="1">F3*G3</f>
        <v>190.16200000000001</v>
      </c>
      <c r="J3" s="76"/>
      <c r="K3" s="76"/>
      <c r="L3" s="84" t="s">
        <v>562</v>
      </c>
    </row>
    <row r="4" spans="1:15" x14ac:dyDescent="0.3">
      <c r="A4" s="76" t="s">
        <v>563</v>
      </c>
      <c r="B4" s="91" t="s">
        <v>564</v>
      </c>
      <c r="C4" s="76" t="s">
        <v>565</v>
      </c>
      <c r="D4" s="74" t="s">
        <v>561</v>
      </c>
      <c r="E4" s="74"/>
      <c r="F4" s="76">
        <f>118+78</f>
        <v>196</v>
      </c>
      <c r="G4" s="85">
        <f>(95+66)/F4</f>
        <v>0.8214285714285714</v>
      </c>
      <c r="H4" s="77">
        <f t="shared" si="0"/>
        <v>0</v>
      </c>
      <c r="I4" s="77">
        <f t="shared" si="1"/>
        <v>161</v>
      </c>
      <c r="J4" s="92"/>
      <c r="K4" s="86"/>
      <c r="L4" s="84" t="s">
        <v>566</v>
      </c>
    </row>
    <row r="5" spans="1:15" x14ac:dyDescent="0.3">
      <c r="A5" s="76" t="s">
        <v>567</v>
      </c>
      <c r="B5" s="89">
        <v>1996</v>
      </c>
      <c r="C5" s="76" t="s">
        <v>108</v>
      </c>
      <c r="D5" s="74" t="s">
        <v>561</v>
      </c>
      <c r="E5" s="74"/>
      <c r="F5" s="76">
        <v>105</v>
      </c>
      <c r="G5" s="85">
        <v>0.88</v>
      </c>
      <c r="H5" s="77">
        <f t="shared" si="0"/>
        <v>0</v>
      </c>
      <c r="I5" s="77">
        <f t="shared" si="1"/>
        <v>92.4</v>
      </c>
      <c r="J5" s="92">
        <v>0.16</v>
      </c>
      <c r="K5" s="86"/>
      <c r="L5" s="84" t="s">
        <v>568</v>
      </c>
    </row>
    <row r="6" spans="1:15" x14ac:dyDescent="0.3">
      <c r="A6" s="76" t="s">
        <v>569</v>
      </c>
      <c r="B6" s="89">
        <v>2001</v>
      </c>
      <c r="C6" s="76" t="s">
        <v>190</v>
      </c>
      <c r="D6" s="74" t="s">
        <v>561</v>
      </c>
      <c r="E6" s="74"/>
      <c r="F6" s="77">
        <f>763*0.59</f>
        <v>450.16999999999996</v>
      </c>
      <c r="G6" s="85">
        <v>0.76</v>
      </c>
      <c r="H6" s="77">
        <f t="shared" si="0"/>
        <v>0</v>
      </c>
      <c r="I6" s="77">
        <f t="shared" si="1"/>
        <v>342.12919999999997</v>
      </c>
      <c r="J6" s="92"/>
      <c r="K6" s="86"/>
      <c r="L6" s="84" t="s">
        <v>570</v>
      </c>
    </row>
    <row r="7" spans="1:15" x14ac:dyDescent="0.3">
      <c r="A7" s="76" t="s">
        <v>571</v>
      </c>
      <c r="B7" s="94" t="s">
        <v>572</v>
      </c>
      <c r="C7" s="76" t="s">
        <v>573</v>
      </c>
      <c r="D7" s="74" t="s">
        <v>561</v>
      </c>
      <c r="E7" s="74"/>
      <c r="F7" s="76">
        <v>390</v>
      </c>
      <c r="G7" s="85">
        <v>0.64500000000000002</v>
      </c>
      <c r="H7" s="77">
        <f t="shared" si="0"/>
        <v>0</v>
      </c>
      <c r="I7" s="77">
        <f t="shared" si="1"/>
        <v>251.55</v>
      </c>
      <c r="J7" s="92"/>
      <c r="K7" s="86"/>
      <c r="L7" s="84" t="s">
        <v>574</v>
      </c>
    </row>
    <row r="8" spans="1:15" x14ac:dyDescent="0.3">
      <c r="A8" s="74" t="s">
        <v>575</v>
      </c>
      <c r="B8" s="93" t="s">
        <v>576</v>
      </c>
      <c r="C8" s="74" t="s">
        <v>577</v>
      </c>
      <c r="D8" s="74" t="s">
        <v>578</v>
      </c>
      <c r="E8" s="74"/>
      <c r="F8" s="88">
        <f>568*0.37</f>
        <v>210.16</v>
      </c>
      <c r="G8" s="92">
        <v>0.79</v>
      </c>
      <c r="H8" s="77">
        <f t="shared" si="0"/>
        <v>0</v>
      </c>
      <c r="I8" s="77">
        <f t="shared" si="1"/>
        <v>166.0264</v>
      </c>
      <c r="J8" s="92">
        <v>0.57999999999999996</v>
      </c>
      <c r="K8" s="92"/>
      <c r="L8" s="84" t="s">
        <v>579</v>
      </c>
    </row>
    <row r="9" spans="1:15" x14ac:dyDescent="0.3">
      <c r="A9" s="76" t="s">
        <v>580</v>
      </c>
      <c r="B9" s="91" t="s">
        <v>581</v>
      </c>
      <c r="C9" s="74" t="s">
        <v>582</v>
      </c>
      <c r="D9" s="74" t="s">
        <v>583</v>
      </c>
      <c r="E9" s="74">
        <v>587</v>
      </c>
      <c r="F9" s="74"/>
      <c r="G9" s="87">
        <v>0.49</v>
      </c>
      <c r="H9" s="77">
        <f t="shared" si="0"/>
        <v>287.63</v>
      </c>
      <c r="I9" s="77">
        <f t="shared" si="1"/>
        <v>0</v>
      </c>
      <c r="J9" s="86"/>
      <c r="K9" s="86"/>
      <c r="L9" s="84" t="s">
        <v>584</v>
      </c>
    </row>
    <row r="10" spans="1:15" x14ac:dyDescent="0.3">
      <c r="A10" s="76" t="s">
        <v>585</v>
      </c>
      <c r="B10" s="89">
        <v>2012</v>
      </c>
      <c r="C10" s="74" t="s">
        <v>586</v>
      </c>
      <c r="D10" s="74" t="s">
        <v>583</v>
      </c>
      <c r="E10" s="88">
        <f>489*(1-0.243)</f>
        <v>370.173</v>
      </c>
      <c r="F10" s="74"/>
      <c r="G10" s="87">
        <v>0.68</v>
      </c>
      <c r="H10" s="77">
        <f t="shared" si="0"/>
        <v>251.71764000000002</v>
      </c>
      <c r="I10" s="77">
        <f t="shared" si="1"/>
        <v>0</v>
      </c>
      <c r="J10" s="86">
        <v>0.72</v>
      </c>
      <c r="K10" s="85">
        <v>1.2E-2</v>
      </c>
      <c r="L10" s="84" t="s">
        <v>587</v>
      </c>
    </row>
    <row r="11" spans="1:15" x14ac:dyDescent="0.3">
      <c r="A11" s="76" t="s">
        <v>588</v>
      </c>
      <c r="B11" s="91" t="s">
        <v>88</v>
      </c>
      <c r="C11" s="74" t="s">
        <v>589</v>
      </c>
      <c r="D11" s="74" t="s">
        <v>583</v>
      </c>
      <c r="E11" s="88">
        <v>125</v>
      </c>
      <c r="F11" s="74"/>
      <c r="G11" s="87">
        <v>0.82</v>
      </c>
      <c r="H11" s="77">
        <f t="shared" si="0"/>
        <v>102.5</v>
      </c>
      <c r="I11" s="77">
        <f t="shared" si="1"/>
        <v>0</v>
      </c>
      <c r="J11" s="86"/>
      <c r="K11" s="85"/>
      <c r="L11" s="84" t="s">
        <v>590</v>
      </c>
    </row>
    <row r="12" spans="1:15" ht="15" x14ac:dyDescent="0.35">
      <c r="A12" s="76" t="s">
        <v>591</v>
      </c>
      <c r="B12" s="91" t="s">
        <v>592</v>
      </c>
      <c r="C12" s="74" t="s">
        <v>593</v>
      </c>
      <c r="D12" s="74" t="s">
        <v>583</v>
      </c>
      <c r="E12" s="90">
        <v>11884</v>
      </c>
      <c r="F12" s="74"/>
      <c r="G12" s="87">
        <v>0.44</v>
      </c>
      <c r="H12" s="77">
        <f t="shared" si="0"/>
        <v>5228.96</v>
      </c>
      <c r="I12" s="77">
        <f t="shared" si="1"/>
        <v>0</v>
      </c>
      <c r="J12" s="86"/>
      <c r="K12" s="85">
        <v>3.73E-2</v>
      </c>
      <c r="L12" s="84" t="s">
        <v>594</v>
      </c>
    </row>
    <row r="13" spans="1:15" x14ac:dyDescent="0.3">
      <c r="A13" s="76" t="s">
        <v>595</v>
      </c>
      <c r="B13" s="89">
        <v>2019</v>
      </c>
      <c r="C13" s="74" t="s">
        <v>596</v>
      </c>
      <c r="D13" s="74" t="s">
        <v>583</v>
      </c>
      <c r="E13" s="88">
        <v>13237</v>
      </c>
      <c r="F13" s="74"/>
      <c r="G13" s="87">
        <v>0.37</v>
      </c>
      <c r="H13" s="77">
        <f t="shared" si="0"/>
        <v>4897.6899999999996</v>
      </c>
      <c r="I13" s="77">
        <f t="shared" si="1"/>
        <v>0</v>
      </c>
      <c r="J13" s="86"/>
      <c r="K13" s="85"/>
      <c r="L13" s="84" t="s">
        <v>597</v>
      </c>
    </row>
    <row r="14" spans="1:15" ht="15" thickBot="1" x14ac:dyDescent="0.35">
      <c r="A14" s="74"/>
      <c r="B14" s="74"/>
      <c r="C14" s="74"/>
      <c r="D14" s="74"/>
      <c r="E14" s="74"/>
      <c r="F14" s="74"/>
      <c r="G14" s="74"/>
      <c r="H14" s="74"/>
      <c r="I14" s="74"/>
      <c r="J14" s="74"/>
      <c r="K14" s="74"/>
      <c r="L14" s="76"/>
    </row>
    <row r="15" spans="1:15" ht="41.4" x14ac:dyDescent="0.3">
      <c r="A15" s="74"/>
      <c r="B15" s="74"/>
      <c r="C15" s="74"/>
      <c r="H15" s="74"/>
      <c r="I15" s="74"/>
      <c r="J15" s="74"/>
      <c r="K15" s="74"/>
      <c r="L15" s="83" t="s">
        <v>598</v>
      </c>
      <c r="M15" s="82">
        <f>SUM(E3:E13)</f>
        <v>26203.173000000003</v>
      </c>
      <c r="N15" s="81" t="s">
        <v>599</v>
      </c>
      <c r="O15" s="80">
        <f>SUM(H3:H13)</f>
        <v>10768.49764</v>
      </c>
    </row>
    <row r="16" spans="1:15" ht="55.2" x14ac:dyDescent="0.3">
      <c r="A16" s="74"/>
      <c r="B16" s="74"/>
      <c r="C16" s="74"/>
      <c r="H16" s="74"/>
      <c r="I16" s="74"/>
      <c r="J16" s="74"/>
      <c r="K16" s="74"/>
      <c r="L16" s="78"/>
      <c r="M16" s="76"/>
      <c r="N16" s="76" t="s">
        <v>600</v>
      </c>
      <c r="O16" s="79">
        <f>O15/M15</f>
        <v>0.41096159003339017</v>
      </c>
    </row>
    <row r="17" spans="1:16" ht="41.4" x14ac:dyDescent="0.3">
      <c r="A17" s="74"/>
      <c r="B17" s="74"/>
      <c r="C17" s="76"/>
      <c r="H17" s="74"/>
      <c r="I17" s="74"/>
      <c r="J17" s="74"/>
      <c r="K17" s="74"/>
      <c r="L17" s="78" t="s">
        <v>601</v>
      </c>
      <c r="M17" s="77">
        <f>SUM(F3:F13)</f>
        <v>1575.05</v>
      </c>
      <c r="N17" s="76" t="s">
        <v>602</v>
      </c>
      <c r="O17" s="75">
        <f>SUM(I3:I13)</f>
        <v>1203.2675999999999</v>
      </c>
    </row>
    <row r="18" spans="1:16" ht="56.4" thickBot="1" x14ac:dyDescent="0.4">
      <c r="A18" s="74"/>
      <c r="B18" s="74"/>
      <c r="C18" s="74"/>
      <c r="H18" s="74"/>
      <c r="I18" s="74"/>
      <c r="J18" s="74"/>
      <c r="K18" s="74"/>
      <c r="L18" s="73"/>
      <c r="M18" s="72"/>
      <c r="N18" s="72" t="s">
        <v>603</v>
      </c>
      <c r="O18" s="185">
        <f>O17/M17</f>
        <v>0.76395517602615781</v>
      </c>
      <c r="P18" s="340" t="s">
        <v>1015</v>
      </c>
    </row>
    <row r="20" spans="1:16" x14ac:dyDescent="0.3">
      <c r="L20" s="356" t="s">
        <v>604</v>
      </c>
      <c r="M20" s="356"/>
      <c r="N20" s="356"/>
      <c r="O20" s="356"/>
    </row>
    <row r="21" spans="1:16" x14ac:dyDescent="0.3">
      <c r="L21" s="356"/>
      <c r="M21" s="356"/>
      <c r="N21" s="356"/>
      <c r="O21" s="356"/>
    </row>
    <row r="22" spans="1:16" ht="30" customHeight="1" x14ac:dyDescent="0.3">
      <c r="L22" s="356"/>
      <c r="M22" s="356"/>
      <c r="N22" s="356"/>
      <c r="O22" s="356"/>
    </row>
    <row r="23" spans="1:16" ht="26.4" customHeight="1" x14ac:dyDescent="0.3">
      <c r="L23" s="356"/>
      <c r="M23" s="356"/>
      <c r="N23" s="356"/>
      <c r="O23" s="356"/>
    </row>
    <row r="24" spans="1:16" ht="37.950000000000003" customHeight="1" x14ac:dyDescent="0.3">
      <c r="L24" s="356"/>
      <c r="M24" s="356"/>
      <c r="N24" s="356"/>
      <c r="O24" s="356"/>
    </row>
    <row r="25" spans="1:16" x14ac:dyDescent="0.3">
      <c r="L25" s="356"/>
      <c r="M25" s="356"/>
      <c r="N25" s="356"/>
      <c r="O25" s="356"/>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8671875" defaultRowHeight="13.8" x14ac:dyDescent="0.3"/>
  <cols>
    <col min="1" max="1" width="29.6640625" style="74" customWidth="1"/>
    <col min="2" max="2" width="18.6640625" style="74" customWidth="1"/>
    <col min="3" max="4" width="15" style="74" customWidth="1"/>
    <col min="5" max="5" width="22.109375" style="74" customWidth="1"/>
    <col min="6" max="7" width="15" style="74" customWidth="1"/>
    <col min="8" max="8" width="18" style="74" customWidth="1"/>
    <col min="9" max="9" width="15.44140625" style="74" customWidth="1"/>
    <col min="10" max="11" width="19" style="74" customWidth="1"/>
    <col min="12" max="12" width="58.44140625" style="74" customWidth="1"/>
    <col min="13" max="16384" width="8.88671875" style="74"/>
  </cols>
  <sheetData>
    <row r="1" spans="1:41" s="119" customFormat="1" ht="21.75" customHeight="1" x14ac:dyDescent="0.3">
      <c r="A1" s="119" t="s">
        <v>605</v>
      </c>
      <c r="F1" s="364"/>
      <c r="G1" s="364"/>
      <c r="AO1" s="114"/>
    </row>
    <row r="2" spans="1:41" s="76" customFormat="1" ht="41.4" x14ac:dyDescent="0.3">
      <c r="A2" s="76" t="s">
        <v>606</v>
      </c>
      <c r="B2" s="76" t="s">
        <v>607</v>
      </c>
      <c r="C2" s="76" t="s">
        <v>549</v>
      </c>
      <c r="D2" s="76" t="s">
        <v>608</v>
      </c>
      <c r="E2" s="76" t="s">
        <v>609</v>
      </c>
      <c r="F2" s="76" t="s">
        <v>610</v>
      </c>
      <c r="G2" s="76" t="s">
        <v>611</v>
      </c>
      <c r="H2" s="118" t="s">
        <v>612</v>
      </c>
      <c r="I2" s="76" t="s">
        <v>613</v>
      </c>
      <c r="J2" s="76" t="s">
        <v>614</v>
      </c>
      <c r="K2" s="76" t="s">
        <v>557</v>
      </c>
      <c r="L2" s="74" t="s">
        <v>615</v>
      </c>
      <c r="M2" s="74" t="s">
        <v>52</v>
      </c>
      <c r="AO2" s="114"/>
    </row>
    <row r="3" spans="1:41" x14ac:dyDescent="0.3">
      <c r="A3" s="114" t="s">
        <v>616</v>
      </c>
      <c r="B3" s="94" t="s">
        <v>617</v>
      </c>
      <c r="C3" s="74" t="s">
        <v>618</v>
      </c>
      <c r="D3" s="74" t="s">
        <v>619</v>
      </c>
      <c r="E3" s="74" t="s">
        <v>620</v>
      </c>
      <c r="F3" s="74">
        <v>709</v>
      </c>
      <c r="G3" s="74" t="s">
        <v>621</v>
      </c>
      <c r="H3" s="92">
        <v>0.52</v>
      </c>
      <c r="I3" s="88">
        <f t="shared" ref="I3:I41" si="0">F3*H3</f>
        <v>368.68</v>
      </c>
      <c r="J3" s="88"/>
      <c r="K3" s="87">
        <v>0.04</v>
      </c>
      <c r="L3" s="194" t="s">
        <v>622</v>
      </c>
      <c r="M3" s="74" t="s">
        <v>623</v>
      </c>
      <c r="AO3" s="76"/>
    </row>
    <row r="4" spans="1:41" x14ac:dyDescent="0.3">
      <c r="A4" s="114" t="s">
        <v>624</v>
      </c>
      <c r="B4" s="94" t="s">
        <v>625</v>
      </c>
      <c r="C4" s="88" t="s">
        <v>618</v>
      </c>
      <c r="D4" s="88" t="s">
        <v>626</v>
      </c>
      <c r="E4" s="74" t="s">
        <v>620</v>
      </c>
      <c r="F4" s="88">
        <f>82*0.89</f>
        <v>72.98</v>
      </c>
      <c r="G4" s="88" t="s">
        <v>621</v>
      </c>
      <c r="H4" s="92">
        <v>0.51</v>
      </c>
      <c r="I4" s="88">
        <f t="shared" si="0"/>
        <v>37.219799999999999</v>
      </c>
      <c r="J4" s="88"/>
      <c r="K4" s="87"/>
      <c r="L4" s="195" t="s">
        <v>627</v>
      </c>
      <c r="M4" s="74" t="s">
        <v>623</v>
      </c>
      <c r="AO4" s="114"/>
    </row>
    <row r="5" spans="1:41" ht="14.4" x14ac:dyDescent="0.3">
      <c r="A5" s="76" t="s">
        <v>569</v>
      </c>
      <c r="B5" s="89">
        <v>2001</v>
      </c>
      <c r="C5" s="76" t="s">
        <v>190</v>
      </c>
      <c r="D5" s="88" t="s">
        <v>628</v>
      </c>
      <c r="E5" s="74" t="s">
        <v>620</v>
      </c>
      <c r="F5" s="77">
        <f>763*0.59</f>
        <v>450.16999999999996</v>
      </c>
      <c r="G5" s="88"/>
      <c r="H5" s="92">
        <v>0.16</v>
      </c>
      <c r="I5" s="88">
        <f t="shared" si="0"/>
        <v>72.027199999999993</v>
      </c>
      <c r="J5" s="88"/>
      <c r="K5" s="87">
        <v>0</v>
      </c>
      <c r="L5" s="196" t="s">
        <v>570</v>
      </c>
      <c r="AO5" s="114"/>
    </row>
    <row r="6" spans="1:41" ht="14.4" x14ac:dyDescent="0.3">
      <c r="A6" s="76" t="s">
        <v>569</v>
      </c>
      <c r="B6" s="89">
        <v>2001</v>
      </c>
      <c r="C6" s="76" t="s">
        <v>190</v>
      </c>
      <c r="D6" s="88" t="s">
        <v>626</v>
      </c>
      <c r="E6" s="74" t="s">
        <v>620</v>
      </c>
      <c r="F6" s="77">
        <f>763*0.81</f>
        <v>618.03000000000009</v>
      </c>
      <c r="G6" s="88"/>
      <c r="H6" s="92">
        <v>0.13</v>
      </c>
      <c r="I6" s="88">
        <f t="shared" si="0"/>
        <v>80.343900000000019</v>
      </c>
      <c r="J6" s="88"/>
      <c r="K6" s="87">
        <v>0</v>
      </c>
      <c r="L6" s="196" t="s">
        <v>570</v>
      </c>
      <c r="AO6" s="114"/>
    </row>
    <row r="7" spans="1:41" ht="14.4" x14ac:dyDescent="0.3">
      <c r="A7" s="114" t="s">
        <v>629</v>
      </c>
      <c r="B7" s="94" t="s">
        <v>630</v>
      </c>
      <c r="C7" s="74" t="s">
        <v>618</v>
      </c>
      <c r="D7" s="74" t="s">
        <v>626</v>
      </c>
      <c r="E7" s="74" t="s">
        <v>631</v>
      </c>
      <c r="G7" s="74">
        <v>20</v>
      </c>
      <c r="H7" s="92">
        <f>3/20</f>
        <v>0.15</v>
      </c>
      <c r="I7" s="88">
        <f t="shared" si="0"/>
        <v>0</v>
      </c>
      <c r="J7" s="88">
        <f t="shared" ref="J7:J35" si="1">G7*H7</f>
        <v>3</v>
      </c>
      <c r="K7" s="92">
        <f>15/20</f>
        <v>0.75</v>
      </c>
      <c r="L7" s="196" t="s">
        <v>632</v>
      </c>
      <c r="AO7" s="114"/>
    </row>
    <row r="8" spans="1:41" ht="14.4" x14ac:dyDescent="0.3">
      <c r="A8" s="114" t="s">
        <v>571</v>
      </c>
      <c r="B8" s="94" t="s">
        <v>572</v>
      </c>
      <c r="C8" s="74" t="s">
        <v>633</v>
      </c>
      <c r="D8" s="74" t="s">
        <v>626</v>
      </c>
      <c r="E8" s="74" t="s">
        <v>634</v>
      </c>
      <c r="F8" s="74">
        <v>797</v>
      </c>
      <c r="H8" s="92">
        <v>0.443</v>
      </c>
      <c r="I8" s="88">
        <f t="shared" si="0"/>
        <v>353.07100000000003</v>
      </c>
      <c r="J8" s="88">
        <f t="shared" si="1"/>
        <v>0</v>
      </c>
      <c r="K8" s="87"/>
      <c r="L8" s="196" t="s">
        <v>574</v>
      </c>
      <c r="AO8" s="114"/>
    </row>
    <row r="9" spans="1:41" x14ac:dyDescent="0.3">
      <c r="A9" s="114" t="s">
        <v>635</v>
      </c>
      <c r="B9" s="94" t="s">
        <v>572</v>
      </c>
      <c r="C9" s="74" t="s">
        <v>633</v>
      </c>
      <c r="D9" s="74" t="s">
        <v>626</v>
      </c>
      <c r="E9" s="74" t="s">
        <v>636</v>
      </c>
      <c r="F9" s="74">
        <v>672</v>
      </c>
      <c r="G9" s="74">
        <f>11.8*672</f>
        <v>7929.6</v>
      </c>
      <c r="H9" s="92">
        <v>0.4</v>
      </c>
      <c r="I9" s="88">
        <f t="shared" si="0"/>
        <v>268.8</v>
      </c>
      <c r="J9" s="88">
        <f t="shared" si="1"/>
        <v>3171.84</v>
      </c>
      <c r="K9" s="87"/>
      <c r="L9" s="197" t="s">
        <v>637</v>
      </c>
      <c r="M9" s="74" t="s">
        <v>638</v>
      </c>
      <c r="AO9" s="114"/>
    </row>
    <row r="10" spans="1:41" ht="14.4" x14ac:dyDescent="0.3">
      <c r="A10" s="114" t="s">
        <v>639</v>
      </c>
      <c r="B10" s="94" t="s">
        <v>572</v>
      </c>
      <c r="C10" s="74" t="s">
        <v>633</v>
      </c>
      <c r="D10" s="74" t="s">
        <v>626</v>
      </c>
      <c r="E10" s="74" t="s">
        <v>620</v>
      </c>
      <c r="G10" s="74">
        <v>797</v>
      </c>
      <c r="H10" s="92">
        <v>0.44</v>
      </c>
      <c r="I10" s="88">
        <f t="shared" si="0"/>
        <v>0</v>
      </c>
      <c r="J10" s="88">
        <f t="shared" si="1"/>
        <v>350.68</v>
      </c>
      <c r="K10" s="92"/>
      <c r="L10" s="196" t="s">
        <v>640</v>
      </c>
      <c r="AO10" s="114"/>
    </row>
    <row r="11" spans="1:41" ht="14.4" x14ac:dyDescent="0.3">
      <c r="A11" s="114" t="s">
        <v>575</v>
      </c>
      <c r="B11" s="94" t="s">
        <v>576</v>
      </c>
      <c r="C11" s="74" t="s">
        <v>577</v>
      </c>
      <c r="D11" s="74" t="s">
        <v>626</v>
      </c>
      <c r="E11" s="74" t="s">
        <v>620</v>
      </c>
      <c r="F11" s="74">
        <v>308</v>
      </c>
      <c r="H11" s="92">
        <v>0.29799999999999999</v>
      </c>
      <c r="I11" s="88">
        <f t="shared" si="0"/>
        <v>91.783999999999992</v>
      </c>
      <c r="J11" s="88">
        <f t="shared" si="1"/>
        <v>0</v>
      </c>
      <c r="K11" s="92"/>
      <c r="L11" s="196" t="s">
        <v>579</v>
      </c>
      <c r="M11" s="74" t="s">
        <v>641</v>
      </c>
    </row>
    <row r="12" spans="1:41" ht="14.4" x14ac:dyDescent="0.3">
      <c r="A12" s="114" t="s">
        <v>575</v>
      </c>
      <c r="B12" s="94" t="s">
        <v>576</v>
      </c>
      <c r="C12" s="74" t="s">
        <v>577</v>
      </c>
      <c r="D12" s="74" t="s">
        <v>626</v>
      </c>
      <c r="E12" s="74" t="s">
        <v>620</v>
      </c>
      <c r="F12" s="88">
        <f>568*0.37</f>
        <v>210.16</v>
      </c>
      <c r="H12" s="92">
        <v>0.57999999999999996</v>
      </c>
      <c r="I12" s="88">
        <f t="shared" si="0"/>
        <v>121.89279999999999</v>
      </c>
      <c r="J12" s="88">
        <f t="shared" si="1"/>
        <v>0</v>
      </c>
      <c r="K12" s="92"/>
      <c r="L12" s="196" t="s">
        <v>579</v>
      </c>
      <c r="M12" s="74" t="s">
        <v>642</v>
      </c>
      <c r="AO12" s="114"/>
    </row>
    <row r="13" spans="1:41" ht="14.4" x14ac:dyDescent="0.3">
      <c r="A13" s="114" t="s">
        <v>643</v>
      </c>
      <c r="B13" s="94" t="s">
        <v>644</v>
      </c>
      <c r="C13" s="74" t="s">
        <v>577</v>
      </c>
      <c r="D13" s="74" t="s">
        <v>626</v>
      </c>
      <c r="E13" s="74" t="s">
        <v>636</v>
      </c>
      <c r="F13" s="88">
        <v>644</v>
      </c>
      <c r="H13" s="92">
        <v>0.63400000000000001</v>
      </c>
      <c r="I13" s="88">
        <f t="shared" si="0"/>
        <v>408.29599999999999</v>
      </c>
      <c r="J13" s="88">
        <f t="shared" si="1"/>
        <v>0</v>
      </c>
      <c r="K13" s="87">
        <v>8.0000000000000002E-3</v>
      </c>
      <c r="L13" s="196" t="s">
        <v>645</v>
      </c>
      <c r="AO13" s="114"/>
    </row>
    <row r="14" spans="1:41" ht="14.4" x14ac:dyDescent="0.3">
      <c r="A14" s="114" t="s">
        <v>646</v>
      </c>
      <c r="B14" s="116">
        <v>2004</v>
      </c>
      <c r="C14" s="74" t="s">
        <v>647</v>
      </c>
      <c r="D14" s="74" t="s">
        <v>626</v>
      </c>
      <c r="E14" s="74" t="s">
        <v>648</v>
      </c>
      <c r="G14" s="74">
        <v>31</v>
      </c>
      <c r="H14" s="92">
        <f>6/31</f>
        <v>0.19354838709677419</v>
      </c>
      <c r="I14" s="88">
        <f t="shared" si="0"/>
        <v>0</v>
      </c>
      <c r="J14" s="88">
        <f t="shared" si="1"/>
        <v>6</v>
      </c>
      <c r="K14" s="92">
        <v>0.57999999999999996</v>
      </c>
      <c r="L14" s="196" t="s">
        <v>649</v>
      </c>
      <c r="M14" s="74" t="s">
        <v>650</v>
      </c>
      <c r="AO14" s="114"/>
    </row>
    <row r="15" spans="1:41" ht="14.4" x14ac:dyDescent="0.3">
      <c r="A15" s="74" t="s">
        <v>651</v>
      </c>
      <c r="B15" s="117">
        <v>2004</v>
      </c>
      <c r="C15" s="74" t="s">
        <v>633</v>
      </c>
      <c r="D15" s="74" t="s">
        <v>626</v>
      </c>
      <c r="E15" s="74" t="s">
        <v>652</v>
      </c>
      <c r="F15" s="74">
        <v>19</v>
      </c>
      <c r="G15" s="74">
        <v>19</v>
      </c>
      <c r="H15" s="92">
        <f>11/19</f>
        <v>0.57894736842105265</v>
      </c>
      <c r="I15" s="88">
        <f t="shared" si="0"/>
        <v>11</v>
      </c>
      <c r="J15" s="88">
        <f t="shared" si="1"/>
        <v>11</v>
      </c>
      <c r="K15" s="92"/>
      <c r="L15" s="196" t="s">
        <v>653</v>
      </c>
    </row>
    <row r="16" spans="1:41" ht="14.4" x14ac:dyDescent="0.3">
      <c r="A16" s="74" t="s">
        <v>651</v>
      </c>
      <c r="B16" s="117">
        <v>2004</v>
      </c>
      <c r="C16" s="74" t="s">
        <v>633</v>
      </c>
      <c r="D16" s="74" t="s">
        <v>626</v>
      </c>
      <c r="E16" s="74" t="s">
        <v>654</v>
      </c>
      <c r="F16" s="74">
        <v>11</v>
      </c>
      <c r="G16" s="74">
        <v>11</v>
      </c>
      <c r="H16" s="92">
        <f>9/11</f>
        <v>0.81818181818181823</v>
      </c>
      <c r="I16" s="88">
        <f t="shared" si="0"/>
        <v>9</v>
      </c>
      <c r="J16" s="88">
        <f t="shared" si="1"/>
        <v>9</v>
      </c>
      <c r="K16" s="92">
        <f>10/17</f>
        <v>0.58823529411764708</v>
      </c>
      <c r="L16" s="196" t="s">
        <v>653</v>
      </c>
      <c r="M16" s="74" t="s">
        <v>655</v>
      </c>
      <c r="AO16" s="114"/>
    </row>
    <row r="17" spans="1:41" ht="14.4" x14ac:dyDescent="0.3">
      <c r="A17" s="114" t="s">
        <v>656</v>
      </c>
      <c r="B17" s="94" t="s">
        <v>657</v>
      </c>
      <c r="C17" s="74" t="s">
        <v>577</v>
      </c>
      <c r="D17" s="74" t="s">
        <v>626</v>
      </c>
      <c r="E17" s="74" t="s">
        <v>658</v>
      </c>
      <c r="F17" s="74">
        <v>43</v>
      </c>
      <c r="H17" s="92">
        <f>28/F17</f>
        <v>0.65116279069767447</v>
      </c>
      <c r="I17" s="88">
        <f t="shared" si="0"/>
        <v>28.000000000000004</v>
      </c>
      <c r="J17" s="88">
        <f t="shared" si="1"/>
        <v>0</v>
      </c>
      <c r="K17" s="87">
        <v>0</v>
      </c>
      <c r="L17" s="196" t="s">
        <v>659</v>
      </c>
      <c r="AO17" s="114"/>
    </row>
    <row r="18" spans="1:41" ht="14.4" x14ac:dyDescent="0.3">
      <c r="A18" s="114" t="s">
        <v>656</v>
      </c>
      <c r="B18" s="94" t="s">
        <v>657</v>
      </c>
      <c r="C18" s="74" t="s">
        <v>577</v>
      </c>
      <c r="D18" s="74" t="s">
        <v>626</v>
      </c>
      <c r="E18" s="74" t="s">
        <v>660</v>
      </c>
      <c r="F18" s="74">
        <v>43</v>
      </c>
      <c r="H18" s="92">
        <f>21/F18</f>
        <v>0.48837209302325579</v>
      </c>
      <c r="I18" s="88">
        <f t="shared" si="0"/>
        <v>21</v>
      </c>
      <c r="J18" s="88">
        <f t="shared" si="1"/>
        <v>0</v>
      </c>
      <c r="K18" s="87">
        <v>0.44</v>
      </c>
      <c r="L18" s="196" t="s">
        <v>659</v>
      </c>
      <c r="AO18" s="114"/>
    </row>
    <row r="19" spans="1:41" ht="14.4" x14ac:dyDescent="0.3">
      <c r="A19" s="114" t="s">
        <v>661</v>
      </c>
      <c r="B19" s="94" t="s">
        <v>662</v>
      </c>
      <c r="C19" s="74" t="s">
        <v>589</v>
      </c>
      <c r="D19" s="74" t="s">
        <v>663</v>
      </c>
      <c r="E19" s="74" t="s">
        <v>631</v>
      </c>
      <c r="G19" s="74">
        <v>286</v>
      </c>
      <c r="H19" s="92">
        <v>0.26</v>
      </c>
      <c r="I19" s="88">
        <f t="shared" si="0"/>
        <v>0</v>
      </c>
      <c r="J19" s="88">
        <f t="shared" si="1"/>
        <v>74.36</v>
      </c>
      <c r="K19" s="87">
        <v>1</v>
      </c>
      <c r="L19" s="196" t="s">
        <v>664</v>
      </c>
      <c r="AO19" s="114"/>
    </row>
    <row r="20" spans="1:41" ht="14.4" x14ac:dyDescent="0.3">
      <c r="A20" s="114" t="s">
        <v>661</v>
      </c>
      <c r="B20" s="94" t="s">
        <v>662</v>
      </c>
      <c r="C20" s="88" t="s">
        <v>589</v>
      </c>
      <c r="D20" s="88" t="s">
        <v>626</v>
      </c>
      <c r="E20" s="74" t="s">
        <v>631</v>
      </c>
      <c r="G20" s="88">
        <f>(G19/0.87)-G19</f>
        <v>42.735632183908024</v>
      </c>
      <c r="H20" s="92">
        <v>0.76</v>
      </c>
      <c r="I20" s="88">
        <f t="shared" si="0"/>
        <v>0</v>
      </c>
      <c r="J20" s="88">
        <f t="shared" si="1"/>
        <v>32.479080459770096</v>
      </c>
      <c r="K20" s="87">
        <v>1</v>
      </c>
      <c r="L20" s="196" t="s">
        <v>664</v>
      </c>
      <c r="AO20" s="114"/>
    </row>
    <row r="21" spans="1:41" ht="14.4" x14ac:dyDescent="0.3">
      <c r="A21" s="114" t="s">
        <v>665</v>
      </c>
      <c r="B21" s="94" t="s">
        <v>666</v>
      </c>
      <c r="C21" s="74" t="s">
        <v>618</v>
      </c>
      <c r="D21" s="74" t="s">
        <v>626</v>
      </c>
      <c r="E21" s="74" t="s">
        <v>631</v>
      </c>
      <c r="G21" s="74">
        <v>399</v>
      </c>
      <c r="H21" s="92">
        <v>0.28999999999999998</v>
      </c>
      <c r="I21" s="88">
        <f t="shared" si="0"/>
        <v>0</v>
      </c>
      <c r="J21" s="88">
        <f t="shared" si="1"/>
        <v>115.71</v>
      </c>
      <c r="K21" s="87">
        <v>1</v>
      </c>
      <c r="L21" s="196" t="s">
        <v>667</v>
      </c>
      <c r="M21" s="74" t="s">
        <v>668</v>
      </c>
    </row>
    <row r="22" spans="1:41" ht="14.4" x14ac:dyDescent="0.3">
      <c r="A22" s="74" t="s">
        <v>669</v>
      </c>
      <c r="B22" s="93" t="s">
        <v>670</v>
      </c>
      <c r="C22" s="74" t="s">
        <v>671</v>
      </c>
      <c r="D22" s="74" t="s">
        <v>626</v>
      </c>
      <c r="E22" s="74" t="s">
        <v>631</v>
      </c>
      <c r="G22" s="74">
        <v>249</v>
      </c>
      <c r="H22" s="92">
        <v>0.1</v>
      </c>
      <c r="I22" s="88">
        <f t="shared" si="0"/>
        <v>0</v>
      </c>
      <c r="J22" s="88">
        <f t="shared" si="1"/>
        <v>24.900000000000002</v>
      </c>
      <c r="K22" s="92">
        <f>89/249</f>
        <v>0.35742971887550201</v>
      </c>
      <c r="L22" s="196" t="s">
        <v>672</v>
      </c>
    </row>
    <row r="23" spans="1:41" ht="14.4" x14ac:dyDescent="0.3">
      <c r="A23" s="114" t="s">
        <v>673</v>
      </c>
      <c r="B23" s="94" t="s">
        <v>674</v>
      </c>
      <c r="C23" s="88" t="s">
        <v>675</v>
      </c>
      <c r="D23" s="88" t="s">
        <v>626</v>
      </c>
      <c r="E23" s="74" t="s">
        <v>631</v>
      </c>
      <c r="F23" s="74">
        <v>50</v>
      </c>
      <c r="G23" s="88">
        <v>74</v>
      </c>
      <c r="H23" s="92">
        <v>0.28000000000000003</v>
      </c>
      <c r="I23" s="88">
        <f t="shared" si="0"/>
        <v>14.000000000000002</v>
      </c>
      <c r="J23" s="88">
        <f t="shared" si="1"/>
        <v>20.720000000000002</v>
      </c>
      <c r="K23" s="87">
        <v>1</v>
      </c>
      <c r="L23" s="196" t="s">
        <v>676</v>
      </c>
    </row>
    <row r="24" spans="1:41" ht="14.4" x14ac:dyDescent="0.3">
      <c r="A24" s="114" t="s">
        <v>677</v>
      </c>
      <c r="B24" s="94" t="s">
        <v>678</v>
      </c>
      <c r="C24" s="74" t="s">
        <v>116</v>
      </c>
      <c r="D24" s="74" t="s">
        <v>626</v>
      </c>
      <c r="E24" s="74" t="s">
        <v>631</v>
      </c>
      <c r="F24" s="74">
        <v>104</v>
      </c>
      <c r="G24" s="74">
        <f>11.5*F24</f>
        <v>1196</v>
      </c>
      <c r="H24" s="92">
        <v>0.46100000000000002</v>
      </c>
      <c r="I24" s="88">
        <f t="shared" si="0"/>
        <v>47.944000000000003</v>
      </c>
      <c r="J24" s="88">
        <f t="shared" si="1"/>
        <v>551.35599999999999</v>
      </c>
      <c r="K24" s="87"/>
      <c r="L24" s="196" t="s">
        <v>679</v>
      </c>
      <c r="M24" s="74" t="s">
        <v>680</v>
      </c>
      <c r="AO24" s="114"/>
    </row>
    <row r="25" spans="1:41" ht="14.4" x14ac:dyDescent="0.3">
      <c r="A25" s="114" t="s">
        <v>681</v>
      </c>
      <c r="B25" s="94" t="s">
        <v>682</v>
      </c>
      <c r="C25" s="74" t="s">
        <v>683</v>
      </c>
      <c r="D25" s="74" t="s">
        <v>626</v>
      </c>
      <c r="E25" s="74" t="s">
        <v>631</v>
      </c>
      <c r="F25" s="74">
        <v>22</v>
      </c>
      <c r="G25" s="74">
        <v>35</v>
      </c>
      <c r="H25" s="92">
        <v>0.6</v>
      </c>
      <c r="I25" s="88">
        <f t="shared" si="0"/>
        <v>13.2</v>
      </c>
      <c r="J25" s="88">
        <f t="shared" si="1"/>
        <v>21</v>
      </c>
      <c r="K25" s="87">
        <v>0.8</v>
      </c>
      <c r="L25" s="196" t="s">
        <v>684</v>
      </c>
      <c r="AO25" s="114"/>
    </row>
    <row r="26" spans="1:41" ht="14.4" x14ac:dyDescent="0.3">
      <c r="A26" s="114" t="s">
        <v>685</v>
      </c>
      <c r="B26" s="94" t="s">
        <v>686</v>
      </c>
      <c r="C26" s="88" t="s">
        <v>589</v>
      </c>
      <c r="D26" s="74" t="s">
        <v>626</v>
      </c>
      <c r="E26" s="74" t="s">
        <v>687</v>
      </c>
      <c r="F26" s="74">
        <v>78</v>
      </c>
      <c r="G26" s="74">
        <v>91</v>
      </c>
      <c r="H26" s="92">
        <v>0.23</v>
      </c>
      <c r="I26" s="88">
        <f t="shared" si="0"/>
        <v>17.940000000000001</v>
      </c>
      <c r="J26" s="88">
        <f t="shared" si="1"/>
        <v>20.93</v>
      </c>
      <c r="K26" s="87">
        <v>0.61</v>
      </c>
      <c r="L26" s="196" t="s">
        <v>688</v>
      </c>
      <c r="AO26" s="114"/>
    </row>
    <row r="27" spans="1:41" ht="14.4" x14ac:dyDescent="0.3">
      <c r="A27" s="114" t="s">
        <v>685</v>
      </c>
      <c r="B27" s="94" t="s">
        <v>686</v>
      </c>
      <c r="C27" s="88" t="s">
        <v>589</v>
      </c>
      <c r="D27" s="74" t="s">
        <v>626</v>
      </c>
      <c r="E27" s="74" t="s">
        <v>660</v>
      </c>
      <c r="F27" s="74">
        <v>295</v>
      </c>
      <c r="G27" s="74">
        <v>508</v>
      </c>
      <c r="H27" s="92">
        <v>0.27</v>
      </c>
      <c r="I27" s="88">
        <f t="shared" si="0"/>
        <v>79.650000000000006</v>
      </c>
      <c r="J27" s="88">
        <f t="shared" si="1"/>
        <v>137.16</v>
      </c>
      <c r="K27" s="87">
        <v>0.62</v>
      </c>
      <c r="L27" s="196" t="s">
        <v>688</v>
      </c>
      <c r="AO27" s="114"/>
    </row>
    <row r="28" spans="1:41" ht="14.4" x14ac:dyDescent="0.3">
      <c r="A28" s="114" t="s">
        <v>689</v>
      </c>
      <c r="B28" s="94" t="s">
        <v>690</v>
      </c>
      <c r="C28" s="74" t="s">
        <v>589</v>
      </c>
      <c r="E28" s="74" t="s">
        <v>631</v>
      </c>
      <c r="G28" s="74">
        <v>10021</v>
      </c>
      <c r="H28" s="92">
        <v>0.46600000000000003</v>
      </c>
      <c r="I28" s="88">
        <f t="shared" si="0"/>
        <v>0</v>
      </c>
      <c r="J28" s="88">
        <f t="shared" si="1"/>
        <v>4669.7860000000001</v>
      </c>
      <c r="K28" s="92"/>
      <c r="L28" s="196" t="s">
        <v>691</v>
      </c>
      <c r="M28" s="74" t="s">
        <v>692</v>
      </c>
      <c r="AO28" s="114"/>
    </row>
    <row r="29" spans="1:41" ht="14.4" x14ac:dyDescent="0.3">
      <c r="A29" s="74" t="s">
        <v>693</v>
      </c>
      <c r="B29" s="93" t="s">
        <v>694</v>
      </c>
      <c r="C29" s="74" t="s">
        <v>695</v>
      </c>
      <c r="E29" s="74" t="s">
        <v>631</v>
      </c>
      <c r="G29" s="74">
        <v>30</v>
      </c>
      <c r="H29" s="92">
        <f>12/30</f>
        <v>0.4</v>
      </c>
      <c r="I29" s="88">
        <f t="shared" si="0"/>
        <v>0</v>
      </c>
      <c r="J29" s="88">
        <f t="shared" si="1"/>
        <v>12</v>
      </c>
      <c r="K29" s="92">
        <v>0.5</v>
      </c>
      <c r="L29" s="196" t="s">
        <v>696</v>
      </c>
      <c r="AO29" s="114"/>
    </row>
    <row r="30" spans="1:41" ht="14.4" x14ac:dyDescent="0.3">
      <c r="A30" s="74" t="s">
        <v>697</v>
      </c>
      <c r="B30" s="93" t="s">
        <v>698</v>
      </c>
      <c r="C30" s="74" t="s">
        <v>618</v>
      </c>
      <c r="D30" s="74" t="s">
        <v>626</v>
      </c>
      <c r="E30" s="74" t="s">
        <v>631</v>
      </c>
      <c r="G30" s="74">
        <v>702</v>
      </c>
      <c r="H30" s="92">
        <v>0.27400000000000002</v>
      </c>
      <c r="I30" s="88">
        <f t="shared" si="0"/>
        <v>0</v>
      </c>
      <c r="J30" s="88">
        <f t="shared" si="1"/>
        <v>192.34800000000001</v>
      </c>
      <c r="K30" s="92">
        <v>1</v>
      </c>
      <c r="L30" s="196" t="s">
        <v>699</v>
      </c>
      <c r="M30" s="74" t="s">
        <v>700</v>
      </c>
    </row>
    <row r="31" spans="1:41" ht="14.4" x14ac:dyDescent="0.3">
      <c r="A31" s="74" t="s">
        <v>701</v>
      </c>
      <c r="B31" s="93" t="s">
        <v>702</v>
      </c>
      <c r="C31" s="74" t="s">
        <v>675</v>
      </c>
      <c r="D31" s="74" t="s">
        <v>703</v>
      </c>
      <c r="E31" s="74" t="s">
        <v>704</v>
      </c>
      <c r="F31" s="74">
        <v>8</v>
      </c>
      <c r="H31" s="92">
        <v>0.38</v>
      </c>
      <c r="I31" s="88">
        <f t="shared" si="0"/>
        <v>3.04</v>
      </c>
      <c r="J31" s="88">
        <f t="shared" si="1"/>
        <v>0</v>
      </c>
      <c r="K31" s="92" t="s">
        <v>705</v>
      </c>
      <c r="L31" s="196" t="s">
        <v>706</v>
      </c>
    </row>
    <row r="32" spans="1:41" ht="14.4" x14ac:dyDescent="0.3">
      <c r="A32" s="74" t="s">
        <v>701</v>
      </c>
      <c r="B32" s="93" t="s">
        <v>702</v>
      </c>
      <c r="C32" s="74" t="s">
        <v>675</v>
      </c>
      <c r="D32" s="74" t="s">
        <v>707</v>
      </c>
      <c r="E32" s="74" t="s">
        <v>708</v>
      </c>
      <c r="F32" s="74">
        <v>19</v>
      </c>
      <c r="H32" s="92">
        <v>0.74</v>
      </c>
      <c r="I32" s="88">
        <f t="shared" si="0"/>
        <v>14.06</v>
      </c>
      <c r="J32" s="88">
        <f t="shared" si="1"/>
        <v>0</v>
      </c>
      <c r="K32" s="92">
        <v>0.32</v>
      </c>
      <c r="L32" s="196" t="s">
        <v>706</v>
      </c>
      <c r="AO32"/>
    </row>
    <row r="33" spans="1:41" ht="14.4" x14ac:dyDescent="0.3">
      <c r="A33" s="114" t="s">
        <v>709</v>
      </c>
      <c r="B33" s="94" t="s">
        <v>581</v>
      </c>
      <c r="C33" s="74" t="s">
        <v>710</v>
      </c>
      <c r="D33" s="74" t="s">
        <v>711</v>
      </c>
      <c r="E33" s="74" t="s">
        <v>660</v>
      </c>
      <c r="F33" s="74">
        <v>67</v>
      </c>
      <c r="G33" s="74">
        <v>98</v>
      </c>
      <c r="H33" s="92">
        <v>0.36099999999999999</v>
      </c>
      <c r="I33" s="88">
        <f t="shared" si="0"/>
        <v>24.186999999999998</v>
      </c>
      <c r="J33" s="88">
        <f t="shared" si="1"/>
        <v>35.378</v>
      </c>
      <c r="K33" s="87">
        <v>1</v>
      </c>
      <c r="L33" s="196" t="s">
        <v>712</v>
      </c>
      <c r="M33" s="74" t="s">
        <v>713</v>
      </c>
      <c r="AO33"/>
    </row>
    <row r="34" spans="1:41" ht="14.4" x14ac:dyDescent="0.3">
      <c r="A34" s="114" t="s">
        <v>585</v>
      </c>
      <c r="B34" s="116">
        <v>2012</v>
      </c>
      <c r="C34" s="74" t="s">
        <v>586</v>
      </c>
      <c r="E34" s="74" t="s">
        <v>678</v>
      </c>
      <c r="G34" s="88">
        <f>489*(1-0.243)</f>
        <v>370.173</v>
      </c>
      <c r="H34" s="92">
        <v>0.72</v>
      </c>
      <c r="I34" s="88">
        <f t="shared" si="0"/>
        <v>0</v>
      </c>
      <c r="J34" s="88">
        <f t="shared" si="1"/>
        <v>266.52456000000001</v>
      </c>
      <c r="K34" s="85">
        <v>1.2E-2</v>
      </c>
      <c r="L34" s="196" t="s">
        <v>587</v>
      </c>
      <c r="AO34"/>
    </row>
    <row r="35" spans="1:41" ht="14.4" x14ac:dyDescent="0.3">
      <c r="A35" s="114" t="s">
        <v>714</v>
      </c>
      <c r="B35" s="116" t="s">
        <v>715</v>
      </c>
      <c r="C35" s="74" t="s">
        <v>716</v>
      </c>
      <c r="D35" s="74" t="s">
        <v>626</v>
      </c>
      <c r="G35" s="88">
        <v>45</v>
      </c>
      <c r="H35" s="92">
        <v>0.51</v>
      </c>
      <c r="I35" s="88">
        <f t="shared" si="0"/>
        <v>0</v>
      </c>
      <c r="J35" s="88">
        <f t="shared" si="1"/>
        <v>22.95</v>
      </c>
      <c r="K35" s="85">
        <v>0.16300000000000001</v>
      </c>
      <c r="L35" s="196" t="s">
        <v>717</v>
      </c>
      <c r="AO35"/>
    </row>
    <row r="36" spans="1:41" ht="14.4" x14ac:dyDescent="0.3">
      <c r="A36" s="114" t="s">
        <v>718</v>
      </c>
      <c r="B36" s="116" t="s">
        <v>719</v>
      </c>
      <c r="C36" s="74" t="s">
        <v>720</v>
      </c>
      <c r="D36" s="74" t="s">
        <v>626</v>
      </c>
      <c r="E36" s="74" t="s">
        <v>631</v>
      </c>
      <c r="F36" s="74">
        <v>141</v>
      </c>
      <c r="G36" s="88"/>
      <c r="H36" s="92">
        <v>0.59</v>
      </c>
      <c r="I36" s="88">
        <f t="shared" si="0"/>
        <v>83.19</v>
      </c>
      <c r="J36" s="88"/>
      <c r="K36" s="85">
        <v>0.113</v>
      </c>
      <c r="L36" s="196" t="s">
        <v>721</v>
      </c>
      <c r="AO36"/>
    </row>
    <row r="37" spans="1:41" ht="14.4" x14ac:dyDescent="0.3">
      <c r="A37" s="114" t="s">
        <v>722</v>
      </c>
      <c r="B37" s="94" t="s">
        <v>592</v>
      </c>
      <c r="C37" s="74" t="s">
        <v>723</v>
      </c>
      <c r="E37" s="74" t="s">
        <v>631</v>
      </c>
      <c r="F37" s="74">
        <v>70</v>
      </c>
      <c r="H37" s="115">
        <f>0.314+0.014+0.071</f>
        <v>0.39900000000000002</v>
      </c>
      <c r="I37" s="88">
        <f t="shared" si="0"/>
        <v>27.93</v>
      </c>
      <c r="J37" s="88">
        <f>G37*H37</f>
        <v>0</v>
      </c>
      <c r="K37" s="92">
        <v>0.23</v>
      </c>
      <c r="L37" s="196" t="s">
        <v>724</v>
      </c>
      <c r="M37" s="74" t="s">
        <v>725</v>
      </c>
      <c r="AO37"/>
    </row>
    <row r="38" spans="1:41" ht="14.4" x14ac:dyDescent="0.3">
      <c r="A38" s="114" t="s">
        <v>722</v>
      </c>
      <c r="B38" s="94" t="s">
        <v>592</v>
      </c>
      <c r="C38" s="74" t="s">
        <v>723</v>
      </c>
      <c r="E38" s="74" t="s">
        <v>620</v>
      </c>
      <c r="F38" s="74">
        <v>116</v>
      </c>
      <c r="H38" s="115">
        <f>0.379+0.06+0.095</f>
        <v>0.53400000000000003</v>
      </c>
      <c r="I38" s="88">
        <f t="shared" si="0"/>
        <v>61.944000000000003</v>
      </c>
      <c r="J38" s="88">
        <f>G38*H38</f>
        <v>0</v>
      </c>
      <c r="K38" s="92">
        <v>0.06</v>
      </c>
      <c r="L38" s="196" t="s">
        <v>724</v>
      </c>
      <c r="M38" s="74" t="s">
        <v>725</v>
      </c>
      <c r="AO38"/>
    </row>
    <row r="39" spans="1:41" ht="14.4" x14ac:dyDescent="0.3">
      <c r="A39" s="114" t="s">
        <v>726</v>
      </c>
      <c r="B39" s="94" t="s">
        <v>727</v>
      </c>
      <c r="C39" s="74" t="s">
        <v>723</v>
      </c>
      <c r="D39" s="74" t="s">
        <v>728</v>
      </c>
      <c r="E39" s="74" t="s">
        <v>631</v>
      </c>
      <c r="F39" s="74">
        <v>31</v>
      </c>
      <c r="G39" s="74">
        <v>202</v>
      </c>
      <c r="H39" s="92">
        <v>0.33700000000000002</v>
      </c>
      <c r="I39" s="88">
        <f t="shared" si="0"/>
        <v>10.447000000000001</v>
      </c>
      <c r="J39" s="88">
        <f>G39*H39</f>
        <v>68.073999999999998</v>
      </c>
      <c r="K39" s="92">
        <f>74/G39</f>
        <v>0.36633663366336633</v>
      </c>
      <c r="L39" s="196" t="s">
        <v>729</v>
      </c>
      <c r="M39" s="74" t="s">
        <v>730</v>
      </c>
      <c r="AO39"/>
    </row>
    <row r="40" spans="1:41" ht="14.4" x14ac:dyDescent="0.3">
      <c r="A40" s="74" t="s">
        <v>731</v>
      </c>
      <c r="B40" s="113" t="s">
        <v>732</v>
      </c>
      <c r="C40" s="74" t="s">
        <v>733</v>
      </c>
      <c r="D40" s="74" t="s">
        <v>734</v>
      </c>
      <c r="E40" s="74" t="s">
        <v>631</v>
      </c>
      <c r="G40" s="74">
        <v>64</v>
      </c>
      <c r="H40" s="92">
        <f>25/64</f>
        <v>0.390625</v>
      </c>
      <c r="I40" s="88">
        <f t="shared" si="0"/>
        <v>0</v>
      </c>
      <c r="J40" s="88">
        <f>G40*H40</f>
        <v>25</v>
      </c>
      <c r="L40" s="196" t="s">
        <v>735</v>
      </c>
    </row>
    <row r="41" spans="1:41" ht="14.4" x14ac:dyDescent="0.3">
      <c r="A41" s="74" t="s">
        <v>736</v>
      </c>
      <c r="B41" s="93" t="s">
        <v>674</v>
      </c>
      <c r="C41" s="74" t="s">
        <v>737</v>
      </c>
      <c r="D41" s="74" t="s">
        <v>626</v>
      </c>
      <c r="E41" s="74" t="s">
        <v>631</v>
      </c>
      <c r="F41" s="74">
        <v>9</v>
      </c>
      <c r="G41" s="74">
        <v>16</v>
      </c>
      <c r="H41" s="92">
        <f>3/9</f>
        <v>0.33333333333333331</v>
      </c>
      <c r="I41" s="88">
        <f t="shared" si="0"/>
        <v>3</v>
      </c>
      <c r="J41" s="88">
        <f>G41*H41</f>
        <v>5.333333333333333</v>
      </c>
      <c r="K41" s="92">
        <v>0</v>
      </c>
      <c r="L41" s="196" t="s">
        <v>738</v>
      </c>
    </row>
    <row r="42" spans="1:41" ht="14.4" x14ac:dyDescent="0.3">
      <c r="B42" s="93"/>
      <c r="H42" s="92"/>
      <c r="I42" s="88"/>
      <c r="J42" s="88"/>
      <c r="K42" s="92"/>
      <c r="L42" s="196"/>
    </row>
    <row r="43" spans="1:41" ht="27.6" x14ac:dyDescent="0.3">
      <c r="E43" s="112" t="s">
        <v>739</v>
      </c>
      <c r="F43" s="110">
        <f>SUBTOTAL(109,F3:F41)</f>
        <v>5607.34</v>
      </c>
      <c r="G43" s="111"/>
      <c r="H43" s="111" t="s">
        <v>740</v>
      </c>
      <c r="I43" s="110">
        <f>SUBTOTAL(109,I3:I41)</f>
        <v>2271.6467000000002</v>
      </c>
      <c r="J43" s="109"/>
    </row>
    <row r="44" spans="1:41" ht="51" customHeight="1" x14ac:dyDescent="0.3">
      <c r="E44" s="105"/>
      <c r="F44" s="104"/>
      <c r="G44" s="104"/>
      <c r="H44" s="108" t="s">
        <v>741</v>
      </c>
      <c r="I44" s="107">
        <f>I43/F43</f>
        <v>0.40512019959553019</v>
      </c>
      <c r="J44" s="106"/>
    </row>
    <row r="45" spans="1:41" ht="27.6" x14ac:dyDescent="0.3">
      <c r="E45" s="105" t="s">
        <v>742</v>
      </c>
      <c r="F45" s="104"/>
      <c r="G45" s="103">
        <f>SUBTOTAL(109,G3:G41)</f>
        <v>23236.508632183908</v>
      </c>
      <c r="H45" s="104" t="s">
        <v>743</v>
      </c>
      <c r="I45" s="103"/>
      <c r="J45" s="102">
        <f>SUBTOTAL(109,J3:J41)</f>
        <v>9847.5289737931071</v>
      </c>
    </row>
    <row r="46" spans="1:41" ht="47.4" customHeight="1" x14ac:dyDescent="0.3">
      <c r="E46" s="101"/>
      <c r="F46" s="99"/>
      <c r="G46" s="99"/>
      <c r="H46" s="100" t="s">
        <v>744</v>
      </c>
      <c r="I46" s="99"/>
      <c r="J46" s="186">
        <f>J45/G45</f>
        <v>0.42379555077193093</v>
      </c>
    </row>
    <row r="49" spans="13:15" x14ac:dyDescent="0.3">
      <c r="M49" s="76" t="s">
        <v>52</v>
      </c>
      <c r="N49" s="76"/>
      <c r="O49" s="76"/>
    </row>
    <row r="50" spans="13:15" x14ac:dyDescent="0.3">
      <c r="M50" s="74" t="s">
        <v>745</v>
      </c>
      <c r="N50" s="76"/>
      <c r="O50" s="76"/>
    </row>
    <row r="51" spans="13:15" x14ac:dyDescent="0.3">
      <c r="M51" s="76"/>
      <c r="N51" s="76"/>
      <c r="O51" s="76"/>
    </row>
    <row r="52" spans="13:15" x14ac:dyDescent="0.3">
      <c r="M52" s="74" t="s">
        <v>746</v>
      </c>
      <c r="N52" s="76"/>
      <c r="O52" s="76"/>
    </row>
    <row r="53" spans="13:15" x14ac:dyDescent="0.3">
      <c r="N53" s="76"/>
      <c r="O53" s="76"/>
    </row>
    <row r="54" spans="13:15" x14ac:dyDescent="0.3">
      <c r="M54" s="76"/>
      <c r="N54" s="76"/>
      <c r="O54" s="76"/>
    </row>
    <row r="55" spans="13:15" x14ac:dyDescent="0.3">
      <c r="N55" s="76"/>
      <c r="O55" s="76"/>
    </row>
    <row r="56" spans="13:15" x14ac:dyDescent="0.3">
      <c r="M56" s="74" t="s">
        <v>747</v>
      </c>
      <c r="N56" s="76"/>
      <c r="O56" s="76"/>
    </row>
    <row r="57" spans="13:15" x14ac:dyDescent="0.3">
      <c r="N57" s="76"/>
      <c r="O57" s="76"/>
    </row>
    <row r="60" spans="13:15" x14ac:dyDescent="0.3">
      <c r="N60" s="76"/>
      <c r="O60" s="76"/>
    </row>
    <row r="66" spans="2:7" ht="14.4" x14ac:dyDescent="0.3">
      <c r="B66"/>
      <c r="D66" s="76"/>
      <c r="E66" s="77"/>
      <c r="F66" s="77"/>
      <c r="G66" s="88"/>
    </row>
    <row r="67" spans="2:7" ht="14.4" x14ac:dyDescent="0.3">
      <c r="B67"/>
    </row>
    <row r="68" spans="2:7" x14ac:dyDescent="0.3">
      <c r="B68" s="76"/>
      <c r="E68" s="76"/>
      <c r="G68" s="88"/>
    </row>
    <row r="69" spans="2:7" s="97" customFormat="1" ht="14.4" x14ac:dyDescent="0.3">
      <c r="B69" s="96"/>
      <c r="D69" s="74"/>
      <c r="E69" s="74"/>
      <c r="F69" s="74"/>
      <c r="G69" s="88"/>
    </row>
    <row r="70" spans="2:7" s="97" customFormat="1" ht="14.4" x14ac:dyDescent="0.3">
      <c r="B70" s="96"/>
      <c r="C70" s="98"/>
      <c r="D70" s="74"/>
      <c r="E70" s="74"/>
      <c r="F70" s="74"/>
      <c r="G70" s="88"/>
    </row>
    <row r="71" spans="2:7" ht="14.4" x14ac:dyDescent="0.3">
      <c r="B71" s="96"/>
    </row>
    <row r="72" spans="2:7" ht="14.4" x14ac:dyDescent="0.3">
      <c r="B72" s="96"/>
      <c r="C72" s="84"/>
    </row>
    <row r="73" spans="2:7" ht="14.4" x14ac:dyDescent="0.3">
      <c r="B73" s="96"/>
      <c r="F73" s="88"/>
    </row>
    <row r="74" spans="2:7" ht="14.4" x14ac:dyDescent="0.3">
      <c r="B74" s="96"/>
      <c r="F74" s="92"/>
    </row>
    <row r="75" spans="2:7" ht="14.4" x14ac:dyDescent="0.3">
      <c r="B75" s="96"/>
      <c r="G75" s="97"/>
    </row>
    <row r="76" spans="2:7" ht="14.4" x14ac:dyDescent="0.3">
      <c r="B76" s="96"/>
      <c r="E76" s="97"/>
      <c r="F76" s="88"/>
      <c r="G76" s="97"/>
    </row>
    <row r="77" spans="2:7" ht="14.4" x14ac:dyDescent="0.3">
      <c r="B77"/>
      <c r="F77" s="92"/>
    </row>
    <row r="78" spans="2:7" ht="14.4" x14ac:dyDescent="0.3">
      <c r="B78" s="96"/>
    </row>
    <row r="79" spans="2:7" ht="14.4" x14ac:dyDescent="0.3">
      <c r="B79" s="96"/>
    </row>
    <row r="80" spans="2:7" ht="14.4" x14ac:dyDescent="0.3">
      <c r="B80" s="96"/>
    </row>
    <row r="81" spans="2:2" ht="14.4" x14ac:dyDescent="0.3">
      <c r="B81" s="96"/>
    </row>
    <row r="82" spans="2:2" ht="14.4" x14ac:dyDescent="0.3">
      <c r="B82" s="96"/>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4" x14ac:dyDescent="0.3"/>
  <cols>
    <col min="1" max="1" width="21" customWidth="1"/>
    <col min="2" max="2" width="21.6640625" customWidth="1"/>
    <col min="3" max="3" width="15.6640625" customWidth="1"/>
    <col min="4" max="4" width="24.109375" customWidth="1"/>
    <col min="5" max="5" width="21.6640625" customWidth="1"/>
  </cols>
  <sheetData>
    <row r="1" spans="1:6" ht="28.8" x14ac:dyDescent="0.3">
      <c r="A1" s="5" t="s">
        <v>748</v>
      </c>
      <c r="B1" s="5" t="s">
        <v>749</v>
      </c>
      <c r="C1" s="5" t="s">
        <v>750</v>
      </c>
      <c r="D1" s="5" t="s">
        <v>751</v>
      </c>
      <c r="E1" s="5" t="s">
        <v>752</v>
      </c>
    </row>
    <row r="2" spans="1:6" x14ac:dyDescent="0.3">
      <c r="A2" s="5" t="s">
        <v>753</v>
      </c>
      <c r="B2" s="131">
        <v>0</v>
      </c>
      <c r="C2" s="132">
        <v>5021268</v>
      </c>
      <c r="D2" s="5">
        <f t="shared" ref="D2:D13" si="0">C2*B2</f>
        <v>0</v>
      </c>
      <c r="E2" s="131">
        <f t="shared" ref="E2:E14" si="1">D2/C2</f>
        <v>0</v>
      </c>
    </row>
    <row r="3" spans="1:6" x14ac:dyDescent="0.3">
      <c r="A3" s="5" t="s">
        <v>754</v>
      </c>
      <c r="B3" s="131">
        <v>0.02</v>
      </c>
      <c r="C3" s="132">
        <v>1717715</v>
      </c>
      <c r="D3" s="5">
        <f t="shared" si="0"/>
        <v>34354.300000000003</v>
      </c>
      <c r="E3" s="131">
        <f t="shared" si="1"/>
        <v>0.02</v>
      </c>
    </row>
    <row r="4" spans="1:6" x14ac:dyDescent="0.3">
      <c r="A4" s="5" t="s">
        <v>755</v>
      </c>
      <c r="B4" s="131">
        <v>0.16</v>
      </c>
      <c r="C4" s="132">
        <v>3931316</v>
      </c>
      <c r="D4" s="5">
        <f t="shared" si="0"/>
        <v>629010.56000000006</v>
      </c>
      <c r="E4" s="131">
        <f t="shared" si="1"/>
        <v>0.16</v>
      </c>
    </row>
    <row r="5" spans="1:6" x14ac:dyDescent="0.3">
      <c r="A5" s="5" t="s">
        <v>756</v>
      </c>
      <c r="B5" s="131">
        <v>0.18</v>
      </c>
      <c r="C5" s="132">
        <v>3141550</v>
      </c>
      <c r="D5" s="5">
        <f t="shared" si="0"/>
        <v>565479</v>
      </c>
      <c r="E5" s="131">
        <f t="shared" si="1"/>
        <v>0.18</v>
      </c>
    </row>
    <row r="6" spans="1:6" x14ac:dyDescent="0.3">
      <c r="A6" s="5" t="s">
        <v>757</v>
      </c>
      <c r="B6" s="131">
        <v>0.2</v>
      </c>
      <c r="C6" s="132">
        <v>39358497</v>
      </c>
      <c r="D6" s="5">
        <f t="shared" si="0"/>
        <v>7871699.4000000004</v>
      </c>
      <c r="E6" s="131">
        <f t="shared" si="1"/>
        <v>0.2</v>
      </c>
    </row>
    <row r="7" spans="1:6" x14ac:dyDescent="0.3">
      <c r="A7" s="5" t="s">
        <v>758</v>
      </c>
      <c r="B7" s="131">
        <v>0.22</v>
      </c>
      <c r="C7" s="132">
        <v>4143625</v>
      </c>
      <c r="D7" s="5">
        <f t="shared" si="0"/>
        <v>911597.5</v>
      </c>
      <c r="E7" s="131">
        <f t="shared" si="1"/>
        <v>0.22</v>
      </c>
    </row>
    <row r="8" spans="1:6" x14ac:dyDescent="0.3">
      <c r="A8" s="5" t="s">
        <v>759</v>
      </c>
      <c r="B8" s="131">
        <v>0.36</v>
      </c>
      <c r="C8" s="132">
        <v>12778828</v>
      </c>
      <c r="D8" s="5">
        <f t="shared" si="0"/>
        <v>4600378.08</v>
      </c>
      <c r="E8" s="131">
        <f t="shared" si="1"/>
        <v>0.36</v>
      </c>
    </row>
    <row r="9" spans="1:6" x14ac:dyDescent="0.3">
      <c r="A9" s="5" t="s">
        <v>760</v>
      </c>
      <c r="B9" s="131">
        <v>0.43</v>
      </c>
      <c r="C9" s="132">
        <v>7423362</v>
      </c>
      <c r="D9" s="5">
        <f t="shared" si="0"/>
        <v>3192045.66</v>
      </c>
      <c r="E9" s="131">
        <f t="shared" si="1"/>
        <v>0.43</v>
      </c>
    </row>
    <row r="10" spans="1:6" x14ac:dyDescent="0.3">
      <c r="A10" s="5" t="s">
        <v>761</v>
      </c>
      <c r="B10" s="131">
        <v>0.56999999999999995</v>
      </c>
      <c r="C10" s="132">
        <v>6859789</v>
      </c>
      <c r="D10" s="5">
        <f t="shared" si="0"/>
        <v>3910079.7299999995</v>
      </c>
      <c r="E10" s="131">
        <f t="shared" si="1"/>
        <v>0.56999999999999995</v>
      </c>
    </row>
    <row r="11" spans="1:6" x14ac:dyDescent="0.3">
      <c r="A11" s="5" t="s">
        <v>762</v>
      </c>
      <c r="B11" s="131">
        <v>0.61</v>
      </c>
      <c r="C11" s="132">
        <v>10268233</v>
      </c>
      <c r="D11" s="5">
        <f t="shared" si="0"/>
        <v>6263622.1299999999</v>
      </c>
      <c r="E11" s="131">
        <f t="shared" si="1"/>
        <v>0.61</v>
      </c>
    </row>
    <row r="12" spans="1:6" x14ac:dyDescent="0.3">
      <c r="A12" s="5" t="s">
        <v>763</v>
      </c>
      <c r="B12" s="131">
        <v>0.7</v>
      </c>
      <c r="C12" s="132">
        <v>1055673</v>
      </c>
      <c r="D12" s="5">
        <f t="shared" si="0"/>
        <v>738971.1</v>
      </c>
      <c r="E12" s="131">
        <f t="shared" si="1"/>
        <v>0.7</v>
      </c>
    </row>
    <row r="13" spans="1:6" x14ac:dyDescent="0.3">
      <c r="A13" s="5" t="s">
        <v>764</v>
      </c>
      <c r="B13" s="131">
        <v>0.92</v>
      </c>
      <c r="C13" s="132">
        <v>7044008</v>
      </c>
      <c r="D13" s="5">
        <f t="shared" si="0"/>
        <v>6480487.3600000003</v>
      </c>
      <c r="E13" s="131">
        <f>D13/C13</f>
        <v>0.92</v>
      </c>
    </row>
    <row r="14" spans="1:6" ht="21" x14ac:dyDescent="0.4">
      <c r="A14" s="5"/>
      <c r="B14" s="5"/>
      <c r="C14" s="130">
        <f>SUM(C2:C13)</f>
        <v>102743864</v>
      </c>
      <c r="D14" s="130">
        <f>SUM(D2:D13)</f>
        <v>35197724.82</v>
      </c>
      <c r="E14" s="187">
        <f t="shared" si="1"/>
        <v>0.34257739050966585</v>
      </c>
      <c r="F14" t="s">
        <v>765</v>
      </c>
    </row>
    <row r="15" spans="1:6" ht="72" x14ac:dyDescent="0.3">
      <c r="B15" s="5" t="s">
        <v>766</v>
      </c>
      <c r="C15" s="3" t="s">
        <v>767</v>
      </c>
    </row>
    <row r="18" spans="1:7" ht="15" thickBot="1" x14ac:dyDescent="0.35">
      <c r="A18" s="120"/>
      <c r="B18" s="120"/>
      <c r="C18" s="120"/>
      <c r="D18" s="120"/>
      <c r="E18" s="120"/>
      <c r="F18" s="120"/>
    </row>
    <row r="19" spans="1:7" ht="43.2" x14ac:dyDescent="0.3">
      <c r="A19" s="129" t="s">
        <v>768</v>
      </c>
      <c r="B19" s="128" t="s">
        <v>769</v>
      </c>
      <c r="C19" s="127" t="s">
        <v>770</v>
      </c>
      <c r="D19" s="126" t="s">
        <v>771</v>
      </c>
      <c r="E19" s="4" t="s">
        <v>772</v>
      </c>
      <c r="F19" s="120"/>
      <c r="G19" s="120"/>
    </row>
    <row r="20" spans="1:7" ht="18" x14ac:dyDescent="0.3">
      <c r="A20" s="353" t="s">
        <v>773</v>
      </c>
      <c r="B20" s="125">
        <v>0.2</v>
      </c>
      <c r="C20" s="125">
        <f>B20/B24</f>
        <v>4</v>
      </c>
      <c r="D20" s="124" t="s">
        <v>774</v>
      </c>
      <c r="E20" s="188">
        <f>$E$14/C20</f>
        <v>8.5644347627416462E-2</v>
      </c>
      <c r="F20" s="120"/>
      <c r="G20" s="120"/>
    </row>
    <row r="21" spans="1:7" ht="27" customHeight="1" x14ac:dyDescent="0.3">
      <c r="A21" s="353"/>
      <c r="B21" s="125" t="s">
        <v>775</v>
      </c>
      <c r="C21" s="125">
        <f>0.1/0.01</f>
        <v>10</v>
      </c>
      <c r="D21" s="124" t="s">
        <v>776</v>
      </c>
      <c r="E21" s="188">
        <f t="shared" ref="E21:E23" si="2">$E$14/C21</f>
        <v>3.4257739050966587E-2</v>
      </c>
      <c r="F21" s="120"/>
      <c r="G21" s="120"/>
    </row>
    <row r="22" spans="1:7" ht="18" x14ac:dyDescent="0.3">
      <c r="A22" s="353"/>
      <c r="B22" s="125">
        <v>0.1</v>
      </c>
      <c r="C22" s="125">
        <f>B22/0.02</f>
        <v>5</v>
      </c>
      <c r="D22" s="124" t="s">
        <v>777</v>
      </c>
      <c r="E22" s="188">
        <f t="shared" si="2"/>
        <v>6.8515478101933175E-2</v>
      </c>
      <c r="F22" s="120"/>
      <c r="G22" s="120"/>
    </row>
    <row r="23" spans="1:7" ht="18" x14ac:dyDescent="0.3">
      <c r="A23" s="353"/>
      <c r="B23" s="121">
        <f>(51000*0.81*20)/'[2]Nx kits HR + IQVIA'!R26*0.1</f>
        <v>5.5062161597497231E-2</v>
      </c>
      <c r="C23">
        <f>B23/0.01</f>
        <v>5.506216159749723</v>
      </c>
      <c r="D23" s="124" t="s">
        <v>778</v>
      </c>
      <c r="E23" s="188">
        <f t="shared" si="2"/>
        <v>6.2216480532293013E-2</v>
      </c>
      <c r="F23" s="120"/>
      <c r="G23" s="120"/>
    </row>
    <row r="24" spans="1:7" ht="14.4" customHeight="1" x14ac:dyDescent="0.3">
      <c r="A24" s="365" t="s">
        <v>779</v>
      </c>
      <c r="B24" s="125">
        <v>0.05</v>
      </c>
      <c r="C24" s="125"/>
      <c r="D24" s="124" t="s">
        <v>774</v>
      </c>
      <c r="E24" s="120"/>
      <c r="F24" s="120"/>
      <c r="G24" s="120"/>
    </row>
    <row r="25" spans="1:7" ht="43.2" x14ac:dyDescent="0.3">
      <c r="A25" s="365"/>
      <c r="B25" s="121" t="s">
        <v>780</v>
      </c>
      <c r="C25" s="121"/>
      <c r="D25" s="124" t="s">
        <v>776</v>
      </c>
      <c r="E25" s="120"/>
      <c r="F25" s="120"/>
      <c r="G25" s="120"/>
    </row>
    <row r="26" spans="1:7" x14ac:dyDescent="0.3">
      <c r="A26" s="365"/>
      <c r="B26" s="125" t="s">
        <v>781</v>
      </c>
      <c r="C26" s="125"/>
      <c r="D26" s="124" t="s">
        <v>777</v>
      </c>
      <c r="E26" s="120"/>
      <c r="F26" s="120"/>
      <c r="G26" s="120"/>
    </row>
    <row r="27" spans="1:7" ht="15" thickBot="1" x14ac:dyDescent="0.35">
      <c r="A27" s="366"/>
      <c r="B27" s="123" t="s">
        <v>782</v>
      </c>
      <c r="C27" s="123"/>
      <c r="D27" s="122" t="s">
        <v>783</v>
      </c>
      <c r="E27" s="120"/>
      <c r="F27" s="120"/>
      <c r="G27" s="120"/>
    </row>
    <row r="28" spans="1:7" ht="86.4" x14ac:dyDescent="0.3">
      <c r="A28" s="120"/>
      <c r="B28" s="120"/>
      <c r="C28" s="120"/>
      <c r="D28" s="121" t="s">
        <v>784</v>
      </c>
      <c r="E28" s="120"/>
      <c r="F28" s="120"/>
    </row>
    <row r="29" spans="1:7" x14ac:dyDescent="0.3">
      <c r="A29" s="120"/>
      <c r="B29" s="120"/>
      <c r="C29" s="120"/>
      <c r="D29" s="120"/>
      <c r="E29" s="120"/>
      <c r="F29" s="120"/>
    </row>
    <row r="30" spans="1:7" x14ac:dyDescent="0.3">
      <c r="A30" s="120"/>
      <c r="C30" s="120"/>
      <c r="E30" s="120"/>
      <c r="F30" s="120"/>
    </row>
    <row r="31" spans="1:7" x14ac:dyDescent="0.3">
      <c r="A31" s="120"/>
      <c r="B31" s="120"/>
      <c r="C31" s="120"/>
      <c r="D31" s="120"/>
      <c r="E31" s="120"/>
      <c r="F31" s="120"/>
    </row>
    <row r="32" spans="1:7" x14ac:dyDescent="0.3">
      <c r="A32" s="120"/>
      <c r="B32" s="120"/>
      <c r="C32" s="120"/>
      <c r="D32" s="120"/>
      <c r="E32" s="120"/>
      <c r="F32" s="120"/>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4" x14ac:dyDescent="0.3"/>
  <cols>
    <col min="2" max="2" width="15.6640625" customWidth="1"/>
  </cols>
  <sheetData>
    <row r="1" spans="1:10" ht="39" customHeight="1" x14ac:dyDescent="0.3">
      <c r="A1" s="363" t="s">
        <v>785</v>
      </c>
      <c r="B1" s="363"/>
      <c r="C1" s="363"/>
      <c r="D1" s="363"/>
      <c r="E1" s="363"/>
      <c r="F1" s="363"/>
      <c r="G1" s="363"/>
      <c r="H1" s="363"/>
      <c r="I1" s="363"/>
      <c r="J1" s="363"/>
    </row>
    <row r="2" spans="1:10" x14ac:dyDescent="0.3">
      <c r="A2" t="s">
        <v>786</v>
      </c>
      <c r="E2" s="84" t="s">
        <v>787</v>
      </c>
    </row>
    <row r="4" spans="1:10" x14ac:dyDescent="0.3">
      <c r="A4" t="s">
        <v>788</v>
      </c>
      <c r="H4" s="84" t="s">
        <v>789</v>
      </c>
    </row>
    <row r="6" spans="1:10" x14ac:dyDescent="0.3">
      <c r="A6" t="s">
        <v>748</v>
      </c>
      <c r="B6" t="s">
        <v>790</v>
      </c>
      <c r="C6" t="s">
        <v>791</v>
      </c>
    </row>
    <row r="7" spans="1:10" x14ac:dyDescent="0.3">
      <c r="A7" t="s">
        <v>753</v>
      </c>
      <c r="B7">
        <v>10</v>
      </c>
      <c r="C7">
        <v>0.01</v>
      </c>
    </row>
    <row r="8" spans="1:10" x14ac:dyDescent="0.3">
      <c r="A8" t="s">
        <v>754</v>
      </c>
      <c r="B8">
        <v>15</v>
      </c>
      <c r="C8">
        <v>0.02</v>
      </c>
    </row>
    <row r="9" spans="1:10" x14ac:dyDescent="0.3">
      <c r="A9" t="s">
        <v>755</v>
      </c>
      <c r="B9">
        <v>215</v>
      </c>
      <c r="C9">
        <v>0.16</v>
      </c>
    </row>
    <row r="10" spans="1:10" x14ac:dyDescent="0.3">
      <c r="A10" t="s">
        <v>756</v>
      </c>
      <c r="B10">
        <v>5</v>
      </c>
      <c r="C10">
        <v>0.18</v>
      </c>
    </row>
    <row r="11" spans="1:10" x14ac:dyDescent="0.3">
      <c r="A11" t="s">
        <v>757</v>
      </c>
      <c r="B11">
        <v>85</v>
      </c>
      <c r="C11">
        <v>0.2</v>
      </c>
    </row>
    <row r="12" spans="1:10" x14ac:dyDescent="0.3">
      <c r="A12" t="s">
        <v>758</v>
      </c>
      <c r="B12">
        <v>70</v>
      </c>
      <c r="C12">
        <v>0.22</v>
      </c>
    </row>
    <row r="13" spans="1:10" x14ac:dyDescent="0.3">
      <c r="A13" t="s">
        <v>759</v>
      </c>
      <c r="B13">
        <v>310</v>
      </c>
      <c r="C13">
        <v>0.36</v>
      </c>
    </row>
    <row r="14" spans="1:10" x14ac:dyDescent="0.3">
      <c r="A14" t="s">
        <v>760</v>
      </c>
      <c r="B14">
        <v>70</v>
      </c>
      <c r="C14">
        <v>0.43</v>
      </c>
    </row>
    <row r="15" spans="1:10" x14ac:dyDescent="0.3">
      <c r="A15" t="s">
        <v>761</v>
      </c>
      <c r="B15">
        <v>950</v>
      </c>
      <c r="C15">
        <v>0.56999999999999995</v>
      </c>
    </row>
    <row r="16" spans="1:10" x14ac:dyDescent="0.3">
      <c r="A16" t="s">
        <v>762</v>
      </c>
      <c r="B16">
        <v>500</v>
      </c>
      <c r="C16">
        <v>0.61</v>
      </c>
    </row>
    <row r="17" spans="1:3" x14ac:dyDescent="0.3">
      <c r="A17" t="s">
        <v>763</v>
      </c>
      <c r="B17">
        <v>960</v>
      </c>
      <c r="C17">
        <v>0.7</v>
      </c>
    </row>
    <row r="18" spans="1:3" x14ac:dyDescent="0.3">
      <c r="A18" t="s">
        <v>764</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4140625" defaultRowHeight="15.6" x14ac:dyDescent="0.3"/>
  <cols>
    <col min="1" max="1" width="30.6640625" style="170" customWidth="1"/>
    <col min="2" max="2" width="17.33203125" style="167" customWidth="1"/>
    <col min="3" max="3" width="18.6640625" style="167" customWidth="1"/>
    <col min="4" max="4" width="19.88671875" style="167" customWidth="1"/>
    <col min="5" max="5" width="27.33203125" style="167" customWidth="1"/>
    <col min="6" max="6" width="16.109375" style="167" customWidth="1"/>
    <col min="7" max="7" width="20.44140625" style="167" customWidth="1"/>
    <col min="8" max="8" width="24.44140625" style="167" customWidth="1"/>
    <col min="9" max="9" width="26" style="167" customWidth="1"/>
    <col min="10" max="10" width="12.44140625" style="167"/>
    <col min="11" max="11" width="16.33203125" style="167" customWidth="1"/>
    <col min="12" max="12" width="14.6640625" style="167" customWidth="1"/>
    <col min="13" max="13" width="16.44140625" style="167" customWidth="1"/>
    <col min="14" max="16384" width="12.44140625" style="167"/>
  </cols>
  <sheetData>
    <row r="1" spans="1:17" ht="45.6" customHeight="1" x14ac:dyDescent="0.3">
      <c r="A1" s="386" t="s">
        <v>792</v>
      </c>
      <c r="B1" s="386"/>
      <c r="C1" s="386"/>
      <c r="D1" s="386"/>
      <c r="E1" s="386"/>
      <c r="F1" s="386"/>
      <c r="G1" s="386"/>
      <c r="H1" s="386"/>
      <c r="I1" s="386"/>
      <c r="J1" s="386"/>
      <c r="K1" s="386"/>
      <c r="L1" s="386"/>
      <c r="M1" s="386"/>
      <c r="N1" s="386"/>
      <c r="O1" s="386"/>
    </row>
    <row r="3" spans="1:17" x14ac:dyDescent="0.3">
      <c r="A3" s="287" t="s">
        <v>793</v>
      </c>
    </row>
    <row r="4" spans="1:17" x14ac:dyDescent="0.3">
      <c r="A4" s="288" t="s">
        <v>794</v>
      </c>
    </row>
    <row r="5" spans="1:17" x14ac:dyDescent="0.3">
      <c r="A5" s="289" t="s">
        <v>795</v>
      </c>
    </row>
    <row r="7" spans="1:17" x14ac:dyDescent="0.3">
      <c r="A7" s="219" t="s">
        <v>796</v>
      </c>
      <c r="B7" s="84" t="s">
        <v>994</v>
      </c>
    </row>
    <row r="8" spans="1:17" x14ac:dyDescent="0.3">
      <c r="O8" s="167" t="s">
        <v>797</v>
      </c>
    </row>
    <row r="9" spans="1:17" ht="24.6" customHeight="1" x14ac:dyDescent="0.3">
      <c r="B9" s="368" t="s">
        <v>798</v>
      </c>
      <c r="C9" s="369"/>
      <c r="D9" s="369"/>
      <c r="E9" s="370"/>
      <c r="F9" s="368" t="s">
        <v>799</v>
      </c>
      <c r="G9" s="369"/>
      <c r="H9" s="369"/>
      <c r="I9" s="370"/>
      <c r="J9" s="371" t="s">
        <v>800</v>
      </c>
      <c r="K9" s="372"/>
      <c r="L9" s="372"/>
      <c r="M9" s="373"/>
      <c r="O9" s="167" t="s">
        <v>801</v>
      </c>
      <c r="P9" s="167" t="s">
        <v>802</v>
      </c>
      <c r="Q9" s="167" t="s">
        <v>803</v>
      </c>
    </row>
    <row r="10" spans="1:17" x14ac:dyDescent="0.3">
      <c r="A10" s="170" t="s">
        <v>804</v>
      </c>
      <c r="B10" s="293" t="s">
        <v>805</v>
      </c>
      <c r="C10" s="293" t="s">
        <v>806</v>
      </c>
      <c r="D10" s="293" t="s">
        <v>807</v>
      </c>
      <c r="E10" s="293" t="s">
        <v>808</v>
      </c>
      <c r="F10" s="293" t="s">
        <v>805</v>
      </c>
      <c r="G10" s="293" t="s">
        <v>806</v>
      </c>
      <c r="H10" s="293" t="s">
        <v>807</v>
      </c>
      <c r="I10" s="293" t="s">
        <v>808</v>
      </c>
      <c r="J10" s="293" t="s">
        <v>805</v>
      </c>
      <c r="K10" s="293" t="s">
        <v>806</v>
      </c>
      <c r="L10" s="293" t="s">
        <v>807</v>
      </c>
      <c r="M10" s="293" t="s">
        <v>808</v>
      </c>
      <c r="O10" s="220">
        <f>AVERAGE(I11,I22,I31,I36,I52,I69)</f>
        <v>0.28945220006331118</v>
      </c>
      <c r="P10" s="220">
        <f>AVERAGE(I11,I22,I29,I37,I46,I53,I70)</f>
        <v>0.30094218769783315</v>
      </c>
      <c r="Q10" s="276">
        <f>AVERAGE(I22,I38,I47,I71)</f>
        <v>0.43888745334481771</v>
      </c>
    </row>
    <row r="11" spans="1:17" x14ac:dyDescent="0.3">
      <c r="A11" s="170" t="s">
        <v>809</v>
      </c>
      <c r="B11" s="374" t="s">
        <v>678</v>
      </c>
      <c r="C11" s="374" t="s">
        <v>678</v>
      </c>
      <c r="D11" s="374" t="s">
        <v>678</v>
      </c>
      <c r="E11" s="375">
        <f>I11+M11</f>
        <v>0.69</v>
      </c>
      <c r="F11" s="374" t="s">
        <v>678</v>
      </c>
      <c r="G11" s="374" t="s">
        <v>678</v>
      </c>
      <c r="H11" s="374" t="s">
        <v>678</v>
      </c>
      <c r="I11" s="376">
        <v>0.25</v>
      </c>
      <c r="J11" s="374" t="s">
        <v>678</v>
      </c>
      <c r="K11" s="374" t="s">
        <v>678</v>
      </c>
      <c r="L11" s="374" t="s">
        <v>678</v>
      </c>
      <c r="M11" s="376">
        <v>0.44</v>
      </c>
      <c r="O11" s="367">
        <f>AVERAGE(O10:P10)</f>
        <v>0.2951971938805722</v>
      </c>
      <c r="P11" s="367"/>
    </row>
    <row r="12" spans="1:17" x14ac:dyDescent="0.3">
      <c r="A12" s="170" t="s">
        <v>810</v>
      </c>
      <c r="B12" s="374"/>
      <c r="C12" s="374"/>
      <c r="D12" s="374"/>
      <c r="E12" s="375"/>
      <c r="F12" s="374"/>
      <c r="G12" s="374"/>
      <c r="H12" s="374"/>
      <c r="I12" s="376"/>
      <c r="J12" s="374"/>
      <c r="K12" s="374"/>
      <c r="L12" s="374"/>
      <c r="M12" s="376"/>
      <c r="O12" s="167" t="s">
        <v>811</v>
      </c>
    </row>
    <row r="13" spans="1:17" x14ac:dyDescent="0.3">
      <c r="A13" s="167" t="s">
        <v>812</v>
      </c>
      <c r="O13" s="167" t="s">
        <v>801</v>
      </c>
      <c r="P13" s="167" t="s">
        <v>802</v>
      </c>
      <c r="Q13" s="167" t="s">
        <v>803</v>
      </c>
    </row>
    <row r="14" spans="1:17" x14ac:dyDescent="0.3">
      <c r="O14" s="286">
        <f>AVERAGE(M11,M22,M28,M36,M52,M69)</f>
        <v>0.37295247846897772</v>
      </c>
      <c r="P14" s="286">
        <f>AVERAGE(M11,M29,M22,M37,M53,M70)</f>
        <v>0.54284767158896075</v>
      </c>
      <c r="Q14" s="276">
        <f>AVERAGE(M22,M38,M71)</f>
        <v>0.92568930850598818</v>
      </c>
    </row>
    <row r="15" spans="1:17" x14ac:dyDescent="0.3">
      <c r="P15" s="170"/>
    </row>
    <row r="16" spans="1:17" x14ac:dyDescent="0.3">
      <c r="A16" s="219" t="s">
        <v>992</v>
      </c>
      <c r="B16" s="84" t="s">
        <v>993</v>
      </c>
      <c r="P16" s="170"/>
    </row>
    <row r="17" spans="1:17" ht="31.2" customHeight="1" x14ac:dyDescent="0.3">
      <c r="A17" s="219" t="s">
        <v>813</v>
      </c>
      <c r="B17" s="371" t="s">
        <v>814</v>
      </c>
      <c r="C17" s="372"/>
      <c r="D17" s="372"/>
      <c r="E17" s="373"/>
      <c r="F17" s="377" t="s">
        <v>815</v>
      </c>
      <c r="G17" s="378"/>
      <c r="H17" s="378"/>
      <c r="I17" s="379"/>
      <c r="J17" s="371" t="s">
        <v>816</v>
      </c>
      <c r="K17" s="372"/>
      <c r="L17" s="372"/>
      <c r="M17" s="373"/>
      <c r="O17" s="167" t="s">
        <v>817</v>
      </c>
      <c r="P17" s="170"/>
    </row>
    <row r="18" spans="1:17" x14ac:dyDescent="0.3">
      <c r="B18" s="299" t="s">
        <v>805</v>
      </c>
      <c r="C18" s="299" t="s">
        <v>806</v>
      </c>
      <c r="D18" s="299" t="s">
        <v>818</v>
      </c>
      <c r="E18" s="293" t="s">
        <v>808</v>
      </c>
      <c r="F18" s="299" t="s">
        <v>805</v>
      </c>
      <c r="G18" s="299" t="s">
        <v>806</v>
      </c>
      <c r="H18" s="299" t="s">
        <v>818</v>
      </c>
      <c r="I18" s="293" t="s">
        <v>808</v>
      </c>
      <c r="J18" s="299" t="s">
        <v>805</v>
      </c>
      <c r="K18" s="299" t="s">
        <v>806</v>
      </c>
      <c r="L18" s="299" t="s">
        <v>818</v>
      </c>
      <c r="M18" s="299" t="s">
        <v>808</v>
      </c>
      <c r="O18" s="273">
        <f>AVERAGE(L22,L28/10,L29/10,J39/10,L52/10,L53/10,L80,L61)/100</f>
        <v>1.3845833333333333E-2</v>
      </c>
    </row>
    <row r="19" spans="1:17" x14ac:dyDescent="0.3">
      <c r="A19" s="170" t="s">
        <v>809</v>
      </c>
      <c r="B19" s="221">
        <v>1.05</v>
      </c>
      <c r="C19" s="221">
        <v>2.0299999999999998</v>
      </c>
      <c r="D19" s="380" t="s">
        <v>678</v>
      </c>
      <c r="E19" s="222"/>
      <c r="F19" s="223">
        <v>0.2</v>
      </c>
      <c r="G19" s="223">
        <v>0.67</v>
      </c>
      <c r="H19" s="223"/>
      <c r="I19" s="381"/>
      <c r="J19" s="224">
        <f>B19-F19</f>
        <v>0.85000000000000009</v>
      </c>
      <c r="K19" s="224">
        <f t="shared" ref="K19:L22" si="0">C19-G19</f>
        <v>1.3599999999999999</v>
      </c>
      <c r="L19" s="224"/>
      <c r="M19" s="169"/>
      <c r="O19" s="167" t="s">
        <v>819</v>
      </c>
    </row>
    <row r="20" spans="1:17" x14ac:dyDescent="0.3">
      <c r="A20" s="170" t="s">
        <v>810</v>
      </c>
      <c r="B20" s="221">
        <v>0.38</v>
      </c>
      <c r="C20" s="221">
        <v>0.8</v>
      </c>
      <c r="D20" s="380"/>
      <c r="E20" s="222"/>
      <c r="F20" s="223">
        <v>0.14000000000000001</v>
      </c>
      <c r="G20" s="223">
        <v>0.46</v>
      </c>
      <c r="H20" s="223"/>
      <c r="I20" s="381"/>
      <c r="J20" s="224">
        <f t="shared" ref="J20:J22" si="1">B20-F20</f>
        <v>0.24</v>
      </c>
      <c r="K20" s="224">
        <f t="shared" si="0"/>
        <v>0.34</v>
      </c>
      <c r="L20" s="224"/>
      <c r="M20" s="169"/>
      <c r="O20" s="277">
        <f>AVERAGE(L22,L28/10,L29/10,J39/10,L52/10,L53/10)/100</f>
        <v>1.431111111111111E-2</v>
      </c>
    </row>
    <row r="21" spans="1:17" x14ac:dyDescent="0.3">
      <c r="A21" s="170" t="s">
        <v>185</v>
      </c>
      <c r="B21" s="221">
        <v>0.26</v>
      </c>
      <c r="C21" s="221">
        <v>1.97</v>
      </c>
      <c r="D21" s="380"/>
      <c r="E21" s="222"/>
      <c r="F21" s="223"/>
      <c r="G21" s="223"/>
      <c r="H21" s="223"/>
      <c r="I21" s="381"/>
      <c r="J21" s="224">
        <f t="shared" si="1"/>
        <v>0.26</v>
      </c>
      <c r="K21" s="224">
        <f t="shared" si="0"/>
        <v>1.97</v>
      </c>
      <c r="L21" s="224"/>
      <c r="M21" s="169"/>
    </row>
    <row r="22" spans="1:17" x14ac:dyDescent="0.3">
      <c r="A22" s="170" t="s">
        <v>820</v>
      </c>
      <c r="B22" s="221">
        <v>0.92</v>
      </c>
      <c r="C22" s="221">
        <v>1.69</v>
      </c>
      <c r="D22" s="225">
        <v>4.8899999999999997</v>
      </c>
      <c r="E22" s="226">
        <f>1/2.56</f>
        <v>0.390625</v>
      </c>
      <c r="F22" s="225">
        <v>0.24</v>
      </c>
      <c r="G22" s="225">
        <v>0.68</v>
      </c>
      <c r="H22" s="225">
        <v>2.4300000000000002</v>
      </c>
      <c r="I22" s="274">
        <f>1/8.1</f>
        <v>0.1234567901234568</v>
      </c>
      <c r="J22" s="224">
        <f t="shared" si="1"/>
        <v>0.68</v>
      </c>
      <c r="K22" s="224">
        <f t="shared" si="0"/>
        <v>1.0099999999999998</v>
      </c>
      <c r="L22" s="285">
        <f t="shared" si="0"/>
        <v>2.4599999999999995</v>
      </c>
      <c r="M22" s="275">
        <f>J22/L22</f>
        <v>0.27642276422764234</v>
      </c>
    </row>
    <row r="23" spans="1:17" x14ac:dyDescent="0.3">
      <c r="E23" s="225" t="s">
        <v>821</v>
      </c>
      <c r="I23" s="225" t="s">
        <v>822</v>
      </c>
      <c r="O23" s="167" t="s">
        <v>823</v>
      </c>
    </row>
    <row r="24" spans="1:17" x14ac:dyDescent="0.3">
      <c r="E24" s="225" t="s">
        <v>824</v>
      </c>
      <c r="I24" s="225" t="s">
        <v>825</v>
      </c>
      <c r="O24" s="167" t="s">
        <v>152</v>
      </c>
      <c r="P24" s="167" t="s">
        <v>826</v>
      </c>
      <c r="Q24" s="167" t="s">
        <v>827</v>
      </c>
    </row>
    <row r="25" spans="1:17" x14ac:dyDescent="0.3">
      <c r="A25" s="219" t="s">
        <v>828</v>
      </c>
      <c r="B25" s="84" t="s">
        <v>995</v>
      </c>
      <c r="O25" s="167">
        <f>AVERAGE(L22,J39/10,L36/10,L52/10)/100</f>
        <v>1.4866666666666665E-2</v>
      </c>
      <c r="P25" s="167">
        <f>AVERAGE(L22,J39/10,L37/10,L53/10)/100</f>
        <v>9.7416666666666658E-3</v>
      </c>
      <c r="Q25" s="167">
        <f>AVERAGE(L22,J39/10)/100</f>
        <v>1.4633333333333332E-2</v>
      </c>
    </row>
    <row r="26" spans="1:17" ht="31.2" customHeight="1" x14ac:dyDescent="0.3">
      <c r="A26" s="219" t="s">
        <v>829</v>
      </c>
      <c r="B26" s="371" t="s">
        <v>814</v>
      </c>
      <c r="C26" s="372"/>
      <c r="D26" s="372"/>
      <c r="E26" s="373"/>
      <c r="F26" s="377" t="s">
        <v>815</v>
      </c>
      <c r="G26" s="378"/>
      <c r="H26" s="378"/>
      <c r="I26" s="379"/>
      <c r="J26" s="371" t="s">
        <v>816</v>
      </c>
      <c r="K26" s="372"/>
      <c r="L26" s="372"/>
      <c r="M26" s="373"/>
      <c r="P26" s="382"/>
      <c r="Q26" s="382"/>
    </row>
    <row r="27" spans="1:17" s="170" customFormat="1" ht="31.2" x14ac:dyDescent="0.3">
      <c r="B27" s="293" t="s">
        <v>805</v>
      </c>
      <c r="C27" s="293" t="s">
        <v>806</v>
      </c>
      <c r="D27" s="293" t="s">
        <v>830</v>
      </c>
      <c r="E27" s="293" t="s">
        <v>831</v>
      </c>
      <c r="F27" s="293" t="s">
        <v>805</v>
      </c>
      <c r="G27" s="293" t="s">
        <v>806</v>
      </c>
      <c r="H27" s="293" t="s">
        <v>818</v>
      </c>
      <c r="I27" s="293" t="s">
        <v>831</v>
      </c>
      <c r="J27" s="293" t="s">
        <v>805</v>
      </c>
      <c r="K27" s="293" t="s">
        <v>806</v>
      </c>
      <c r="L27" s="293" t="s">
        <v>830</v>
      </c>
      <c r="M27" s="293" t="s">
        <v>832</v>
      </c>
    </row>
    <row r="28" spans="1:17" ht="31.2" x14ac:dyDescent="0.3">
      <c r="A28" s="170" t="s">
        <v>809</v>
      </c>
      <c r="B28" s="228">
        <v>11.3</v>
      </c>
      <c r="C28" s="221" t="s">
        <v>678</v>
      </c>
      <c r="D28" s="221">
        <v>36.1</v>
      </c>
      <c r="E28" s="229" t="s">
        <v>833</v>
      </c>
      <c r="F28" s="221">
        <v>2.6</v>
      </c>
      <c r="G28" s="221" t="s">
        <v>678</v>
      </c>
      <c r="H28" s="221">
        <v>12.7</v>
      </c>
      <c r="I28" s="230" t="s">
        <v>834</v>
      </c>
      <c r="J28" s="228">
        <v>8.6999999999999993</v>
      </c>
      <c r="K28" s="221" t="s">
        <v>678</v>
      </c>
      <c r="L28" s="228">
        <v>23.4</v>
      </c>
      <c r="M28" s="278">
        <f>J28/L28</f>
        <v>0.37179487179487181</v>
      </c>
    </row>
    <row r="29" spans="1:17" ht="31.2" x14ac:dyDescent="0.3">
      <c r="A29" s="170" t="s">
        <v>810</v>
      </c>
      <c r="B29" s="228">
        <v>4.3</v>
      </c>
      <c r="C29" s="221" t="s">
        <v>678</v>
      </c>
      <c r="D29" s="221">
        <v>9.5</v>
      </c>
      <c r="E29" s="230" t="s">
        <v>835</v>
      </c>
      <c r="F29" s="221">
        <v>1.4</v>
      </c>
      <c r="G29" s="221" t="s">
        <v>678</v>
      </c>
      <c r="H29" s="221">
        <v>4.5999999999999996</v>
      </c>
      <c r="I29" s="283">
        <f>F29/H29</f>
        <v>0.30434782608695654</v>
      </c>
      <c r="J29" s="228">
        <v>2.9</v>
      </c>
      <c r="K29" s="221" t="s">
        <v>678</v>
      </c>
      <c r="L29" s="280">
        <v>4.9000000000000004</v>
      </c>
      <c r="M29" s="278">
        <f>J29/L29</f>
        <v>0.59183673469387754</v>
      </c>
    </row>
    <row r="30" spans="1:17" x14ac:dyDescent="0.3">
      <c r="I30" s="167" t="s">
        <v>836</v>
      </c>
      <c r="M30" s="167" t="s">
        <v>836</v>
      </c>
    </row>
    <row r="31" spans="1:17" x14ac:dyDescent="0.3">
      <c r="H31" s="231" t="s">
        <v>837</v>
      </c>
      <c r="I31" s="278">
        <f>1/4.8</f>
        <v>0.20833333333333334</v>
      </c>
    </row>
    <row r="32" spans="1:17" x14ac:dyDescent="0.3">
      <c r="A32" s="219" t="s">
        <v>838</v>
      </c>
      <c r="B32" s="145" t="s">
        <v>839</v>
      </c>
    </row>
    <row r="33" spans="1:13" x14ac:dyDescent="0.3">
      <c r="A33" s="219" t="s">
        <v>990</v>
      </c>
      <c r="B33" s="145" t="s">
        <v>840</v>
      </c>
    </row>
    <row r="34" spans="1:13" x14ac:dyDescent="0.3">
      <c r="A34" s="219" t="s">
        <v>829</v>
      </c>
      <c r="B34" s="371" t="s">
        <v>814</v>
      </c>
      <c r="C34" s="372"/>
      <c r="D34" s="372"/>
      <c r="E34" s="373"/>
      <c r="F34" s="377" t="s">
        <v>815</v>
      </c>
      <c r="G34" s="378"/>
      <c r="H34" s="378"/>
      <c r="I34" s="379"/>
      <c r="J34" s="371" t="s">
        <v>816</v>
      </c>
      <c r="K34" s="372"/>
      <c r="L34" s="372"/>
      <c r="M34" s="373"/>
    </row>
    <row r="35" spans="1:13" x14ac:dyDescent="0.3">
      <c r="B35" s="299" t="s">
        <v>841</v>
      </c>
      <c r="C35" s="299" t="s">
        <v>842</v>
      </c>
      <c r="D35" s="299" t="s">
        <v>843</v>
      </c>
      <c r="E35" s="299" t="s">
        <v>808</v>
      </c>
      <c r="F35" s="299" t="s">
        <v>841</v>
      </c>
      <c r="G35" s="299" t="s">
        <v>842</v>
      </c>
      <c r="H35" s="299" t="s">
        <v>843</v>
      </c>
      <c r="I35" s="299" t="s">
        <v>808</v>
      </c>
      <c r="J35" s="299" t="s">
        <v>841</v>
      </c>
      <c r="K35" s="299" t="s">
        <v>842</v>
      </c>
      <c r="L35" s="299" t="s">
        <v>843</v>
      </c>
      <c r="M35" s="299" t="s">
        <v>808</v>
      </c>
    </row>
    <row r="36" spans="1:13" x14ac:dyDescent="0.3">
      <c r="A36" s="170" t="s">
        <v>809</v>
      </c>
      <c r="B36" s="225">
        <v>32.299999999999997</v>
      </c>
      <c r="C36" s="225">
        <v>5.0999999999999996</v>
      </c>
      <c r="D36" s="225">
        <v>9.4</v>
      </c>
      <c r="E36" s="227">
        <f>C36/D36</f>
        <v>0.54255319148936165</v>
      </c>
      <c r="F36" s="225">
        <v>16.2</v>
      </c>
      <c r="G36" s="225">
        <v>1.5</v>
      </c>
      <c r="H36" s="225">
        <v>2.6</v>
      </c>
      <c r="I36" s="275">
        <f>G36/H36</f>
        <v>0.57692307692307687</v>
      </c>
      <c r="J36" s="224">
        <f>B36-F36</f>
        <v>16.099999999999998</v>
      </c>
      <c r="K36" s="224">
        <f t="shared" ref="K36:L37" si="2">C36-G36</f>
        <v>3.5999999999999996</v>
      </c>
      <c r="L36" s="224">
        <f t="shared" si="2"/>
        <v>6.8000000000000007</v>
      </c>
      <c r="M36" s="275">
        <f>K36/L36</f>
        <v>0.52941176470588225</v>
      </c>
    </row>
    <row r="37" spans="1:13" x14ac:dyDescent="0.3">
      <c r="A37" s="170" t="s">
        <v>810</v>
      </c>
      <c r="B37" s="225">
        <v>4.0999999999999996</v>
      </c>
      <c r="C37" s="225">
        <v>4.5999999999999996</v>
      </c>
      <c r="D37" s="225">
        <v>9.1</v>
      </c>
      <c r="E37" s="227">
        <f t="shared" ref="E37:E38" si="3">C37/D37</f>
        <v>0.50549450549450547</v>
      </c>
      <c r="F37" s="225">
        <v>0</v>
      </c>
      <c r="G37" s="225">
        <v>0.7</v>
      </c>
      <c r="H37" s="225">
        <v>4.3</v>
      </c>
      <c r="I37" s="275">
        <f t="shared" ref="I37:I38" si="4">G37/H37</f>
        <v>0.16279069767441859</v>
      </c>
      <c r="J37" s="224">
        <f t="shared" ref="J37:J38" si="5">B37-F37</f>
        <v>4.0999999999999996</v>
      </c>
      <c r="K37" s="224">
        <f t="shared" si="2"/>
        <v>3.8999999999999995</v>
      </c>
      <c r="L37" s="224">
        <f t="shared" si="2"/>
        <v>4.8</v>
      </c>
      <c r="M37" s="275">
        <f t="shared" ref="M37:M38" si="6">K37/L37</f>
        <v>0.81249999999999989</v>
      </c>
    </row>
    <row r="38" spans="1:13" x14ac:dyDescent="0.3">
      <c r="A38" s="232" t="s">
        <v>844</v>
      </c>
      <c r="B38" s="225">
        <v>4.3</v>
      </c>
      <c r="C38" s="225">
        <v>6.5</v>
      </c>
      <c r="D38" s="225">
        <v>7.4</v>
      </c>
      <c r="E38" s="227">
        <f t="shared" si="3"/>
        <v>0.87837837837837829</v>
      </c>
      <c r="F38" s="225">
        <v>0</v>
      </c>
      <c r="G38" s="225">
        <v>1.6</v>
      </c>
      <c r="H38" s="225">
        <v>4.3</v>
      </c>
      <c r="I38" s="275">
        <f t="shared" si="4"/>
        <v>0.372093023255814</v>
      </c>
      <c r="J38" s="224">
        <f t="shared" si="5"/>
        <v>4.3</v>
      </c>
      <c r="K38" s="224">
        <f>C38-G38</f>
        <v>4.9000000000000004</v>
      </c>
      <c r="L38" s="224">
        <f>D38-H38</f>
        <v>3.1000000000000005</v>
      </c>
      <c r="M38" s="275">
        <f t="shared" si="6"/>
        <v>1.5806451612903225</v>
      </c>
    </row>
    <row r="39" spans="1:13" x14ac:dyDescent="0.3">
      <c r="A39" s="170" t="s">
        <v>820</v>
      </c>
      <c r="B39" s="383">
        <f>AVERAGE(7.1,8.1,7.2)</f>
        <v>7.4666666666666659</v>
      </c>
      <c r="C39" s="383"/>
      <c r="D39" s="383"/>
      <c r="F39" s="384">
        <v>2.8</v>
      </c>
      <c r="G39" s="384"/>
      <c r="H39" s="384"/>
      <c r="J39" s="385">
        <f>B39-F39</f>
        <v>4.6666666666666661</v>
      </c>
      <c r="K39" s="385"/>
      <c r="L39" s="385"/>
    </row>
    <row r="40" spans="1:13" x14ac:dyDescent="0.3">
      <c r="E40" s="167" t="s">
        <v>845</v>
      </c>
      <c r="I40" s="167" t="s">
        <v>845</v>
      </c>
    </row>
    <row r="41" spans="1:13" x14ac:dyDescent="0.3">
      <c r="A41" s="219" t="s">
        <v>846</v>
      </c>
      <c r="B41" s="145" t="s">
        <v>847</v>
      </c>
    </row>
    <row r="42" spans="1:13" x14ac:dyDescent="0.3">
      <c r="B42" s="371" t="s">
        <v>814</v>
      </c>
      <c r="C42" s="372"/>
      <c r="D42" s="372"/>
      <c r="E42" s="373"/>
      <c r="F42" s="377" t="s">
        <v>815</v>
      </c>
      <c r="G42" s="378"/>
      <c r="H42" s="378"/>
      <c r="I42" s="379"/>
      <c r="J42" s="371" t="s">
        <v>816</v>
      </c>
      <c r="K42" s="372"/>
      <c r="L42" s="372"/>
      <c r="M42" s="373"/>
    </row>
    <row r="43" spans="1:13" ht="31.2" x14ac:dyDescent="0.3">
      <c r="B43" s="299" t="s">
        <v>841</v>
      </c>
      <c r="C43" s="299" t="s">
        <v>842</v>
      </c>
      <c r="D43" s="299" t="s">
        <v>843</v>
      </c>
      <c r="E43" s="299" t="s">
        <v>808</v>
      </c>
      <c r="F43" s="299" t="s">
        <v>841</v>
      </c>
      <c r="G43" s="299" t="s">
        <v>842</v>
      </c>
      <c r="H43" s="299" t="s">
        <v>843</v>
      </c>
      <c r="I43" s="293" t="s">
        <v>848</v>
      </c>
      <c r="J43" s="299" t="s">
        <v>841</v>
      </c>
      <c r="K43" s="299" t="s">
        <v>842</v>
      </c>
      <c r="L43" s="299" t="s">
        <v>843</v>
      </c>
      <c r="M43" s="299" t="s">
        <v>808</v>
      </c>
    </row>
    <row r="44" spans="1:13" x14ac:dyDescent="0.3">
      <c r="A44" s="170" t="s">
        <v>810</v>
      </c>
      <c r="B44" s="221" t="s">
        <v>678</v>
      </c>
      <c r="C44" s="221" t="s">
        <v>678</v>
      </c>
      <c r="D44" s="221" t="s">
        <v>678</v>
      </c>
      <c r="E44" s="221" t="s">
        <v>678</v>
      </c>
      <c r="F44" s="221" t="s">
        <v>678</v>
      </c>
      <c r="G44" s="225">
        <v>2.09</v>
      </c>
      <c r="H44" s="225">
        <v>4.9800000000000004</v>
      </c>
      <c r="I44" s="233" t="s">
        <v>849</v>
      </c>
      <c r="J44" s="221" t="s">
        <v>678</v>
      </c>
      <c r="K44" s="221" t="s">
        <v>678</v>
      </c>
      <c r="L44" s="221" t="s">
        <v>678</v>
      </c>
      <c r="M44" s="221" t="s">
        <v>678</v>
      </c>
    </row>
    <row r="45" spans="1:13" x14ac:dyDescent="0.3">
      <c r="A45" s="170" t="s">
        <v>185</v>
      </c>
      <c r="B45" s="221" t="s">
        <v>678</v>
      </c>
      <c r="C45" s="221" t="s">
        <v>678</v>
      </c>
      <c r="D45" s="221" t="s">
        <v>678</v>
      </c>
      <c r="E45" s="221" t="s">
        <v>678</v>
      </c>
      <c r="F45" s="221" t="s">
        <v>678</v>
      </c>
      <c r="G45" s="225">
        <v>3.85</v>
      </c>
      <c r="H45" s="221" t="s">
        <v>678</v>
      </c>
      <c r="I45" s="233" t="s">
        <v>850</v>
      </c>
      <c r="J45" s="221" t="s">
        <v>678</v>
      </c>
      <c r="K45" s="221" t="s">
        <v>678</v>
      </c>
      <c r="L45" s="221" t="s">
        <v>678</v>
      </c>
      <c r="M45" s="221" t="s">
        <v>678</v>
      </c>
    </row>
    <row r="46" spans="1:13" x14ac:dyDescent="0.3">
      <c r="A46" s="170" t="s">
        <v>820</v>
      </c>
      <c r="D46" s="225"/>
      <c r="H46" s="225" t="s">
        <v>851</v>
      </c>
      <c r="I46" s="279">
        <v>0.4</v>
      </c>
    </row>
    <row r="47" spans="1:13" x14ac:dyDescent="0.3">
      <c r="H47" s="225" t="s">
        <v>852</v>
      </c>
      <c r="I47" s="279">
        <v>0.74</v>
      </c>
    </row>
    <row r="49" spans="1:13" x14ac:dyDescent="0.3">
      <c r="A49" s="219" t="s">
        <v>853</v>
      </c>
      <c r="B49" s="145" t="s">
        <v>854</v>
      </c>
    </row>
    <row r="50" spans="1:13" x14ac:dyDescent="0.3">
      <c r="A50" s="219" t="s">
        <v>829</v>
      </c>
      <c r="B50" s="371" t="s">
        <v>814</v>
      </c>
      <c r="C50" s="372"/>
      <c r="D50" s="372"/>
      <c r="E50" s="373"/>
      <c r="F50" s="377" t="s">
        <v>815</v>
      </c>
      <c r="G50" s="378"/>
      <c r="H50" s="378"/>
      <c r="I50" s="379"/>
      <c r="J50" s="371" t="s">
        <v>816</v>
      </c>
      <c r="K50" s="372"/>
      <c r="L50" s="372"/>
      <c r="M50" s="373"/>
    </row>
    <row r="51" spans="1:13" ht="31.2" x14ac:dyDescent="0.3">
      <c r="B51" s="293" t="s">
        <v>805</v>
      </c>
      <c r="C51" s="293" t="s">
        <v>806</v>
      </c>
      <c r="D51" s="293" t="s">
        <v>830</v>
      </c>
      <c r="E51" s="293" t="s">
        <v>808</v>
      </c>
      <c r="F51" s="293" t="s">
        <v>805</v>
      </c>
      <c r="G51" s="293" t="s">
        <v>806</v>
      </c>
      <c r="H51" s="293" t="s">
        <v>818</v>
      </c>
      <c r="I51" s="293" t="s">
        <v>808</v>
      </c>
      <c r="J51" s="293" t="s">
        <v>805</v>
      </c>
      <c r="K51" s="293" t="s">
        <v>806</v>
      </c>
      <c r="L51" s="293" t="s">
        <v>830</v>
      </c>
      <c r="M51" s="293" t="s">
        <v>832</v>
      </c>
    </row>
    <row r="52" spans="1:13" x14ac:dyDescent="0.3">
      <c r="A52" s="170" t="s">
        <v>809</v>
      </c>
      <c r="B52" s="228">
        <v>17</v>
      </c>
      <c r="C52" s="221" t="s">
        <v>678</v>
      </c>
      <c r="D52" s="221" t="s">
        <v>678</v>
      </c>
      <c r="E52" s="228">
        <v>0.35</v>
      </c>
      <c r="F52" s="221">
        <v>6</v>
      </c>
      <c r="G52" s="221" t="s">
        <v>678</v>
      </c>
      <c r="H52" s="221" t="s">
        <v>678</v>
      </c>
      <c r="I52" s="280">
        <v>0.25800000000000001</v>
      </c>
      <c r="J52" s="224">
        <f>B52-F52</f>
        <v>11</v>
      </c>
      <c r="K52" s="221" t="s">
        <v>678</v>
      </c>
      <c r="L52" s="280">
        <v>23.4</v>
      </c>
      <c r="M52" s="278">
        <f>J52/L52</f>
        <v>0.47008547008547014</v>
      </c>
    </row>
    <row r="53" spans="1:13" x14ac:dyDescent="0.3">
      <c r="A53" s="170" t="s">
        <v>810</v>
      </c>
      <c r="B53" s="228">
        <v>7</v>
      </c>
      <c r="C53" s="221" t="s">
        <v>678</v>
      </c>
      <c r="D53" s="221" t="s">
        <v>678</v>
      </c>
      <c r="E53" s="228">
        <v>0.63</v>
      </c>
      <c r="F53" s="221">
        <v>3</v>
      </c>
      <c r="G53" s="221" t="s">
        <v>678</v>
      </c>
      <c r="H53" s="221" t="s">
        <v>678</v>
      </c>
      <c r="I53" s="281">
        <v>0.55600000000000005</v>
      </c>
      <c r="J53" s="224">
        <f>B53-F53</f>
        <v>4</v>
      </c>
      <c r="K53" s="221" t="s">
        <v>678</v>
      </c>
      <c r="L53" s="280">
        <v>4.9000000000000004</v>
      </c>
      <c r="M53" s="278">
        <f>J53/L53</f>
        <v>0.81632653061224481</v>
      </c>
    </row>
    <row r="54" spans="1:13" x14ac:dyDescent="0.3">
      <c r="A54" s="170" t="s">
        <v>820</v>
      </c>
      <c r="B54" s="225">
        <v>16</v>
      </c>
      <c r="C54" s="221" t="s">
        <v>678</v>
      </c>
      <c r="D54" s="221" t="s">
        <v>678</v>
      </c>
      <c r="E54" s="225">
        <v>0.372</v>
      </c>
      <c r="F54" s="225">
        <v>6</v>
      </c>
      <c r="G54" s="221" t="s">
        <v>678</v>
      </c>
      <c r="H54" s="221" t="s">
        <v>678</v>
      </c>
      <c r="I54" s="279">
        <v>0.26600000000000001</v>
      </c>
      <c r="J54" s="225">
        <v>10</v>
      </c>
      <c r="K54" s="221" t="s">
        <v>678</v>
      </c>
      <c r="L54" s="221" t="s">
        <v>678</v>
      </c>
      <c r="M54" s="221" t="s">
        <v>678</v>
      </c>
    </row>
    <row r="55" spans="1:13" x14ac:dyDescent="0.3">
      <c r="E55" s="167" t="s">
        <v>845</v>
      </c>
      <c r="I55" s="167" t="s">
        <v>845</v>
      </c>
    </row>
    <row r="58" spans="1:13" x14ac:dyDescent="0.3">
      <c r="A58" s="219" t="s">
        <v>855</v>
      </c>
      <c r="B58" s="145" t="s">
        <v>856</v>
      </c>
    </row>
    <row r="59" spans="1:13" x14ac:dyDescent="0.3">
      <c r="A59" s="219" t="s">
        <v>813</v>
      </c>
      <c r="B59" s="371" t="s">
        <v>814</v>
      </c>
      <c r="C59" s="372"/>
      <c r="D59" s="372"/>
      <c r="E59" s="373"/>
      <c r="F59" s="377" t="s">
        <v>815</v>
      </c>
      <c r="G59" s="378"/>
      <c r="H59" s="378"/>
      <c r="I59" s="379"/>
      <c r="J59" s="371" t="s">
        <v>816</v>
      </c>
      <c r="K59" s="372"/>
      <c r="L59" s="372"/>
      <c r="M59" s="373"/>
    </row>
    <row r="60" spans="1:13" x14ac:dyDescent="0.3">
      <c r="B60" s="293" t="s">
        <v>805</v>
      </c>
      <c r="C60" s="293" t="s">
        <v>806</v>
      </c>
      <c r="D60" s="293" t="s">
        <v>830</v>
      </c>
      <c r="E60" s="293" t="s">
        <v>808</v>
      </c>
      <c r="F60" s="293" t="s">
        <v>805</v>
      </c>
      <c r="G60" s="293" t="s">
        <v>806</v>
      </c>
      <c r="H60" s="293" t="s">
        <v>818</v>
      </c>
      <c r="I60" s="293" t="s">
        <v>808</v>
      </c>
      <c r="J60" s="293" t="s">
        <v>805</v>
      </c>
      <c r="K60" s="293" t="s">
        <v>806</v>
      </c>
      <c r="L60" s="293" t="s">
        <v>857</v>
      </c>
      <c r="M60" s="293" t="s">
        <v>832</v>
      </c>
    </row>
    <row r="61" spans="1:13" ht="31.2" x14ac:dyDescent="0.3">
      <c r="A61" s="170" t="s">
        <v>858</v>
      </c>
      <c r="B61" s="228" t="s">
        <v>678</v>
      </c>
      <c r="C61" s="228" t="s">
        <v>678</v>
      </c>
      <c r="D61" s="225">
        <v>2.09</v>
      </c>
      <c r="E61" s="228" t="s">
        <v>678</v>
      </c>
      <c r="F61" s="228" t="s">
        <v>678</v>
      </c>
      <c r="G61" s="228" t="s">
        <v>678</v>
      </c>
      <c r="H61" s="225">
        <v>0.65</v>
      </c>
      <c r="I61" s="228" t="s">
        <v>678</v>
      </c>
      <c r="J61" s="228" t="s">
        <v>678</v>
      </c>
      <c r="K61" s="228" t="s">
        <v>678</v>
      </c>
      <c r="L61" s="231">
        <f>D61-H61</f>
        <v>1.44</v>
      </c>
      <c r="M61" s="228" t="s">
        <v>678</v>
      </c>
    </row>
    <row r="66" spans="1:13" x14ac:dyDescent="0.3">
      <c r="A66" s="219" t="s">
        <v>859</v>
      </c>
      <c r="B66" s="84" t="s">
        <v>991</v>
      </c>
    </row>
    <row r="67" spans="1:13" x14ac:dyDescent="0.3">
      <c r="A67" s="219" t="s">
        <v>813</v>
      </c>
      <c r="B67" s="371" t="s">
        <v>814</v>
      </c>
      <c r="C67" s="372"/>
      <c r="D67" s="372"/>
      <c r="E67" s="373"/>
      <c r="F67" s="377" t="s">
        <v>815</v>
      </c>
      <c r="G67" s="378"/>
      <c r="H67" s="378"/>
      <c r="I67" s="379"/>
      <c r="J67" s="371" t="s">
        <v>816</v>
      </c>
      <c r="K67" s="372"/>
      <c r="L67" s="372"/>
      <c r="M67" s="373"/>
    </row>
    <row r="68" spans="1:13" ht="62.4" x14ac:dyDescent="0.3">
      <c r="B68" s="299" t="s">
        <v>805</v>
      </c>
      <c r="C68" s="299" t="s">
        <v>806</v>
      </c>
      <c r="D68" s="299" t="s">
        <v>818</v>
      </c>
      <c r="E68" s="293" t="s">
        <v>860</v>
      </c>
      <c r="F68" s="299" t="s">
        <v>805</v>
      </c>
      <c r="G68" s="299" t="s">
        <v>806</v>
      </c>
      <c r="H68" s="299" t="s">
        <v>818</v>
      </c>
      <c r="I68" s="293" t="s">
        <v>860</v>
      </c>
      <c r="J68" s="299" t="s">
        <v>805</v>
      </c>
      <c r="K68" s="299" t="s">
        <v>806</v>
      </c>
      <c r="L68" s="299" t="s">
        <v>818</v>
      </c>
      <c r="M68" s="293" t="s">
        <v>860</v>
      </c>
    </row>
    <row r="69" spans="1:13" x14ac:dyDescent="0.3">
      <c r="A69" s="170" t="s">
        <v>809</v>
      </c>
      <c r="B69" s="223">
        <v>2</v>
      </c>
      <c r="C69" s="221">
        <v>2.4</v>
      </c>
      <c r="D69" s="380">
        <v>5</v>
      </c>
      <c r="E69" s="233">
        <v>0.47</v>
      </c>
      <c r="F69" s="223">
        <v>1.1000000000000001</v>
      </c>
      <c r="G69" s="221">
        <v>1.4</v>
      </c>
      <c r="H69" s="221" t="s">
        <v>678</v>
      </c>
      <c r="I69" s="282">
        <v>0.32</v>
      </c>
      <c r="J69" s="224">
        <f>C69-F69</f>
        <v>1.2999999999999998</v>
      </c>
      <c r="K69" s="224">
        <f>C69-G69</f>
        <v>1</v>
      </c>
      <c r="L69" s="221" t="s">
        <v>678</v>
      </c>
      <c r="M69" s="284">
        <f>E69-I69</f>
        <v>0.14999999999999997</v>
      </c>
    </row>
    <row r="70" spans="1:13" x14ac:dyDescent="0.3">
      <c r="A70" s="170" t="s">
        <v>810</v>
      </c>
      <c r="B70" s="223">
        <v>1.8</v>
      </c>
      <c r="C70" s="221">
        <v>3.1</v>
      </c>
      <c r="D70" s="380"/>
      <c r="E70" s="233">
        <v>0.63</v>
      </c>
      <c r="F70" s="223">
        <v>1.1000000000000001</v>
      </c>
      <c r="G70" s="221">
        <v>2</v>
      </c>
      <c r="H70" s="221" t="s">
        <v>678</v>
      </c>
      <c r="I70" s="282">
        <v>0.31</v>
      </c>
      <c r="J70" s="224">
        <f>C70-F70</f>
        <v>2</v>
      </c>
      <c r="K70" s="224">
        <f t="shared" ref="K70" si="7">C70-G70</f>
        <v>1.1000000000000001</v>
      </c>
      <c r="L70" s="221" t="s">
        <v>678</v>
      </c>
      <c r="M70" s="284">
        <f>E70-I70</f>
        <v>0.32</v>
      </c>
    </row>
    <row r="71" spans="1:13" x14ac:dyDescent="0.3">
      <c r="A71" s="170" t="s">
        <v>185</v>
      </c>
      <c r="B71" s="221" t="s">
        <v>678</v>
      </c>
      <c r="C71" s="221">
        <v>5.0999999999999996</v>
      </c>
      <c r="D71" s="380"/>
      <c r="E71" s="233">
        <v>1.44</v>
      </c>
      <c r="F71" s="300" t="s">
        <v>678</v>
      </c>
      <c r="G71" s="221" t="s">
        <v>678</v>
      </c>
      <c r="H71" s="221" t="s">
        <v>678</v>
      </c>
      <c r="I71" s="282">
        <v>0.52</v>
      </c>
      <c r="J71" s="221" t="s">
        <v>678</v>
      </c>
      <c r="K71" s="221" t="s">
        <v>678</v>
      </c>
      <c r="L71" s="221" t="s">
        <v>678</v>
      </c>
      <c r="M71" s="284">
        <f>E71-I71</f>
        <v>0.91999999999999993</v>
      </c>
    </row>
    <row r="72" spans="1:13" x14ac:dyDescent="0.3">
      <c r="E72" s="167" t="s">
        <v>861</v>
      </c>
      <c r="I72" s="167" t="s">
        <v>861</v>
      </c>
    </row>
    <row r="77" spans="1:13" x14ac:dyDescent="0.3">
      <c r="A77" s="219" t="s">
        <v>862</v>
      </c>
      <c r="B77" s="145" t="s">
        <v>863</v>
      </c>
    </row>
    <row r="78" spans="1:13" x14ac:dyDescent="0.3">
      <c r="A78" s="219" t="s">
        <v>813</v>
      </c>
      <c r="B78" s="371" t="s">
        <v>814</v>
      </c>
      <c r="C78" s="372"/>
      <c r="D78" s="372"/>
      <c r="E78" s="373"/>
      <c r="F78" s="377" t="s">
        <v>815</v>
      </c>
      <c r="G78" s="378"/>
      <c r="H78" s="378"/>
      <c r="I78" s="379"/>
      <c r="J78" s="371" t="s">
        <v>816</v>
      </c>
      <c r="K78" s="372"/>
      <c r="L78" s="372"/>
      <c r="M78" s="373"/>
    </row>
    <row r="79" spans="1:13" x14ac:dyDescent="0.3">
      <c r="B79" s="293" t="s">
        <v>805</v>
      </c>
      <c r="C79" s="293" t="s">
        <v>806</v>
      </c>
      <c r="D79" s="293" t="s">
        <v>857</v>
      </c>
      <c r="E79" s="293" t="s">
        <v>808</v>
      </c>
      <c r="F79" s="293" t="s">
        <v>805</v>
      </c>
      <c r="G79" s="293" t="s">
        <v>806</v>
      </c>
      <c r="H79" s="293" t="s">
        <v>818</v>
      </c>
      <c r="I79" s="293" t="s">
        <v>808</v>
      </c>
      <c r="J79" s="293" t="s">
        <v>805</v>
      </c>
      <c r="K79" s="293" t="s">
        <v>806</v>
      </c>
      <c r="L79" s="293" t="s">
        <v>857</v>
      </c>
      <c r="M79" s="293" t="s">
        <v>832</v>
      </c>
    </row>
    <row r="80" spans="1:13" x14ac:dyDescent="0.3">
      <c r="A80" s="170" t="s">
        <v>864</v>
      </c>
      <c r="B80" s="228" t="s">
        <v>678</v>
      </c>
      <c r="C80" s="228" t="s">
        <v>678</v>
      </c>
      <c r="D80" s="225">
        <v>1.61</v>
      </c>
      <c r="E80" s="228" t="s">
        <v>678</v>
      </c>
      <c r="F80" s="228" t="s">
        <v>678</v>
      </c>
      <c r="G80" s="228" t="s">
        <v>678</v>
      </c>
      <c r="H80" s="225">
        <v>0.56000000000000005</v>
      </c>
      <c r="I80" s="228" t="s">
        <v>678</v>
      </c>
      <c r="J80" s="228" t="s">
        <v>678</v>
      </c>
      <c r="K80" s="228" t="s">
        <v>678</v>
      </c>
      <c r="L80" s="231">
        <f>D80-H80</f>
        <v>1.05</v>
      </c>
      <c r="M80" s="228" t="s">
        <v>678</v>
      </c>
    </row>
    <row r="81" spans="1:5" x14ac:dyDescent="0.3">
      <c r="A81" s="170" t="s">
        <v>865</v>
      </c>
      <c r="B81" s="228" t="s">
        <v>678</v>
      </c>
      <c r="C81" s="228" t="s">
        <v>678</v>
      </c>
      <c r="D81" s="225">
        <v>2.71</v>
      </c>
      <c r="E81" s="228" t="s">
        <v>678</v>
      </c>
    </row>
  </sheetData>
  <mergeCells count="48">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 ref="J50:M50"/>
    <mergeCell ref="P26:Q26"/>
    <mergeCell ref="B34:E34"/>
    <mergeCell ref="F34:I34"/>
    <mergeCell ref="J34:M34"/>
    <mergeCell ref="B39:D39"/>
    <mergeCell ref="F39:H39"/>
    <mergeCell ref="J39:L39"/>
    <mergeCell ref="B26:E26"/>
    <mergeCell ref="F26:I26"/>
    <mergeCell ref="J26:M26"/>
    <mergeCell ref="B17:E17"/>
    <mergeCell ref="F17:I17"/>
    <mergeCell ref="J17:M17"/>
    <mergeCell ref="D19:D21"/>
    <mergeCell ref="I19:I21"/>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3203125" defaultRowHeight="15.6" x14ac:dyDescent="0.3"/>
  <cols>
    <col min="1" max="1" width="35.44140625" style="167" customWidth="1"/>
    <col min="2" max="2" width="24.44140625" style="167" customWidth="1"/>
    <col min="3" max="3" width="26.6640625" style="167" customWidth="1"/>
    <col min="4" max="4" width="16.6640625" style="167" bestFit="1" customWidth="1"/>
    <col min="5" max="5" width="17.109375" style="167" customWidth="1"/>
    <col min="6" max="6" width="8.6640625" style="167" bestFit="1" customWidth="1"/>
    <col min="7" max="16384" width="12.33203125" style="167"/>
  </cols>
  <sheetData>
    <row r="1" spans="1:6" ht="21" x14ac:dyDescent="0.4">
      <c r="A1" s="341" t="s">
        <v>866</v>
      </c>
    </row>
    <row r="5" spans="1:6" x14ac:dyDescent="0.3">
      <c r="A5" s="167" t="s">
        <v>867</v>
      </c>
    </row>
    <row r="6" spans="1:6" x14ac:dyDescent="0.3">
      <c r="A6" s="167" t="s">
        <v>868</v>
      </c>
      <c r="C6" s="167" t="s">
        <v>869</v>
      </c>
    </row>
    <row r="7" spans="1:6" ht="16.2" thickBot="1" x14ac:dyDescent="0.35"/>
    <row r="8" spans="1:6" x14ac:dyDescent="0.3">
      <c r="A8" s="234"/>
      <c r="B8" s="387" t="s">
        <v>870</v>
      </c>
      <c r="C8" s="388"/>
      <c r="D8" s="389"/>
      <c r="E8" s="390" t="s">
        <v>871</v>
      </c>
      <c r="F8" s="235"/>
    </row>
    <row r="9" spans="1:6" x14ac:dyDescent="0.3">
      <c r="A9" s="236"/>
      <c r="B9" s="237" t="s">
        <v>872</v>
      </c>
      <c r="C9" s="238" t="s">
        <v>873</v>
      </c>
      <c r="D9" s="239" t="s">
        <v>874</v>
      </c>
      <c r="E9" s="391"/>
      <c r="F9" s="240" t="s">
        <v>875</v>
      </c>
    </row>
    <row r="10" spans="1:6" x14ac:dyDescent="0.3">
      <c r="A10" s="241" t="s">
        <v>876</v>
      </c>
      <c r="B10" s="242">
        <v>167</v>
      </c>
      <c r="C10" s="243">
        <v>375</v>
      </c>
      <c r="D10" s="244">
        <v>2015</v>
      </c>
      <c r="E10" s="243">
        <v>10570</v>
      </c>
      <c r="F10" s="245"/>
    </row>
    <row r="11" spans="1:6" x14ac:dyDescent="0.3">
      <c r="A11" s="241" t="s">
        <v>877</v>
      </c>
      <c r="B11" s="242">
        <v>1456</v>
      </c>
      <c r="C11" s="243">
        <v>3428</v>
      </c>
      <c r="D11" s="244">
        <v>19102</v>
      </c>
      <c r="E11" s="243">
        <v>104679</v>
      </c>
      <c r="F11" s="245"/>
    </row>
    <row r="12" spans="1:6" x14ac:dyDescent="0.3">
      <c r="A12" s="241" t="s">
        <v>878</v>
      </c>
      <c r="B12" s="242">
        <v>47</v>
      </c>
      <c r="C12" s="243">
        <v>76</v>
      </c>
      <c r="D12" s="244">
        <v>303</v>
      </c>
      <c r="E12" s="243">
        <v>769</v>
      </c>
      <c r="F12" s="245"/>
    </row>
    <row r="13" spans="1:6" x14ac:dyDescent="0.3">
      <c r="A13" s="241" t="s">
        <v>879</v>
      </c>
      <c r="B13" s="242">
        <v>32</v>
      </c>
      <c r="C13" s="243">
        <v>22</v>
      </c>
      <c r="D13" s="244">
        <v>16</v>
      </c>
      <c r="E13" s="243">
        <v>7</v>
      </c>
      <c r="F13" s="245"/>
    </row>
    <row r="14" spans="1:6" x14ac:dyDescent="0.3">
      <c r="A14" s="241" t="s">
        <v>880</v>
      </c>
      <c r="B14" s="242" t="s">
        <v>881</v>
      </c>
      <c r="C14" s="243" t="s">
        <v>882</v>
      </c>
      <c r="D14" s="244" t="s">
        <v>883</v>
      </c>
      <c r="E14" s="243">
        <v>1</v>
      </c>
      <c r="F14" s="245" t="s">
        <v>884</v>
      </c>
    </row>
    <row r="15" spans="1:6" ht="16.2" thickBot="1" x14ac:dyDescent="0.35">
      <c r="A15" s="246" t="s">
        <v>885</v>
      </c>
      <c r="B15" s="247" t="s">
        <v>886</v>
      </c>
      <c r="C15" s="248" t="s">
        <v>887</v>
      </c>
      <c r="D15" s="249" t="s">
        <v>888</v>
      </c>
      <c r="E15" s="248">
        <v>1</v>
      </c>
      <c r="F15" s="250" t="s">
        <v>884</v>
      </c>
    </row>
    <row r="17" spans="1:6" ht="16.2" thickBot="1" x14ac:dyDescent="0.35"/>
    <row r="18" spans="1:6" x14ac:dyDescent="0.3">
      <c r="A18" s="234"/>
      <c r="B18" s="392" t="s">
        <v>870</v>
      </c>
      <c r="C18" s="393"/>
      <c r="D18" s="394"/>
      <c r="E18" s="395" t="s">
        <v>871</v>
      </c>
      <c r="F18" s="235"/>
    </row>
    <row r="19" spans="1:6" x14ac:dyDescent="0.3">
      <c r="A19" s="236"/>
      <c r="B19" s="251" t="s">
        <v>872</v>
      </c>
      <c r="C19" s="252" t="s">
        <v>873</v>
      </c>
      <c r="D19" s="253" t="s">
        <v>874</v>
      </c>
      <c r="E19" s="396"/>
      <c r="F19" s="254" t="s">
        <v>889</v>
      </c>
    </row>
    <row r="20" spans="1:6" x14ac:dyDescent="0.3">
      <c r="A20" s="255" t="s">
        <v>890</v>
      </c>
      <c r="B20" s="256"/>
      <c r="C20" s="257"/>
      <c r="D20" s="258"/>
      <c r="E20" s="257"/>
      <c r="F20" s="259"/>
    </row>
    <row r="21" spans="1:6" x14ac:dyDescent="0.3">
      <c r="A21" s="236" t="s">
        <v>878</v>
      </c>
      <c r="B21" s="260">
        <v>12</v>
      </c>
      <c r="C21" s="261">
        <v>21</v>
      </c>
      <c r="D21" s="262">
        <v>93</v>
      </c>
      <c r="E21" s="261">
        <v>251</v>
      </c>
      <c r="F21" s="263"/>
    </row>
    <row r="22" spans="1:6" x14ac:dyDescent="0.3">
      <c r="A22" s="236" t="s">
        <v>879</v>
      </c>
      <c r="B22" s="260">
        <v>8</v>
      </c>
      <c r="C22" s="261">
        <v>6</v>
      </c>
      <c r="D22" s="262">
        <v>5</v>
      </c>
      <c r="E22" s="261">
        <v>2</v>
      </c>
      <c r="F22" s="263"/>
    </row>
    <row r="23" spans="1:6" x14ac:dyDescent="0.3">
      <c r="A23" s="264" t="s">
        <v>880</v>
      </c>
      <c r="B23" s="265" t="s">
        <v>891</v>
      </c>
      <c r="C23" s="266" t="s">
        <v>892</v>
      </c>
      <c r="D23" s="267" t="s">
        <v>893</v>
      </c>
      <c r="E23" s="266">
        <v>1</v>
      </c>
      <c r="F23" s="268">
        <v>0.27</v>
      </c>
    </row>
    <row r="24" spans="1:6" x14ac:dyDescent="0.3">
      <c r="A24" s="236"/>
      <c r="B24" s="260"/>
      <c r="C24" s="261"/>
      <c r="D24" s="262"/>
      <c r="E24" s="261"/>
      <c r="F24" s="263"/>
    </row>
    <row r="25" spans="1:6" x14ac:dyDescent="0.3">
      <c r="A25" s="255" t="s">
        <v>894</v>
      </c>
      <c r="B25" s="256"/>
      <c r="C25" s="257"/>
      <c r="D25" s="258"/>
      <c r="E25" s="257"/>
      <c r="F25" s="259"/>
    </row>
    <row r="26" spans="1:6" x14ac:dyDescent="0.3">
      <c r="A26" s="236" t="s">
        <v>878</v>
      </c>
      <c r="B26" s="260">
        <v>12</v>
      </c>
      <c r="C26" s="261">
        <v>20</v>
      </c>
      <c r="D26" s="262">
        <v>85</v>
      </c>
      <c r="E26" s="261">
        <v>250</v>
      </c>
      <c r="F26" s="263"/>
    </row>
    <row r="27" spans="1:6" x14ac:dyDescent="0.3">
      <c r="A27" s="236" t="s">
        <v>879</v>
      </c>
      <c r="B27" s="260">
        <v>8</v>
      </c>
      <c r="C27" s="261">
        <v>6</v>
      </c>
      <c r="D27" s="262">
        <v>4</v>
      </c>
      <c r="E27" s="261">
        <v>2</v>
      </c>
      <c r="F27" s="263"/>
    </row>
    <row r="28" spans="1:6" x14ac:dyDescent="0.3">
      <c r="A28" s="264" t="s">
        <v>880</v>
      </c>
      <c r="B28" s="265" t="s">
        <v>895</v>
      </c>
      <c r="C28" s="266" t="s">
        <v>896</v>
      </c>
      <c r="D28" s="267" t="s">
        <v>897</v>
      </c>
      <c r="E28" s="266">
        <v>1</v>
      </c>
      <c r="F28" s="268">
        <v>0.11</v>
      </c>
    </row>
    <row r="29" spans="1:6" x14ac:dyDescent="0.3">
      <c r="A29" s="236"/>
      <c r="B29" s="260"/>
      <c r="C29" s="261"/>
      <c r="D29" s="262"/>
      <c r="E29" s="261"/>
      <c r="F29" s="263"/>
    </row>
    <row r="30" spans="1:6" x14ac:dyDescent="0.3">
      <c r="A30" s="255" t="s">
        <v>898</v>
      </c>
      <c r="B30" s="256"/>
      <c r="C30" s="257"/>
      <c r="D30" s="258"/>
      <c r="E30" s="257"/>
      <c r="F30" s="259"/>
    </row>
    <row r="31" spans="1:6" x14ac:dyDescent="0.3">
      <c r="A31" s="236" t="s">
        <v>899</v>
      </c>
      <c r="B31" s="260">
        <v>23</v>
      </c>
      <c r="C31" s="261">
        <v>35</v>
      </c>
      <c r="D31" s="262">
        <v>125</v>
      </c>
      <c r="E31" s="261">
        <v>268</v>
      </c>
      <c r="F31" s="263"/>
    </row>
    <row r="32" spans="1:6" x14ac:dyDescent="0.3">
      <c r="A32" s="236" t="s">
        <v>879</v>
      </c>
      <c r="B32" s="260">
        <v>16</v>
      </c>
      <c r="C32" s="261">
        <v>10</v>
      </c>
      <c r="D32" s="262">
        <v>7</v>
      </c>
      <c r="E32" s="261">
        <v>3</v>
      </c>
      <c r="F32" s="263"/>
    </row>
    <row r="33" spans="1:6" ht="16.2" thickBot="1" x14ac:dyDescent="0.35">
      <c r="A33" s="246" t="s">
        <v>880</v>
      </c>
      <c r="B33" s="269" t="s">
        <v>900</v>
      </c>
      <c r="C33" s="270" t="s">
        <v>901</v>
      </c>
      <c r="D33" s="271" t="s">
        <v>902</v>
      </c>
      <c r="E33" s="270">
        <v>1</v>
      </c>
      <c r="F33" s="272" t="s">
        <v>884</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8671875" defaultRowHeight="14.4" x14ac:dyDescent="0.3"/>
  <cols>
    <col min="1" max="1" width="31" customWidth="1"/>
    <col min="2" max="2" width="17.88671875" customWidth="1"/>
    <col min="3" max="3" width="25.6640625" customWidth="1"/>
    <col min="4" max="4" width="24.6640625" customWidth="1"/>
    <col min="5" max="5" width="18.33203125" customWidth="1"/>
    <col min="7" max="7" width="35.44140625" customWidth="1"/>
    <col min="8" max="8" width="18.33203125" customWidth="1"/>
    <col min="9" max="9" width="26.88671875" customWidth="1"/>
    <col min="10" max="10" width="26.44140625" customWidth="1"/>
    <col min="11" max="11" width="18.88671875" customWidth="1"/>
  </cols>
  <sheetData>
    <row r="1" spans="1:11" ht="15" thickBot="1" x14ac:dyDescent="0.35">
      <c r="A1" t="s">
        <v>903</v>
      </c>
    </row>
    <row r="2" spans="1:11" ht="15" thickBot="1" x14ac:dyDescent="0.35">
      <c r="A2" s="397" t="s">
        <v>904</v>
      </c>
      <c r="B2" s="398"/>
      <c r="C2" s="398"/>
      <c r="D2" s="398"/>
      <c r="E2" s="399"/>
      <c r="G2" s="397" t="s">
        <v>905</v>
      </c>
      <c r="H2" s="398"/>
      <c r="I2" s="398"/>
      <c r="J2" s="398"/>
      <c r="K2" s="399"/>
    </row>
    <row r="3" spans="1:11" x14ac:dyDescent="0.3">
      <c r="A3" s="305" t="s">
        <v>906</v>
      </c>
      <c r="B3" s="304"/>
      <c r="C3" s="305" t="s">
        <v>906</v>
      </c>
      <c r="E3" s="304"/>
      <c r="G3" s="305" t="s">
        <v>906</v>
      </c>
      <c r="H3" s="304"/>
      <c r="I3" s="305" t="s">
        <v>906</v>
      </c>
      <c r="K3" s="304"/>
    </row>
    <row r="4" spans="1:11" ht="15" thickBot="1" x14ac:dyDescent="0.35">
      <c r="A4" s="305" t="s">
        <v>907</v>
      </c>
      <c r="B4" s="304" t="s">
        <v>908</v>
      </c>
      <c r="C4" s="305" t="s">
        <v>909</v>
      </c>
      <c r="D4" t="s">
        <v>910</v>
      </c>
      <c r="E4" s="304" t="s">
        <v>908</v>
      </c>
      <c r="G4" s="305" t="s">
        <v>907</v>
      </c>
      <c r="H4" s="304" t="s">
        <v>908</v>
      </c>
      <c r="I4" s="305" t="s">
        <v>909</v>
      </c>
      <c r="J4" t="s">
        <v>910</v>
      </c>
      <c r="K4" s="304" t="s">
        <v>908</v>
      </c>
    </row>
    <row r="5" spans="1:11" x14ac:dyDescent="0.3">
      <c r="A5" s="305" t="s">
        <v>911</v>
      </c>
      <c r="B5" s="304">
        <v>257208</v>
      </c>
      <c r="C5" s="309" t="s">
        <v>911</v>
      </c>
      <c r="D5" s="308" t="s">
        <v>911</v>
      </c>
      <c r="E5" s="307">
        <v>154</v>
      </c>
      <c r="G5" s="305" t="s">
        <v>911</v>
      </c>
      <c r="H5">
        <v>96830</v>
      </c>
      <c r="I5" s="309" t="s">
        <v>911</v>
      </c>
      <c r="J5" s="308" t="s">
        <v>911</v>
      </c>
      <c r="K5" s="307">
        <v>44</v>
      </c>
    </row>
    <row r="6" spans="1:11" x14ac:dyDescent="0.3">
      <c r="A6" s="305" t="s">
        <v>912</v>
      </c>
      <c r="B6" s="304">
        <v>20916</v>
      </c>
      <c r="C6" s="305" t="s">
        <v>911</v>
      </c>
      <c r="D6" t="s">
        <v>912</v>
      </c>
      <c r="E6" s="304">
        <v>5259</v>
      </c>
      <c r="G6" s="305" t="s">
        <v>912</v>
      </c>
      <c r="H6">
        <v>3909</v>
      </c>
      <c r="I6" s="305" t="s">
        <v>911</v>
      </c>
      <c r="J6" t="s">
        <v>912</v>
      </c>
      <c r="K6" s="304">
        <v>2410</v>
      </c>
    </row>
    <row r="7" spans="1:11" x14ac:dyDescent="0.3">
      <c r="A7" s="305" t="s">
        <v>809</v>
      </c>
      <c r="B7" s="304">
        <v>1593</v>
      </c>
      <c r="C7" s="305" t="s">
        <v>911</v>
      </c>
      <c r="D7" t="s">
        <v>809</v>
      </c>
      <c r="E7" s="304">
        <v>2067</v>
      </c>
      <c r="G7" s="305" t="s">
        <v>809</v>
      </c>
      <c r="H7">
        <v>455</v>
      </c>
      <c r="I7" s="305" t="s">
        <v>911</v>
      </c>
      <c r="J7" t="s">
        <v>809</v>
      </c>
      <c r="K7" s="304">
        <v>793</v>
      </c>
    </row>
    <row r="8" spans="1:11" ht="15" thickBot="1" x14ac:dyDescent="0.35">
      <c r="A8" s="303" t="s">
        <v>913</v>
      </c>
      <c r="B8" s="301">
        <v>1435619</v>
      </c>
      <c r="C8" s="305" t="s">
        <v>911</v>
      </c>
      <c r="D8" t="s">
        <v>913</v>
      </c>
      <c r="E8" s="304">
        <v>249728</v>
      </c>
      <c r="G8" s="303" t="s">
        <v>913</v>
      </c>
      <c r="H8" s="302">
        <v>2884</v>
      </c>
      <c r="I8" s="305" t="s">
        <v>911</v>
      </c>
      <c r="J8" t="s">
        <v>913</v>
      </c>
      <c r="K8" s="304">
        <v>93583</v>
      </c>
    </row>
    <row r="9" spans="1:11" x14ac:dyDescent="0.3">
      <c r="C9" s="309" t="s">
        <v>912</v>
      </c>
      <c r="D9" s="308" t="s">
        <v>911</v>
      </c>
      <c r="E9" s="307">
        <v>1167</v>
      </c>
      <c r="G9" t="s">
        <v>914</v>
      </c>
      <c r="H9">
        <f>SUM(H5:H7)</f>
        <v>101194</v>
      </c>
      <c r="I9" s="309" t="s">
        <v>912</v>
      </c>
      <c r="J9" s="308" t="s">
        <v>911</v>
      </c>
      <c r="K9" s="307">
        <v>486</v>
      </c>
    </row>
    <row r="10" spans="1:11" x14ac:dyDescent="0.3">
      <c r="C10" s="305" t="s">
        <v>912</v>
      </c>
      <c r="D10" t="s">
        <v>912</v>
      </c>
      <c r="E10" s="304">
        <v>125</v>
      </c>
      <c r="I10" s="305" t="s">
        <v>912</v>
      </c>
      <c r="J10" t="s">
        <v>912</v>
      </c>
      <c r="K10" s="304">
        <v>41</v>
      </c>
    </row>
    <row r="11" spans="1:11" x14ac:dyDescent="0.3">
      <c r="C11" s="305" t="s">
        <v>912</v>
      </c>
      <c r="D11" t="s">
        <v>809</v>
      </c>
      <c r="E11" s="304">
        <v>136</v>
      </c>
      <c r="G11" s="306" t="s">
        <v>915</v>
      </c>
      <c r="H11" s="306">
        <f>H5/H9</f>
        <v>0.95687491353242282</v>
      </c>
      <c r="I11" s="305" t="s">
        <v>912</v>
      </c>
      <c r="J11" t="s">
        <v>809</v>
      </c>
      <c r="K11" s="304">
        <v>76</v>
      </c>
    </row>
    <row r="12" spans="1:11" ht="15" thickBot="1" x14ac:dyDescent="0.35">
      <c r="C12" s="305" t="s">
        <v>912</v>
      </c>
      <c r="D12" t="s">
        <v>913</v>
      </c>
      <c r="E12" s="304">
        <v>19488</v>
      </c>
      <c r="G12" s="400" t="s">
        <v>916</v>
      </c>
      <c r="H12" s="401"/>
      <c r="I12" s="305" t="s">
        <v>912</v>
      </c>
      <c r="J12" t="s">
        <v>913</v>
      </c>
      <c r="K12" s="304">
        <v>3306</v>
      </c>
    </row>
    <row r="13" spans="1:11" x14ac:dyDescent="0.3">
      <c r="C13" s="309" t="s">
        <v>809</v>
      </c>
      <c r="D13" s="308" t="s">
        <v>911</v>
      </c>
      <c r="E13" s="307">
        <v>331</v>
      </c>
      <c r="G13" s="400"/>
      <c r="H13" s="401"/>
      <c r="I13" s="309" t="s">
        <v>809</v>
      </c>
      <c r="J13" s="308" t="s">
        <v>911</v>
      </c>
      <c r="K13" s="307">
        <v>158</v>
      </c>
    </row>
    <row r="14" spans="1:11" x14ac:dyDescent="0.3">
      <c r="C14" s="305" t="s">
        <v>809</v>
      </c>
      <c r="D14" t="s">
        <v>912</v>
      </c>
      <c r="E14" s="304">
        <v>122</v>
      </c>
      <c r="G14" s="400"/>
      <c r="H14" s="401"/>
      <c r="I14" s="305" t="s">
        <v>809</v>
      </c>
      <c r="J14" t="s">
        <v>912</v>
      </c>
      <c r="K14" s="304">
        <v>45</v>
      </c>
    </row>
    <row r="15" spans="1:11" x14ac:dyDescent="0.3">
      <c r="C15" s="305" t="s">
        <v>809</v>
      </c>
      <c r="D15" t="s">
        <v>809</v>
      </c>
      <c r="E15" s="304">
        <v>0</v>
      </c>
      <c r="G15" s="306" t="s">
        <v>917</v>
      </c>
      <c r="H15" s="306">
        <f>K9/H9</f>
        <v>4.802656283969405E-3</v>
      </c>
      <c r="I15" s="305" t="s">
        <v>809</v>
      </c>
      <c r="J15" t="s">
        <v>809</v>
      </c>
      <c r="K15" s="304">
        <v>0</v>
      </c>
    </row>
    <row r="16" spans="1:11" ht="15" customHeight="1" thickBot="1" x14ac:dyDescent="0.35">
      <c r="C16" s="303" t="s">
        <v>809</v>
      </c>
      <c r="D16" s="302" t="s">
        <v>913</v>
      </c>
      <c r="E16" s="301">
        <v>1140</v>
      </c>
      <c r="G16" s="400" t="s">
        <v>918</v>
      </c>
      <c r="H16" s="400"/>
      <c r="I16" s="303" t="s">
        <v>809</v>
      </c>
      <c r="J16" s="302" t="s">
        <v>913</v>
      </c>
      <c r="K16" s="301">
        <v>252</v>
      </c>
    </row>
    <row r="17" spans="3:11" x14ac:dyDescent="0.3">
      <c r="C17" s="305" t="s">
        <v>913</v>
      </c>
      <c r="D17" t="s">
        <v>911</v>
      </c>
      <c r="E17" s="304">
        <v>33531</v>
      </c>
      <c r="G17" s="400"/>
      <c r="H17" s="400"/>
      <c r="I17" s="305" t="s">
        <v>913</v>
      </c>
      <c r="J17" t="s">
        <v>911</v>
      </c>
      <c r="K17" s="304">
        <v>365</v>
      </c>
    </row>
    <row r="18" spans="3:11" x14ac:dyDescent="0.3">
      <c r="C18" s="305" t="s">
        <v>913</v>
      </c>
      <c r="D18" t="s">
        <v>912</v>
      </c>
      <c r="E18" s="304">
        <v>8366</v>
      </c>
      <c r="G18" s="400"/>
      <c r="H18" s="400"/>
      <c r="I18" s="305" t="s">
        <v>913</v>
      </c>
      <c r="J18" t="s">
        <v>912</v>
      </c>
      <c r="K18" s="304">
        <v>68</v>
      </c>
    </row>
    <row r="19" spans="3:11" x14ac:dyDescent="0.3">
      <c r="C19" s="305" t="s">
        <v>913</v>
      </c>
      <c r="D19" t="s">
        <v>809</v>
      </c>
      <c r="E19" s="304">
        <v>761</v>
      </c>
      <c r="G19" s="400"/>
      <c r="H19" s="400"/>
      <c r="I19" s="305" t="s">
        <v>913</v>
      </c>
      <c r="J19" t="s">
        <v>809</v>
      </c>
      <c r="K19" s="304">
        <v>17</v>
      </c>
    </row>
    <row r="20" spans="3:11" ht="15" thickBot="1" x14ac:dyDescent="0.35">
      <c r="C20" s="303" t="s">
        <v>913</v>
      </c>
      <c r="D20" s="302" t="s">
        <v>913</v>
      </c>
      <c r="E20" s="301">
        <v>1392961</v>
      </c>
      <c r="G20" s="400"/>
      <c r="H20" s="400"/>
      <c r="I20" s="303" t="s">
        <v>913</v>
      </c>
      <c r="J20" s="302" t="s">
        <v>913</v>
      </c>
      <c r="K20" s="301">
        <v>2434</v>
      </c>
    </row>
    <row r="21" spans="3:11" x14ac:dyDescent="0.3">
      <c r="G21" s="400"/>
      <c r="H21" s="400"/>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4" x14ac:dyDescent="0.3"/>
  <cols>
    <col min="1" max="1" width="32.5546875" customWidth="1"/>
    <col min="2" max="2" width="19.5546875" customWidth="1"/>
    <col min="3" max="3" width="21.44140625" customWidth="1"/>
    <col min="4" max="4" width="11.5546875" customWidth="1"/>
    <col min="5" max="5" width="18.33203125" customWidth="1"/>
    <col min="6" max="6" width="33.33203125" customWidth="1"/>
    <col min="7" max="8" width="20.6640625" customWidth="1"/>
    <col min="9" max="9" width="23" customWidth="1"/>
  </cols>
  <sheetData>
    <row r="1" spans="1:9" ht="31.2" x14ac:dyDescent="0.6">
      <c r="A1" s="342" t="s">
        <v>0</v>
      </c>
      <c r="B1" s="342"/>
      <c r="C1" s="342"/>
      <c r="D1" s="342"/>
      <c r="E1" s="342"/>
      <c r="F1" s="342"/>
      <c r="G1" s="342"/>
    </row>
    <row r="2" spans="1:9" ht="31.2" x14ac:dyDescent="0.3">
      <c r="A2" s="176" t="s">
        <v>1</v>
      </c>
      <c r="B2" s="176" t="s">
        <v>2</v>
      </c>
      <c r="C2" s="176" t="s">
        <v>3</v>
      </c>
      <c r="D2" s="176" t="s">
        <v>4</v>
      </c>
      <c r="E2" s="176" t="s">
        <v>5</v>
      </c>
      <c r="F2" s="176" t="s">
        <v>6</v>
      </c>
      <c r="G2" s="176" t="s">
        <v>7</v>
      </c>
      <c r="H2" s="176" t="s">
        <v>8</v>
      </c>
      <c r="I2" s="176" t="s">
        <v>9</v>
      </c>
    </row>
    <row r="3" spans="1:9" ht="15.6" x14ac:dyDescent="0.3">
      <c r="A3" s="167" t="s">
        <v>10</v>
      </c>
      <c r="B3" s="167">
        <v>2006</v>
      </c>
      <c r="C3" s="171">
        <v>38139</v>
      </c>
      <c r="D3" s="171">
        <v>38353</v>
      </c>
      <c r="E3" s="167">
        <v>214</v>
      </c>
      <c r="F3" s="170" t="s">
        <v>11</v>
      </c>
      <c r="G3" s="169">
        <v>25</v>
      </c>
      <c r="H3" s="169">
        <v>25</v>
      </c>
      <c r="I3" s="169">
        <v>10</v>
      </c>
    </row>
    <row r="4" spans="1:9" ht="15.6" x14ac:dyDescent="0.3">
      <c r="A4" s="174" t="s">
        <v>12</v>
      </c>
      <c r="B4" s="174">
        <v>2020</v>
      </c>
      <c r="C4" s="175">
        <v>42464</v>
      </c>
      <c r="D4" s="175">
        <v>42871</v>
      </c>
      <c r="E4" s="172">
        <v>372</v>
      </c>
      <c r="F4" s="173"/>
      <c r="G4" s="172">
        <v>395</v>
      </c>
      <c r="H4" s="172">
        <v>525</v>
      </c>
      <c r="I4" s="172">
        <v>114</v>
      </c>
    </row>
    <row r="5" spans="1:9" ht="31.2" x14ac:dyDescent="0.3">
      <c r="A5" s="167" t="s">
        <v>13</v>
      </c>
      <c r="B5" s="167">
        <v>2009</v>
      </c>
      <c r="C5" s="171">
        <v>38961</v>
      </c>
      <c r="D5" s="171">
        <v>39417</v>
      </c>
      <c r="E5" s="167">
        <v>456</v>
      </c>
      <c r="F5" s="170" t="s">
        <v>14</v>
      </c>
      <c r="G5" s="169">
        <v>385</v>
      </c>
      <c r="H5" s="169">
        <v>442</v>
      </c>
      <c r="I5" s="169">
        <v>74</v>
      </c>
    </row>
    <row r="6" spans="1:9" ht="62.4" x14ac:dyDescent="0.3">
      <c r="A6" s="174" t="s">
        <v>15</v>
      </c>
      <c r="B6" s="174">
        <v>2010</v>
      </c>
      <c r="C6" s="175">
        <v>37865</v>
      </c>
      <c r="D6" s="175">
        <v>40148</v>
      </c>
      <c r="E6" s="174">
        <v>2283</v>
      </c>
      <c r="F6" s="173" t="s">
        <v>16</v>
      </c>
      <c r="G6" s="172">
        <v>1942</v>
      </c>
      <c r="H6" s="172">
        <v>2962</v>
      </c>
      <c r="I6" s="172">
        <v>399</v>
      </c>
    </row>
    <row r="7" spans="1:9" ht="31.2" x14ac:dyDescent="0.3">
      <c r="A7" s="174" t="s">
        <v>17</v>
      </c>
      <c r="B7" s="174">
        <v>2009</v>
      </c>
      <c r="C7" s="175">
        <v>38261</v>
      </c>
      <c r="D7" s="175">
        <v>38443</v>
      </c>
      <c r="E7" s="174">
        <v>182</v>
      </c>
      <c r="F7" s="173" t="s">
        <v>18</v>
      </c>
      <c r="G7" s="172">
        <v>250</v>
      </c>
      <c r="H7" s="172">
        <v>85</v>
      </c>
      <c r="I7" s="172">
        <v>19</v>
      </c>
    </row>
    <row r="8" spans="1:9" ht="31.2" x14ac:dyDescent="0.3">
      <c r="A8" s="167" t="s">
        <v>19</v>
      </c>
      <c r="B8" s="167">
        <v>2013</v>
      </c>
      <c r="C8" s="171">
        <v>40756</v>
      </c>
      <c r="D8" s="171">
        <v>41000</v>
      </c>
      <c r="E8" s="167">
        <v>244</v>
      </c>
      <c r="F8" s="170" t="s">
        <v>20</v>
      </c>
      <c r="G8" s="169">
        <v>209</v>
      </c>
      <c r="H8" s="169">
        <v>209</v>
      </c>
      <c r="I8" s="169">
        <v>17</v>
      </c>
    </row>
    <row r="9" spans="1:9" ht="31.2" x14ac:dyDescent="0.3">
      <c r="A9" s="174" t="s">
        <v>21</v>
      </c>
      <c r="B9" s="174">
        <v>2014</v>
      </c>
      <c r="C9" s="175">
        <v>41214</v>
      </c>
      <c r="D9" s="175">
        <v>41426</v>
      </c>
      <c r="E9" s="174">
        <v>212</v>
      </c>
      <c r="F9" s="173" t="s">
        <v>22</v>
      </c>
      <c r="G9" s="172">
        <v>1318</v>
      </c>
      <c r="H9" s="172">
        <v>836</v>
      </c>
      <c r="I9" s="172">
        <v>64</v>
      </c>
    </row>
    <row r="10" spans="1:9" ht="15.6" x14ac:dyDescent="0.3">
      <c r="A10" s="167" t="s">
        <v>23</v>
      </c>
      <c r="B10" s="167">
        <v>2008</v>
      </c>
      <c r="C10" s="171">
        <v>38353</v>
      </c>
      <c r="D10" s="171">
        <v>38718</v>
      </c>
      <c r="E10" s="167">
        <v>365</v>
      </c>
      <c r="F10" s="170" t="s">
        <v>24</v>
      </c>
      <c r="G10" s="169">
        <v>239</v>
      </c>
      <c r="H10" s="169">
        <v>239</v>
      </c>
      <c r="I10" s="169">
        <v>10</v>
      </c>
    </row>
    <row r="11" spans="1:9" ht="46.8" x14ac:dyDescent="0.3">
      <c r="A11" s="174" t="s">
        <v>25</v>
      </c>
      <c r="B11" s="174">
        <v>2011</v>
      </c>
      <c r="C11" s="175">
        <v>38718</v>
      </c>
      <c r="D11" s="174"/>
      <c r="E11" s="172"/>
      <c r="F11" s="173" t="s">
        <v>26</v>
      </c>
      <c r="G11" s="172">
        <v>120</v>
      </c>
      <c r="H11" s="172">
        <v>120</v>
      </c>
      <c r="I11" s="172">
        <v>5</v>
      </c>
    </row>
    <row r="12" spans="1:9" ht="31.2" x14ac:dyDescent="0.3">
      <c r="A12" s="167" t="s">
        <v>27</v>
      </c>
      <c r="B12" s="167">
        <v>2009</v>
      </c>
      <c r="C12" s="171">
        <v>38718</v>
      </c>
      <c r="D12" s="171">
        <v>39083</v>
      </c>
      <c r="E12" s="167">
        <v>365</v>
      </c>
      <c r="F12" s="170" t="s">
        <v>28</v>
      </c>
      <c r="G12" s="169">
        <v>70</v>
      </c>
      <c r="H12" s="169">
        <v>70</v>
      </c>
      <c r="I12" s="169">
        <v>0</v>
      </c>
    </row>
    <row r="13" spans="1:9" ht="15.6" x14ac:dyDescent="0.3">
      <c r="A13" s="167" t="s">
        <v>29</v>
      </c>
      <c r="B13" s="167">
        <v>2015</v>
      </c>
      <c r="C13" s="167" t="s">
        <v>30</v>
      </c>
      <c r="D13" s="167" t="s">
        <v>30</v>
      </c>
      <c r="E13" s="167">
        <v>365</v>
      </c>
      <c r="F13" s="167" t="s">
        <v>31</v>
      </c>
      <c r="G13" s="167"/>
      <c r="H13" s="167">
        <f>111602+28446</f>
        <v>140048</v>
      </c>
      <c r="I13" s="167">
        <v>8032</v>
      </c>
    </row>
    <row r="14" spans="1:9" ht="31.2" x14ac:dyDescent="0.6">
      <c r="A14" s="167"/>
      <c r="B14" s="167"/>
      <c r="C14" s="167"/>
      <c r="D14" s="167"/>
      <c r="E14" s="167"/>
      <c r="F14" s="167"/>
      <c r="G14" s="168" t="s">
        <v>32</v>
      </c>
      <c r="H14" s="59"/>
      <c r="I14" s="183">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AE22" sqref="AE22"/>
    </sheetView>
  </sheetViews>
  <sheetFormatPr defaultRowHeight="14.4" x14ac:dyDescent="0.3"/>
  <cols>
    <col min="1" max="1" width="35.88671875" bestFit="1" customWidth="1"/>
    <col min="2" max="5" width="10.6640625" customWidth="1"/>
    <col min="8" max="15" width="19.6640625" customWidth="1"/>
  </cols>
  <sheetData>
    <row r="2" spans="1:17" x14ac:dyDescent="0.3">
      <c r="A2" s="312" t="s">
        <v>919</v>
      </c>
      <c r="B2" s="312"/>
      <c r="C2" s="312"/>
      <c r="D2" s="312"/>
      <c r="E2" s="312"/>
      <c r="I2" t="s">
        <v>920</v>
      </c>
      <c r="O2" t="s">
        <v>921</v>
      </c>
    </row>
    <row r="3" spans="1:17" x14ac:dyDescent="0.3">
      <c r="A3" s="312" t="s">
        <v>922</v>
      </c>
      <c r="B3" s="312"/>
      <c r="C3" s="312"/>
      <c r="D3" s="312"/>
      <c r="E3" s="312"/>
      <c r="I3" t="s">
        <v>923</v>
      </c>
      <c r="J3" t="s">
        <v>924</v>
      </c>
      <c r="K3" t="s">
        <v>925</v>
      </c>
      <c r="L3" t="s">
        <v>926</v>
      </c>
    </row>
    <row r="4" spans="1:17" x14ac:dyDescent="0.3">
      <c r="A4" s="312" t="s">
        <v>927</v>
      </c>
      <c r="B4" s="312" t="s">
        <v>928</v>
      </c>
      <c r="C4" s="312" t="s">
        <v>929</v>
      </c>
      <c r="D4" s="311" t="s">
        <v>930</v>
      </c>
      <c r="E4" s="311" t="s">
        <v>931</v>
      </c>
      <c r="H4">
        <v>2015</v>
      </c>
      <c r="I4">
        <f>D453</f>
        <v>904523</v>
      </c>
      <c r="J4">
        <f>D19</f>
        <v>112124</v>
      </c>
      <c r="K4">
        <f>D114</f>
        <v>79141</v>
      </c>
      <c r="L4">
        <f>D209</f>
        <v>161659</v>
      </c>
    </row>
    <row r="5" spans="1:17" x14ac:dyDescent="0.3">
      <c r="A5" s="312"/>
      <c r="B5" s="312"/>
      <c r="C5" s="312"/>
      <c r="D5" s="311" t="s">
        <v>929</v>
      </c>
      <c r="E5" s="311" t="s">
        <v>932</v>
      </c>
      <c r="H5">
        <v>2016</v>
      </c>
      <c r="I5">
        <f>D454</f>
        <v>887667</v>
      </c>
      <c r="J5">
        <f>D20</f>
        <v>204053</v>
      </c>
      <c r="K5">
        <f>D115</f>
        <v>61573</v>
      </c>
      <c r="L5">
        <f>D210</f>
        <v>231546</v>
      </c>
    </row>
    <row r="6" spans="1:17" x14ac:dyDescent="0.3">
      <c r="A6" s="311" t="s">
        <v>933</v>
      </c>
      <c r="B6" s="311">
        <v>2002</v>
      </c>
      <c r="C6" s="310">
        <v>0</v>
      </c>
      <c r="D6" s="310" t="s">
        <v>621</v>
      </c>
      <c r="E6" s="310" t="s">
        <v>621</v>
      </c>
      <c r="H6">
        <v>2017</v>
      </c>
      <c r="I6">
        <f>D455</f>
        <v>1060815</v>
      </c>
      <c r="J6">
        <f>D21</f>
        <v>224575</v>
      </c>
      <c r="K6">
        <f>D116</f>
        <v>112993</v>
      </c>
      <c r="L6">
        <f>D211</f>
        <v>364794</v>
      </c>
    </row>
    <row r="7" spans="1:17" x14ac:dyDescent="0.3">
      <c r="A7" s="311"/>
      <c r="B7" s="311">
        <v>2003</v>
      </c>
      <c r="C7" s="310">
        <v>0</v>
      </c>
      <c r="D7" s="310" t="s">
        <v>621</v>
      </c>
      <c r="E7" s="310" t="s">
        <v>621</v>
      </c>
      <c r="H7">
        <v>2018</v>
      </c>
      <c r="I7">
        <f>D456</f>
        <v>930496</v>
      </c>
      <c r="J7">
        <f>D22</f>
        <v>193524</v>
      </c>
      <c r="K7">
        <f>D117</f>
        <v>59797</v>
      </c>
      <c r="L7">
        <f>D212</f>
        <v>204345</v>
      </c>
    </row>
    <row r="8" spans="1:17" x14ac:dyDescent="0.3">
      <c r="A8" s="311"/>
      <c r="B8" s="311">
        <v>2004</v>
      </c>
      <c r="C8" s="310">
        <v>0</v>
      </c>
      <c r="D8" s="310" t="s">
        <v>621</v>
      </c>
      <c r="E8" s="310" t="s">
        <v>621</v>
      </c>
      <c r="H8">
        <v>2019</v>
      </c>
      <c r="I8">
        <f>L58</f>
        <v>879035</v>
      </c>
      <c r="J8">
        <f>L39</f>
        <v>133079</v>
      </c>
      <c r="K8">
        <f>L43</f>
        <v>63584</v>
      </c>
      <c r="L8">
        <f>L47</f>
        <v>202239</v>
      </c>
    </row>
    <row r="9" spans="1:17" x14ac:dyDescent="0.3">
      <c r="A9" s="311"/>
      <c r="B9" s="311">
        <v>2005</v>
      </c>
      <c r="C9" s="310">
        <v>0</v>
      </c>
      <c r="D9" s="310" t="s">
        <v>621</v>
      </c>
      <c r="E9" s="310" t="s">
        <v>621</v>
      </c>
      <c r="H9">
        <v>2020</v>
      </c>
    </row>
    <row r="10" spans="1:17" x14ac:dyDescent="0.3">
      <c r="A10" s="311"/>
      <c r="B10" s="311">
        <v>2006</v>
      </c>
      <c r="C10" s="310">
        <v>0</v>
      </c>
      <c r="D10" s="310" t="s">
        <v>621</v>
      </c>
      <c r="E10" s="310" t="s">
        <v>621</v>
      </c>
      <c r="O10" t="s">
        <v>934</v>
      </c>
      <c r="P10" t="s">
        <v>935</v>
      </c>
      <c r="Q10" t="s">
        <v>936</v>
      </c>
    </row>
    <row r="11" spans="1:17" x14ac:dyDescent="0.3">
      <c r="A11" s="311"/>
      <c r="B11" s="311">
        <v>2007</v>
      </c>
      <c r="C11" s="310">
        <v>0</v>
      </c>
      <c r="D11" s="310" t="s">
        <v>621</v>
      </c>
      <c r="E11" s="310" t="s">
        <v>621</v>
      </c>
      <c r="H11" s="323"/>
      <c r="I11" s="323" t="s">
        <v>937</v>
      </c>
      <c r="J11" s="323" t="s">
        <v>938</v>
      </c>
      <c r="K11" s="323" t="s">
        <v>939</v>
      </c>
      <c r="L11" s="323"/>
      <c r="N11">
        <v>2015</v>
      </c>
      <c r="O11">
        <f>SUM(I4:L4)</f>
        <v>1257447</v>
      </c>
      <c r="P11">
        <f>SUM(I4,K4)/SUM(I4:L4)</f>
        <v>0.78227074381663797</v>
      </c>
    </row>
    <row r="12" spans="1:17" x14ac:dyDescent="0.3">
      <c r="A12" s="311"/>
      <c r="B12" s="311">
        <v>2008</v>
      </c>
      <c r="C12" s="310">
        <v>0</v>
      </c>
      <c r="D12" s="310" t="s">
        <v>621</v>
      </c>
      <c r="E12" s="310" t="s">
        <v>621</v>
      </c>
      <c r="H12" s="323">
        <v>2015</v>
      </c>
      <c r="I12" s="323">
        <f>J4/SUM(I4:L4)</f>
        <v>8.9167972884741861E-2</v>
      </c>
      <c r="J12" s="323">
        <f>L4/SUM(I4:L4)</f>
        <v>0.12856128329862013</v>
      </c>
      <c r="K12" s="323">
        <f>SUM(J12,I12)</f>
        <v>0.21772925618336197</v>
      </c>
      <c r="L12" s="323"/>
      <c r="N12">
        <v>2016</v>
      </c>
      <c r="O12">
        <f>SUM(I5:L5)</f>
        <v>1384839</v>
      </c>
      <c r="P12">
        <f>SUM(I5,K5)/SUM(I5:L5)</f>
        <v>0.6854515218014513</v>
      </c>
    </row>
    <row r="13" spans="1:17" x14ac:dyDescent="0.3">
      <c r="A13" s="311"/>
      <c r="B13" s="311">
        <v>2009</v>
      </c>
      <c r="C13" s="310">
        <v>0</v>
      </c>
      <c r="D13" s="310" t="s">
        <v>621</v>
      </c>
      <c r="E13" s="310" t="s">
        <v>621</v>
      </c>
      <c r="H13" s="323">
        <v>2016</v>
      </c>
      <c r="I13" s="323">
        <f>J5/SUM(I5:L5)</f>
        <v>0.14734781443907921</v>
      </c>
      <c r="J13" s="323">
        <f>L5/SUM(I5:L5)</f>
        <v>0.16720066375946951</v>
      </c>
      <c r="K13" s="323">
        <f>SUM(J13,I13)</f>
        <v>0.3145484781985487</v>
      </c>
      <c r="L13" s="323"/>
      <c r="N13">
        <v>2017</v>
      </c>
      <c r="O13">
        <f>SUM(I6:L6)</f>
        <v>1763177</v>
      </c>
      <c r="P13">
        <f>SUM(I6,K6)/SUM(I6:L6)</f>
        <v>0.66573463696497859</v>
      </c>
    </row>
    <row r="14" spans="1:17" x14ac:dyDescent="0.3">
      <c r="A14" s="311"/>
      <c r="B14" s="311">
        <v>2010</v>
      </c>
      <c r="C14" s="310">
        <v>0</v>
      </c>
      <c r="D14" s="310" t="s">
        <v>621</v>
      </c>
      <c r="E14" s="310" t="s">
        <v>621</v>
      </c>
      <c r="H14" s="323">
        <v>2017</v>
      </c>
      <c r="I14" s="323">
        <f>J6/SUM(I6:L6)</f>
        <v>0.12736951536913196</v>
      </c>
      <c r="J14" s="323">
        <f>L6/SUM(I6:L6)</f>
        <v>0.20689584766588948</v>
      </c>
      <c r="K14" s="323">
        <f>SUM(J14,I14)</f>
        <v>0.33426536303502141</v>
      </c>
      <c r="L14" s="323"/>
      <c r="N14">
        <v>2018</v>
      </c>
      <c r="O14">
        <f>SUM(I7:L7)</f>
        <v>1388162</v>
      </c>
      <c r="P14">
        <f>SUM(I7,K7)/SUM(I7:L7)</f>
        <v>0.71338431681604886</v>
      </c>
    </row>
    <row r="15" spans="1:17" x14ac:dyDescent="0.3">
      <c r="A15" s="311"/>
      <c r="B15" s="311">
        <v>2011</v>
      </c>
      <c r="C15" s="310">
        <v>0</v>
      </c>
      <c r="D15" s="310" t="s">
        <v>621</v>
      </c>
      <c r="E15" s="310" t="s">
        <v>621</v>
      </c>
      <c r="H15" s="323">
        <v>2018</v>
      </c>
      <c r="I15" s="323">
        <f>J7/SUM(I7:L7)</f>
        <v>0.1394102417441192</v>
      </c>
      <c r="J15" s="323">
        <f>L7/SUM(I7:L7)</f>
        <v>0.14720544143983194</v>
      </c>
      <c r="K15" s="323">
        <f>SUM(J15,I15)</f>
        <v>0.28661568318395114</v>
      </c>
      <c r="L15" s="323"/>
    </row>
    <row r="16" spans="1:17" x14ac:dyDescent="0.3">
      <c r="A16" s="311"/>
      <c r="B16" s="311">
        <v>2012</v>
      </c>
      <c r="C16" s="310">
        <v>0</v>
      </c>
      <c r="D16" s="310" t="s">
        <v>621</v>
      </c>
      <c r="E16" s="310" t="s">
        <v>621</v>
      </c>
      <c r="H16" s="323">
        <v>2019</v>
      </c>
      <c r="I16" s="323">
        <f>J8/SUM(I8:L8)</f>
        <v>0.10413580638169175</v>
      </c>
      <c r="J16" s="323">
        <f>L8/SUM(I8:L8)</f>
        <v>0.1582542801405703</v>
      </c>
      <c r="K16" s="323">
        <f>SUM(J16,I16)</f>
        <v>0.26239008652226203</v>
      </c>
      <c r="L16" s="323"/>
    </row>
    <row r="17" spans="1:15" x14ac:dyDescent="0.3">
      <c r="A17" s="311"/>
      <c r="B17" s="311">
        <v>2013</v>
      </c>
      <c r="C17" s="310">
        <v>0</v>
      </c>
      <c r="D17" s="310" t="s">
        <v>621</v>
      </c>
      <c r="E17" s="310" t="s">
        <v>621</v>
      </c>
      <c r="H17" s="323" t="s">
        <v>940</v>
      </c>
      <c r="I17" s="323">
        <f>AVERAGE(I12:I16)</f>
        <v>0.1214862701637528</v>
      </c>
      <c r="J17" s="323">
        <f>AVERAGE(J12:J16)</f>
        <v>0.16162350326087629</v>
      </c>
      <c r="K17" s="323">
        <f>AVERAGE(K12:K16)</f>
        <v>0.28310977342462912</v>
      </c>
      <c r="L17" s="323"/>
    </row>
    <row r="18" spans="1:15" x14ac:dyDescent="0.3">
      <c r="A18" s="311"/>
      <c r="B18" s="311">
        <v>2014</v>
      </c>
      <c r="C18" s="310">
        <v>0</v>
      </c>
      <c r="D18" s="310" t="s">
        <v>621</v>
      </c>
      <c r="E18" s="310" t="s">
        <v>621</v>
      </c>
    </row>
    <row r="19" spans="1:15" x14ac:dyDescent="0.3">
      <c r="A19" s="311"/>
      <c r="B19" s="311">
        <v>2015</v>
      </c>
      <c r="C19" s="310">
        <v>31</v>
      </c>
      <c r="D19" s="310">
        <v>112124</v>
      </c>
      <c r="E19" s="310">
        <v>25101</v>
      </c>
    </row>
    <row r="20" spans="1:15" x14ac:dyDescent="0.3">
      <c r="A20" s="311"/>
      <c r="B20" s="311">
        <v>2016</v>
      </c>
      <c r="C20" s="310">
        <v>38</v>
      </c>
      <c r="D20" s="310">
        <v>204053</v>
      </c>
      <c r="E20" s="310">
        <v>43949</v>
      </c>
    </row>
    <row r="21" spans="1:15" x14ac:dyDescent="0.3">
      <c r="A21" s="311"/>
      <c r="B21" s="311">
        <v>2017</v>
      </c>
      <c r="C21" s="310">
        <v>44</v>
      </c>
      <c r="D21" s="310">
        <v>224575</v>
      </c>
      <c r="E21" s="310">
        <v>46714</v>
      </c>
      <c r="H21" s="321" t="s">
        <v>941</v>
      </c>
      <c r="I21" s="322" t="s">
        <v>941</v>
      </c>
      <c r="J21" s="321" t="s">
        <v>942</v>
      </c>
      <c r="K21" s="322" t="s">
        <v>942</v>
      </c>
      <c r="L21" s="321" t="s">
        <v>943</v>
      </c>
      <c r="M21" s="322" t="s">
        <v>943</v>
      </c>
      <c r="N21" s="321" t="s">
        <v>944</v>
      </c>
      <c r="O21" s="320" t="s">
        <v>944</v>
      </c>
    </row>
    <row r="22" spans="1:15" ht="43.2" x14ac:dyDescent="0.3">
      <c r="A22" s="311"/>
      <c r="B22" s="311">
        <v>2018</v>
      </c>
      <c r="C22" s="310">
        <v>38</v>
      </c>
      <c r="D22" s="310">
        <v>193524</v>
      </c>
      <c r="E22" s="310">
        <v>44581</v>
      </c>
      <c r="H22" s="318" t="s">
        <v>945</v>
      </c>
      <c r="I22" s="316" t="s">
        <v>946</v>
      </c>
      <c r="J22" s="318" t="s">
        <v>947</v>
      </c>
      <c r="K22" s="316" t="s">
        <v>948</v>
      </c>
      <c r="L22" s="318" t="s">
        <v>949</v>
      </c>
      <c r="M22" s="316" t="s">
        <v>950</v>
      </c>
      <c r="N22" s="318" t="s">
        <v>951</v>
      </c>
      <c r="O22" s="317" t="s">
        <v>952</v>
      </c>
    </row>
    <row r="23" spans="1:15" ht="43.2" x14ac:dyDescent="0.3">
      <c r="A23" s="311"/>
      <c r="B23" s="311" t="s">
        <v>251</v>
      </c>
      <c r="C23" s="310">
        <v>151</v>
      </c>
      <c r="D23" s="310">
        <v>734277</v>
      </c>
      <c r="E23" s="310">
        <v>83394</v>
      </c>
      <c r="H23" s="315" t="s">
        <v>953</v>
      </c>
      <c r="I23" s="319" t="s">
        <v>954</v>
      </c>
      <c r="J23" s="318" t="s">
        <v>955</v>
      </c>
      <c r="K23" s="316" t="s">
        <v>956</v>
      </c>
      <c r="L23" s="318" t="s">
        <v>957</v>
      </c>
      <c r="M23" s="316" t="s">
        <v>958</v>
      </c>
      <c r="N23" s="318" t="s">
        <v>959</v>
      </c>
      <c r="O23" s="317" t="s">
        <v>960</v>
      </c>
    </row>
    <row r="24" spans="1:15" ht="28.8" x14ac:dyDescent="0.3">
      <c r="A24" s="311" t="s">
        <v>961</v>
      </c>
      <c r="B24" s="311">
        <v>2002</v>
      </c>
      <c r="C24" s="310">
        <v>0</v>
      </c>
      <c r="D24" s="310" t="s">
        <v>621</v>
      </c>
      <c r="E24" s="310" t="s">
        <v>621</v>
      </c>
      <c r="H24" s="316"/>
      <c r="I24" s="316"/>
      <c r="J24" s="315" t="s">
        <v>962</v>
      </c>
      <c r="K24" s="319" t="s">
        <v>963</v>
      </c>
      <c r="L24" s="318" t="s">
        <v>964</v>
      </c>
      <c r="M24" s="316" t="s">
        <v>965</v>
      </c>
      <c r="N24" s="318" t="s">
        <v>966</v>
      </c>
      <c r="O24" s="317" t="s">
        <v>967</v>
      </c>
    </row>
    <row r="25" spans="1:15" x14ac:dyDescent="0.3">
      <c r="A25" s="311"/>
      <c r="B25" s="311">
        <v>2003</v>
      </c>
      <c r="C25" s="310">
        <v>0</v>
      </c>
      <c r="D25" s="310" t="s">
        <v>621</v>
      </c>
      <c r="E25" s="310" t="s">
        <v>621</v>
      </c>
      <c r="H25" s="316"/>
      <c r="I25" s="316"/>
      <c r="J25" s="316"/>
      <c r="K25" s="316"/>
      <c r="L25" s="315" t="s">
        <v>968</v>
      </c>
      <c r="M25" s="319" t="s">
        <v>969</v>
      </c>
      <c r="N25" s="318" t="s">
        <v>970</v>
      </c>
      <c r="O25" s="317" t="s">
        <v>971</v>
      </c>
    </row>
    <row r="26" spans="1:15" x14ac:dyDescent="0.3">
      <c r="A26" s="311"/>
      <c r="B26" s="311">
        <v>2004</v>
      </c>
      <c r="C26" s="310">
        <v>0</v>
      </c>
      <c r="D26" s="310" t="s">
        <v>621</v>
      </c>
      <c r="E26" s="310" t="s">
        <v>621</v>
      </c>
      <c r="H26" s="316"/>
      <c r="I26" s="316"/>
      <c r="J26" s="316"/>
      <c r="K26" s="316"/>
      <c r="L26" s="316"/>
      <c r="M26" s="316"/>
      <c r="N26" s="315" t="s">
        <v>972</v>
      </c>
      <c r="O26" s="314" t="s">
        <v>973</v>
      </c>
    </row>
    <row r="27" spans="1:15" x14ac:dyDescent="0.3">
      <c r="A27" s="311"/>
      <c r="B27" s="311">
        <v>2005</v>
      </c>
      <c r="C27" s="310">
        <v>0</v>
      </c>
      <c r="D27" s="310" t="s">
        <v>621</v>
      </c>
      <c r="E27" s="310" t="s">
        <v>621</v>
      </c>
    </row>
    <row r="28" spans="1:15" x14ac:dyDescent="0.3">
      <c r="A28" s="311"/>
      <c r="B28" s="311">
        <v>2006</v>
      </c>
      <c r="C28" s="310">
        <v>0</v>
      </c>
      <c r="D28" s="310" t="s">
        <v>621</v>
      </c>
      <c r="E28" s="310" t="s">
        <v>621</v>
      </c>
    </row>
    <row r="29" spans="1:15" x14ac:dyDescent="0.3">
      <c r="A29" s="311"/>
      <c r="B29" s="311">
        <v>2007</v>
      </c>
      <c r="C29" s="310">
        <v>0</v>
      </c>
      <c r="D29" s="310" t="s">
        <v>621</v>
      </c>
      <c r="E29" s="310" t="s">
        <v>621</v>
      </c>
    </row>
    <row r="30" spans="1:15" x14ac:dyDescent="0.3">
      <c r="A30" s="311"/>
      <c r="B30" s="311">
        <v>2008</v>
      </c>
      <c r="C30" s="310">
        <v>0</v>
      </c>
      <c r="D30" s="310" t="s">
        <v>621</v>
      </c>
      <c r="E30" s="310" t="s">
        <v>621</v>
      </c>
    </row>
    <row r="31" spans="1:15" x14ac:dyDescent="0.3">
      <c r="A31" s="311"/>
      <c r="B31" s="311">
        <v>2009</v>
      </c>
      <c r="C31" s="310">
        <v>0</v>
      </c>
      <c r="D31" s="310" t="s">
        <v>621</v>
      </c>
      <c r="E31" s="310" t="s">
        <v>621</v>
      </c>
    </row>
    <row r="32" spans="1:15" x14ac:dyDescent="0.3">
      <c r="A32" s="311"/>
      <c r="B32" s="311">
        <v>2010</v>
      </c>
      <c r="C32" s="310">
        <v>0</v>
      </c>
      <c r="D32" s="310" t="s">
        <v>621</v>
      </c>
      <c r="E32" s="310" t="s">
        <v>621</v>
      </c>
    </row>
    <row r="33" spans="1:15" x14ac:dyDescent="0.3">
      <c r="A33" s="311"/>
      <c r="B33" s="311">
        <v>2011</v>
      </c>
      <c r="C33" s="310">
        <v>0</v>
      </c>
      <c r="D33" s="310" t="s">
        <v>621</v>
      </c>
      <c r="E33" s="310" t="s">
        <v>621</v>
      </c>
    </row>
    <row r="34" spans="1:15" x14ac:dyDescent="0.3">
      <c r="A34" s="311"/>
      <c r="B34" s="311">
        <v>2012</v>
      </c>
      <c r="C34" s="310">
        <v>0</v>
      </c>
      <c r="D34" s="310" t="s">
        <v>621</v>
      </c>
      <c r="E34" s="310" t="s">
        <v>621</v>
      </c>
    </row>
    <row r="35" spans="1:15" x14ac:dyDescent="0.3">
      <c r="A35" s="311"/>
      <c r="B35" s="311">
        <v>2013</v>
      </c>
      <c r="C35" s="310">
        <v>0</v>
      </c>
      <c r="D35" s="310" t="s">
        <v>621</v>
      </c>
      <c r="E35" s="310" t="s">
        <v>621</v>
      </c>
      <c r="I35" t="s">
        <v>974</v>
      </c>
    </row>
    <row r="36" spans="1:15" x14ac:dyDescent="0.3">
      <c r="A36" s="311"/>
      <c r="B36" s="311">
        <v>2014</v>
      </c>
      <c r="C36" s="310">
        <v>0</v>
      </c>
      <c r="D36" s="310" t="s">
        <v>621</v>
      </c>
      <c r="E36" s="310" t="s">
        <v>621</v>
      </c>
      <c r="I36" s="402" t="s">
        <v>975</v>
      </c>
      <c r="J36" s="403"/>
      <c r="K36" s="403"/>
      <c r="L36" s="403"/>
      <c r="M36" s="403"/>
      <c r="N36" s="403"/>
      <c r="O36" s="403"/>
    </row>
    <row r="37" spans="1:15" x14ac:dyDescent="0.3">
      <c r="A37" s="311"/>
      <c r="B37" s="311">
        <v>2015</v>
      </c>
      <c r="C37" s="310">
        <v>52</v>
      </c>
      <c r="D37" s="310">
        <v>288801</v>
      </c>
      <c r="E37" s="310">
        <v>55647</v>
      </c>
      <c r="I37" s="404" t="s">
        <v>976</v>
      </c>
      <c r="J37" s="406" t="s">
        <v>927</v>
      </c>
      <c r="K37" s="406" t="s">
        <v>929</v>
      </c>
      <c r="L37" s="324" t="s">
        <v>930</v>
      </c>
      <c r="M37" s="324" t="s">
        <v>931</v>
      </c>
      <c r="N37" s="406" t="s">
        <v>977</v>
      </c>
      <c r="O37" s="325" t="s">
        <v>931</v>
      </c>
    </row>
    <row r="38" spans="1:15" x14ac:dyDescent="0.3">
      <c r="A38" s="311"/>
      <c r="B38" s="311">
        <v>2016</v>
      </c>
      <c r="C38" s="310">
        <v>37</v>
      </c>
      <c r="D38" s="310">
        <v>162645</v>
      </c>
      <c r="E38" s="310">
        <v>31105</v>
      </c>
      <c r="I38" s="405"/>
      <c r="J38" s="407"/>
      <c r="K38" s="407"/>
      <c r="L38" s="326" t="s">
        <v>929</v>
      </c>
      <c r="M38" s="326" t="s">
        <v>932</v>
      </c>
      <c r="N38" s="407"/>
      <c r="O38" s="327" t="s">
        <v>977</v>
      </c>
    </row>
    <row r="39" spans="1:15" x14ac:dyDescent="0.3">
      <c r="A39" s="311"/>
      <c r="B39" s="311">
        <v>2017</v>
      </c>
      <c r="C39" s="310">
        <v>50</v>
      </c>
      <c r="D39" s="310">
        <v>243411</v>
      </c>
      <c r="E39" s="310">
        <v>39153</v>
      </c>
      <c r="I39" s="328" t="s">
        <v>978</v>
      </c>
      <c r="J39" s="326">
        <v>1</v>
      </c>
      <c r="K39" s="329">
        <v>30</v>
      </c>
      <c r="L39" s="329">
        <v>133079</v>
      </c>
      <c r="M39" s="329">
        <v>35972</v>
      </c>
      <c r="N39" s="329">
        <v>4.8399999999999999E-2</v>
      </c>
      <c r="O39" s="330">
        <v>1.29E-2</v>
      </c>
    </row>
    <row r="40" spans="1:15" x14ac:dyDescent="0.3">
      <c r="A40" s="311"/>
      <c r="B40" s="311">
        <v>2018</v>
      </c>
      <c r="C40" s="310">
        <v>57</v>
      </c>
      <c r="D40" s="310">
        <v>283812</v>
      </c>
      <c r="E40" s="310">
        <v>57637</v>
      </c>
      <c r="I40" s="328" t="s">
        <v>979</v>
      </c>
      <c r="J40" s="326">
        <v>2</v>
      </c>
      <c r="K40" s="329">
        <v>52</v>
      </c>
      <c r="L40" s="329">
        <v>194997</v>
      </c>
      <c r="M40" s="329">
        <v>36404</v>
      </c>
      <c r="N40" s="329">
        <v>7.0900000000000005E-2</v>
      </c>
      <c r="O40" s="330">
        <v>1.32E-2</v>
      </c>
    </row>
    <row r="41" spans="1:15" x14ac:dyDescent="0.3">
      <c r="A41" s="311"/>
      <c r="B41" s="311" t="s">
        <v>251</v>
      </c>
      <c r="C41" s="310">
        <v>196</v>
      </c>
      <c r="D41" s="310">
        <v>978670</v>
      </c>
      <c r="E41" s="310">
        <v>96156</v>
      </c>
      <c r="I41" s="328" t="s">
        <v>979</v>
      </c>
      <c r="J41" s="326">
        <v>3</v>
      </c>
      <c r="K41" s="329">
        <v>0</v>
      </c>
      <c r="L41" s="329" t="s">
        <v>621</v>
      </c>
      <c r="M41" s="329" t="s">
        <v>621</v>
      </c>
      <c r="N41" s="329" t="s">
        <v>621</v>
      </c>
      <c r="O41" s="330" t="s">
        <v>621</v>
      </c>
    </row>
    <row r="42" spans="1:15" x14ac:dyDescent="0.3">
      <c r="A42" s="311" t="s">
        <v>980</v>
      </c>
      <c r="B42" s="311">
        <v>2002</v>
      </c>
      <c r="C42" s="310">
        <v>0</v>
      </c>
      <c r="D42" s="310" t="s">
        <v>621</v>
      </c>
      <c r="E42" s="310" t="s">
        <v>621</v>
      </c>
      <c r="I42" s="328" t="s">
        <v>979</v>
      </c>
      <c r="J42" s="326" t="s">
        <v>251</v>
      </c>
      <c r="K42" s="329">
        <v>82</v>
      </c>
      <c r="L42" s="329">
        <v>328076</v>
      </c>
      <c r="M42" s="329">
        <v>49773</v>
      </c>
      <c r="N42" s="329">
        <v>0.1192</v>
      </c>
      <c r="O42" s="330">
        <v>1.78E-2</v>
      </c>
    </row>
    <row r="43" spans="1:15" x14ac:dyDescent="0.3">
      <c r="A43" s="311"/>
      <c r="B43" s="311">
        <v>2003</v>
      </c>
      <c r="C43" s="310">
        <v>0</v>
      </c>
      <c r="D43" s="310" t="s">
        <v>621</v>
      </c>
      <c r="E43" s="310" t="s">
        <v>621</v>
      </c>
      <c r="I43" s="328" t="s">
        <v>981</v>
      </c>
      <c r="J43" s="326">
        <v>1</v>
      </c>
      <c r="K43" s="329">
        <v>15</v>
      </c>
      <c r="L43" s="329">
        <v>63584</v>
      </c>
      <c r="M43" s="329">
        <v>16993</v>
      </c>
      <c r="N43" s="329">
        <v>2.3099999999999999E-2</v>
      </c>
      <c r="O43" s="330">
        <v>6.1999999999999998E-3</v>
      </c>
    </row>
    <row r="44" spans="1:15" x14ac:dyDescent="0.3">
      <c r="A44" s="311"/>
      <c r="B44" s="311">
        <v>2004</v>
      </c>
      <c r="C44" s="310">
        <v>0</v>
      </c>
      <c r="D44" s="310" t="s">
        <v>621</v>
      </c>
      <c r="E44" s="310" t="s">
        <v>621</v>
      </c>
      <c r="I44" s="328" t="s">
        <v>979</v>
      </c>
      <c r="J44" s="326">
        <v>2</v>
      </c>
      <c r="K44" s="329">
        <v>17</v>
      </c>
      <c r="L44" s="329">
        <v>85188</v>
      </c>
      <c r="M44" s="329">
        <v>33269</v>
      </c>
      <c r="N44" s="329">
        <v>3.1E-2</v>
      </c>
      <c r="O44" s="330">
        <v>1.21E-2</v>
      </c>
    </row>
    <row r="45" spans="1:15" x14ac:dyDescent="0.3">
      <c r="A45" s="311"/>
      <c r="B45" s="311">
        <v>2005</v>
      </c>
      <c r="C45" s="310">
        <v>0</v>
      </c>
      <c r="D45" s="310" t="s">
        <v>621</v>
      </c>
      <c r="E45" s="310" t="s">
        <v>621</v>
      </c>
      <c r="I45" s="328" t="s">
        <v>979</v>
      </c>
      <c r="J45" s="326">
        <v>3</v>
      </c>
      <c r="K45" s="329">
        <v>0</v>
      </c>
      <c r="L45" s="329" t="s">
        <v>621</v>
      </c>
      <c r="M45" s="329" t="s">
        <v>621</v>
      </c>
      <c r="N45" s="329" t="s">
        <v>621</v>
      </c>
      <c r="O45" s="330" t="s">
        <v>621</v>
      </c>
    </row>
    <row r="46" spans="1:15" x14ac:dyDescent="0.3">
      <c r="A46" s="311"/>
      <c r="B46" s="311">
        <v>2006</v>
      </c>
      <c r="C46" s="310">
        <v>0</v>
      </c>
      <c r="D46" s="310" t="s">
        <v>621</v>
      </c>
      <c r="E46" s="310" t="s">
        <v>621</v>
      </c>
      <c r="I46" s="328" t="s">
        <v>979</v>
      </c>
      <c r="J46" s="326" t="s">
        <v>251</v>
      </c>
      <c r="K46" s="329">
        <v>32</v>
      </c>
      <c r="L46" s="329">
        <v>148772</v>
      </c>
      <c r="M46" s="329">
        <v>37787</v>
      </c>
      <c r="N46" s="329">
        <v>5.4100000000000002E-2</v>
      </c>
      <c r="O46" s="330">
        <v>1.38E-2</v>
      </c>
    </row>
    <row r="47" spans="1:15" x14ac:dyDescent="0.3">
      <c r="A47" s="311"/>
      <c r="B47" s="311">
        <v>2007</v>
      </c>
      <c r="C47" s="310">
        <v>0</v>
      </c>
      <c r="D47" s="310" t="s">
        <v>621</v>
      </c>
      <c r="E47" s="310" t="s">
        <v>621</v>
      </c>
      <c r="I47" s="328" t="s">
        <v>982</v>
      </c>
      <c r="J47" s="326">
        <v>1</v>
      </c>
      <c r="K47" s="329">
        <v>53</v>
      </c>
      <c r="L47" s="329">
        <v>202239</v>
      </c>
      <c r="M47" s="329">
        <v>36787</v>
      </c>
      <c r="N47" s="329">
        <v>7.3499999999999996E-2</v>
      </c>
      <c r="O47" s="330">
        <v>1.32E-2</v>
      </c>
    </row>
    <row r="48" spans="1:15" x14ac:dyDescent="0.3">
      <c r="A48" s="311"/>
      <c r="B48" s="311">
        <v>2008</v>
      </c>
      <c r="C48" s="310">
        <v>0</v>
      </c>
      <c r="D48" s="310" t="s">
        <v>621</v>
      </c>
      <c r="E48" s="310" t="s">
        <v>621</v>
      </c>
      <c r="I48" s="328" t="s">
        <v>979</v>
      </c>
      <c r="J48" s="326">
        <v>2</v>
      </c>
      <c r="K48" s="329">
        <v>103</v>
      </c>
      <c r="L48" s="329">
        <v>488919</v>
      </c>
      <c r="M48" s="329">
        <v>64782</v>
      </c>
      <c r="N48" s="329">
        <v>0.17760000000000001</v>
      </c>
      <c r="O48" s="330">
        <v>2.3099999999999999E-2</v>
      </c>
    </row>
    <row r="49" spans="1:15" x14ac:dyDescent="0.3">
      <c r="A49" s="311"/>
      <c r="B49" s="311">
        <v>2009</v>
      </c>
      <c r="C49" s="310">
        <v>0</v>
      </c>
      <c r="D49" s="310" t="s">
        <v>621</v>
      </c>
      <c r="E49" s="310" t="s">
        <v>621</v>
      </c>
      <c r="I49" s="328" t="s">
        <v>979</v>
      </c>
      <c r="J49" s="326">
        <v>3</v>
      </c>
      <c r="K49" s="329">
        <v>0</v>
      </c>
      <c r="L49" s="329" t="s">
        <v>621</v>
      </c>
      <c r="M49" s="329" t="s">
        <v>621</v>
      </c>
      <c r="N49" s="329" t="s">
        <v>621</v>
      </c>
      <c r="O49" s="330" t="s">
        <v>621</v>
      </c>
    </row>
    <row r="50" spans="1:15" x14ac:dyDescent="0.3">
      <c r="A50" s="311"/>
      <c r="B50" s="311">
        <v>2010</v>
      </c>
      <c r="C50" s="310">
        <v>0</v>
      </c>
      <c r="D50" s="310" t="s">
        <v>621</v>
      </c>
      <c r="E50" s="310" t="s">
        <v>621</v>
      </c>
      <c r="I50" s="328" t="s">
        <v>979</v>
      </c>
      <c r="J50" s="326" t="s">
        <v>251</v>
      </c>
      <c r="K50" s="329">
        <v>156</v>
      </c>
      <c r="L50" s="329">
        <v>691159</v>
      </c>
      <c r="M50" s="329">
        <v>75101</v>
      </c>
      <c r="N50" s="329">
        <v>0.25109999999999999</v>
      </c>
      <c r="O50" s="330">
        <v>2.6499999999999999E-2</v>
      </c>
    </row>
    <row r="51" spans="1:15" x14ac:dyDescent="0.3">
      <c r="A51" s="311"/>
      <c r="B51" s="311">
        <v>2011</v>
      </c>
      <c r="C51" s="310">
        <v>0</v>
      </c>
      <c r="D51" s="310" t="s">
        <v>621</v>
      </c>
      <c r="E51" s="310" t="s">
        <v>621</v>
      </c>
      <c r="I51" s="328" t="s">
        <v>983</v>
      </c>
      <c r="J51" s="326">
        <v>1</v>
      </c>
      <c r="K51" s="329">
        <v>11</v>
      </c>
      <c r="L51" s="329">
        <v>62937</v>
      </c>
      <c r="M51" s="329">
        <v>23925</v>
      </c>
      <c r="N51" s="329">
        <v>2.29E-2</v>
      </c>
      <c r="O51" s="330">
        <v>8.6E-3</v>
      </c>
    </row>
    <row r="52" spans="1:15" x14ac:dyDescent="0.3">
      <c r="A52" s="311"/>
      <c r="B52" s="311">
        <v>2012</v>
      </c>
      <c r="C52" s="310">
        <v>0</v>
      </c>
      <c r="D52" s="310" t="s">
        <v>621</v>
      </c>
      <c r="E52" s="310" t="s">
        <v>621</v>
      </c>
      <c r="I52" s="328" t="s">
        <v>979</v>
      </c>
      <c r="J52" s="326">
        <v>2</v>
      </c>
      <c r="K52" s="329">
        <v>6</v>
      </c>
      <c r="L52" s="329">
        <v>21736</v>
      </c>
      <c r="M52" s="329">
        <v>12476</v>
      </c>
      <c r="N52" s="329">
        <v>7.9000000000000008E-3</v>
      </c>
      <c r="O52" s="330">
        <v>4.4999999999999997E-3</v>
      </c>
    </row>
    <row r="53" spans="1:15" x14ac:dyDescent="0.3">
      <c r="A53" s="311"/>
      <c r="B53" s="311">
        <v>2013</v>
      </c>
      <c r="C53" s="310">
        <v>0</v>
      </c>
      <c r="D53" s="310" t="s">
        <v>621</v>
      </c>
      <c r="E53" s="310" t="s">
        <v>621</v>
      </c>
      <c r="I53" s="328" t="s">
        <v>979</v>
      </c>
      <c r="J53" s="326">
        <v>3</v>
      </c>
      <c r="K53" s="329">
        <v>55640</v>
      </c>
      <c r="L53" s="329">
        <v>273089534</v>
      </c>
      <c r="M53" s="329">
        <v>2687415</v>
      </c>
      <c r="N53" s="329">
        <v>99.225499999999997</v>
      </c>
      <c r="O53" s="330">
        <v>4.5600000000000002E-2</v>
      </c>
    </row>
    <row r="54" spans="1:15" x14ac:dyDescent="0.3">
      <c r="A54" s="311"/>
      <c r="B54" s="311">
        <v>2014</v>
      </c>
      <c r="C54" s="310">
        <v>0</v>
      </c>
      <c r="D54" s="310" t="s">
        <v>621</v>
      </c>
      <c r="E54" s="310" t="s">
        <v>621</v>
      </c>
      <c r="I54" s="328" t="s">
        <v>979</v>
      </c>
      <c r="J54" s="326" t="s">
        <v>251</v>
      </c>
      <c r="K54" s="329">
        <v>55657</v>
      </c>
      <c r="L54" s="329">
        <v>273174207</v>
      </c>
      <c r="M54" s="329">
        <v>2695138</v>
      </c>
      <c r="N54" s="329">
        <v>99.256200000000007</v>
      </c>
      <c r="O54" s="330">
        <v>4.2200000000000001E-2</v>
      </c>
    </row>
    <row r="55" spans="1:15" x14ac:dyDescent="0.3">
      <c r="A55" s="311"/>
      <c r="B55" s="311">
        <v>2015</v>
      </c>
      <c r="C55" s="310">
        <v>0</v>
      </c>
      <c r="D55" s="310" t="s">
        <v>621</v>
      </c>
      <c r="E55" s="310" t="s">
        <v>621</v>
      </c>
      <c r="I55" s="328" t="s">
        <v>984</v>
      </c>
      <c r="J55" s="326">
        <v>1</v>
      </c>
      <c r="K55" s="329">
        <v>8</v>
      </c>
      <c r="L55" s="329">
        <v>56817</v>
      </c>
      <c r="M55" s="329">
        <v>27610</v>
      </c>
      <c r="N55" s="329">
        <v>2.06E-2</v>
      </c>
      <c r="O55" s="330">
        <v>0.01</v>
      </c>
    </row>
    <row r="56" spans="1:15" x14ac:dyDescent="0.3">
      <c r="A56" s="311"/>
      <c r="B56" s="311">
        <v>2016</v>
      </c>
      <c r="C56" s="310">
        <v>0</v>
      </c>
      <c r="D56" s="310" t="s">
        <v>621</v>
      </c>
      <c r="E56" s="310" t="s">
        <v>621</v>
      </c>
      <c r="I56" s="328" t="s">
        <v>979</v>
      </c>
      <c r="J56" s="326">
        <v>2</v>
      </c>
      <c r="K56" s="329">
        <v>4</v>
      </c>
      <c r="L56" s="329">
        <v>6692</v>
      </c>
      <c r="M56" s="329">
        <v>4181</v>
      </c>
      <c r="N56" s="329">
        <v>2.3999999999999998E-3</v>
      </c>
      <c r="O56" s="330">
        <v>1.5E-3</v>
      </c>
    </row>
    <row r="57" spans="1:15" x14ac:dyDescent="0.3">
      <c r="A57" s="311"/>
      <c r="B57" s="311">
        <v>2017</v>
      </c>
      <c r="C57" s="310">
        <v>0</v>
      </c>
      <c r="D57" s="310" t="s">
        <v>621</v>
      </c>
      <c r="E57" s="310" t="s">
        <v>621</v>
      </c>
      <c r="I57" s="328" t="s">
        <v>979</v>
      </c>
      <c r="J57" s="326">
        <v>3</v>
      </c>
      <c r="K57" s="329">
        <v>197</v>
      </c>
      <c r="L57" s="329">
        <v>815526</v>
      </c>
      <c r="M57" s="329">
        <v>75404</v>
      </c>
      <c r="N57" s="329">
        <v>0.29630000000000001</v>
      </c>
      <c r="O57" s="330">
        <v>2.7400000000000001E-2</v>
      </c>
    </row>
    <row r="58" spans="1:15" x14ac:dyDescent="0.3">
      <c r="A58" s="311"/>
      <c r="B58" s="311">
        <v>2018</v>
      </c>
      <c r="C58" s="310">
        <v>0</v>
      </c>
      <c r="D58" s="310" t="s">
        <v>621</v>
      </c>
      <c r="E58" s="310" t="s">
        <v>621</v>
      </c>
      <c r="I58" s="328" t="s">
        <v>979</v>
      </c>
      <c r="J58" s="326" t="s">
        <v>251</v>
      </c>
      <c r="K58" s="329">
        <v>209</v>
      </c>
      <c r="L58" s="329">
        <v>879035</v>
      </c>
      <c r="M58" s="329">
        <v>81048</v>
      </c>
      <c r="N58" s="329">
        <v>0.31940000000000002</v>
      </c>
      <c r="O58" s="330">
        <v>2.92E-2</v>
      </c>
    </row>
    <row r="59" spans="1:15" x14ac:dyDescent="0.3">
      <c r="A59" s="311"/>
      <c r="B59" s="311" t="s">
        <v>251</v>
      </c>
      <c r="C59" s="310">
        <v>0</v>
      </c>
      <c r="D59" s="310" t="s">
        <v>621</v>
      </c>
      <c r="E59" s="310" t="s">
        <v>621</v>
      </c>
      <c r="I59" s="328" t="s">
        <v>251</v>
      </c>
      <c r="J59" s="326">
        <v>1</v>
      </c>
      <c r="K59" s="329">
        <v>117</v>
      </c>
      <c r="L59" s="329">
        <v>518655</v>
      </c>
      <c r="M59" s="329">
        <v>66178</v>
      </c>
      <c r="N59" s="329">
        <v>0.1885</v>
      </c>
      <c r="O59" s="330">
        <v>2.3199999999999998E-2</v>
      </c>
    </row>
    <row r="60" spans="1:15" x14ac:dyDescent="0.3">
      <c r="A60" s="311" t="s">
        <v>251</v>
      </c>
      <c r="B60" s="311">
        <v>2002</v>
      </c>
      <c r="C60" s="310">
        <v>0</v>
      </c>
      <c r="D60" s="310" t="s">
        <v>621</v>
      </c>
      <c r="E60" s="310" t="s">
        <v>621</v>
      </c>
      <c r="I60" s="328" t="s">
        <v>979</v>
      </c>
      <c r="J60" s="326">
        <v>2</v>
      </c>
      <c r="K60" s="329">
        <v>182</v>
      </c>
      <c r="L60" s="329">
        <v>797533</v>
      </c>
      <c r="M60" s="329">
        <v>83010</v>
      </c>
      <c r="N60" s="329">
        <v>0.2898</v>
      </c>
      <c r="O60" s="330">
        <v>2.9700000000000001E-2</v>
      </c>
    </row>
    <row r="61" spans="1:15" x14ac:dyDescent="0.3">
      <c r="A61" s="311"/>
      <c r="B61" s="311">
        <v>2003</v>
      </c>
      <c r="C61" s="310">
        <v>0</v>
      </c>
      <c r="D61" s="310" t="s">
        <v>621</v>
      </c>
      <c r="E61" s="310" t="s">
        <v>621</v>
      </c>
      <c r="I61" s="328" t="s">
        <v>979</v>
      </c>
      <c r="J61" s="326">
        <v>3</v>
      </c>
      <c r="K61" s="329">
        <v>55837</v>
      </c>
      <c r="L61" s="329">
        <v>273905060</v>
      </c>
      <c r="M61" s="329">
        <v>2689323</v>
      </c>
      <c r="N61" s="329">
        <v>99.521799999999999</v>
      </c>
      <c r="O61" s="330">
        <v>3.8300000000000001E-2</v>
      </c>
    </row>
    <row r="62" spans="1:15" x14ac:dyDescent="0.3">
      <c r="A62" s="311"/>
      <c r="B62" s="311">
        <v>2004</v>
      </c>
      <c r="C62" s="310">
        <v>0</v>
      </c>
      <c r="D62" s="310" t="s">
        <v>621</v>
      </c>
      <c r="E62" s="310" t="s">
        <v>621</v>
      </c>
      <c r="I62" s="331" t="s">
        <v>979</v>
      </c>
      <c r="J62" s="324" t="s">
        <v>251</v>
      </c>
      <c r="K62" s="332">
        <v>56136</v>
      </c>
      <c r="L62" s="332">
        <v>275221248</v>
      </c>
      <c r="M62" s="332">
        <v>2734553</v>
      </c>
      <c r="N62" s="332">
        <v>100</v>
      </c>
      <c r="O62" s="333" t="s">
        <v>979</v>
      </c>
    </row>
    <row r="63" spans="1:15" x14ac:dyDescent="0.3">
      <c r="A63" s="311"/>
      <c r="B63" s="311">
        <v>2005</v>
      </c>
      <c r="C63" s="310">
        <v>0</v>
      </c>
      <c r="D63" s="310" t="s">
        <v>621</v>
      </c>
      <c r="E63" s="310" t="s">
        <v>621</v>
      </c>
    </row>
    <row r="64" spans="1:15" x14ac:dyDescent="0.3">
      <c r="A64" s="311"/>
      <c r="B64" s="311">
        <v>2006</v>
      </c>
      <c r="C64" s="310">
        <v>0</v>
      </c>
      <c r="D64" s="310" t="s">
        <v>621</v>
      </c>
      <c r="E64" s="310" t="s">
        <v>621</v>
      </c>
    </row>
    <row r="65" spans="1:5" x14ac:dyDescent="0.3">
      <c r="A65" s="311"/>
      <c r="B65" s="311">
        <v>2007</v>
      </c>
      <c r="C65" s="310">
        <v>0</v>
      </c>
      <c r="D65" s="310" t="s">
        <v>621</v>
      </c>
      <c r="E65" s="310" t="s">
        <v>621</v>
      </c>
    </row>
    <row r="66" spans="1:5" x14ac:dyDescent="0.3">
      <c r="A66" s="311"/>
      <c r="B66" s="311">
        <v>2008</v>
      </c>
      <c r="C66" s="310">
        <v>0</v>
      </c>
      <c r="D66" s="310" t="s">
        <v>621</v>
      </c>
      <c r="E66" s="310" t="s">
        <v>621</v>
      </c>
    </row>
    <row r="67" spans="1:5" x14ac:dyDescent="0.3">
      <c r="A67" s="311"/>
      <c r="B67" s="311">
        <v>2009</v>
      </c>
      <c r="C67" s="310">
        <v>0</v>
      </c>
      <c r="D67" s="310" t="s">
        <v>621</v>
      </c>
      <c r="E67" s="310" t="s">
        <v>621</v>
      </c>
    </row>
    <row r="68" spans="1:5" x14ac:dyDescent="0.3">
      <c r="A68" s="311"/>
      <c r="B68" s="311">
        <v>2010</v>
      </c>
      <c r="C68" s="310">
        <v>0</v>
      </c>
      <c r="D68" s="310" t="s">
        <v>621</v>
      </c>
      <c r="E68" s="310" t="s">
        <v>621</v>
      </c>
    </row>
    <row r="69" spans="1:5" x14ac:dyDescent="0.3">
      <c r="A69" s="311"/>
      <c r="B69" s="311">
        <v>2011</v>
      </c>
      <c r="C69" s="310">
        <v>0</v>
      </c>
      <c r="D69" s="310" t="s">
        <v>621</v>
      </c>
      <c r="E69" s="310" t="s">
        <v>621</v>
      </c>
    </row>
    <row r="70" spans="1:5" x14ac:dyDescent="0.3">
      <c r="A70" s="311"/>
      <c r="B70" s="311">
        <v>2012</v>
      </c>
      <c r="C70" s="310">
        <v>0</v>
      </c>
      <c r="D70" s="310" t="s">
        <v>621</v>
      </c>
      <c r="E70" s="310" t="s">
        <v>621</v>
      </c>
    </row>
    <row r="71" spans="1:5" x14ac:dyDescent="0.3">
      <c r="A71" s="311"/>
      <c r="B71" s="311">
        <v>2013</v>
      </c>
      <c r="C71" s="310">
        <v>0</v>
      </c>
      <c r="D71" s="310" t="s">
        <v>621</v>
      </c>
      <c r="E71" s="310" t="s">
        <v>621</v>
      </c>
    </row>
    <row r="72" spans="1:5" x14ac:dyDescent="0.3">
      <c r="A72" s="311"/>
      <c r="B72" s="311">
        <v>2014</v>
      </c>
      <c r="C72" s="310">
        <v>0</v>
      </c>
      <c r="D72" s="310" t="s">
        <v>621</v>
      </c>
      <c r="E72" s="310" t="s">
        <v>621</v>
      </c>
    </row>
    <row r="73" spans="1:5" x14ac:dyDescent="0.3">
      <c r="A73" s="311"/>
      <c r="B73" s="311">
        <v>2015</v>
      </c>
      <c r="C73" s="310">
        <v>83</v>
      </c>
      <c r="D73" s="310">
        <v>400926</v>
      </c>
      <c r="E73" s="310">
        <v>58799</v>
      </c>
    </row>
    <row r="74" spans="1:5" x14ac:dyDescent="0.3">
      <c r="A74" s="311"/>
      <c r="B74" s="311">
        <v>2016</v>
      </c>
      <c r="C74" s="310">
        <v>75</v>
      </c>
      <c r="D74" s="310">
        <v>366698</v>
      </c>
      <c r="E74" s="310">
        <v>52117</v>
      </c>
    </row>
    <row r="75" spans="1:5" x14ac:dyDescent="0.3">
      <c r="A75" s="311"/>
      <c r="B75" s="311">
        <v>2017</v>
      </c>
      <c r="C75" s="310">
        <v>94</v>
      </c>
      <c r="D75" s="310">
        <v>467986</v>
      </c>
      <c r="E75" s="310">
        <v>52637</v>
      </c>
    </row>
    <row r="76" spans="1:5" x14ac:dyDescent="0.3">
      <c r="A76" s="311"/>
      <c r="B76" s="311">
        <v>2018</v>
      </c>
      <c r="C76" s="310">
        <v>95</v>
      </c>
      <c r="D76" s="310">
        <v>477337</v>
      </c>
      <c r="E76" s="310">
        <v>75006</v>
      </c>
    </row>
    <row r="77" spans="1:5" x14ac:dyDescent="0.3">
      <c r="A77" s="311"/>
      <c r="B77" s="311" t="s">
        <v>251</v>
      </c>
      <c r="C77" s="310">
        <v>347</v>
      </c>
      <c r="D77" s="310">
        <v>1712946</v>
      </c>
      <c r="E77" s="310">
        <v>105322</v>
      </c>
    </row>
    <row r="78" spans="1:5" x14ac:dyDescent="0.3">
      <c r="A78" s="313"/>
    </row>
    <row r="79" spans="1:5" x14ac:dyDescent="0.3">
      <c r="A79" s="312" t="s">
        <v>919</v>
      </c>
      <c r="B79" s="312"/>
      <c r="C79" s="312"/>
      <c r="D79" s="312"/>
      <c r="E79" s="312"/>
    </row>
    <row r="80" spans="1:5" x14ac:dyDescent="0.3">
      <c r="A80" s="312" t="s">
        <v>985</v>
      </c>
      <c r="B80" s="312"/>
      <c r="C80" s="312"/>
      <c r="D80" s="312"/>
      <c r="E80" s="312"/>
    </row>
    <row r="81" spans="1:5" x14ac:dyDescent="0.3">
      <c r="A81" s="312" t="s">
        <v>927</v>
      </c>
      <c r="B81" s="312" t="s">
        <v>928</v>
      </c>
      <c r="C81" s="312" t="s">
        <v>929</v>
      </c>
      <c r="D81" s="311" t="s">
        <v>930</v>
      </c>
      <c r="E81" s="311" t="s">
        <v>931</v>
      </c>
    </row>
    <row r="82" spans="1:5" x14ac:dyDescent="0.3">
      <c r="A82" s="312"/>
      <c r="B82" s="312"/>
      <c r="C82" s="312"/>
      <c r="D82" s="311" t="s">
        <v>929</v>
      </c>
      <c r="E82" s="311" t="s">
        <v>932</v>
      </c>
    </row>
    <row r="83" spans="1:5" x14ac:dyDescent="0.3">
      <c r="A83" s="311" t="s">
        <v>986</v>
      </c>
      <c r="B83" s="311">
        <v>2002</v>
      </c>
      <c r="C83" s="310">
        <v>0</v>
      </c>
      <c r="D83" s="310" t="s">
        <v>621</v>
      </c>
      <c r="E83" s="310" t="s">
        <v>621</v>
      </c>
    </row>
    <row r="84" spans="1:5" x14ac:dyDescent="0.3">
      <c r="A84" s="311"/>
      <c r="B84" s="311">
        <v>2003</v>
      </c>
      <c r="C84" s="310">
        <v>0</v>
      </c>
      <c r="D84" s="310" t="s">
        <v>621</v>
      </c>
      <c r="E84" s="310" t="s">
        <v>621</v>
      </c>
    </row>
    <row r="85" spans="1:5" x14ac:dyDescent="0.3">
      <c r="A85" s="311"/>
      <c r="B85" s="311">
        <v>2004</v>
      </c>
      <c r="C85" s="310">
        <v>0</v>
      </c>
      <c r="D85" s="310" t="s">
        <v>621</v>
      </c>
      <c r="E85" s="310" t="s">
        <v>621</v>
      </c>
    </row>
    <row r="86" spans="1:5" x14ac:dyDescent="0.3">
      <c r="A86" s="311"/>
      <c r="B86" s="311">
        <v>2005</v>
      </c>
      <c r="C86" s="310">
        <v>0</v>
      </c>
      <c r="D86" s="310" t="s">
        <v>621</v>
      </c>
      <c r="E86" s="310" t="s">
        <v>621</v>
      </c>
    </row>
    <row r="87" spans="1:5" x14ac:dyDescent="0.3">
      <c r="A87" s="311"/>
      <c r="B87" s="311">
        <v>2006</v>
      </c>
      <c r="C87" s="310">
        <v>0</v>
      </c>
      <c r="D87" s="310" t="s">
        <v>621</v>
      </c>
      <c r="E87" s="310" t="s">
        <v>621</v>
      </c>
    </row>
    <row r="88" spans="1:5" x14ac:dyDescent="0.3">
      <c r="A88" s="311"/>
      <c r="B88" s="311">
        <v>2007</v>
      </c>
      <c r="C88" s="310">
        <v>0</v>
      </c>
      <c r="D88" s="310" t="s">
        <v>621</v>
      </c>
      <c r="E88" s="310" t="s">
        <v>621</v>
      </c>
    </row>
    <row r="89" spans="1:5" x14ac:dyDescent="0.3">
      <c r="A89" s="311"/>
      <c r="B89" s="311">
        <v>2008</v>
      </c>
      <c r="C89" s="310">
        <v>0</v>
      </c>
      <c r="D89" s="310" t="s">
        <v>621</v>
      </c>
      <c r="E89" s="310" t="s">
        <v>621</v>
      </c>
    </row>
    <row r="90" spans="1:5" x14ac:dyDescent="0.3">
      <c r="A90" s="311"/>
      <c r="B90" s="311">
        <v>2009</v>
      </c>
      <c r="C90" s="310">
        <v>0</v>
      </c>
      <c r="D90" s="310" t="s">
        <v>621</v>
      </c>
      <c r="E90" s="310" t="s">
        <v>621</v>
      </c>
    </row>
    <row r="91" spans="1:5" x14ac:dyDescent="0.3">
      <c r="A91" s="311"/>
      <c r="B91" s="311">
        <v>2010</v>
      </c>
      <c r="C91" s="310">
        <v>0</v>
      </c>
      <c r="D91" s="310" t="s">
        <v>621</v>
      </c>
      <c r="E91" s="310" t="s">
        <v>621</v>
      </c>
    </row>
    <row r="92" spans="1:5" x14ac:dyDescent="0.3">
      <c r="A92" s="311"/>
      <c r="B92" s="311">
        <v>2011</v>
      </c>
      <c r="C92" s="310">
        <v>0</v>
      </c>
      <c r="D92" s="310" t="s">
        <v>621</v>
      </c>
      <c r="E92" s="310" t="s">
        <v>621</v>
      </c>
    </row>
    <row r="93" spans="1:5" x14ac:dyDescent="0.3">
      <c r="A93" s="311"/>
      <c r="B93" s="311">
        <v>2012</v>
      </c>
      <c r="C93" s="310">
        <v>0</v>
      </c>
      <c r="D93" s="310" t="s">
        <v>621</v>
      </c>
      <c r="E93" s="310" t="s">
        <v>621</v>
      </c>
    </row>
    <row r="94" spans="1:5" x14ac:dyDescent="0.3">
      <c r="A94" s="311"/>
      <c r="B94" s="311">
        <v>2013</v>
      </c>
      <c r="C94" s="310">
        <v>0</v>
      </c>
      <c r="D94" s="310" t="s">
        <v>621</v>
      </c>
      <c r="E94" s="310" t="s">
        <v>621</v>
      </c>
    </row>
    <row r="95" spans="1:5" x14ac:dyDescent="0.3">
      <c r="A95" s="311"/>
      <c r="B95" s="311">
        <v>2014</v>
      </c>
      <c r="C95" s="310">
        <v>0</v>
      </c>
      <c r="D95" s="310" t="s">
        <v>621</v>
      </c>
      <c r="E95" s="310" t="s">
        <v>621</v>
      </c>
    </row>
    <row r="96" spans="1:5" x14ac:dyDescent="0.3">
      <c r="A96" s="311"/>
      <c r="B96" s="311">
        <v>2015</v>
      </c>
      <c r="C96" s="310">
        <v>0</v>
      </c>
      <c r="D96" s="310" t="s">
        <v>621</v>
      </c>
      <c r="E96" s="310" t="s">
        <v>621</v>
      </c>
    </row>
    <row r="97" spans="1:5" x14ac:dyDescent="0.3">
      <c r="A97" s="311"/>
      <c r="B97" s="311">
        <v>2016</v>
      </c>
      <c r="C97" s="310">
        <v>0</v>
      </c>
      <c r="D97" s="310" t="s">
        <v>621</v>
      </c>
      <c r="E97" s="310" t="s">
        <v>621</v>
      </c>
    </row>
    <row r="98" spans="1:5" x14ac:dyDescent="0.3">
      <c r="A98" s="311"/>
      <c r="B98" s="311">
        <v>2017</v>
      </c>
      <c r="C98" s="310">
        <v>0</v>
      </c>
      <c r="D98" s="310" t="s">
        <v>621</v>
      </c>
      <c r="E98" s="310" t="s">
        <v>621</v>
      </c>
    </row>
    <row r="99" spans="1:5" x14ac:dyDescent="0.3">
      <c r="A99" s="311"/>
      <c r="B99" s="311">
        <v>2018</v>
      </c>
      <c r="C99" s="310">
        <v>0</v>
      </c>
      <c r="D99" s="310" t="s">
        <v>621</v>
      </c>
      <c r="E99" s="310" t="s">
        <v>621</v>
      </c>
    </row>
    <row r="100" spans="1:5" x14ac:dyDescent="0.3">
      <c r="A100" s="311"/>
      <c r="B100" s="311" t="s">
        <v>251</v>
      </c>
      <c r="C100" s="310">
        <v>0</v>
      </c>
      <c r="D100" s="310" t="s">
        <v>621</v>
      </c>
      <c r="E100" s="310" t="s">
        <v>621</v>
      </c>
    </row>
    <row r="101" spans="1:5" x14ac:dyDescent="0.3">
      <c r="A101" s="311" t="s">
        <v>933</v>
      </c>
      <c r="B101" s="311">
        <v>2002</v>
      </c>
      <c r="C101" s="310">
        <v>0</v>
      </c>
      <c r="D101" s="310" t="s">
        <v>621</v>
      </c>
      <c r="E101" s="310" t="s">
        <v>621</v>
      </c>
    </row>
    <row r="102" spans="1:5" x14ac:dyDescent="0.3">
      <c r="A102" s="311"/>
      <c r="B102" s="311">
        <v>2003</v>
      </c>
      <c r="C102" s="310">
        <v>0</v>
      </c>
      <c r="D102" s="310" t="s">
        <v>621</v>
      </c>
      <c r="E102" s="310" t="s">
        <v>621</v>
      </c>
    </row>
    <row r="103" spans="1:5" x14ac:dyDescent="0.3">
      <c r="A103" s="311"/>
      <c r="B103" s="311">
        <v>2004</v>
      </c>
      <c r="C103" s="310">
        <v>0</v>
      </c>
      <c r="D103" s="310" t="s">
        <v>621</v>
      </c>
      <c r="E103" s="310" t="s">
        <v>621</v>
      </c>
    </row>
    <row r="104" spans="1:5" x14ac:dyDescent="0.3">
      <c r="A104" s="311"/>
      <c r="B104" s="311">
        <v>2005</v>
      </c>
      <c r="C104" s="310">
        <v>0</v>
      </c>
      <c r="D104" s="310" t="s">
        <v>621</v>
      </c>
      <c r="E104" s="310" t="s">
        <v>621</v>
      </c>
    </row>
    <row r="105" spans="1:5" x14ac:dyDescent="0.3">
      <c r="A105" s="311"/>
      <c r="B105" s="311">
        <v>2006</v>
      </c>
      <c r="C105" s="310">
        <v>0</v>
      </c>
      <c r="D105" s="310" t="s">
        <v>621</v>
      </c>
      <c r="E105" s="310" t="s">
        <v>621</v>
      </c>
    </row>
    <row r="106" spans="1:5" x14ac:dyDescent="0.3">
      <c r="A106" s="311"/>
      <c r="B106" s="311">
        <v>2007</v>
      </c>
      <c r="C106" s="310">
        <v>0</v>
      </c>
      <c r="D106" s="310" t="s">
        <v>621</v>
      </c>
      <c r="E106" s="310" t="s">
        <v>621</v>
      </c>
    </row>
    <row r="107" spans="1:5" x14ac:dyDescent="0.3">
      <c r="A107" s="311"/>
      <c r="B107" s="311">
        <v>2008</v>
      </c>
      <c r="C107" s="310">
        <v>0</v>
      </c>
      <c r="D107" s="310" t="s">
        <v>621</v>
      </c>
      <c r="E107" s="310" t="s">
        <v>621</v>
      </c>
    </row>
    <row r="108" spans="1:5" x14ac:dyDescent="0.3">
      <c r="A108" s="311"/>
      <c r="B108" s="311">
        <v>2009</v>
      </c>
      <c r="C108" s="310">
        <v>0</v>
      </c>
      <c r="D108" s="310" t="s">
        <v>621</v>
      </c>
      <c r="E108" s="310" t="s">
        <v>621</v>
      </c>
    </row>
    <row r="109" spans="1:5" x14ac:dyDescent="0.3">
      <c r="A109" s="311"/>
      <c r="B109" s="311">
        <v>2010</v>
      </c>
      <c r="C109" s="310">
        <v>0</v>
      </c>
      <c r="D109" s="310" t="s">
        <v>621</v>
      </c>
      <c r="E109" s="310" t="s">
        <v>621</v>
      </c>
    </row>
    <row r="110" spans="1:5" x14ac:dyDescent="0.3">
      <c r="A110" s="311"/>
      <c r="B110" s="311">
        <v>2011</v>
      </c>
      <c r="C110" s="310">
        <v>0</v>
      </c>
      <c r="D110" s="310" t="s">
        <v>621</v>
      </c>
      <c r="E110" s="310" t="s">
        <v>621</v>
      </c>
    </row>
    <row r="111" spans="1:5" x14ac:dyDescent="0.3">
      <c r="A111" s="311"/>
      <c r="B111" s="311">
        <v>2012</v>
      </c>
      <c r="C111" s="310">
        <v>0</v>
      </c>
      <c r="D111" s="310" t="s">
        <v>621</v>
      </c>
      <c r="E111" s="310" t="s">
        <v>621</v>
      </c>
    </row>
    <row r="112" spans="1:5" x14ac:dyDescent="0.3">
      <c r="A112" s="311"/>
      <c r="B112" s="311">
        <v>2013</v>
      </c>
      <c r="C112" s="310">
        <v>0</v>
      </c>
      <c r="D112" s="310" t="s">
        <v>621</v>
      </c>
      <c r="E112" s="310" t="s">
        <v>621</v>
      </c>
    </row>
    <row r="113" spans="1:5" x14ac:dyDescent="0.3">
      <c r="A113" s="311"/>
      <c r="B113" s="311">
        <v>2014</v>
      </c>
      <c r="C113" s="310">
        <v>0</v>
      </c>
      <c r="D113" s="310" t="s">
        <v>621</v>
      </c>
      <c r="E113" s="310" t="s">
        <v>621</v>
      </c>
    </row>
    <row r="114" spans="1:5" x14ac:dyDescent="0.3">
      <c r="A114" s="311"/>
      <c r="B114" s="311">
        <v>2015</v>
      </c>
      <c r="C114" s="310">
        <v>15</v>
      </c>
      <c r="D114" s="310">
        <v>79141</v>
      </c>
      <c r="E114" s="310">
        <v>31499</v>
      </c>
    </row>
    <row r="115" spans="1:5" x14ac:dyDescent="0.3">
      <c r="A115" s="311"/>
      <c r="B115" s="311">
        <v>2016</v>
      </c>
      <c r="C115" s="310">
        <v>17</v>
      </c>
      <c r="D115" s="310">
        <v>61573</v>
      </c>
      <c r="E115" s="310">
        <v>20347</v>
      </c>
    </row>
    <row r="116" spans="1:5" x14ac:dyDescent="0.3">
      <c r="A116" s="311"/>
      <c r="B116" s="311">
        <v>2017</v>
      </c>
      <c r="C116" s="310">
        <v>18</v>
      </c>
      <c r="D116" s="310">
        <v>112993</v>
      </c>
      <c r="E116" s="310">
        <v>44128</v>
      </c>
    </row>
    <row r="117" spans="1:5" x14ac:dyDescent="0.3">
      <c r="A117" s="311"/>
      <c r="B117" s="311">
        <v>2018</v>
      </c>
      <c r="C117" s="310">
        <v>9</v>
      </c>
      <c r="D117" s="310">
        <v>59797</v>
      </c>
      <c r="E117" s="310">
        <v>40261</v>
      </c>
    </row>
    <row r="118" spans="1:5" x14ac:dyDescent="0.3">
      <c r="A118" s="311"/>
      <c r="B118" s="311" t="s">
        <v>251</v>
      </c>
      <c r="C118" s="310">
        <v>59</v>
      </c>
      <c r="D118" s="310">
        <v>313504</v>
      </c>
      <c r="E118" s="310">
        <v>72834</v>
      </c>
    </row>
    <row r="119" spans="1:5" x14ac:dyDescent="0.3">
      <c r="A119" s="311" t="s">
        <v>961</v>
      </c>
      <c r="B119" s="311">
        <v>2002</v>
      </c>
      <c r="C119" s="310">
        <v>0</v>
      </c>
      <c r="D119" s="310" t="s">
        <v>621</v>
      </c>
      <c r="E119" s="310" t="s">
        <v>621</v>
      </c>
    </row>
    <row r="120" spans="1:5" x14ac:dyDescent="0.3">
      <c r="A120" s="311"/>
      <c r="B120" s="311">
        <v>2003</v>
      </c>
      <c r="C120" s="310">
        <v>0</v>
      </c>
      <c r="D120" s="310" t="s">
        <v>621</v>
      </c>
      <c r="E120" s="310" t="s">
        <v>621</v>
      </c>
    </row>
    <row r="121" spans="1:5" x14ac:dyDescent="0.3">
      <c r="A121" s="311"/>
      <c r="B121" s="311">
        <v>2004</v>
      </c>
      <c r="C121" s="310">
        <v>0</v>
      </c>
      <c r="D121" s="310" t="s">
        <v>621</v>
      </c>
      <c r="E121" s="310" t="s">
        <v>621</v>
      </c>
    </row>
    <row r="122" spans="1:5" x14ac:dyDescent="0.3">
      <c r="A122" s="311"/>
      <c r="B122" s="311">
        <v>2005</v>
      </c>
      <c r="C122" s="310">
        <v>0</v>
      </c>
      <c r="D122" s="310" t="s">
        <v>621</v>
      </c>
      <c r="E122" s="310" t="s">
        <v>621</v>
      </c>
    </row>
    <row r="123" spans="1:5" x14ac:dyDescent="0.3">
      <c r="A123" s="311"/>
      <c r="B123" s="311">
        <v>2006</v>
      </c>
      <c r="C123" s="310">
        <v>0</v>
      </c>
      <c r="D123" s="310" t="s">
        <v>621</v>
      </c>
      <c r="E123" s="310" t="s">
        <v>621</v>
      </c>
    </row>
    <row r="124" spans="1:5" x14ac:dyDescent="0.3">
      <c r="A124" s="311"/>
      <c r="B124" s="311">
        <v>2007</v>
      </c>
      <c r="C124" s="310">
        <v>0</v>
      </c>
      <c r="D124" s="310" t="s">
        <v>621</v>
      </c>
      <c r="E124" s="310" t="s">
        <v>621</v>
      </c>
    </row>
    <row r="125" spans="1:5" x14ac:dyDescent="0.3">
      <c r="A125" s="311"/>
      <c r="B125" s="311">
        <v>2008</v>
      </c>
      <c r="C125" s="310">
        <v>0</v>
      </c>
      <c r="D125" s="310" t="s">
        <v>621</v>
      </c>
      <c r="E125" s="310" t="s">
        <v>621</v>
      </c>
    </row>
    <row r="126" spans="1:5" x14ac:dyDescent="0.3">
      <c r="A126" s="311"/>
      <c r="B126" s="311">
        <v>2009</v>
      </c>
      <c r="C126" s="310">
        <v>0</v>
      </c>
      <c r="D126" s="310" t="s">
        <v>621</v>
      </c>
      <c r="E126" s="310" t="s">
        <v>621</v>
      </c>
    </row>
    <row r="127" spans="1:5" x14ac:dyDescent="0.3">
      <c r="A127" s="311"/>
      <c r="B127" s="311">
        <v>2010</v>
      </c>
      <c r="C127" s="310">
        <v>0</v>
      </c>
      <c r="D127" s="310" t="s">
        <v>621</v>
      </c>
      <c r="E127" s="310" t="s">
        <v>621</v>
      </c>
    </row>
    <row r="128" spans="1:5" x14ac:dyDescent="0.3">
      <c r="A128" s="311"/>
      <c r="B128" s="311">
        <v>2011</v>
      </c>
      <c r="C128" s="310">
        <v>0</v>
      </c>
      <c r="D128" s="310" t="s">
        <v>621</v>
      </c>
      <c r="E128" s="310" t="s">
        <v>621</v>
      </c>
    </row>
    <row r="129" spans="1:5" x14ac:dyDescent="0.3">
      <c r="A129" s="311"/>
      <c r="B129" s="311">
        <v>2012</v>
      </c>
      <c r="C129" s="310">
        <v>0</v>
      </c>
      <c r="D129" s="310" t="s">
        <v>621</v>
      </c>
      <c r="E129" s="310" t="s">
        <v>621</v>
      </c>
    </row>
    <row r="130" spans="1:5" x14ac:dyDescent="0.3">
      <c r="A130" s="311"/>
      <c r="B130" s="311">
        <v>2013</v>
      </c>
      <c r="C130" s="310">
        <v>0</v>
      </c>
      <c r="D130" s="310" t="s">
        <v>621</v>
      </c>
      <c r="E130" s="310" t="s">
        <v>621</v>
      </c>
    </row>
    <row r="131" spans="1:5" x14ac:dyDescent="0.3">
      <c r="A131" s="311"/>
      <c r="B131" s="311">
        <v>2014</v>
      </c>
      <c r="C131" s="310">
        <v>0</v>
      </c>
      <c r="D131" s="310" t="s">
        <v>621</v>
      </c>
      <c r="E131" s="310" t="s">
        <v>621</v>
      </c>
    </row>
    <row r="132" spans="1:5" x14ac:dyDescent="0.3">
      <c r="A132" s="311"/>
      <c r="B132" s="311">
        <v>2015</v>
      </c>
      <c r="C132" s="310">
        <v>9</v>
      </c>
      <c r="D132" s="310">
        <v>32993</v>
      </c>
      <c r="E132" s="310">
        <v>12584</v>
      </c>
    </row>
    <row r="133" spans="1:5" x14ac:dyDescent="0.3">
      <c r="A133" s="311"/>
      <c r="B133" s="311">
        <v>2016</v>
      </c>
      <c r="C133" s="310">
        <v>17</v>
      </c>
      <c r="D133" s="310">
        <v>72758</v>
      </c>
      <c r="E133" s="310">
        <v>23391</v>
      </c>
    </row>
    <row r="134" spans="1:5" x14ac:dyDescent="0.3">
      <c r="A134" s="311"/>
      <c r="B134" s="311">
        <v>2017</v>
      </c>
      <c r="C134" s="310">
        <v>18</v>
      </c>
      <c r="D134" s="310">
        <v>79629</v>
      </c>
      <c r="E134" s="310">
        <v>28699</v>
      </c>
    </row>
    <row r="135" spans="1:5" x14ac:dyDescent="0.3">
      <c r="A135" s="311"/>
      <c r="B135" s="311">
        <v>2018</v>
      </c>
      <c r="C135" s="310">
        <v>14</v>
      </c>
      <c r="D135" s="310">
        <v>40904</v>
      </c>
      <c r="E135" s="310">
        <v>15873</v>
      </c>
    </row>
    <row r="136" spans="1:5" x14ac:dyDescent="0.3">
      <c r="A136" s="311"/>
      <c r="B136" s="311" t="s">
        <v>251</v>
      </c>
      <c r="C136" s="310">
        <v>58</v>
      </c>
      <c r="D136" s="310">
        <v>226284</v>
      </c>
      <c r="E136" s="310">
        <v>39143</v>
      </c>
    </row>
    <row r="137" spans="1:5" x14ac:dyDescent="0.3">
      <c r="A137" s="311" t="s">
        <v>980</v>
      </c>
      <c r="B137" s="311">
        <v>2002</v>
      </c>
      <c r="C137" s="310">
        <v>0</v>
      </c>
      <c r="D137" s="310" t="s">
        <v>621</v>
      </c>
      <c r="E137" s="310" t="s">
        <v>621</v>
      </c>
    </row>
    <row r="138" spans="1:5" x14ac:dyDescent="0.3">
      <c r="A138" s="311"/>
      <c r="B138" s="311">
        <v>2003</v>
      </c>
      <c r="C138" s="310">
        <v>0</v>
      </c>
      <c r="D138" s="310" t="s">
        <v>621</v>
      </c>
      <c r="E138" s="310" t="s">
        <v>621</v>
      </c>
    </row>
    <row r="139" spans="1:5" x14ac:dyDescent="0.3">
      <c r="A139" s="311"/>
      <c r="B139" s="311">
        <v>2004</v>
      </c>
      <c r="C139" s="310">
        <v>0</v>
      </c>
      <c r="D139" s="310" t="s">
        <v>621</v>
      </c>
      <c r="E139" s="310" t="s">
        <v>621</v>
      </c>
    </row>
    <row r="140" spans="1:5" x14ac:dyDescent="0.3">
      <c r="A140" s="311"/>
      <c r="B140" s="311">
        <v>2005</v>
      </c>
      <c r="C140" s="310">
        <v>0</v>
      </c>
      <c r="D140" s="310" t="s">
        <v>621</v>
      </c>
      <c r="E140" s="310" t="s">
        <v>621</v>
      </c>
    </row>
    <row r="141" spans="1:5" x14ac:dyDescent="0.3">
      <c r="A141" s="311"/>
      <c r="B141" s="311">
        <v>2006</v>
      </c>
      <c r="C141" s="310">
        <v>0</v>
      </c>
      <c r="D141" s="310" t="s">
        <v>621</v>
      </c>
      <c r="E141" s="310" t="s">
        <v>621</v>
      </c>
    </row>
    <row r="142" spans="1:5" x14ac:dyDescent="0.3">
      <c r="A142" s="311"/>
      <c r="B142" s="311">
        <v>2007</v>
      </c>
      <c r="C142" s="310">
        <v>0</v>
      </c>
      <c r="D142" s="310" t="s">
        <v>621</v>
      </c>
      <c r="E142" s="310" t="s">
        <v>621</v>
      </c>
    </row>
    <row r="143" spans="1:5" x14ac:dyDescent="0.3">
      <c r="A143" s="311"/>
      <c r="B143" s="311">
        <v>2008</v>
      </c>
      <c r="C143" s="310">
        <v>0</v>
      </c>
      <c r="D143" s="310" t="s">
        <v>621</v>
      </c>
      <c r="E143" s="310" t="s">
        <v>621</v>
      </c>
    </row>
    <row r="144" spans="1:5" x14ac:dyDescent="0.3">
      <c r="A144" s="311"/>
      <c r="B144" s="311">
        <v>2009</v>
      </c>
      <c r="C144" s="310">
        <v>0</v>
      </c>
      <c r="D144" s="310" t="s">
        <v>621</v>
      </c>
      <c r="E144" s="310" t="s">
        <v>621</v>
      </c>
    </row>
    <row r="145" spans="1:5" x14ac:dyDescent="0.3">
      <c r="A145" s="311"/>
      <c r="B145" s="311">
        <v>2010</v>
      </c>
      <c r="C145" s="310">
        <v>0</v>
      </c>
      <c r="D145" s="310" t="s">
        <v>621</v>
      </c>
      <c r="E145" s="310" t="s">
        <v>621</v>
      </c>
    </row>
    <row r="146" spans="1:5" x14ac:dyDescent="0.3">
      <c r="A146" s="311"/>
      <c r="B146" s="311">
        <v>2011</v>
      </c>
      <c r="C146" s="310">
        <v>0</v>
      </c>
      <c r="D146" s="310" t="s">
        <v>621</v>
      </c>
      <c r="E146" s="310" t="s">
        <v>621</v>
      </c>
    </row>
    <row r="147" spans="1:5" x14ac:dyDescent="0.3">
      <c r="A147" s="311"/>
      <c r="B147" s="311">
        <v>2012</v>
      </c>
      <c r="C147" s="310">
        <v>0</v>
      </c>
      <c r="D147" s="310" t="s">
        <v>621</v>
      </c>
      <c r="E147" s="310" t="s">
        <v>621</v>
      </c>
    </row>
    <row r="148" spans="1:5" x14ac:dyDescent="0.3">
      <c r="A148" s="311"/>
      <c r="B148" s="311">
        <v>2013</v>
      </c>
      <c r="C148" s="310">
        <v>0</v>
      </c>
      <c r="D148" s="310" t="s">
        <v>621</v>
      </c>
      <c r="E148" s="310" t="s">
        <v>621</v>
      </c>
    </row>
    <row r="149" spans="1:5" x14ac:dyDescent="0.3">
      <c r="A149" s="311"/>
      <c r="B149" s="311">
        <v>2014</v>
      </c>
      <c r="C149" s="310">
        <v>0</v>
      </c>
      <c r="D149" s="310" t="s">
        <v>621</v>
      </c>
      <c r="E149" s="310" t="s">
        <v>621</v>
      </c>
    </row>
    <row r="150" spans="1:5" x14ac:dyDescent="0.3">
      <c r="A150" s="311"/>
      <c r="B150" s="311">
        <v>2015</v>
      </c>
      <c r="C150" s="310">
        <v>0</v>
      </c>
      <c r="D150" s="310" t="s">
        <v>621</v>
      </c>
      <c r="E150" s="310" t="s">
        <v>621</v>
      </c>
    </row>
    <row r="151" spans="1:5" x14ac:dyDescent="0.3">
      <c r="A151" s="311"/>
      <c r="B151" s="311">
        <v>2016</v>
      </c>
      <c r="C151" s="310">
        <v>0</v>
      </c>
      <c r="D151" s="310" t="s">
        <v>621</v>
      </c>
      <c r="E151" s="310" t="s">
        <v>621</v>
      </c>
    </row>
    <row r="152" spans="1:5" x14ac:dyDescent="0.3">
      <c r="A152" s="311"/>
      <c r="B152" s="311">
        <v>2017</v>
      </c>
      <c r="C152" s="310">
        <v>0</v>
      </c>
      <c r="D152" s="310" t="s">
        <v>621</v>
      </c>
      <c r="E152" s="310" t="s">
        <v>621</v>
      </c>
    </row>
    <row r="153" spans="1:5" x14ac:dyDescent="0.3">
      <c r="A153" s="311"/>
      <c r="B153" s="311">
        <v>2018</v>
      </c>
      <c r="C153" s="310">
        <v>0</v>
      </c>
      <c r="D153" s="310" t="s">
        <v>621</v>
      </c>
      <c r="E153" s="310" t="s">
        <v>621</v>
      </c>
    </row>
    <row r="154" spans="1:5" x14ac:dyDescent="0.3">
      <c r="A154" s="311"/>
      <c r="B154" s="311" t="s">
        <v>251</v>
      </c>
      <c r="C154" s="310">
        <v>0</v>
      </c>
      <c r="D154" s="310" t="s">
        <v>621</v>
      </c>
      <c r="E154" s="310" t="s">
        <v>621</v>
      </c>
    </row>
    <row r="155" spans="1:5" x14ac:dyDescent="0.3">
      <c r="A155" s="311" t="s">
        <v>251</v>
      </c>
      <c r="B155" s="311">
        <v>2002</v>
      </c>
      <c r="C155" s="310">
        <v>0</v>
      </c>
      <c r="D155" s="310" t="s">
        <v>621</v>
      </c>
      <c r="E155" s="310" t="s">
        <v>621</v>
      </c>
    </row>
    <row r="156" spans="1:5" x14ac:dyDescent="0.3">
      <c r="A156" s="311"/>
      <c r="B156" s="311">
        <v>2003</v>
      </c>
      <c r="C156" s="310">
        <v>0</v>
      </c>
      <c r="D156" s="310" t="s">
        <v>621</v>
      </c>
      <c r="E156" s="310" t="s">
        <v>621</v>
      </c>
    </row>
    <row r="157" spans="1:5" x14ac:dyDescent="0.3">
      <c r="A157" s="311"/>
      <c r="B157" s="311">
        <v>2004</v>
      </c>
      <c r="C157" s="310">
        <v>0</v>
      </c>
      <c r="D157" s="310" t="s">
        <v>621</v>
      </c>
      <c r="E157" s="310" t="s">
        <v>621</v>
      </c>
    </row>
    <row r="158" spans="1:5" x14ac:dyDescent="0.3">
      <c r="A158" s="311"/>
      <c r="B158" s="311">
        <v>2005</v>
      </c>
      <c r="C158" s="310">
        <v>0</v>
      </c>
      <c r="D158" s="310" t="s">
        <v>621</v>
      </c>
      <c r="E158" s="310" t="s">
        <v>621</v>
      </c>
    </row>
    <row r="159" spans="1:5" x14ac:dyDescent="0.3">
      <c r="A159" s="311"/>
      <c r="B159" s="311">
        <v>2006</v>
      </c>
      <c r="C159" s="310">
        <v>0</v>
      </c>
      <c r="D159" s="310" t="s">
        <v>621</v>
      </c>
      <c r="E159" s="310" t="s">
        <v>621</v>
      </c>
    </row>
    <row r="160" spans="1:5" x14ac:dyDescent="0.3">
      <c r="A160" s="311"/>
      <c r="B160" s="311">
        <v>2007</v>
      </c>
      <c r="C160" s="310">
        <v>0</v>
      </c>
      <c r="D160" s="310" t="s">
        <v>621</v>
      </c>
      <c r="E160" s="310" t="s">
        <v>621</v>
      </c>
    </row>
    <row r="161" spans="1:5" x14ac:dyDescent="0.3">
      <c r="A161" s="311"/>
      <c r="B161" s="311">
        <v>2008</v>
      </c>
      <c r="C161" s="310">
        <v>0</v>
      </c>
      <c r="D161" s="310" t="s">
        <v>621</v>
      </c>
      <c r="E161" s="310" t="s">
        <v>621</v>
      </c>
    </row>
    <row r="162" spans="1:5" x14ac:dyDescent="0.3">
      <c r="A162" s="311"/>
      <c r="B162" s="311">
        <v>2009</v>
      </c>
      <c r="C162" s="310">
        <v>0</v>
      </c>
      <c r="D162" s="310" t="s">
        <v>621</v>
      </c>
      <c r="E162" s="310" t="s">
        <v>621</v>
      </c>
    </row>
    <row r="163" spans="1:5" x14ac:dyDescent="0.3">
      <c r="A163" s="311"/>
      <c r="B163" s="311">
        <v>2010</v>
      </c>
      <c r="C163" s="310">
        <v>0</v>
      </c>
      <c r="D163" s="310" t="s">
        <v>621</v>
      </c>
      <c r="E163" s="310" t="s">
        <v>621</v>
      </c>
    </row>
    <row r="164" spans="1:5" x14ac:dyDescent="0.3">
      <c r="A164" s="311"/>
      <c r="B164" s="311">
        <v>2011</v>
      </c>
      <c r="C164" s="310">
        <v>0</v>
      </c>
      <c r="D164" s="310" t="s">
        <v>621</v>
      </c>
      <c r="E164" s="310" t="s">
        <v>621</v>
      </c>
    </row>
    <row r="165" spans="1:5" x14ac:dyDescent="0.3">
      <c r="A165" s="311"/>
      <c r="B165" s="311">
        <v>2012</v>
      </c>
      <c r="C165" s="310">
        <v>0</v>
      </c>
      <c r="D165" s="310" t="s">
        <v>621</v>
      </c>
      <c r="E165" s="310" t="s">
        <v>621</v>
      </c>
    </row>
    <row r="166" spans="1:5" x14ac:dyDescent="0.3">
      <c r="A166" s="311"/>
      <c r="B166" s="311">
        <v>2013</v>
      </c>
      <c r="C166" s="310">
        <v>0</v>
      </c>
      <c r="D166" s="310" t="s">
        <v>621</v>
      </c>
      <c r="E166" s="310" t="s">
        <v>621</v>
      </c>
    </row>
    <row r="167" spans="1:5" x14ac:dyDescent="0.3">
      <c r="A167" s="311"/>
      <c r="B167" s="311">
        <v>2014</v>
      </c>
      <c r="C167" s="310">
        <v>0</v>
      </c>
      <c r="D167" s="310" t="s">
        <v>621</v>
      </c>
      <c r="E167" s="310" t="s">
        <v>621</v>
      </c>
    </row>
    <row r="168" spans="1:5" x14ac:dyDescent="0.3">
      <c r="A168" s="311"/>
      <c r="B168" s="311">
        <v>2015</v>
      </c>
      <c r="C168" s="310">
        <v>24</v>
      </c>
      <c r="D168" s="310">
        <v>112134</v>
      </c>
      <c r="E168" s="310">
        <v>36113</v>
      </c>
    </row>
    <row r="169" spans="1:5" x14ac:dyDescent="0.3">
      <c r="A169" s="311"/>
      <c r="B169" s="311">
        <v>2016</v>
      </c>
      <c r="C169" s="310">
        <v>34</v>
      </c>
      <c r="D169" s="310">
        <v>134331</v>
      </c>
      <c r="E169" s="310">
        <v>30940</v>
      </c>
    </row>
    <row r="170" spans="1:5" x14ac:dyDescent="0.3">
      <c r="A170" s="311"/>
      <c r="B170" s="311">
        <v>2017</v>
      </c>
      <c r="C170" s="310">
        <v>36</v>
      </c>
      <c r="D170" s="310">
        <v>192623</v>
      </c>
      <c r="E170" s="310">
        <v>52707</v>
      </c>
    </row>
    <row r="171" spans="1:5" x14ac:dyDescent="0.3">
      <c r="A171" s="311"/>
      <c r="B171" s="311">
        <v>2018</v>
      </c>
      <c r="C171" s="310">
        <v>23</v>
      </c>
      <c r="D171" s="310">
        <v>100701</v>
      </c>
      <c r="E171" s="310">
        <v>43149</v>
      </c>
    </row>
    <row r="172" spans="1:5" x14ac:dyDescent="0.3">
      <c r="A172" s="311"/>
      <c r="B172" s="311" t="s">
        <v>251</v>
      </c>
      <c r="C172" s="310">
        <v>117</v>
      </c>
      <c r="D172" s="310">
        <v>539788</v>
      </c>
      <c r="E172" s="310">
        <v>79790</v>
      </c>
    </row>
    <row r="173" spans="1:5" x14ac:dyDescent="0.3">
      <c r="A173" s="313"/>
    </row>
    <row r="174" spans="1:5" x14ac:dyDescent="0.3">
      <c r="A174" s="312" t="s">
        <v>919</v>
      </c>
      <c r="B174" s="312"/>
      <c r="C174" s="312"/>
      <c r="D174" s="312"/>
      <c r="E174" s="312"/>
    </row>
    <row r="175" spans="1:5" x14ac:dyDescent="0.3">
      <c r="A175" s="312" t="s">
        <v>987</v>
      </c>
      <c r="B175" s="312"/>
      <c r="C175" s="312"/>
      <c r="D175" s="312"/>
      <c r="E175" s="312"/>
    </row>
    <row r="176" spans="1:5" x14ac:dyDescent="0.3">
      <c r="A176" s="312" t="s">
        <v>927</v>
      </c>
      <c r="B176" s="312" t="s">
        <v>928</v>
      </c>
      <c r="C176" s="312" t="s">
        <v>929</v>
      </c>
      <c r="D176" s="311" t="s">
        <v>930</v>
      </c>
      <c r="E176" s="311" t="s">
        <v>931</v>
      </c>
    </row>
    <row r="177" spans="1:5" x14ac:dyDescent="0.3">
      <c r="A177" s="312"/>
      <c r="B177" s="312"/>
      <c r="C177" s="312"/>
      <c r="D177" s="311" t="s">
        <v>929</v>
      </c>
      <c r="E177" s="311" t="s">
        <v>932</v>
      </c>
    </row>
    <row r="178" spans="1:5" x14ac:dyDescent="0.3">
      <c r="A178" s="311" t="s">
        <v>986</v>
      </c>
      <c r="B178" s="311">
        <v>2002</v>
      </c>
      <c r="C178" s="310">
        <v>0</v>
      </c>
      <c r="D178" s="310" t="s">
        <v>621</v>
      </c>
      <c r="E178" s="310" t="s">
        <v>621</v>
      </c>
    </row>
    <row r="179" spans="1:5" x14ac:dyDescent="0.3">
      <c r="A179" s="311"/>
      <c r="B179" s="311">
        <v>2003</v>
      </c>
      <c r="C179" s="310">
        <v>0</v>
      </c>
      <c r="D179" s="310" t="s">
        <v>621</v>
      </c>
      <c r="E179" s="310" t="s">
        <v>621</v>
      </c>
    </row>
    <row r="180" spans="1:5" x14ac:dyDescent="0.3">
      <c r="A180" s="311"/>
      <c r="B180" s="311">
        <v>2004</v>
      </c>
      <c r="C180" s="310">
        <v>0</v>
      </c>
      <c r="D180" s="310" t="s">
        <v>621</v>
      </c>
      <c r="E180" s="310" t="s">
        <v>621</v>
      </c>
    </row>
    <row r="181" spans="1:5" x14ac:dyDescent="0.3">
      <c r="A181" s="311"/>
      <c r="B181" s="311">
        <v>2005</v>
      </c>
      <c r="C181" s="310">
        <v>0</v>
      </c>
      <c r="D181" s="310" t="s">
        <v>621</v>
      </c>
      <c r="E181" s="310" t="s">
        <v>621</v>
      </c>
    </row>
    <row r="182" spans="1:5" x14ac:dyDescent="0.3">
      <c r="A182" s="311"/>
      <c r="B182" s="311">
        <v>2006</v>
      </c>
      <c r="C182" s="310">
        <v>0</v>
      </c>
      <c r="D182" s="310" t="s">
        <v>621</v>
      </c>
      <c r="E182" s="310" t="s">
        <v>621</v>
      </c>
    </row>
    <row r="183" spans="1:5" x14ac:dyDescent="0.3">
      <c r="A183" s="311"/>
      <c r="B183" s="311">
        <v>2007</v>
      </c>
      <c r="C183" s="310">
        <v>0</v>
      </c>
      <c r="D183" s="310" t="s">
        <v>621</v>
      </c>
      <c r="E183" s="310" t="s">
        <v>621</v>
      </c>
    </row>
    <row r="184" spans="1:5" x14ac:dyDescent="0.3">
      <c r="A184" s="311"/>
      <c r="B184" s="311">
        <v>2008</v>
      </c>
      <c r="C184" s="310">
        <v>0</v>
      </c>
      <c r="D184" s="310" t="s">
        <v>621</v>
      </c>
      <c r="E184" s="310" t="s">
        <v>621</v>
      </c>
    </row>
    <row r="185" spans="1:5" x14ac:dyDescent="0.3">
      <c r="A185" s="311"/>
      <c r="B185" s="311">
        <v>2009</v>
      </c>
      <c r="C185" s="310">
        <v>0</v>
      </c>
      <c r="D185" s="310" t="s">
        <v>621</v>
      </c>
      <c r="E185" s="310" t="s">
        <v>621</v>
      </c>
    </row>
    <row r="186" spans="1:5" x14ac:dyDescent="0.3">
      <c r="A186" s="311"/>
      <c r="B186" s="311">
        <v>2010</v>
      </c>
      <c r="C186" s="310">
        <v>0</v>
      </c>
      <c r="D186" s="310" t="s">
        <v>621</v>
      </c>
      <c r="E186" s="310" t="s">
        <v>621</v>
      </c>
    </row>
    <row r="187" spans="1:5" x14ac:dyDescent="0.3">
      <c r="A187" s="311"/>
      <c r="B187" s="311">
        <v>2011</v>
      </c>
      <c r="C187" s="310">
        <v>0</v>
      </c>
      <c r="D187" s="310" t="s">
        <v>621</v>
      </c>
      <c r="E187" s="310" t="s">
        <v>621</v>
      </c>
    </row>
    <row r="188" spans="1:5" x14ac:dyDescent="0.3">
      <c r="A188" s="311"/>
      <c r="B188" s="311">
        <v>2012</v>
      </c>
      <c r="C188" s="310">
        <v>0</v>
      </c>
      <c r="D188" s="310" t="s">
        <v>621</v>
      </c>
      <c r="E188" s="310" t="s">
        <v>621</v>
      </c>
    </row>
    <row r="189" spans="1:5" x14ac:dyDescent="0.3">
      <c r="A189" s="311"/>
      <c r="B189" s="311">
        <v>2013</v>
      </c>
      <c r="C189" s="310">
        <v>0</v>
      </c>
      <c r="D189" s="310" t="s">
        <v>621</v>
      </c>
      <c r="E189" s="310" t="s">
        <v>621</v>
      </c>
    </row>
    <row r="190" spans="1:5" x14ac:dyDescent="0.3">
      <c r="A190" s="311"/>
      <c r="B190" s="311">
        <v>2014</v>
      </c>
      <c r="C190" s="310">
        <v>0</v>
      </c>
      <c r="D190" s="310" t="s">
        <v>621</v>
      </c>
      <c r="E190" s="310" t="s">
        <v>621</v>
      </c>
    </row>
    <row r="191" spans="1:5" x14ac:dyDescent="0.3">
      <c r="A191" s="311"/>
      <c r="B191" s="311">
        <v>2015</v>
      </c>
      <c r="C191" s="310">
        <v>0</v>
      </c>
      <c r="D191" s="310" t="s">
        <v>621</v>
      </c>
      <c r="E191" s="310" t="s">
        <v>621</v>
      </c>
    </row>
    <row r="192" spans="1:5" x14ac:dyDescent="0.3">
      <c r="A192" s="311"/>
      <c r="B192" s="311">
        <v>2016</v>
      </c>
      <c r="C192" s="310">
        <v>0</v>
      </c>
      <c r="D192" s="310" t="s">
        <v>621</v>
      </c>
      <c r="E192" s="310" t="s">
        <v>621</v>
      </c>
    </row>
    <row r="193" spans="1:5" x14ac:dyDescent="0.3">
      <c r="A193" s="311"/>
      <c r="B193" s="311">
        <v>2017</v>
      </c>
      <c r="C193" s="310">
        <v>0</v>
      </c>
      <c r="D193" s="310" t="s">
        <v>621</v>
      </c>
      <c r="E193" s="310" t="s">
        <v>621</v>
      </c>
    </row>
    <row r="194" spans="1:5" x14ac:dyDescent="0.3">
      <c r="A194" s="311"/>
      <c r="B194" s="311">
        <v>2018</v>
      </c>
      <c r="C194" s="310">
        <v>0</v>
      </c>
      <c r="D194" s="310" t="s">
        <v>621</v>
      </c>
      <c r="E194" s="310" t="s">
        <v>621</v>
      </c>
    </row>
    <row r="195" spans="1:5" x14ac:dyDescent="0.3">
      <c r="A195" s="311"/>
      <c r="B195" s="311" t="s">
        <v>251</v>
      </c>
      <c r="C195" s="310">
        <v>0</v>
      </c>
      <c r="D195" s="310" t="s">
        <v>621</v>
      </c>
      <c r="E195" s="310" t="s">
        <v>621</v>
      </c>
    </row>
    <row r="196" spans="1:5" x14ac:dyDescent="0.3">
      <c r="A196" s="311" t="s">
        <v>933</v>
      </c>
      <c r="B196" s="311">
        <v>2002</v>
      </c>
      <c r="C196" s="310">
        <v>0</v>
      </c>
      <c r="D196" s="310" t="s">
        <v>621</v>
      </c>
      <c r="E196" s="310" t="s">
        <v>621</v>
      </c>
    </row>
    <row r="197" spans="1:5" x14ac:dyDescent="0.3">
      <c r="A197" s="311"/>
      <c r="B197" s="311">
        <v>2003</v>
      </c>
      <c r="C197" s="310">
        <v>0</v>
      </c>
      <c r="D197" s="310" t="s">
        <v>621</v>
      </c>
      <c r="E197" s="310" t="s">
        <v>621</v>
      </c>
    </row>
    <row r="198" spans="1:5" x14ac:dyDescent="0.3">
      <c r="A198" s="311"/>
      <c r="B198" s="311">
        <v>2004</v>
      </c>
      <c r="C198" s="310">
        <v>0</v>
      </c>
      <c r="D198" s="310" t="s">
        <v>621</v>
      </c>
      <c r="E198" s="310" t="s">
        <v>621</v>
      </c>
    </row>
    <row r="199" spans="1:5" x14ac:dyDescent="0.3">
      <c r="A199" s="311"/>
      <c r="B199" s="311">
        <v>2005</v>
      </c>
      <c r="C199" s="310">
        <v>0</v>
      </c>
      <c r="D199" s="310" t="s">
        <v>621</v>
      </c>
      <c r="E199" s="310" t="s">
        <v>621</v>
      </c>
    </row>
    <row r="200" spans="1:5" x14ac:dyDescent="0.3">
      <c r="A200" s="311"/>
      <c r="B200" s="311">
        <v>2006</v>
      </c>
      <c r="C200" s="310">
        <v>0</v>
      </c>
      <c r="D200" s="310" t="s">
        <v>621</v>
      </c>
      <c r="E200" s="310" t="s">
        <v>621</v>
      </c>
    </row>
    <row r="201" spans="1:5" x14ac:dyDescent="0.3">
      <c r="A201" s="311"/>
      <c r="B201" s="311">
        <v>2007</v>
      </c>
      <c r="C201" s="310">
        <v>0</v>
      </c>
      <c r="D201" s="310" t="s">
        <v>621</v>
      </c>
      <c r="E201" s="310" t="s">
        <v>621</v>
      </c>
    </row>
    <row r="202" spans="1:5" x14ac:dyDescent="0.3">
      <c r="A202" s="311"/>
      <c r="B202" s="311">
        <v>2008</v>
      </c>
      <c r="C202" s="310">
        <v>0</v>
      </c>
      <c r="D202" s="310" t="s">
        <v>621</v>
      </c>
      <c r="E202" s="310" t="s">
        <v>621</v>
      </c>
    </row>
    <row r="203" spans="1:5" x14ac:dyDescent="0.3">
      <c r="A203" s="311"/>
      <c r="B203" s="311">
        <v>2009</v>
      </c>
      <c r="C203" s="310">
        <v>0</v>
      </c>
      <c r="D203" s="310" t="s">
        <v>621</v>
      </c>
      <c r="E203" s="310" t="s">
        <v>621</v>
      </c>
    </row>
    <row r="204" spans="1:5" x14ac:dyDescent="0.3">
      <c r="A204" s="311"/>
      <c r="B204" s="311">
        <v>2010</v>
      </c>
      <c r="C204" s="310">
        <v>0</v>
      </c>
      <c r="D204" s="310" t="s">
        <v>621</v>
      </c>
      <c r="E204" s="310" t="s">
        <v>621</v>
      </c>
    </row>
    <row r="205" spans="1:5" x14ac:dyDescent="0.3">
      <c r="A205" s="311"/>
      <c r="B205" s="311">
        <v>2011</v>
      </c>
      <c r="C205" s="310">
        <v>0</v>
      </c>
      <c r="D205" s="310" t="s">
        <v>621</v>
      </c>
      <c r="E205" s="310" t="s">
        <v>621</v>
      </c>
    </row>
    <row r="206" spans="1:5" x14ac:dyDescent="0.3">
      <c r="A206" s="311"/>
      <c r="B206" s="311">
        <v>2012</v>
      </c>
      <c r="C206" s="310">
        <v>0</v>
      </c>
      <c r="D206" s="310" t="s">
        <v>621</v>
      </c>
      <c r="E206" s="310" t="s">
        <v>621</v>
      </c>
    </row>
    <row r="207" spans="1:5" x14ac:dyDescent="0.3">
      <c r="A207" s="311"/>
      <c r="B207" s="311">
        <v>2013</v>
      </c>
      <c r="C207" s="310">
        <v>0</v>
      </c>
      <c r="D207" s="310" t="s">
        <v>621</v>
      </c>
      <c r="E207" s="310" t="s">
        <v>621</v>
      </c>
    </row>
    <row r="208" spans="1:5" x14ac:dyDescent="0.3">
      <c r="A208" s="311"/>
      <c r="B208" s="311">
        <v>2014</v>
      </c>
      <c r="C208" s="310">
        <v>0</v>
      </c>
      <c r="D208" s="310" t="s">
        <v>621</v>
      </c>
      <c r="E208" s="310" t="s">
        <v>621</v>
      </c>
    </row>
    <row r="209" spans="1:5" x14ac:dyDescent="0.3">
      <c r="A209" s="311"/>
      <c r="B209" s="311">
        <v>2015</v>
      </c>
      <c r="C209" s="310">
        <v>43</v>
      </c>
      <c r="D209" s="310">
        <v>161659</v>
      </c>
      <c r="E209" s="310">
        <v>32845</v>
      </c>
    </row>
    <row r="210" spans="1:5" x14ac:dyDescent="0.3">
      <c r="A210" s="311"/>
      <c r="B210" s="311">
        <v>2016</v>
      </c>
      <c r="C210" s="310">
        <v>54</v>
      </c>
      <c r="D210" s="310">
        <v>231546</v>
      </c>
      <c r="E210" s="310">
        <v>48752</v>
      </c>
    </row>
    <row r="211" spans="1:5" x14ac:dyDescent="0.3">
      <c r="A211" s="311"/>
      <c r="B211" s="311">
        <v>2017</v>
      </c>
      <c r="C211" s="310">
        <v>67</v>
      </c>
      <c r="D211" s="310">
        <v>364794</v>
      </c>
      <c r="E211" s="310">
        <v>79052</v>
      </c>
    </row>
    <row r="212" spans="1:5" x14ac:dyDescent="0.3">
      <c r="A212" s="311"/>
      <c r="B212" s="311">
        <v>2018</v>
      </c>
      <c r="C212" s="310">
        <v>50</v>
      </c>
      <c r="D212" s="310">
        <v>204345</v>
      </c>
      <c r="E212" s="310">
        <v>42587</v>
      </c>
    </row>
    <row r="213" spans="1:5" x14ac:dyDescent="0.3">
      <c r="A213" s="311"/>
      <c r="B213" s="311" t="s">
        <v>251</v>
      </c>
      <c r="C213" s="310">
        <v>214</v>
      </c>
      <c r="D213" s="310">
        <v>962344</v>
      </c>
      <c r="E213" s="310">
        <v>108369</v>
      </c>
    </row>
    <row r="214" spans="1:5" x14ac:dyDescent="0.3">
      <c r="A214" s="311" t="s">
        <v>961</v>
      </c>
      <c r="B214" s="311">
        <v>2002</v>
      </c>
      <c r="C214" s="310">
        <v>0</v>
      </c>
      <c r="D214" s="310" t="s">
        <v>621</v>
      </c>
      <c r="E214" s="310" t="s">
        <v>621</v>
      </c>
    </row>
    <row r="215" spans="1:5" x14ac:dyDescent="0.3">
      <c r="A215" s="311"/>
      <c r="B215" s="311">
        <v>2003</v>
      </c>
      <c r="C215" s="310">
        <v>0</v>
      </c>
      <c r="D215" s="310" t="s">
        <v>621</v>
      </c>
      <c r="E215" s="310" t="s">
        <v>621</v>
      </c>
    </row>
    <row r="216" spans="1:5" x14ac:dyDescent="0.3">
      <c r="A216" s="311"/>
      <c r="B216" s="311">
        <v>2004</v>
      </c>
      <c r="C216" s="310">
        <v>0</v>
      </c>
      <c r="D216" s="310" t="s">
        <v>621</v>
      </c>
      <c r="E216" s="310" t="s">
        <v>621</v>
      </c>
    </row>
    <row r="217" spans="1:5" x14ac:dyDescent="0.3">
      <c r="A217" s="311"/>
      <c r="B217" s="311">
        <v>2005</v>
      </c>
      <c r="C217" s="310">
        <v>0</v>
      </c>
      <c r="D217" s="310" t="s">
        <v>621</v>
      </c>
      <c r="E217" s="310" t="s">
        <v>621</v>
      </c>
    </row>
    <row r="218" spans="1:5" x14ac:dyDescent="0.3">
      <c r="A218" s="311"/>
      <c r="B218" s="311">
        <v>2006</v>
      </c>
      <c r="C218" s="310">
        <v>0</v>
      </c>
      <c r="D218" s="310" t="s">
        <v>621</v>
      </c>
      <c r="E218" s="310" t="s">
        <v>621</v>
      </c>
    </row>
    <row r="219" spans="1:5" x14ac:dyDescent="0.3">
      <c r="A219" s="311"/>
      <c r="B219" s="311">
        <v>2007</v>
      </c>
      <c r="C219" s="310">
        <v>0</v>
      </c>
      <c r="D219" s="310" t="s">
        <v>621</v>
      </c>
      <c r="E219" s="310" t="s">
        <v>621</v>
      </c>
    </row>
    <row r="220" spans="1:5" x14ac:dyDescent="0.3">
      <c r="A220" s="311"/>
      <c r="B220" s="311">
        <v>2008</v>
      </c>
      <c r="C220" s="310">
        <v>0</v>
      </c>
      <c r="D220" s="310" t="s">
        <v>621</v>
      </c>
      <c r="E220" s="310" t="s">
        <v>621</v>
      </c>
    </row>
    <row r="221" spans="1:5" x14ac:dyDescent="0.3">
      <c r="A221" s="311"/>
      <c r="B221" s="311">
        <v>2009</v>
      </c>
      <c r="C221" s="310">
        <v>0</v>
      </c>
      <c r="D221" s="310" t="s">
        <v>621</v>
      </c>
      <c r="E221" s="310" t="s">
        <v>621</v>
      </c>
    </row>
    <row r="222" spans="1:5" x14ac:dyDescent="0.3">
      <c r="A222" s="311"/>
      <c r="B222" s="311">
        <v>2010</v>
      </c>
      <c r="C222" s="310">
        <v>0</v>
      </c>
      <c r="D222" s="310" t="s">
        <v>621</v>
      </c>
      <c r="E222" s="310" t="s">
        <v>621</v>
      </c>
    </row>
    <row r="223" spans="1:5" x14ac:dyDescent="0.3">
      <c r="A223" s="311"/>
      <c r="B223" s="311">
        <v>2011</v>
      </c>
      <c r="C223" s="310">
        <v>0</v>
      </c>
      <c r="D223" s="310" t="s">
        <v>621</v>
      </c>
      <c r="E223" s="310" t="s">
        <v>621</v>
      </c>
    </row>
    <row r="224" spans="1:5" x14ac:dyDescent="0.3">
      <c r="A224" s="311"/>
      <c r="B224" s="311">
        <v>2012</v>
      </c>
      <c r="C224" s="310">
        <v>0</v>
      </c>
      <c r="D224" s="310" t="s">
        <v>621</v>
      </c>
      <c r="E224" s="310" t="s">
        <v>621</v>
      </c>
    </row>
    <row r="225" spans="1:5" x14ac:dyDescent="0.3">
      <c r="A225" s="311"/>
      <c r="B225" s="311">
        <v>2013</v>
      </c>
      <c r="C225" s="310">
        <v>0</v>
      </c>
      <c r="D225" s="310" t="s">
        <v>621</v>
      </c>
      <c r="E225" s="310" t="s">
        <v>621</v>
      </c>
    </row>
    <row r="226" spans="1:5" x14ac:dyDescent="0.3">
      <c r="A226" s="311"/>
      <c r="B226" s="311">
        <v>2014</v>
      </c>
      <c r="C226" s="310">
        <v>0</v>
      </c>
      <c r="D226" s="310" t="s">
        <v>621</v>
      </c>
      <c r="E226" s="310" t="s">
        <v>621</v>
      </c>
    </row>
    <row r="227" spans="1:5" x14ac:dyDescent="0.3">
      <c r="A227" s="311"/>
      <c r="B227" s="311">
        <v>2015</v>
      </c>
      <c r="C227" s="310">
        <v>101</v>
      </c>
      <c r="D227" s="310">
        <v>463797</v>
      </c>
      <c r="E227" s="310">
        <v>66010</v>
      </c>
    </row>
    <row r="228" spans="1:5" x14ac:dyDescent="0.3">
      <c r="A228" s="311"/>
      <c r="B228" s="311">
        <v>2016</v>
      </c>
      <c r="C228" s="310">
        <v>84</v>
      </c>
      <c r="D228" s="310">
        <v>376329</v>
      </c>
      <c r="E228" s="310">
        <v>51453</v>
      </c>
    </row>
    <row r="229" spans="1:5" x14ac:dyDescent="0.3">
      <c r="A229" s="311"/>
      <c r="B229" s="311">
        <v>2017</v>
      </c>
      <c r="C229" s="310">
        <v>80</v>
      </c>
      <c r="D229" s="310">
        <v>336051</v>
      </c>
      <c r="E229" s="310">
        <v>53322</v>
      </c>
    </row>
    <row r="230" spans="1:5" x14ac:dyDescent="0.3">
      <c r="A230" s="311"/>
      <c r="B230" s="311">
        <v>2018</v>
      </c>
      <c r="C230" s="310">
        <v>102</v>
      </c>
      <c r="D230" s="310">
        <v>437007</v>
      </c>
      <c r="E230" s="310">
        <v>66138</v>
      </c>
    </row>
    <row r="231" spans="1:5" x14ac:dyDescent="0.3">
      <c r="A231" s="311"/>
      <c r="B231" s="311" t="s">
        <v>251</v>
      </c>
      <c r="C231" s="310">
        <v>367</v>
      </c>
      <c r="D231" s="310">
        <v>1613184</v>
      </c>
      <c r="E231" s="310">
        <v>140140</v>
      </c>
    </row>
    <row r="232" spans="1:5" x14ac:dyDescent="0.3">
      <c r="A232" s="311" t="s">
        <v>980</v>
      </c>
      <c r="B232" s="311">
        <v>2002</v>
      </c>
      <c r="C232" s="310">
        <v>0</v>
      </c>
      <c r="D232" s="310" t="s">
        <v>621</v>
      </c>
      <c r="E232" s="310" t="s">
        <v>621</v>
      </c>
    </row>
    <row r="233" spans="1:5" x14ac:dyDescent="0.3">
      <c r="A233" s="311"/>
      <c r="B233" s="311">
        <v>2003</v>
      </c>
      <c r="C233" s="310">
        <v>0</v>
      </c>
      <c r="D233" s="310" t="s">
        <v>621</v>
      </c>
      <c r="E233" s="310" t="s">
        <v>621</v>
      </c>
    </row>
    <row r="234" spans="1:5" x14ac:dyDescent="0.3">
      <c r="A234" s="311"/>
      <c r="B234" s="311">
        <v>2004</v>
      </c>
      <c r="C234" s="310">
        <v>0</v>
      </c>
      <c r="D234" s="310" t="s">
        <v>621</v>
      </c>
      <c r="E234" s="310" t="s">
        <v>621</v>
      </c>
    </row>
    <row r="235" spans="1:5" x14ac:dyDescent="0.3">
      <c r="A235" s="311"/>
      <c r="B235" s="311">
        <v>2005</v>
      </c>
      <c r="C235" s="310">
        <v>0</v>
      </c>
      <c r="D235" s="310" t="s">
        <v>621</v>
      </c>
      <c r="E235" s="310" t="s">
        <v>621</v>
      </c>
    </row>
    <row r="236" spans="1:5" x14ac:dyDescent="0.3">
      <c r="A236" s="311"/>
      <c r="B236" s="311">
        <v>2006</v>
      </c>
      <c r="C236" s="310">
        <v>0</v>
      </c>
      <c r="D236" s="310" t="s">
        <v>621</v>
      </c>
      <c r="E236" s="310" t="s">
        <v>621</v>
      </c>
    </row>
    <row r="237" spans="1:5" x14ac:dyDescent="0.3">
      <c r="A237" s="311"/>
      <c r="B237" s="311">
        <v>2007</v>
      </c>
      <c r="C237" s="310">
        <v>0</v>
      </c>
      <c r="D237" s="310" t="s">
        <v>621</v>
      </c>
      <c r="E237" s="310" t="s">
        <v>621</v>
      </c>
    </row>
    <row r="238" spans="1:5" x14ac:dyDescent="0.3">
      <c r="A238" s="311"/>
      <c r="B238" s="311">
        <v>2008</v>
      </c>
      <c r="C238" s="310">
        <v>0</v>
      </c>
      <c r="D238" s="310" t="s">
        <v>621</v>
      </c>
      <c r="E238" s="310" t="s">
        <v>621</v>
      </c>
    </row>
    <row r="239" spans="1:5" x14ac:dyDescent="0.3">
      <c r="A239" s="311"/>
      <c r="B239" s="311">
        <v>2009</v>
      </c>
      <c r="C239" s="310">
        <v>0</v>
      </c>
      <c r="D239" s="310" t="s">
        <v>621</v>
      </c>
      <c r="E239" s="310" t="s">
        <v>621</v>
      </c>
    </row>
    <row r="240" spans="1:5" x14ac:dyDescent="0.3">
      <c r="A240" s="311"/>
      <c r="B240" s="311">
        <v>2010</v>
      </c>
      <c r="C240" s="310">
        <v>0</v>
      </c>
      <c r="D240" s="310" t="s">
        <v>621</v>
      </c>
      <c r="E240" s="310" t="s">
        <v>621</v>
      </c>
    </row>
    <row r="241" spans="1:5" x14ac:dyDescent="0.3">
      <c r="A241" s="311"/>
      <c r="B241" s="311">
        <v>2011</v>
      </c>
      <c r="C241" s="310">
        <v>0</v>
      </c>
      <c r="D241" s="310" t="s">
        <v>621</v>
      </c>
      <c r="E241" s="310" t="s">
        <v>621</v>
      </c>
    </row>
    <row r="242" spans="1:5" x14ac:dyDescent="0.3">
      <c r="A242" s="311"/>
      <c r="B242" s="311">
        <v>2012</v>
      </c>
      <c r="C242" s="310">
        <v>0</v>
      </c>
      <c r="D242" s="310" t="s">
        <v>621</v>
      </c>
      <c r="E242" s="310" t="s">
        <v>621</v>
      </c>
    </row>
    <row r="243" spans="1:5" x14ac:dyDescent="0.3">
      <c r="A243" s="311"/>
      <c r="B243" s="311">
        <v>2013</v>
      </c>
      <c r="C243" s="310">
        <v>0</v>
      </c>
      <c r="D243" s="310" t="s">
        <v>621</v>
      </c>
      <c r="E243" s="310" t="s">
        <v>621</v>
      </c>
    </row>
    <row r="244" spans="1:5" x14ac:dyDescent="0.3">
      <c r="A244" s="311"/>
      <c r="B244" s="311">
        <v>2014</v>
      </c>
      <c r="C244" s="310">
        <v>0</v>
      </c>
      <c r="D244" s="310" t="s">
        <v>621</v>
      </c>
      <c r="E244" s="310" t="s">
        <v>621</v>
      </c>
    </row>
    <row r="245" spans="1:5" x14ac:dyDescent="0.3">
      <c r="A245" s="311"/>
      <c r="B245" s="311">
        <v>2015</v>
      </c>
      <c r="C245" s="310">
        <v>0</v>
      </c>
      <c r="D245" s="310" t="s">
        <v>621</v>
      </c>
      <c r="E245" s="310" t="s">
        <v>621</v>
      </c>
    </row>
    <row r="246" spans="1:5" x14ac:dyDescent="0.3">
      <c r="A246" s="311"/>
      <c r="B246" s="311">
        <v>2016</v>
      </c>
      <c r="C246" s="310">
        <v>0</v>
      </c>
      <c r="D246" s="310" t="s">
        <v>621</v>
      </c>
      <c r="E246" s="310" t="s">
        <v>621</v>
      </c>
    </row>
    <row r="247" spans="1:5" x14ac:dyDescent="0.3">
      <c r="A247" s="311"/>
      <c r="B247" s="311">
        <v>2017</v>
      </c>
      <c r="C247" s="310">
        <v>0</v>
      </c>
      <c r="D247" s="310" t="s">
        <v>621</v>
      </c>
      <c r="E247" s="310" t="s">
        <v>621</v>
      </c>
    </row>
    <row r="248" spans="1:5" x14ac:dyDescent="0.3">
      <c r="A248" s="311"/>
      <c r="B248" s="311">
        <v>2018</v>
      </c>
      <c r="C248" s="310">
        <v>0</v>
      </c>
      <c r="D248" s="310" t="s">
        <v>621</v>
      </c>
      <c r="E248" s="310" t="s">
        <v>621</v>
      </c>
    </row>
    <row r="249" spans="1:5" x14ac:dyDescent="0.3">
      <c r="A249" s="311"/>
      <c r="B249" s="311" t="s">
        <v>251</v>
      </c>
      <c r="C249" s="310">
        <v>0</v>
      </c>
      <c r="D249" s="310" t="s">
        <v>621</v>
      </c>
      <c r="E249" s="310" t="s">
        <v>621</v>
      </c>
    </row>
    <row r="250" spans="1:5" x14ac:dyDescent="0.3">
      <c r="A250" s="311" t="s">
        <v>251</v>
      </c>
      <c r="B250" s="311">
        <v>2002</v>
      </c>
      <c r="C250" s="310">
        <v>0</v>
      </c>
      <c r="D250" s="310" t="s">
        <v>621</v>
      </c>
      <c r="E250" s="310" t="s">
        <v>621</v>
      </c>
    </row>
    <row r="251" spans="1:5" x14ac:dyDescent="0.3">
      <c r="A251" s="311"/>
      <c r="B251" s="311">
        <v>2003</v>
      </c>
      <c r="C251" s="310">
        <v>0</v>
      </c>
      <c r="D251" s="310" t="s">
        <v>621</v>
      </c>
      <c r="E251" s="310" t="s">
        <v>621</v>
      </c>
    </row>
    <row r="252" spans="1:5" x14ac:dyDescent="0.3">
      <c r="A252" s="311"/>
      <c r="B252" s="311">
        <v>2004</v>
      </c>
      <c r="C252" s="310">
        <v>0</v>
      </c>
      <c r="D252" s="310" t="s">
        <v>621</v>
      </c>
      <c r="E252" s="310" t="s">
        <v>621</v>
      </c>
    </row>
    <row r="253" spans="1:5" x14ac:dyDescent="0.3">
      <c r="A253" s="311"/>
      <c r="B253" s="311">
        <v>2005</v>
      </c>
      <c r="C253" s="310">
        <v>0</v>
      </c>
      <c r="D253" s="310" t="s">
        <v>621</v>
      </c>
      <c r="E253" s="310" t="s">
        <v>621</v>
      </c>
    </row>
    <row r="254" spans="1:5" x14ac:dyDescent="0.3">
      <c r="A254" s="311"/>
      <c r="B254" s="311">
        <v>2006</v>
      </c>
      <c r="C254" s="310">
        <v>0</v>
      </c>
      <c r="D254" s="310" t="s">
        <v>621</v>
      </c>
      <c r="E254" s="310" t="s">
        <v>621</v>
      </c>
    </row>
    <row r="255" spans="1:5" x14ac:dyDescent="0.3">
      <c r="A255" s="311"/>
      <c r="B255" s="311">
        <v>2007</v>
      </c>
      <c r="C255" s="310">
        <v>0</v>
      </c>
      <c r="D255" s="310" t="s">
        <v>621</v>
      </c>
      <c r="E255" s="310" t="s">
        <v>621</v>
      </c>
    </row>
    <row r="256" spans="1:5" x14ac:dyDescent="0.3">
      <c r="A256" s="311"/>
      <c r="B256" s="311">
        <v>2008</v>
      </c>
      <c r="C256" s="310">
        <v>0</v>
      </c>
      <c r="D256" s="310" t="s">
        <v>621</v>
      </c>
      <c r="E256" s="310" t="s">
        <v>621</v>
      </c>
    </row>
    <row r="257" spans="1:5" x14ac:dyDescent="0.3">
      <c r="A257" s="311"/>
      <c r="B257" s="311">
        <v>2009</v>
      </c>
      <c r="C257" s="310">
        <v>0</v>
      </c>
      <c r="D257" s="310" t="s">
        <v>621</v>
      </c>
      <c r="E257" s="310" t="s">
        <v>621</v>
      </c>
    </row>
    <row r="258" spans="1:5" x14ac:dyDescent="0.3">
      <c r="A258" s="311"/>
      <c r="B258" s="311">
        <v>2010</v>
      </c>
      <c r="C258" s="310">
        <v>0</v>
      </c>
      <c r="D258" s="310" t="s">
        <v>621</v>
      </c>
      <c r="E258" s="310" t="s">
        <v>621</v>
      </c>
    </row>
    <row r="259" spans="1:5" x14ac:dyDescent="0.3">
      <c r="A259" s="311"/>
      <c r="B259" s="311">
        <v>2011</v>
      </c>
      <c r="C259" s="310">
        <v>0</v>
      </c>
      <c r="D259" s="310" t="s">
        <v>621</v>
      </c>
      <c r="E259" s="310" t="s">
        <v>621</v>
      </c>
    </row>
    <row r="260" spans="1:5" x14ac:dyDescent="0.3">
      <c r="A260" s="311"/>
      <c r="B260" s="311">
        <v>2012</v>
      </c>
      <c r="C260" s="310">
        <v>0</v>
      </c>
      <c r="D260" s="310" t="s">
        <v>621</v>
      </c>
      <c r="E260" s="310" t="s">
        <v>621</v>
      </c>
    </row>
    <row r="261" spans="1:5" x14ac:dyDescent="0.3">
      <c r="A261" s="311"/>
      <c r="B261" s="311">
        <v>2013</v>
      </c>
      <c r="C261" s="310">
        <v>0</v>
      </c>
      <c r="D261" s="310" t="s">
        <v>621</v>
      </c>
      <c r="E261" s="310" t="s">
        <v>621</v>
      </c>
    </row>
    <row r="262" spans="1:5" x14ac:dyDescent="0.3">
      <c r="A262" s="311"/>
      <c r="B262" s="311">
        <v>2014</v>
      </c>
      <c r="C262" s="310">
        <v>0</v>
      </c>
      <c r="D262" s="310" t="s">
        <v>621</v>
      </c>
      <c r="E262" s="310" t="s">
        <v>621</v>
      </c>
    </row>
    <row r="263" spans="1:5" x14ac:dyDescent="0.3">
      <c r="A263" s="311"/>
      <c r="B263" s="311">
        <v>2015</v>
      </c>
      <c r="C263" s="310">
        <v>144</v>
      </c>
      <c r="D263" s="310">
        <v>625456</v>
      </c>
      <c r="E263" s="310">
        <v>73838</v>
      </c>
    </row>
    <row r="264" spans="1:5" x14ac:dyDescent="0.3">
      <c r="A264" s="311"/>
      <c r="B264" s="311">
        <v>2016</v>
      </c>
      <c r="C264" s="310">
        <v>138</v>
      </c>
      <c r="D264" s="310">
        <v>607875</v>
      </c>
      <c r="E264" s="310">
        <v>75899</v>
      </c>
    </row>
    <row r="265" spans="1:5" x14ac:dyDescent="0.3">
      <c r="A265" s="311"/>
      <c r="B265" s="311">
        <v>2017</v>
      </c>
      <c r="C265" s="310">
        <v>147</v>
      </c>
      <c r="D265" s="310">
        <v>700845</v>
      </c>
      <c r="E265" s="310">
        <v>95575</v>
      </c>
    </row>
    <row r="266" spans="1:5" x14ac:dyDescent="0.3">
      <c r="A266" s="311"/>
      <c r="B266" s="311">
        <v>2018</v>
      </c>
      <c r="C266" s="310">
        <v>152</v>
      </c>
      <c r="D266" s="310">
        <v>641352</v>
      </c>
      <c r="E266" s="310">
        <v>84436</v>
      </c>
    </row>
    <row r="267" spans="1:5" x14ac:dyDescent="0.3">
      <c r="A267" s="311"/>
      <c r="B267" s="311" t="s">
        <v>251</v>
      </c>
      <c r="C267" s="310">
        <v>581</v>
      </c>
      <c r="D267" s="310">
        <v>2575528</v>
      </c>
      <c r="E267" s="310">
        <v>174159</v>
      </c>
    </row>
    <row r="268" spans="1:5" x14ac:dyDescent="0.3">
      <c r="A268" s="313"/>
    </row>
    <row r="269" spans="1:5" x14ac:dyDescent="0.3">
      <c r="A269" s="312" t="s">
        <v>919</v>
      </c>
      <c r="B269" s="312"/>
      <c r="C269" s="312"/>
      <c r="D269" s="312"/>
      <c r="E269" s="312"/>
    </row>
    <row r="270" spans="1:5" x14ac:dyDescent="0.3">
      <c r="A270" s="312" t="s">
        <v>988</v>
      </c>
      <c r="B270" s="312"/>
      <c r="C270" s="312"/>
      <c r="D270" s="312"/>
      <c r="E270" s="312"/>
    </row>
    <row r="271" spans="1:5" x14ac:dyDescent="0.3">
      <c r="A271" s="312" t="s">
        <v>927</v>
      </c>
      <c r="B271" s="312" t="s">
        <v>928</v>
      </c>
      <c r="C271" s="312" t="s">
        <v>929</v>
      </c>
      <c r="D271" s="311" t="s">
        <v>930</v>
      </c>
      <c r="E271" s="311" t="s">
        <v>931</v>
      </c>
    </row>
    <row r="272" spans="1:5" x14ac:dyDescent="0.3">
      <c r="A272" s="312"/>
      <c r="B272" s="312"/>
      <c r="C272" s="312"/>
      <c r="D272" s="311" t="s">
        <v>929</v>
      </c>
      <c r="E272" s="311" t="s">
        <v>932</v>
      </c>
    </row>
    <row r="273" spans="1:5" x14ac:dyDescent="0.3">
      <c r="A273" s="311" t="s">
        <v>986</v>
      </c>
      <c r="B273" s="311">
        <v>2002</v>
      </c>
      <c r="C273" s="310">
        <v>54079</v>
      </c>
      <c r="D273" s="310">
        <v>235143245</v>
      </c>
      <c r="E273" s="310">
        <v>2260582</v>
      </c>
    </row>
    <row r="274" spans="1:5" x14ac:dyDescent="0.3">
      <c r="A274" s="311"/>
      <c r="B274" s="311">
        <v>2003</v>
      </c>
      <c r="C274" s="310">
        <v>55230</v>
      </c>
      <c r="D274" s="310">
        <v>237682009</v>
      </c>
      <c r="E274" s="310">
        <v>2367238</v>
      </c>
    </row>
    <row r="275" spans="1:5" x14ac:dyDescent="0.3">
      <c r="A275" s="311"/>
      <c r="B275" s="311">
        <v>2004</v>
      </c>
      <c r="C275" s="310">
        <v>55602</v>
      </c>
      <c r="D275" s="310">
        <v>240514815</v>
      </c>
      <c r="E275" s="310">
        <v>2371771</v>
      </c>
    </row>
    <row r="276" spans="1:5" x14ac:dyDescent="0.3">
      <c r="A276" s="311"/>
      <c r="B276" s="311">
        <v>2005</v>
      </c>
      <c r="C276" s="310">
        <v>55905</v>
      </c>
      <c r="D276" s="310">
        <v>243220283</v>
      </c>
      <c r="E276" s="310">
        <v>2095953</v>
      </c>
    </row>
    <row r="277" spans="1:5" x14ac:dyDescent="0.3">
      <c r="A277" s="311"/>
      <c r="B277" s="311">
        <v>2006</v>
      </c>
      <c r="C277" s="310">
        <v>55035</v>
      </c>
      <c r="D277" s="310">
        <v>246021656</v>
      </c>
      <c r="E277" s="310">
        <v>1940330</v>
      </c>
    </row>
    <row r="278" spans="1:5" x14ac:dyDescent="0.3">
      <c r="A278" s="311"/>
      <c r="B278" s="311">
        <v>2007</v>
      </c>
      <c r="C278" s="310">
        <v>55049</v>
      </c>
      <c r="D278" s="310">
        <v>247845207</v>
      </c>
      <c r="E278" s="310">
        <v>2499997</v>
      </c>
    </row>
    <row r="279" spans="1:5" x14ac:dyDescent="0.3">
      <c r="A279" s="311"/>
      <c r="B279" s="311">
        <v>2008</v>
      </c>
      <c r="C279" s="310">
        <v>55110</v>
      </c>
      <c r="D279" s="310">
        <v>249815089</v>
      </c>
      <c r="E279" s="310">
        <v>2637688</v>
      </c>
    </row>
    <row r="280" spans="1:5" x14ac:dyDescent="0.3">
      <c r="A280" s="311"/>
      <c r="B280" s="311">
        <v>2009</v>
      </c>
      <c r="C280" s="310">
        <v>55234</v>
      </c>
      <c r="D280" s="310">
        <v>251815533</v>
      </c>
      <c r="E280" s="310">
        <v>2749174</v>
      </c>
    </row>
    <row r="281" spans="1:5" x14ac:dyDescent="0.3">
      <c r="A281" s="311"/>
      <c r="B281" s="311">
        <v>2010</v>
      </c>
      <c r="C281" s="310">
        <v>57313</v>
      </c>
      <c r="D281" s="310">
        <v>253619107</v>
      </c>
      <c r="E281" s="310">
        <v>2765635</v>
      </c>
    </row>
    <row r="282" spans="1:5" x14ac:dyDescent="0.3">
      <c r="A282" s="311"/>
      <c r="B282" s="311">
        <v>2011</v>
      </c>
      <c r="C282" s="310">
        <v>58397</v>
      </c>
      <c r="D282" s="310">
        <v>257598944</v>
      </c>
      <c r="E282" s="310">
        <v>2541166</v>
      </c>
    </row>
    <row r="283" spans="1:5" x14ac:dyDescent="0.3">
      <c r="A283" s="311"/>
      <c r="B283" s="311">
        <v>2012</v>
      </c>
      <c r="C283" s="310">
        <v>55268</v>
      </c>
      <c r="D283" s="310">
        <v>260057325</v>
      </c>
      <c r="E283" s="310">
        <v>2523736</v>
      </c>
    </row>
    <row r="284" spans="1:5" x14ac:dyDescent="0.3">
      <c r="A284" s="311"/>
      <c r="B284" s="311">
        <v>2013</v>
      </c>
      <c r="C284" s="310">
        <v>55160</v>
      </c>
      <c r="D284" s="310">
        <v>262391455</v>
      </c>
      <c r="E284" s="310">
        <v>2608186</v>
      </c>
    </row>
    <row r="285" spans="1:5" x14ac:dyDescent="0.3">
      <c r="A285" s="311"/>
      <c r="B285" s="311">
        <v>2014</v>
      </c>
      <c r="C285" s="310">
        <v>55271</v>
      </c>
      <c r="D285" s="310">
        <v>265122864</v>
      </c>
      <c r="E285" s="310">
        <v>2063976</v>
      </c>
    </row>
    <row r="286" spans="1:5" x14ac:dyDescent="0.3">
      <c r="A286" s="311"/>
      <c r="B286" s="311">
        <v>2015</v>
      </c>
      <c r="C286" s="310">
        <v>0</v>
      </c>
      <c r="D286" s="310" t="s">
        <v>621</v>
      </c>
      <c r="E286" s="310" t="s">
        <v>621</v>
      </c>
    </row>
    <row r="287" spans="1:5" x14ac:dyDescent="0.3">
      <c r="A287" s="311"/>
      <c r="B287" s="311">
        <v>2016</v>
      </c>
      <c r="C287" s="310">
        <v>0</v>
      </c>
      <c r="D287" s="310" t="s">
        <v>621</v>
      </c>
      <c r="E287" s="310" t="s">
        <v>621</v>
      </c>
    </row>
    <row r="288" spans="1:5" x14ac:dyDescent="0.3">
      <c r="A288" s="311"/>
      <c r="B288" s="311">
        <v>2017</v>
      </c>
      <c r="C288" s="310">
        <v>0</v>
      </c>
      <c r="D288" s="310" t="s">
        <v>621</v>
      </c>
      <c r="E288" s="310" t="s">
        <v>621</v>
      </c>
    </row>
    <row r="289" spans="1:5" x14ac:dyDescent="0.3">
      <c r="A289" s="311"/>
      <c r="B289" s="311">
        <v>2018</v>
      </c>
      <c r="C289" s="310">
        <v>0</v>
      </c>
      <c r="D289" s="310" t="s">
        <v>621</v>
      </c>
      <c r="E289" s="310" t="s">
        <v>621</v>
      </c>
    </row>
    <row r="290" spans="1:5" x14ac:dyDescent="0.3">
      <c r="A290" s="311"/>
      <c r="B290" s="311" t="s">
        <v>251</v>
      </c>
      <c r="C290" s="310">
        <v>722653</v>
      </c>
      <c r="D290" s="310">
        <v>3250847532</v>
      </c>
      <c r="E290" s="310">
        <v>9900258</v>
      </c>
    </row>
    <row r="291" spans="1:5" x14ac:dyDescent="0.3">
      <c r="A291" s="311" t="s">
        <v>933</v>
      </c>
      <c r="B291" s="311">
        <v>2002</v>
      </c>
      <c r="C291" s="310">
        <v>0</v>
      </c>
      <c r="D291" s="310" t="s">
        <v>621</v>
      </c>
      <c r="E291" s="310" t="s">
        <v>621</v>
      </c>
    </row>
    <row r="292" spans="1:5" x14ac:dyDescent="0.3">
      <c r="A292" s="311"/>
      <c r="B292" s="311">
        <v>2003</v>
      </c>
      <c r="C292" s="310">
        <v>0</v>
      </c>
      <c r="D292" s="310" t="s">
        <v>621</v>
      </c>
      <c r="E292" s="310" t="s">
        <v>621</v>
      </c>
    </row>
    <row r="293" spans="1:5" x14ac:dyDescent="0.3">
      <c r="A293" s="311"/>
      <c r="B293" s="311">
        <v>2004</v>
      </c>
      <c r="C293" s="310">
        <v>0</v>
      </c>
      <c r="D293" s="310" t="s">
        <v>621</v>
      </c>
      <c r="E293" s="310" t="s">
        <v>621</v>
      </c>
    </row>
    <row r="294" spans="1:5" x14ac:dyDescent="0.3">
      <c r="A294" s="311"/>
      <c r="B294" s="311">
        <v>2005</v>
      </c>
      <c r="C294" s="310">
        <v>0</v>
      </c>
      <c r="D294" s="310" t="s">
        <v>621</v>
      </c>
      <c r="E294" s="310" t="s">
        <v>621</v>
      </c>
    </row>
    <row r="295" spans="1:5" x14ac:dyDescent="0.3">
      <c r="A295" s="311"/>
      <c r="B295" s="311">
        <v>2006</v>
      </c>
      <c r="C295" s="310">
        <v>0</v>
      </c>
      <c r="D295" s="310" t="s">
        <v>621</v>
      </c>
      <c r="E295" s="310" t="s">
        <v>621</v>
      </c>
    </row>
    <row r="296" spans="1:5" x14ac:dyDescent="0.3">
      <c r="A296" s="311"/>
      <c r="B296" s="311">
        <v>2007</v>
      </c>
      <c r="C296" s="310">
        <v>0</v>
      </c>
      <c r="D296" s="310" t="s">
        <v>621</v>
      </c>
      <c r="E296" s="310" t="s">
        <v>621</v>
      </c>
    </row>
    <row r="297" spans="1:5" x14ac:dyDescent="0.3">
      <c r="A297" s="311"/>
      <c r="B297" s="311">
        <v>2008</v>
      </c>
      <c r="C297" s="310">
        <v>0</v>
      </c>
      <c r="D297" s="310" t="s">
        <v>621</v>
      </c>
      <c r="E297" s="310" t="s">
        <v>621</v>
      </c>
    </row>
    <row r="298" spans="1:5" x14ac:dyDescent="0.3">
      <c r="A298" s="311"/>
      <c r="B298" s="311">
        <v>2009</v>
      </c>
      <c r="C298" s="310">
        <v>0</v>
      </c>
      <c r="D298" s="310" t="s">
        <v>621</v>
      </c>
      <c r="E298" s="310" t="s">
        <v>621</v>
      </c>
    </row>
    <row r="299" spans="1:5" x14ac:dyDescent="0.3">
      <c r="A299" s="311"/>
      <c r="B299" s="311">
        <v>2010</v>
      </c>
      <c r="C299" s="310">
        <v>0</v>
      </c>
      <c r="D299" s="310" t="s">
        <v>621</v>
      </c>
      <c r="E299" s="310" t="s">
        <v>621</v>
      </c>
    </row>
    <row r="300" spans="1:5" x14ac:dyDescent="0.3">
      <c r="A300" s="311"/>
      <c r="B300" s="311">
        <v>2011</v>
      </c>
      <c r="C300" s="310">
        <v>0</v>
      </c>
      <c r="D300" s="310" t="s">
        <v>621</v>
      </c>
      <c r="E300" s="310" t="s">
        <v>621</v>
      </c>
    </row>
    <row r="301" spans="1:5" x14ac:dyDescent="0.3">
      <c r="A301" s="311"/>
      <c r="B301" s="311">
        <v>2012</v>
      </c>
      <c r="C301" s="310">
        <v>0</v>
      </c>
      <c r="D301" s="310" t="s">
        <v>621</v>
      </c>
      <c r="E301" s="310" t="s">
        <v>621</v>
      </c>
    </row>
    <row r="302" spans="1:5" x14ac:dyDescent="0.3">
      <c r="A302" s="311"/>
      <c r="B302" s="311">
        <v>2013</v>
      </c>
      <c r="C302" s="310">
        <v>0</v>
      </c>
      <c r="D302" s="310" t="s">
        <v>621</v>
      </c>
      <c r="E302" s="310" t="s">
        <v>621</v>
      </c>
    </row>
    <row r="303" spans="1:5" x14ac:dyDescent="0.3">
      <c r="A303" s="311"/>
      <c r="B303" s="311">
        <v>2014</v>
      </c>
      <c r="C303" s="310">
        <v>0</v>
      </c>
      <c r="D303" s="310" t="s">
        <v>621</v>
      </c>
      <c r="E303" s="310" t="s">
        <v>621</v>
      </c>
    </row>
    <row r="304" spans="1:5" x14ac:dyDescent="0.3">
      <c r="A304" s="311"/>
      <c r="B304" s="311">
        <v>2015</v>
      </c>
      <c r="C304" s="310">
        <v>14</v>
      </c>
      <c r="D304" s="310">
        <v>85416</v>
      </c>
      <c r="E304" s="310">
        <v>34581</v>
      </c>
    </row>
    <row r="305" spans="1:5" x14ac:dyDescent="0.3">
      <c r="A305" s="311"/>
      <c r="B305" s="311">
        <v>2016</v>
      </c>
      <c r="C305" s="310">
        <v>14</v>
      </c>
      <c r="D305" s="310">
        <v>65525</v>
      </c>
      <c r="E305" s="310">
        <v>23112</v>
      </c>
    </row>
    <row r="306" spans="1:5" x14ac:dyDescent="0.3">
      <c r="A306" s="311"/>
      <c r="B306" s="311">
        <v>2017</v>
      </c>
      <c r="C306" s="310">
        <v>11</v>
      </c>
      <c r="D306" s="310">
        <v>15304</v>
      </c>
      <c r="E306" s="310">
        <v>6505</v>
      </c>
    </row>
    <row r="307" spans="1:5" x14ac:dyDescent="0.3">
      <c r="A307" s="311"/>
      <c r="B307" s="311">
        <v>2018</v>
      </c>
      <c r="C307" s="310">
        <v>11</v>
      </c>
      <c r="D307" s="310">
        <v>53997</v>
      </c>
      <c r="E307" s="310">
        <v>29599</v>
      </c>
    </row>
    <row r="308" spans="1:5" x14ac:dyDescent="0.3">
      <c r="A308" s="311"/>
      <c r="B308" s="311" t="s">
        <v>251</v>
      </c>
      <c r="C308" s="310">
        <v>50</v>
      </c>
      <c r="D308" s="310">
        <v>220241</v>
      </c>
      <c r="E308" s="310">
        <v>51624</v>
      </c>
    </row>
    <row r="309" spans="1:5" x14ac:dyDescent="0.3">
      <c r="A309" s="311" t="s">
        <v>961</v>
      </c>
      <c r="B309" s="311">
        <v>2002</v>
      </c>
      <c r="C309" s="310">
        <v>0</v>
      </c>
      <c r="D309" s="310" t="s">
        <v>621</v>
      </c>
      <c r="E309" s="310" t="s">
        <v>621</v>
      </c>
    </row>
    <row r="310" spans="1:5" x14ac:dyDescent="0.3">
      <c r="A310" s="311"/>
      <c r="B310" s="311">
        <v>2003</v>
      </c>
      <c r="C310" s="310">
        <v>0</v>
      </c>
      <c r="D310" s="310" t="s">
        <v>621</v>
      </c>
      <c r="E310" s="310" t="s">
        <v>621</v>
      </c>
    </row>
    <row r="311" spans="1:5" x14ac:dyDescent="0.3">
      <c r="A311" s="311"/>
      <c r="B311" s="311">
        <v>2004</v>
      </c>
      <c r="C311" s="310">
        <v>0</v>
      </c>
      <c r="D311" s="310" t="s">
        <v>621</v>
      </c>
      <c r="E311" s="310" t="s">
        <v>621</v>
      </c>
    </row>
    <row r="312" spans="1:5" x14ac:dyDescent="0.3">
      <c r="A312" s="311"/>
      <c r="B312" s="311">
        <v>2005</v>
      </c>
      <c r="C312" s="310">
        <v>0</v>
      </c>
      <c r="D312" s="310" t="s">
        <v>621</v>
      </c>
      <c r="E312" s="310" t="s">
        <v>621</v>
      </c>
    </row>
    <row r="313" spans="1:5" x14ac:dyDescent="0.3">
      <c r="A313" s="311"/>
      <c r="B313" s="311">
        <v>2006</v>
      </c>
      <c r="C313" s="310">
        <v>0</v>
      </c>
      <c r="D313" s="310" t="s">
        <v>621</v>
      </c>
      <c r="E313" s="310" t="s">
        <v>621</v>
      </c>
    </row>
    <row r="314" spans="1:5" x14ac:dyDescent="0.3">
      <c r="A314" s="311"/>
      <c r="B314" s="311">
        <v>2007</v>
      </c>
      <c r="C314" s="310">
        <v>0</v>
      </c>
      <c r="D314" s="310" t="s">
        <v>621</v>
      </c>
      <c r="E314" s="310" t="s">
        <v>621</v>
      </c>
    </row>
    <row r="315" spans="1:5" x14ac:dyDescent="0.3">
      <c r="A315" s="311"/>
      <c r="B315" s="311">
        <v>2008</v>
      </c>
      <c r="C315" s="310">
        <v>0</v>
      </c>
      <c r="D315" s="310" t="s">
        <v>621</v>
      </c>
      <c r="E315" s="310" t="s">
        <v>621</v>
      </c>
    </row>
    <row r="316" spans="1:5" x14ac:dyDescent="0.3">
      <c r="A316" s="311"/>
      <c r="B316" s="311">
        <v>2009</v>
      </c>
      <c r="C316" s="310">
        <v>0</v>
      </c>
      <c r="D316" s="310" t="s">
        <v>621</v>
      </c>
      <c r="E316" s="310" t="s">
        <v>621</v>
      </c>
    </row>
    <row r="317" spans="1:5" x14ac:dyDescent="0.3">
      <c r="A317" s="311"/>
      <c r="B317" s="311">
        <v>2010</v>
      </c>
      <c r="C317" s="310">
        <v>0</v>
      </c>
      <c r="D317" s="310" t="s">
        <v>621</v>
      </c>
      <c r="E317" s="310" t="s">
        <v>621</v>
      </c>
    </row>
    <row r="318" spans="1:5" x14ac:dyDescent="0.3">
      <c r="A318" s="311"/>
      <c r="B318" s="311">
        <v>2011</v>
      </c>
      <c r="C318" s="310">
        <v>0</v>
      </c>
      <c r="D318" s="310" t="s">
        <v>621</v>
      </c>
      <c r="E318" s="310" t="s">
        <v>621</v>
      </c>
    </row>
    <row r="319" spans="1:5" x14ac:dyDescent="0.3">
      <c r="A319" s="311"/>
      <c r="B319" s="311">
        <v>2012</v>
      </c>
      <c r="C319" s="310">
        <v>0</v>
      </c>
      <c r="D319" s="310" t="s">
        <v>621</v>
      </c>
      <c r="E319" s="310" t="s">
        <v>621</v>
      </c>
    </row>
    <row r="320" spans="1:5" x14ac:dyDescent="0.3">
      <c r="A320" s="311"/>
      <c r="B320" s="311">
        <v>2013</v>
      </c>
      <c r="C320" s="310">
        <v>0</v>
      </c>
      <c r="D320" s="310" t="s">
        <v>621</v>
      </c>
      <c r="E320" s="310" t="s">
        <v>621</v>
      </c>
    </row>
    <row r="321" spans="1:5" x14ac:dyDescent="0.3">
      <c r="A321" s="311"/>
      <c r="B321" s="311">
        <v>2014</v>
      </c>
      <c r="C321" s="310">
        <v>0</v>
      </c>
      <c r="D321" s="310" t="s">
        <v>621</v>
      </c>
      <c r="E321" s="310" t="s">
        <v>621</v>
      </c>
    </row>
    <row r="322" spans="1:5" x14ac:dyDescent="0.3">
      <c r="A322" s="311"/>
      <c r="B322" s="311">
        <v>2015</v>
      </c>
      <c r="C322" s="310">
        <v>14</v>
      </c>
      <c r="D322" s="310">
        <v>58002</v>
      </c>
      <c r="E322" s="310">
        <v>30210</v>
      </c>
    </row>
    <row r="323" spans="1:5" x14ac:dyDescent="0.3">
      <c r="A323" s="311"/>
      <c r="B323" s="311">
        <v>2016</v>
      </c>
      <c r="C323" s="310">
        <v>15</v>
      </c>
      <c r="D323" s="310">
        <v>72460</v>
      </c>
      <c r="E323" s="310">
        <v>25875</v>
      </c>
    </row>
    <row r="324" spans="1:5" x14ac:dyDescent="0.3">
      <c r="A324" s="311"/>
      <c r="B324" s="311">
        <v>2017</v>
      </c>
      <c r="C324" s="310">
        <v>8</v>
      </c>
      <c r="D324" s="310">
        <v>44154</v>
      </c>
      <c r="E324" s="310">
        <v>20049</v>
      </c>
    </row>
    <row r="325" spans="1:5" x14ac:dyDescent="0.3">
      <c r="A325" s="311"/>
      <c r="B325" s="311">
        <v>2018</v>
      </c>
      <c r="C325" s="310">
        <v>17</v>
      </c>
      <c r="D325" s="310">
        <v>45950</v>
      </c>
      <c r="E325" s="310">
        <v>16248</v>
      </c>
    </row>
    <row r="326" spans="1:5" x14ac:dyDescent="0.3">
      <c r="A326" s="311"/>
      <c r="B326" s="311" t="s">
        <v>251</v>
      </c>
      <c r="C326" s="310">
        <v>54</v>
      </c>
      <c r="D326" s="310">
        <v>220566</v>
      </c>
      <c r="E326" s="310">
        <v>48046</v>
      </c>
    </row>
    <row r="327" spans="1:5" x14ac:dyDescent="0.3">
      <c r="A327" s="311" t="s">
        <v>980</v>
      </c>
      <c r="B327" s="311">
        <v>2002</v>
      </c>
      <c r="C327" s="310">
        <v>0</v>
      </c>
      <c r="D327" s="310" t="s">
        <v>621</v>
      </c>
      <c r="E327" s="310" t="s">
        <v>621</v>
      </c>
    </row>
    <row r="328" spans="1:5" x14ac:dyDescent="0.3">
      <c r="A328" s="311"/>
      <c r="B328" s="311">
        <v>2003</v>
      </c>
      <c r="C328" s="310">
        <v>0</v>
      </c>
      <c r="D328" s="310" t="s">
        <v>621</v>
      </c>
      <c r="E328" s="310" t="s">
        <v>621</v>
      </c>
    </row>
    <row r="329" spans="1:5" x14ac:dyDescent="0.3">
      <c r="A329" s="311"/>
      <c r="B329" s="311">
        <v>2004</v>
      </c>
      <c r="C329" s="310">
        <v>0</v>
      </c>
      <c r="D329" s="310" t="s">
        <v>621</v>
      </c>
      <c r="E329" s="310" t="s">
        <v>621</v>
      </c>
    </row>
    <row r="330" spans="1:5" x14ac:dyDescent="0.3">
      <c r="A330" s="311"/>
      <c r="B330" s="311">
        <v>2005</v>
      </c>
      <c r="C330" s="310">
        <v>0</v>
      </c>
      <c r="D330" s="310" t="s">
        <v>621</v>
      </c>
      <c r="E330" s="310" t="s">
        <v>621</v>
      </c>
    </row>
    <row r="331" spans="1:5" x14ac:dyDescent="0.3">
      <c r="A331" s="311"/>
      <c r="B331" s="311">
        <v>2006</v>
      </c>
      <c r="C331" s="310">
        <v>0</v>
      </c>
      <c r="D331" s="310" t="s">
        <v>621</v>
      </c>
      <c r="E331" s="310" t="s">
        <v>621</v>
      </c>
    </row>
    <row r="332" spans="1:5" x14ac:dyDescent="0.3">
      <c r="A332" s="311"/>
      <c r="B332" s="311">
        <v>2007</v>
      </c>
      <c r="C332" s="310">
        <v>0</v>
      </c>
      <c r="D332" s="310" t="s">
        <v>621</v>
      </c>
      <c r="E332" s="310" t="s">
        <v>621</v>
      </c>
    </row>
    <row r="333" spans="1:5" x14ac:dyDescent="0.3">
      <c r="A333" s="311"/>
      <c r="B333" s="311">
        <v>2008</v>
      </c>
      <c r="C333" s="310">
        <v>0</v>
      </c>
      <c r="D333" s="310" t="s">
        <v>621</v>
      </c>
      <c r="E333" s="310" t="s">
        <v>621</v>
      </c>
    </row>
    <row r="334" spans="1:5" x14ac:dyDescent="0.3">
      <c r="A334" s="311"/>
      <c r="B334" s="311">
        <v>2009</v>
      </c>
      <c r="C334" s="310">
        <v>0</v>
      </c>
      <c r="D334" s="310" t="s">
        <v>621</v>
      </c>
      <c r="E334" s="310" t="s">
        <v>621</v>
      </c>
    </row>
    <row r="335" spans="1:5" x14ac:dyDescent="0.3">
      <c r="A335" s="311"/>
      <c r="B335" s="311">
        <v>2010</v>
      </c>
      <c r="C335" s="310">
        <v>0</v>
      </c>
      <c r="D335" s="310" t="s">
        <v>621</v>
      </c>
      <c r="E335" s="310" t="s">
        <v>621</v>
      </c>
    </row>
    <row r="336" spans="1:5" x14ac:dyDescent="0.3">
      <c r="A336" s="311"/>
      <c r="B336" s="311">
        <v>2011</v>
      </c>
      <c r="C336" s="310">
        <v>0</v>
      </c>
      <c r="D336" s="310" t="s">
        <v>621</v>
      </c>
      <c r="E336" s="310" t="s">
        <v>621</v>
      </c>
    </row>
    <row r="337" spans="1:5" x14ac:dyDescent="0.3">
      <c r="A337" s="311"/>
      <c r="B337" s="311">
        <v>2012</v>
      </c>
      <c r="C337" s="310">
        <v>0</v>
      </c>
      <c r="D337" s="310" t="s">
        <v>621</v>
      </c>
      <c r="E337" s="310" t="s">
        <v>621</v>
      </c>
    </row>
    <row r="338" spans="1:5" x14ac:dyDescent="0.3">
      <c r="A338" s="311"/>
      <c r="B338" s="311">
        <v>2013</v>
      </c>
      <c r="C338" s="310">
        <v>0</v>
      </c>
      <c r="D338" s="310" t="s">
        <v>621</v>
      </c>
      <c r="E338" s="310" t="s">
        <v>621</v>
      </c>
    </row>
    <row r="339" spans="1:5" x14ac:dyDescent="0.3">
      <c r="A339" s="311"/>
      <c r="B339" s="311">
        <v>2014</v>
      </c>
      <c r="C339" s="310">
        <v>0</v>
      </c>
      <c r="D339" s="310" t="s">
        <v>621</v>
      </c>
      <c r="E339" s="310" t="s">
        <v>621</v>
      </c>
    </row>
    <row r="340" spans="1:5" x14ac:dyDescent="0.3">
      <c r="A340" s="311"/>
      <c r="B340" s="311">
        <v>2015</v>
      </c>
      <c r="C340" s="310">
        <v>56633</v>
      </c>
      <c r="D340" s="310">
        <v>265508033</v>
      </c>
      <c r="E340" s="310">
        <v>2435195</v>
      </c>
    </row>
    <row r="341" spans="1:5" x14ac:dyDescent="0.3">
      <c r="A341" s="311"/>
      <c r="B341" s="311">
        <v>2016</v>
      </c>
      <c r="C341" s="310">
        <v>56397</v>
      </c>
      <c r="D341" s="310">
        <v>267295579</v>
      </c>
      <c r="E341" s="310">
        <v>2289618</v>
      </c>
    </row>
    <row r="342" spans="1:5" x14ac:dyDescent="0.3">
      <c r="A342" s="311"/>
      <c r="B342" s="311">
        <v>2017</v>
      </c>
      <c r="C342" s="310">
        <v>55725</v>
      </c>
      <c r="D342" s="310">
        <v>269621609</v>
      </c>
      <c r="E342" s="310">
        <v>1868584</v>
      </c>
    </row>
    <row r="343" spans="1:5" x14ac:dyDescent="0.3">
      <c r="A343" s="311"/>
      <c r="B343" s="311">
        <v>2018</v>
      </c>
      <c r="C343" s="310">
        <v>55806</v>
      </c>
      <c r="D343" s="310">
        <v>271503210</v>
      </c>
      <c r="E343" s="310">
        <v>1849021</v>
      </c>
    </row>
    <row r="344" spans="1:5" x14ac:dyDescent="0.3">
      <c r="A344" s="311"/>
      <c r="B344" s="311" t="s">
        <v>251</v>
      </c>
      <c r="C344" s="310">
        <v>224561</v>
      </c>
      <c r="D344" s="310">
        <v>1073928431</v>
      </c>
      <c r="E344" s="310">
        <v>4552554</v>
      </c>
    </row>
    <row r="345" spans="1:5" x14ac:dyDescent="0.3">
      <c r="A345" s="311" t="s">
        <v>251</v>
      </c>
      <c r="B345" s="311">
        <v>2002</v>
      </c>
      <c r="C345" s="310">
        <v>54079</v>
      </c>
      <c r="D345" s="310">
        <v>235143245</v>
      </c>
      <c r="E345" s="310">
        <v>2260582</v>
      </c>
    </row>
    <row r="346" spans="1:5" x14ac:dyDescent="0.3">
      <c r="A346" s="311"/>
      <c r="B346" s="311">
        <v>2003</v>
      </c>
      <c r="C346" s="310">
        <v>55230</v>
      </c>
      <c r="D346" s="310">
        <v>237682009</v>
      </c>
      <c r="E346" s="310">
        <v>2367238</v>
      </c>
    </row>
    <row r="347" spans="1:5" x14ac:dyDescent="0.3">
      <c r="A347" s="311"/>
      <c r="B347" s="311">
        <v>2004</v>
      </c>
      <c r="C347" s="310">
        <v>55602</v>
      </c>
      <c r="D347" s="310">
        <v>240514815</v>
      </c>
      <c r="E347" s="310">
        <v>2371771</v>
      </c>
    </row>
    <row r="348" spans="1:5" x14ac:dyDescent="0.3">
      <c r="A348" s="311"/>
      <c r="B348" s="311">
        <v>2005</v>
      </c>
      <c r="C348" s="310">
        <v>55905</v>
      </c>
      <c r="D348" s="310">
        <v>243220283</v>
      </c>
      <c r="E348" s="310">
        <v>2095953</v>
      </c>
    </row>
    <row r="349" spans="1:5" x14ac:dyDescent="0.3">
      <c r="A349" s="311"/>
      <c r="B349" s="311">
        <v>2006</v>
      </c>
      <c r="C349" s="310">
        <v>55035</v>
      </c>
      <c r="D349" s="310">
        <v>246021656</v>
      </c>
      <c r="E349" s="310">
        <v>1940330</v>
      </c>
    </row>
    <row r="350" spans="1:5" x14ac:dyDescent="0.3">
      <c r="A350" s="311"/>
      <c r="B350" s="311">
        <v>2007</v>
      </c>
      <c r="C350" s="310">
        <v>55049</v>
      </c>
      <c r="D350" s="310">
        <v>247845207</v>
      </c>
      <c r="E350" s="310">
        <v>2499997</v>
      </c>
    </row>
    <row r="351" spans="1:5" x14ac:dyDescent="0.3">
      <c r="A351" s="311"/>
      <c r="B351" s="311">
        <v>2008</v>
      </c>
      <c r="C351" s="310">
        <v>55110</v>
      </c>
      <c r="D351" s="310">
        <v>249815089</v>
      </c>
      <c r="E351" s="310">
        <v>2637688</v>
      </c>
    </row>
    <row r="352" spans="1:5" x14ac:dyDescent="0.3">
      <c r="A352" s="311"/>
      <c r="B352" s="311">
        <v>2009</v>
      </c>
      <c r="C352" s="310">
        <v>55234</v>
      </c>
      <c r="D352" s="310">
        <v>251815533</v>
      </c>
      <c r="E352" s="310">
        <v>2749174</v>
      </c>
    </row>
    <row r="353" spans="1:5" x14ac:dyDescent="0.3">
      <c r="A353" s="311"/>
      <c r="B353" s="311">
        <v>2010</v>
      </c>
      <c r="C353" s="310">
        <v>57313</v>
      </c>
      <c r="D353" s="310">
        <v>253619107</v>
      </c>
      <c r="E353" s="310">
        <v>2765635</v>
      </c>
    </row>
    <row r="354" spans="1:5" x14ac:dyDescent="0.3">
      <c r="A354" s="311"/>
      <c r="B354" s="311">
        <v>2011</v>
      </c>
      <c r="C354" s="310">
        <v>58397</v>
      </c>
      <c r="D354" s="310">
        <v>257598944</v>
      </c>
      <c r="E354" s="310">
        <v>2541166</v>
      </c>
    </row>
    <row r="355" spans="1:5" x14ac:dyDescent="0.3">
      <c r="A355" s="311"/>
      <c r="B355" s="311">
        <v>2012</v>
      </c>
      <c r="C355" s="310">
        <v>55268</v>
      </c>
      <c r="D355" s="310">
        <v>260057325</v>
      </c>
      <c r="E355" s="310">
        <v>2523736</v>
      </c>
    </row>
    <row r="356" spans="1:5" x14ac:dyDescent="0.3">
      <c r="A356" s="311"/>
      <c r="B356" s="311">
        <v>2013</v>
      </c>
      <c r="C356" s="310">
        <v>55160</v>
      </c>
      <c r="D356" s="310">
        <v>262391455</v>
      </c>
      <c r="E356" s="310">
        <v>2608186</v>
      </c>
    </row>
    <row r="357" spans="1:5" x14ac:dyDescent="0.3">
      <c r="A357" s="311"/>
      <c r="B357" s="311">
        <v>2014</v>
      </c>
      <c r="C357" s="310">
        <v>55271</v>
      </c>
      <c r="D357" s="310">
        <v>265122864</v>
      </c>
      <c r="E357" s="310">
        <v>2063976</v>
      </c>
    </row>
    <row r="358" spans="1:5" x14ac:dyDescent="0.3">
      <c r="A358" s="311"/>
      <c r="B358" s="311">
        <v>2015</v>
      </c>
      <c r="C358" s="310">
        <v>56661</v>
      </c>
      <c r="D358" s="310">
        <v>265651451</v>
      </c>
      <c r="E358" s="310">
        <v>2443233</v>
      </c>
    </row>
    <row r="359" spans="1:5" x14ac:dyDescent="0.3">
      <c r="A359" s="311"/>
      <c r="B359" s="311">
        <v>2016</v>
      </c>
      <c r="C359" s="310">
        <v>56426</v>
      </c>
      <c r="D359" s="310">
        <v>267433564</v>
      </c>
      <c r="E359" s="310">
        <v>2288583</v>
      </c>
    </row>
    <row r="360" spans="1:5" x14ac:dyDescent="0.3">
      <c r="A360" s="311"/>
      <c r="B360" s="311">
        <v>2017</v>
      </c>
      <c r="C360" s="310">
        <v>55744</v>
      </c>
      <c r="D360" s="310">
        <v>269681067</v>
      </c>
      <c r="E360" s="310">
        <v>1867721</v>
      </c>
    </row>
    <row r="361" spans="1:5" x14ac:dyDescent="0.3">
      <c r="A361" s="311"/>
      <c r="B361" s="311">
        <v>2018</v>
      </c>
      <c r="C361" s="310">
        <v>55834</v>
      </c>
      <c r="D361" s="310">
        <v>271603156</v>
      </c>
      <c r="E361" s="310">
        <v>1847879</v>
      </c>
    </row>
    <row r="362" spans="1:5" x14ac:dyDescent="0.3">
      <c r="A362" s="311"/>
      <c r="B362" s="311" t="s">
        <v>251</v>
      </c>
      <c r="C362" s="310">
        <v>947318</v>
      </c>
      <c r="D362" s="310">
        <v>4325216769</v>
      </c>
      <c r="E362" s="310">
        <v>10806696</v>
      </c>
    </row>
    <row r="363" spans="1:5" x14ac:dyDescent="0.3">
      <c r="A363" s="313"/>
    </row>
    <row r="364" spans="1:5" x14ac:dyDescent="0.3">
      <c r="A364" s="312" t="s">
        <v>919</v>
      </c>
      <c r="B364" s="312"/>
      <c r="C364" s="312"/>
      <c r="D364" s="312"/>
      <c r="E364" s="312"/>
    </row>
    <row r="365" spans="1:5" x14ac:dyDescent="0.3">
      <c r="A365" s="312" t="s">
        <v>989</v>
      </c>
      <c r="B365" s="312"/>
      <c r="C365" s="312"/>
      <c r="D365" s="312"/>
      <c r="E365" s="312"/>
    </row>
    <row r="366" spans="1:5" x14ac:dyDescent="0.3">
      <c r="A366" s="312" t="s">
        <v>927</v>
      </c>
      <c r="B366" s="312" t="s">
        <v>928</v>
      </c>
      <c r="C366" s="312" t="s">
        <v>929</v>
      </c>
      <c r="D366" s="311" t="s">
        <v>930</v>
      </c>
      <c r="E366" s="311" t="s">
        <v>931</v>
      </c>
    </row>
    <row r="367" spans="1:5" x14ac:dyDescent="0.3">
      <c r="A367" s="312"/>
      <c r="B367" s="312"/>
      <c r="C367" s="312"/>
      <c r="D367" s="311" t="s">
        <v>929</v>
      </c>
      <c r="E367" s="311" t="s">
        <v>932</v>
      </c>
    </row>
    <row r="368" spans="1:5" x14ac:dyDescent="0.3">
      <c r="A368" s="311" t="s">
        <v>986</v>
      </c>
      <c r="B368" s="311">
        <v>2002</v>
      </c>
      <c r="C368" s="310">
        <v>0</v>
      </c>
      <c r="D368" s="310" t="s">
        <v>621</v>
      </c>
      <c r="E368" s="310" t="s">
        <v>621</v>
      </c>
    </row>
    <row r="369" spans="1:5" x14ac:dyDescent="0.3">
      <c r="A369" s="311"/>
      <c r="B369" s="311">
        <v>2003</v>
      </c>
      <c r="C369" s="310">
        <v>0</v>
      </c>
      <c r="D369" s="310" t="s">
        <v>621</v>
      </c>
      <c r="E369" s="310" t="s">
        <v>621</v>
      </c>
    </row>
    <row r="370" spans="1:5" x14ac:dyDescent="0.3">
      <c r="A370" s="311"/>
      <c r="B370" s="311">
        <v>2004</v>
      </c>
      <c r="C370" s="310">
        <v>0</v>
      </c>
      <c r="D370" s="310" t="s">
        <v>621</v>
      </c>
      <c r="E370" s="310" t="s">
        <v>621</v>
      </c>
    </row>
    <row r="371" spans="1:5" x14ac:dyDescent="0.3">
      <c r="A371" s="311"/>
      <c r="B371" s="311">
        <v>2005</v>
      </c>
      <c r="C371" s="310">
        <v>0</v>
      </c>
      <c r="D371" s="310" t="s">
        <v>621</v>
      </c>
      <c r="E371" s="310" t="s">
        <v>621</v>
      </c>
    </row>
    <row r="372" spans="1:5" x14ac:dyDescent="0.3">
      <c r="A372" s="311"/>
      <c r="B372" s="311">
        <v>2006</v>
      </c>
      <c r="C372" s="310">
        <v>0</v>
      </c>
      <c r="D372" s="310" t="s">
        <v>621</v>
      </c>
      <c r="E372" s="310" t="s">
        <v>621</v>
      </c>
    </row>
    <row r="373" spans="1:5" x14ac:dyDescent="0.3">
      <c r="A373" s="311"/>
      <c r="B373" s="311">
        <v>2007</v>
      </c>
      <c r="C373" s="310">
        <v>0</v>
      </c>
      <c r="D373" s="310" t="s">
        <v>621</v>
      </c>
      <c r="E373" s="310" t="s">
        <v>621</v>
      </c>
    </row>
    <row r="374" spans="1:5" x14ac:dyDescent="0.3">
      <c r="A374" s="311"/>
      <c r="B374" s="311">
        <v>2008</v>
      </c>
      <c r="C374" s="310">
        <v>0</v>
      </c>
      <c r="D374" s="310" t="s">
        <v>621</v>
      </c>
      <c r="E374" s="310" t="s">
        <v>621</v>
      </c>
    </row>
    <row r="375" spans="1:5" x14ac:dyDescent="0.3">
      <c r="A375" s="311"/>
      <c r="B375" s="311">
        <v>2009</v>
      </c>
      <c r="C375" s="310">
        <v>0</v>
      </c>
      <c r="D375" s="310" t="s">
        <v>621</v>
      </c>
      <c r="E375" s="310" t="s">
        <v>621</v>
      </c>
    </row>
    <row r="376" spans="1:5" x14ac:dyDescent="0.3">
      <c r="A376" s="311"/>
      <c r="B376" s="311">
        <v>2010</v>
      </c>
      <c r="C376" s="310">
        <v>0</v>
      </c>
      <c r="D376" s="310" t="s">
        <v>621</v>
      </c>
      <c r="E376" s="310" t="s">
        <v>621</v>
      </c>
    </row>
    <row r="377" spans="1:5" x14ac:dyDescent="0.3">
      <c r="A377" s="311"/>
      <c r="B377" s="311">
        <v>2011</v>
      </c>
      <c r="C377" s="310">
        <v>0</v>
      </c>
      <c r="D377" s="310" t="s">
        <v>621</v>
      </c>
      <c r="E377" s="310" t="s">
        <v>621</v>
      </c>
    </row>
    <row r="378" spans="1:5" x14ac:dyDescent="0.3">
      <c r="A378" s="311"/>
      <c r="B378" s="311">
        <v>2012</v>
      </c>
      <c r="C378" s="310">
        <v>0</v>
      </c>
      <c r="D378" s="310" t="s">
        <v>621</v>
      </c>
      <c r="E378" s="310" t="s">
        <v>621</v>
      </c>
    </row>
    <row r="379" spans="1:5" x14ac:dyDescent="0.3">
      <c r="A379" s="311"/>
      <c r="B379" s="311">
        <v>2013</v>
      </c>
      <c r="C379" s="310">
        <v>0</v>
      </c>
      <c r="D379" s="310" t="s">
        <v>621</v>
      </c>
      <c r="E379" s="310" t="s">
        <v>621</v>
      </c>
    </row>
    <row r="380" spans="1:5" x14ac:dyDescent="0.3">
      <c r="A380" s="311"/>
      <c r="B380" s="311">
        <v>2014</v>
      </c>
      <c r="C380" s="310">
        <v>0</v>
      </c>
      <c r="D380" s="310" t="s">
        <v>621</v>
      </c>
      <c r="E380" s="310" t="s">
        <v>621</v>
      </c>
    </row>
    <row r="381" spans="1:5" x14ac:dyDescent="0.3">
      <c r="A381" s="311"/>
      <c r="B381" s="311">
        <v>2015</v>
      </c>
      <c r="C381" s="310">
        <v>0</v>
      </c>
      <c r="D381" s="310" t="s">
        <v>621</v>
      </c>
      <c r="E381" s="310" t="s">
        <v>621</v>
      </c>
    </row>
    <row r="382" spans="1:5" x14ac:dyDescent="0.3">
      <c r="A382" s="311"/>
      <c r="B382" s="311">
        <v>2016</v>
      </c>
      <c r="C382" s="310">
        <v>0</v>
      </c>
      <c r="D382" s="310" t="s">
        <v>621</v>
      </c>
      <c r="E382" s="310" t="s">
        <v>621</v>
      </c>
    </row>
    <row r="383" spans="1:5" x14ac:dyDescent="0.3">
      <c r="A383" s="311"/>
      <c r="B383" s="311">
        <v>2017</v>
      </c>
      <c r="C383" s="310">
        <v>0</v>
      </c>
      <c r="D383" s="310" t="s">
        <v>621</v>
      </c>
      <c r="E383" s="310" t="s">
        <v>621</v>
      </c>
    </row>
    <row r="384" spans="1:5" x14ac:dyDescent="0.3">
      <c r="A384" s="311"/>
      <c r="B384" s="311">
        <v>2018</v>
      </c>
      <c r="C384" s="310">
        <v>0</v>
      </c>
      <c r="D384" s="310" t="s">
        <v>621</v>
      </c>
      <c r="E384" s="310" t="s">
        <v>621</v>
      </c>
    </row>
    <row r="385" spans="1:5" x14ac:dyDescent="0.3">
      <c r="A385" s="311"/>
      <c r="B385" s="311" t="s">
        <v>251</v>
      </c>
      <c r="C385" s="310">
        <v>0</v>
      </c>
      <c r="D385" s="310" t="s">
        <v>621</v>
      </c>
      <c r="E385" s="310" t="s">
        <v>621</v>
      </c>
    </row>
    <row r="386" spans="1:5" x14ac:dyDescent="0.3">
      <c r="A386" s="311" t="s">
        <v>933</v>
      </c>
      <c r="B386" s="311">
        <v>2002</v>
      </c>
      <c r="C386" s="310">
        <v>0</v>
      </c>
      <c r="D386" s="310" t="s">
        <v>621</v>
      </c>
      <c r="E386" s="310" t="s">
        <v>621</v>
      </c>
    </row>
    <row r="387" spans="1:5" x14ac:dyDescent="0.3">
      <c r="A387" s="311"/>
      <c r="B387" s="311">
        <v>2003</v>
      </c>
      <c r="C387" s="310">
        <v>0</v>
      </c>
      <c r="D387" s="310" t="s">
        <v>621</v>
      </c>
      <c r="E387" s="310" t="s">
        <v>621</v>
      </c>
    </row>
    <row r="388" spans="1:5" x14ac:dyDescent="0.3">
      <c r="A388" s="311"/>
      <c r="B388" s="311">
        <v>2004</v>
      </c>
      <c r="C388" s="310">
        <v>0</v>
      </c>
      <c r="D388" s="310" t="s">
        <v>621</v>
      </c>
      <c r="E388" s="310" t="s">
        <v>621</v>
      </c>
    </row>
    <row r="389" spans="1:5" x14ac:dyDescent="0.3">
      <c r="A389" s="311"/>
      <c r="B389" s="311">
        <v>2005</v>
      </c>
      <c r="C389" s="310">
        <v>0</v>
      </c>
      <c r="D389" s="310" t="s">
        <v>621</v>
      </c>
      <c r="E389" s="310" t="s">
        <v>621</v>
      </c>
    </row>
    <row r="390" spans="1:5" x14ac:dyDescent="0.3">
      <c r="A390" s="311"/>
      <c r="B390" s="311">
        <v>2006</v>
      </c>
      <c r="C390" s="310">
        <v>0</v>
      </c>
      <c r="D390" s="310" t="s">
        <v>621</v>
      </c>
      <c r="E390" s="310" t="s">
        <v>621</v>
      </c>
    </row>
    <row r="391" spans="1:5" x14ac:dyDescent="0.3">
      <c r="A391" s="311"/>
      <c r="B391" s="311">
        <v>2007</v>
      </c>
      <c r="C391" s="310">
        <v>0</v>
      </c>
      <c r="D391" s="310" t="s">
        <v>621</v>
      </c>
      <c r="E391" s="310" t="s">
        <v>621</v>
      </c>
    </row>
    <row r="392" spans="1:5" x14ac:dyDescent="0.3">
      <c r="A392" s="311"/>
      <c r="B392" s="311">
        <v>2008</v>
      </c>
      <c r="C392" s="310">
        <v>0</v>
      </c>
      <c r="D392" s="310" t="s">
        <v>621</v>
      </c>
      <c r="E392" s="310" t="s">
        <v>621</v>
      </c>
    </row>
    <row r="393" spans="1:5" x14ac:dyDescent="0.3">
      <c r="A393" s="311"/>
      <c r="B393" s="311">
        <v>2009</v>
      </c>
      <c r="C393" s="310">
        <v>0</v>
      </c>
      <c r="D393" s="310" t="s">
        <v>621</v>
      </c>
      <c r="E393" s="310" t="s">
        <v>621</v>
      </c>
    </row>
    <row r="394" spans="1:5" x14ac:dyDescent="0.3">
      <c r="A394" s="311"/>
      <c r="B394" s="311">
        <v>2010</v>
      </c>
      <c r="C394" s="310">
        <v>0</v>
      </c>
      <c r="D394" s="310" t="s">
        <v>621</v>
      </c>
      <c r="E394" s="310" t="s">
        <v>621</v>
      </c>
    </row>
    <row r="395" spans="1:5" x14ac:dyDescent="0.3">
      <c r="A395" s="311"/>
      <c r="B395" s="311">
        <v>2011</v>
      </c>
      <c r="C395" s="310">
        <v>0</v>
      </c>
      <c r="D395" s="310" t="s">
        <v>621</v>
      </c>
      <c r="E395" s="310" t="s">
        <v>621</v>
      </c>
    </row>
    <row r="396" spans="1:5" x14ac:dyDescent="0.3">
      <c r="A396" s="311"/>
      <c r="B396" s="311">
        <v>2012</v>
      </c>
      <c r="C396" s="310">
        <v>0</v>
      </c>
      <c r="D396" s="310" t="s">
        <v>621</v>
      </c>
      <c r="E396" s="310" t="s">
        <v>621</v>
      </c>
    </row>
    <row r="397" spans="1:5" x14ac:dyDescent="0.3">
      <c r="A397" s="311"/>
      <c r="B397" s="311">
        <v>2013</v>
      </c>
      <c r="C397" s="310">
        <v>0</v>
      </c>
      <c r="D397" s="310" t="s">
        <v>621</v>
      </c>
      <c r="E397" s="310" t="s">
        <v>621</v>
      </c>
    </row>
    <row r="398" spans="1:5" x14ac:dyDescent="0.3">
      <c r="A398" s="311"/>
      <c r="B398" s="311">
        <v>2014</v>
      </c>
      <c r="C398" s="310">
        <v>0</v>
      </c>
      <c r="D398" s="310" t="s">
        <v>621</v>
      </c>
      <c r="E398" s="310" t="s">
        <v>621</v>
      </c>
    </row>
    <row r="399" spans="1:5" x14ac:dyDescent="0.3">
      <c r="A399" s="311"/>
      <c r="B399" s="311">
        <v>2015</v>
      </c>
      <c r="C399" s="310">
        <v>13</v>
      </c>
      <c r="D399" s="310">
        <v>59678</v>
      </c>
      <c r="E399" s="310">
        <v>26774</v>
      </c>
    </row>
    <row r="400" spans="1:5" x14ac:dyDescent="0.3">
      <c r="A400" s="311"/>
      <c r="B400" s="311">
        <v>2016</v>
      </c>
      <c r="C400" s="310">
        <v>7</v>
      </c>
      <c r="D400" s="310">
        <v>21995</v>
      </c>
      <c r="E400" s="310">
        <v>10846</v>
      </c>
    </row>
    <row r="401" spans="1:5" x14ac:dyDescent="0.3">
      <c r="A401" s="311"/>
      <c r="B401" s="311">
        <v>2017</v>
      </c>
      <c r="C401" s="310">
        <v>8</v>
      </c>
      <c r="D401" s="310">
        <v>21145</v>
      </c>
      <c r="E401" s="310">
        <v>11156</v>
      </c>
    </row>
    <row r="402" spans="1:5" x14ac:dyDescent="0.3">
      <c r="A402" s="311"/>
      <c r="B402" s="311">
        <v>2018</v>
      </c>
      <c r="C402" s="310">
        <v>12</v>
      </c>
      <c r="D402" s="310">
        <v>37444</v>
      </c>
      <c r="E402" s="310">
        <v>16655</v>
      </c>
    </row>
    <row r="403" spans="1:5" x14ac:dyDescent="0.3">
      <c r="A403" s="311"/>
      <c r="B403" s="311" t="s">
        <v>251</v>
      </c>
      <c r="C403" s="310">
        <v>40</v>
      </c>
      <c r="D403" s="310">
        <v>140262</v>
      </c>
      <c r="E403" s="310">
        <v>39007</v>
      </c>
    </row>
    <row r="404" spans="1:5" x14ac:dyDescent="0.3">
      <c r="A404" s="311" t="s">
        <v>961</v>
      </c>
      <c r="B404" s="311">
        <v>2002</v>
      </c>
      <c r="C404" s="310">
        <v>0</v>
      </c>
      <c r="D404" s="310" t="s">
        <v>621</v>
      </c>
      <c r="E404" s="310" t="s">
        <v>621</v>
      </c>
    </row>
    <row r="405" spans="1:5" x14ac:dyDescent="0.3">
      <c r="A405" s="311"/>
      <c r="B405" s="311">
        <v>2003</v>
      </c>
      <c r="C405" s="310">
        <v>0</v>
      </c>
      <c r="D405" s="310" t="s">
        <v>621</v>
      </c>
      <c r="E405" s="310" t="s">
        <v>621</v>
      </c>
    </row>
    <row r="406" spans="1:5" x14ac:dyDescent="0.3">
      <c r="A406" s="311"/>
      <c r="B406" s="311">
        <v>2004</v>
      </c>
      <c r="C406" s="310">
        <v>0</v>
      </c>
      <c r="D406" s="310" t="s">
        <v>621</v>
      </c>
      <c r="E406" s="310" t="s">
        <v>621</v>
      </c>
    </row>
    <row r="407" spans="1:5" x14ac:dyDescent="0.3">
      <c r="A407" s="311"/>
      <c r="B407" s="311">
        <v>2005</v>
      </c>
      <c r="C407" s="310">
        <v>0</v>
      </c>
      <c r="D407" s="310" t="s">
        <v>621</v>
      </c>
      <c r="E407" s="310" t="s">
        <v>621</v>
      </c>
    </row>
    <row r="408" spans="1:5" x14ac:dyDescent="0.3">
      <c r="A408" s="311"/>
      <c r="B408" s="311">
        <v>2006</v>
      </c>
      <c r="C408" s="310">
        <v>0</v>
      </c>
      <c r="D408" s="310" t="s">
        <v>621</v>
      </c>
      <c r="E408" s="310" t="s">
        <v>621</v>
      </c>
    </row>
    <row r="409" spans="1:5" x14ac:dyDescent="0.3">
      <c r="A409" s="311"/>
      <c r="B409" s="311">
        <v>2007</v>
      </c>
      <c r="C409" s="310">
        <v>0</v>
      </c>
      <c r="D409" s="310" t="s">
        <v>621</v>
      </c>
      <c r="E409" s="310" t="s">
        <v>621</v>
      </c>
    </row>
    <row r="410" spans="1:5" x14ac:dyDescent="0.3">
      <c r="A410" s="311"/>
      <c r="B410" s="311">
        <v>2008</v>
      </c>
      <c r="C410" s="310">
        <v>0</v>
      </c>
      <c r="D410" s="310" t="s">
        <v>621</v>
      </c>
      <c r="E410" s="310" t="s">
        <v>621</v>
      </c>
    </row>
    <row r="411" spans="1:5" x14ac:dyDescent="0.3">
      <c r="A411" s="311"/>
      <c r="B411" s="311">
        <v>2009</v>
      </c>
      <c r="C411" s="310">
        <v>0</v>
      </c>
      <c r="D411" s="310" t="s">
        <v>621</v>
      </c>
      <c r="E411" s="310" t="s">
        <v>621</v>
      </c>
    </row>
    <row r="412" spans="1:5" x14ac:dyDescent="0.3">
      <c r="A412" s="311"/>
      <c r="B412" s="311">
        <v>2010</v>
      </c>
      <c r="C412" s="310">
        <v>0</v>
      </c>
      <c r="D412" s="310" t="s">
        <v>621</v>
      </c>
      <c r="E412" s="310" t="s">
        <v>621</v>
      </c>
    </row>
    <row r="413" spans="1:5" x14ac:dyDescent="0.3">
      <c r="A413" s="311"/>
      <c r="B413" s="311">
        <v>2011</v>
      </c>
      <c r="C413" s="310">
        <v>0</v>
      </c>
      <c r="D413" s="310" t="s">
        <v>621</v>
      </c>
      <c r="E413" s="310" t="s">
        <v>621</v>
      </c>
    </row>
    <row r="414" spans="1:5" x14ac:dyDescent="0.3">
      <c r="A414" s="311"/>
      <c r="B414" s="311">
        <v>2012</v>
      </c>
      <c r="C414" s="310">
        <v>0</v>
      </c>
      <c r="D414" s="310" t="s">
        <v>621</v>
      </c>
      <c r="E414" s="310" t="s">
        <v>621</v>
      </c>
    </row>
    <row r="415" spans="1:5" x14ac:dyDescent="0.3">
      <c r="A415" s="311"/>
      <c r="B415" s="311">
        <v>2013</v>
      </c>
      <c r="C415" s="310">
        <v>0</v>
      </c>
      <c r="D415" s="310" t="s">
        <v>621</v>
      </c>
      <c r="E415" s="310" t="s">
        <v>621</v>
      </c>
    </row>
    <row r="416" spans="1:5" x14ac:dyDescent="0.3">
      <c r="A416" s="311"/>
      <c r="B416" s="311">
        <v>2014</v>
      </c>
      <c r="C416" s="310">
        <v>0</v>
      </c>
      <c r="D416" s="310" t="s">
        <v>621</v>
      </c>
      <c r="E416" s="310" t="s">
        <v>621</v>
      </c>
    </row>
    <row r="417" spans="1:5" x14ac:dyDescent="0.3">
      <c r="A417" s="311"/>
      <c r="B417" s="311">
        <v>2015</v>
      </c>
      <c r="C417" s="310">
        <v>8</v>
      </c>
      <c r="D417" s="310">
        <v>28151</v>
      </c>
      <c r="E417" s="310">
        <v>12554</v>
      </c>
    </row>
    <row r="418" spans="1:5" x14ac:dyDescent="0.3">
      <c r="A418" s="311"/>
      <c r="B418" s="311">
        <v>2016</v>
      </c>
      <c r="C418" s="310">
        <v>4</v>
      </c>
      <c r="D418" s="310">
        <v>5283</v>
      </c>
      <c r="E418" s="310">
        <v>2935</v>
      </c>
    </row>
    <row r="419" spans="1:5" x14ac:dyDescent="0.3">
      <c r="A419" s="311"/>
      <c r="B419" s="311">
        <v>2017</v>
      </c>
      <c r="C419" s="310">
        <v>3</v>
      </c>
      <c r="D419" s="310">
        <v>10419</v>
      </c>
      <c r="E419" s="310">
        <v>6302</v>
      </c>
    </row>
    <row r="420" spans="1:5" x14ac:dyDescent="0.3">
      <c r="A420" s="311"/>
      <c r="B420" s="311">
        <v>2018</v>
      </c>
      <c r="C420" s="310">
        <v>4</v>
      </c>
      <c r="D420" s="310">
        <v>7868</v>
      </c>
      <c r="E420" s="310">
        <v>5365</v>
      </c>
    </row>
    <row r="421" spans="1:5" x14ac:dyDescent="0.3">
      <c r="A421" s="311"/>
      <c r="B421" s="311" t="s">
        <v>251</v>
      </c>
      <c r="C421" s="310">
        <v>19</v>
      </c>
      <c r="D421" s="310">
        <v>51722</v>
      </c>
      <c r="E421" s="310">
        <v>13560</v>
      </c>
    </row>
    <row r="422" spans="1:5" x14ac:dyDescent="0.3">
      <c r="A422" s="311" t="s">
        <v>980</v>
      </c>
      <c r="B422" s="311">
        <v>2002</v>
      </c>
      <c r="C422" s="310">
        <v>0</v>
      </c>
      <c r="D422" s="310" t="s">
        <v>621</v>
      </c>
      <c r="E422" s="310" t="s">
        <v>621</v>
      </c>
    </row>
    <row r="423" spans="1:5" x14ac:dyDescent="0.3">
      <c r="A423" s="311"/>
      <c r="B423" s="311">
        <v>2003</v>
      </c>
      <c r="C423" s="310">
        <v>0</v>
      </c>
      <c r="D423" s="310" t="s">
        <v>621</v>
      </c>
      <c r="E423" s="310" t="s">
        <v>621</v>
      </c>
    </row>
    <row r="424" spans="1:5" x14ac:dyDescent="0.3">
      <c r="A424" s="311"/>
      <c r="B424" s="311">
        <v>2004</v>
      </c>
      <c r="C424" s="310">
        <v>0</v>
      </c>
      <c r="D424" s="310" t="s">
        <v>621</v>
      </c>
      <c r="E424" s="310" t="s">
        <v>621</v>
      </c>
    </row>
    <row r="425" spans="1:5" x14ac:dyDescent="0.3">
      <c r="A425" s="311"/>
      <c r="B425" s="311">
        <v>2005</v>
      </c>
      <c r="C425" s="310">
        <v>0</v>
      </c>
      <c r="D425" s="310" t="s">
        <v>621</v>
      </c>
      <c r="E425" s="310" t="s">
        <v>621</v>
      </c>
    </row>
    <row r="426" spans="1:5" x14ac:dyDescent="0.3">
      <c r="A426" s="311"/>
      <c r="B426" s="311">
        <v>2006</v>
      </c>
      <c r="C426" s="310">
        <v>0</v>
      </c>
      <c r="D426" s="310" t="s">
        <v>621</v>
      </c>
      <c r="E426" s="310" t="s">
        <v>621</v>
      </c>
    </row>
    <row r="427" spans="1:5" x14ac:dyDescent="0.3">
      <c r="A427" s="311"/>
      <c r="B427" s="311">
        <v>2007</v>
      </c>
      <c r="C427" s="310">
        <v>0</v>
      </c>
      <c r="D427" s="310" t="s">
        <v>621</v>
      </c>
      <c r="E427" s="310" t="s">
        <v>621</v>
      </c>
    </row>
    <row r="428" spans="1:5" x14ac:dyDescent="0.3">
      <c r="A428" s="311"/>
      <c r="B428" s="311">
        <v>2008</v>
      </c>
      <c r="C428" s="310">
        <v>0</v>
      </c>
      <c r="D428" s="310" t="s">
        <v>621</v>
      </c>
      <c r="E428" s="310" t="s">
        <v>621</v>
      </c>
    </row>
    <row r="429" spans="1:5" x14ac:dyDescent="0.3">
      <c r="A429" s="311"/>
      <c r="B429" s="311">
        <v>2009</v>
      </c>
      <c r="C429" s="310">
        <v>0</v>
      </c>
      <c r="D429" s="310" t="s">
        <v>621</v>
      </c>
      <c r="E429" s="310" t="s">
        <v>621</v>
      </c>
    </row>
    <row r="430" spans="1:5" x14ac:dyDescent="0.3">
      <c r="A430" s="311"/>
      <c r="B430" s="311">
        <v>2010</v>
      </c>
      <c r="C430" s="310">
        <v>0</v>
      </c>
      <c r="D430" s="310" t="s">
        <v>621</v>
      </c>
      <c r="E430" s="310" t="s">
        <v>621</v>
      </c>
    </row>
    <row r="431" spans="1:5" x14ac:dyDescent="0.3">
      <c r="A431" s="311"/>
      <c r="B431" s="311">
        <v>2011</v>
      </c>
      <c r="C431" s="310">
        <v>0</v>
      </c>
      <c r="D431" s="310" t="s">
        <v>621</v>
      </c>
      <c r="E431" s="310" t="s">
        <v>621</v>
      </c>
    </row>
    <row r="432" spans="1:5" x14ac:dyDescent="0.3">
      <c r="A432" s="311"/>
      <c r="B432" s="311">
        <v>2012</v>
      </c>
      <c r="C432" s="310">
        <v>0</v>
      </c>
      <c r="D432" s="310" t="s">
        <v>621</v>
      </c>
      <c r="E432" s="310" t="s">
        <v>621</v>
      </c>
    </row>
    <row r="433" spans="1:5" x14ac:dyDescent="0.3">
      <c r="A433" s="311"/>
      <c r="B433" s="311">
        <v>2013</v>
      </c>
      <c r="C433" s="310">
        <v>0</v>
      </c>
      <c r="D433" s="310" t="s">
        <v>621</v>
      </c>
      <c r="E433" s="310" t="s">
        <v>621</v>
      </c>
    </row>
    <row r="434" spans="1:5" x14ac:dyDescent="0.3">
      <c r="A434" s="311"/>
      <c r="B434" s="311">
        <v>2014</v>
      </c>
      <c r="C434" s="310">
        <v>0</v>
      </c>
      <c r="D434" s="310" t="s">
        <v>621</v>
      </c>
      <c r="E434" s="310" t="s">
        <v>621</v>
      </c>
    </row>
    <row r="435" spans="1:5" x14ac:dyDescent="0.3">
      <c r="A435" s="311"/>
      <c r="B435" s="311">
        <v>2015</v>
      </c>
      <c r="C435" s="310">
        <v>213</v>
      </c>
      <c r="D435" s="310">
        <v>816694</v>
      </c>
      <c r="E435" s="310">
        <v>95879</v>
      </c>
    </row>
    <row r="436" spans="1:5" x14ac:dyDescent="0.3">
      <c r="A436" s="311"/>
      <c r="B436" s="311">
        <v>2016</v>
      </c>
      <c r="C436" s="310">
        <v>213</v>
      </c>
      <c r="D436" s="310">
        <v>860389</v>
      </c>
      <c r="E436" s="310">
        <v>89850</v>
      </c>
    </row>
    <row r="437" spans="1:5" x14ac:dyDescent="0.3">
      <c r="A437" s="311"/>
      <c r="B437" s="311">
        <v>2017</v>
      </c>
      <c r="C437" s="310">
        <v>244</v>
      </c>
      <c r="D437" s="310">
        <v>1029251</v>
      </c>
      <c r="E437" s="310">
        <v>98293</v>
      </c>
    </row>
    <row r="438" spans="1:5" x14ac:dyDescent="0.3">
      <c r="A438" s="311"/>
      <c r="B438" s="311">
        <v>2018</v>
      </c>
      <c r="C438" s="310">
        <v>193</v>
      </c>
      <c r="D438" s="310">
        <v>885184</v>
      </c>
      <c r="E438" s="310">
        <v>105945</v>
      </c>
    </row>
    <row r="439" spans="1:5" x14ac:dyDescent="0.3">
      <c r="A439" s="311"/>
      <c r="B439" s="311" t="s">
        <v>251</v>
      </c>
      <c r="C439" s="310">
        <v>863</v>
      </c>
      <c r="D439" s="310">
        <v>3591518</v>
      </c>
      <c r="E439" s="310">
        <v>199949</v>
      </c>
    </row>
    <row r="440" spans="1:5" x14ac:dyDescent="0.3">
      <c r="A440" s="311" t="s">
        <v>251</v>
      </c>
      <c r="B440" s="311">
        <v>2002</v>
      </c>
      <c r="C440" s="310">
        <v>0</v>
      </c>
      <c r="D440" s="310" t="s">
        <v>621</v>
      </c>
      <c r="E440" s="310" t="s">
        <v>621</v>
      </c>
    </row>
    <row r="441" spans="1:5" x14ac:dyDescent="0.3">
      <c r="A441" s="311"/>
      <c r="B441" s="311">
        <v>2003</v>
      </c>
      <c r="C441" s="310">
        <v>0</v>
      </c>
      <c r="D441" s="310" t="s">
        <v>621</v>
      </c>
      <c r="E441" s="310" t="s">
        <v>621</v>
      </c>
    </row>
    <row r="442" spans="1:5" x14ac:dyDescent="0.3">
      <c r="A442" s="311"/>
      <c r="B442" s="311">
        <v>2004</v>
      </c>
      <c r="C442" s="310">
        <v>0</v>
      </c>
      <c r="D442" s="310" t="s">
        <v>621</v>
      </c>
      <c r="E442" s="310" t="s">
        <v>621</v>
      </c>
    </row>
    <row r="443" spans="1:5" x14ac:dyDescent="0.3">
      <c r="A443" s="311"/>
      <c r="B443" s="311">
        <v>2005</v>
      </c>
      <c r="C443" s="310">
        <v>0</v>
      </c>
      <c r="D443" s="310" t="s">
        <v>621</v>
      </c>
      <c r="E443" s="310" t="s">
        <v>621</v>
      </c>
    </row>
    <row r="444" spans="1:5" x14ac:dyDescent="0.3">
      <c r="A444" s="311"/>
      <c r="B444" s="311">
        <v>2006</v>
      </c>
      <c r="C444" s="310">
        <v>0</v>
      </c>
      <c r="D444" s="310" t="s">
        <v>621</v>
      </c>
      <c r="E444" s="310" t="s">
        <v>621</v>
      </c>
    </row>
    <row r="445" spans="1:5" x14ac:dyDescent="0.3">
      <c r="A445" s="311"/>
      <c r="B445" s="311">
        <v>2007</v>
      </c>
      <c r="C445" s="310">
        <v>0</v>
      </c>
      <c r="D445" s="310" t="s">
        <v>621</v>
      </c>
      <c r="E445" s="310" t="s">
        <v>621</v>
      </c>
    </row>
    <row r="446" spans="1:5" x14ac:dyDescent="0.3">
      <c r="A446" s="311"/>
      <c r="B446" s="311">
        <v>2008</v>
      </c>
      <c r="C446" s="310">
        <v>0</v>
      </c>
      <c r="D446" s="310" t="s">
        <v>621</v>
      </c>
      <c r="E446" s="310" t="s">
        <v>621</v>
      </c>
    </row>
    <row r="447" spans="1:5" x14ac:dyDescent="0.3">
      <c r="A447" s="311"/>
      <c r="B447" s="311">
        <v>2009</v>
      </c>
      <c r="C447" s="310">
        <v>0</v>
      </c>
      <c r="D447" s="310" t="s">
        <v>621</v>
      </c>
      <c r="E447" s="310" t="s">
        <v>621</v>
      </c>
    </row>
    <row r="448" spans="1:5" x14ac:dyDescent="0.3">
      <c r="A448" s="311"/>
      <c r="B448" s="311">
        <v>2010</v>
      </c>
      <c r="C448" s="310">
        <v>0</v>
      </c>
      <c r="D448" s="310" t="s">
        <v>621</v>
      </c>
      <c r="E448" s="310" t="s">
        <v>621</v>
      </c>
    </row>
    <row r="449" spans="1:5" x14ac:dyDescent="0.3">
      <c r="A449" s="311"/>
      <c r="B449" s="311">
        <v>2011</v>
      </c>
      <c r="C449" s="310">
        <v>0</v>
      </c>
      <c r="D449" s="310" t="s">
        <v>621</v>
      </c>
      <c r="E449" s="310" t="s">
        <v>621</v>
      </c>
    </row>
    <row r="450" spans="1:5" x14ac:dyDescent="0.3">
      <c r="A450" s="311"/>
      <c r="B450" s="311">
        <v>2012</v>
      </c>
      <c r="C450" s="310">
        <v>0</v>
      </c>
      <c r="D450" s="310" t="s">
        <v>621</v>
      </c>
      <c r="E450" s="310" t="s">
        <v>621</v>
      </c>
    </row>
    <row r="451" spans="1:5" x14ac:dyDescent="0.3">
      <c r="A451" s="311"/>
      <c r="B451" s="311">
        <v>2013</v>
      </c>
      <c r="C451" s="310">
        <v>0</v>
      </c>
      <c r="D451" s="310" t="s">
        <v>621</v>
      </c>
      <c r="E451" s="310" t="s">
        <v>621</v>
      </c>
    </row>
    <row r="452" spans="1:5" x14ac:dyDescent="0.3">
      <c r="A452" s="311"/>
      <c r="B452" s="311">
        <v>2014</v>
      </c>
      <c r="C452" s="310">
        <v>0</v>
      </c>
      <c r="D452" s="310" t="s">
        <v>621</v>
      </c>
      <c r="E452" s="310" t="s">
        <v>621</v>
      </c>
    </row>
    <row r="453" spans="1:5" x14ac:dyDescent="0.3">
      <c r="A453" s="311"/>
      <c r="B453" s="311">
        <v>2015</v>
      </c>
      <c r="C453" s="310">
        <v>234</v>
      </c>
      <c r="D453" s="310">
        <v>904523</v>
      </c>
      <c r="E453" s="310">
        <v>99906</v>
      </c>
    </row>
    <row r="454" spans="1:5" x14ac:dyDescent="0.3">
      <c r="A454" s="311"/>
      <c r="B454" s="311">
        <v>2016</v>
      </c>
      <c r="C454" s="310">
        <v>224</v>
      </c>
      <c r="D454" s="310">
        <v>887667</v>
      </c>
      <c r="E454" s="310">
        <v>91444</v>
      </c>
    </row>
    <row r="455" spans="1:5" x14ac:dyDescent="0.3">
      <c r="A455" s="311"/>
      <c r="B455" s="311">
        <v>2017</v>
      </c>
      <c r="C455" s="310">
        <v>255</v>
      </c>
      <c r="D455" s="310">
        <v>1060815</v>
      </c>
      <c r="E455" s="310">
        <v>101671</v>
      </c>
    </row>
    <row r="456" spans="1:5" x14ac:dyDescent="0.3">
      <c r="A456" s="311"/>
      <c r="B456" s="311">
        <v>2018</v>
      </c>
      <c r="C456" s="310">
        <v>209</v>
      </c>
      <c r="D456" s="310">
        <v>930496</v>
      </c>
      <c r="E456" s="310">
        <v>107315</v>
      </c>
    </row>
    <row r="457" spans="1:5" x14ac:dyDescent="0.3">
      <c r="A457" s="311"/>
      <c r="B457" s="311" t="s">
        <v>251</v>
      </c>
      <c r="C457" s="310">
        <v>922</v>
      </c>
      <c r="D457" s="310">
        <v>3783502</v>
      </c>
      <c r="E457" s="310">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4" x14ac:dyDescent="0.3"/>
  <cols>
    <col min="1" max="1" width="49.6640625" customWidth="1"/>
    <col min="2" max="2" width="19.21875" customWidth="1"/>
    <col min="3" max="3" width="17.21875" customWidth="1"/>
    <col min="4" max="4" width="14.6640625" customWidth="1"/>
    <col min="5" max="6" width="15.33203125" customWidth="1"/>
    <col min="7" max="7" width="12.109375" customWidth="1"/>
    <col min="8" max="9" width="9.77734375" customWidth="1"/>
    <col min="10" max="10" width="14.109375" customWidth="1"/>
    <col min="11" max="11" width="23" customWidth="1"/>
    <col min="12" max="12" width="12"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21" ht="31.2" x14ac:dyDescent="0.6">
      <c r="A1" s="342" t="s">
        <v>33</v>
      </c>
      <c r="B1" s="342"/>
      <c r="C1" s="342"/>
      <c r="D1" s="342"/>
      <c r="E1" s="342"/>
      <c r="F1" s="342"/>
      <c r="G1" s="342"/>
      <c r="H1" s="342"/>
      <c r="I1" s="342"/>
      <c r="J1" s="342"/>
      <c r="K1" s="342"/>
      <c r="L1" s="342"/>
      <c r="M1" s="342"/>
      <c r="N1" s="342"/>
      <c r="O1" s="342"/>
      <c r="P1" s="342"/>
      <c r="Q1" s="342"/>
      <c r="R1" s="342"/>
    </row>
    <row r="2" spans="1:21" ht="31.2" x14ac:dyDescent="0.6">
      <c r="A2" s="292"/>
      <c r="B2" s="292"/>
      <c r="C2" s="292"/>
      <c r="D2" s="292"/>
      <c r="E2" s="292"/>
      <c r="F2" s="292"/>
      <c r="G2" s="292"/>
      <c r="H2" s="292"/>
      <c r="I2" s="292"/>
      <c r="J2" s="292"/>
      <c r="K2" s="292"/>
      <c r="L2" s="292"/>
      <c r="M2" s="292"/>
      <c r="N2" s="292"/>
      <c r="O2" s="292"/>
      <c r="P2" s="292"/>
      <c r="Q2" s="292"/>
      <c r="R2" s="292"/>
    </row>
    <row r="3" spans="1:21" ht="25.8" x14ac:dyDescent="0.5">
      <c r="A3" s="180" t="s">
        <v>34</v>
      </c>
    </row>
    <row r="4" spans="1:21" ht="78" x14ac:dyDescent="0.3">
      <c r="A4" s="146" t="s">
        <v>35</v>
      </c>
      <c r="B4" s="146" t="s">
        <v>36</v>
      </c>
      <c r="C4" s="146" t="s">
        <v>37</v>
      </c>
      <c r="D4" s="146" t="s">
        <v>38</v>
      </c>
      <c r="E4" s="146" t="s">
        <v>39</v>
      </c>
      <c r="F4" s="146" t="s">
        <v>40</v>
      </c>
      <c r="G4" s="146" t="s">
        <v>41</v>
      </c>
      <c r="H4" s="146" t="s">
        <v>42</v>
      </c>
      <c r="I4" s="146" t="s">
        <v>43</v>
      </c>
      <c r="J4" s="146" t="s">
        <v>44</v>
      </c>
      <c r="K4" s="146" t="s">
        <v>45</v>
      </c>
      <c r="L4" s="165" t="s">
        <v>46</v>
      </c>
      <c r="M4" s="146" t="s">
        <v>47</v>
      </c>
      <c r="N4" s="146" t="s">
        <v>48</v>
      </c>
      <c r="O4" s="146" t="s">
        <v>49</v>
      </c>
      <c r="P4" s="165" t="s">
        <v>50</v>
      </c>
      <c r="Q4" s="165" t="s">
        <v>51</v>
      </c>
      <c r="R4" s="146" t="s">
        <v>52</v>
      </c>
      <c r="S4" s="146"/>
      <c r="T4" s="146"/>
      <c r="U4" s="146"/>
    </row>
    <row r="5" spans="1:21" x14ac:dyDescent="0.3">
      <c r="A5" t="s">
        <v>53</v>
      </c>
      <c r="B5" s="57">
        <v>119.35</v>
      </c>
      <c r="D5">
        <v>20.82</v>
      </c>
      <c r="F5">
        <v>102</v>
      </c>
      <c r="I5">
        <v>180</v>
      </c>
      <c r="M5">
        <v>102</v>
      </c>
      <c r="N5" t="s">
        <v>54</v>
      </c>
      <c r="P5">
        <f t="shared" ref="P5:P14" si="0">_xlfn.AGGREGATE(2,5,B5)</f>
        <v>1</v>
      </c>
      <c r="Q5">
        <f t="shared" ref="Q5:Q14" si="1">_xlfn.AGGREGATE(2,5,C5)</f>
        <v>0</v>
      </c>
      <c r="R5" t="s">
        <v>55</v>
      </c>
      <c r="S5" t="s">
        <v>56</v>
      </c>
    </row>
    <row r="6" spans="1:21" ht="15.6" x14ac:dyDescent="0.3">
      <c r="A6" t="s">
        <v>57</v>
      </c>
      <c r="B6" s="57">
        <v>169</v>
      </c>
      <c r="F6">
        <v>53</v>
      </c>
      <c r="M6">
        <v>53</v>
      </c>
      <c r="N6" s="151" t="s">
        <v>58</v>
      </c>
      <c r="P6">
        <f t="shared" si="0"/>
        <v>1</v>
      </c>
      <c r="Q6">
        <f t="shared" si="1"/>
        <v>0</v>
      </c>
      <c r="R6" t="s">
        <v>59</v>
      </c>
      <c r="S6" t="s">
        <v>56</v>
      </c>
    </row>
    <row r="7" spans="1:21" ht="15.6" x14ac:dyDescent="0.3">
      <c r="A7" t="s">
        <v>60</v>
      </c>
      <c r="B7" s="57">
        <v>62</v>
      </c>
      <c r="F7">
        <v>46</v>
      </c>
      <c r="M7">
        <v>46</v>
      </c>
      <c r="N7" s="151" t="s">
        <v>58</v>
      </c>
      <c r="P7">
        <f t="shared" si="0"/>
        <v>1</v>
      </c>
      <c r="Q7">
        <f t="shared" si="1"/>
        <v>0</v>
      </c>
      <c r="R7" t="s">
        <v>61</v>
      </c>
    </row>
    <row r="8" spans="1:21" ht="15.6" x14ac:dyDescent="0.3">
      <c r="A8" t="s">
        <v>62</v>
      </c>
      <c r="B8" s="57">
        <v>105</v>
      </c>
      <c r="F8">
        <v>99</v>
      </c>
      <c r="K8">
        <v>15</v>
      </c>
      <c r="M8">
        <v>99</v>
      </c>
      <c r="N8" s="151" t="s">
        <v>58</v>
      </c>
      <c r="P8">
        <f t="shared" si="0"/>
        <v>1</v>
      </c>
      <c r="Q8">
        <f t="shared" si="1"/>
        <v>0</v>
      </c>
      <c r="R8" t="s">
        <v>59</v>
      </c>
      <c r="S8" t="s">
        <v>56</v>
      </c>
    </row>
    <row r="9" spans="1:21" x14ac:dyDescent="0.3">
      <c r="A9" t="s">
        <v>63</v>
      </c>
      <c r="B9" s="57">
        <v>239.07</v>
      </c>
      <c r="F9">
        <v>1949</v>
      </c>
      <c r="J9">
        <v>15.7</v>
      </c>
      <c r="M9">
        <v>1949</v>
      </c>
      <c r="N9" t="s">
        <v>64</v>
      </c>
      <c r="P9">
        <f t="shared" si="0"/>
        <v>1</v>
      </c>
      <c r="Q9">
        <f t="shared" si="1"/>
        <v>0</v>
      </c>
      <c r="R9" t="s">
        <v>65</v>
      </c>
      <c r="S9" t="s">
        <v>56</v>
      </c>
    </row>
    <row r="10" spans="1:21" x14ac:dyDescent="0.3">
      <c r="A10" t="s">
        <v>66</v>
      </c>
      <c r="B10" s="57">
        <v>242.03</v>
      </c>
      <c r="F10">
        <v>1949</v>
      </c>
      <c r="J10">
        <v>15.7</v>
      </c>
      <c r="M10">
        <v>1949</v>
      </c>
      <c r="N10" t="s">
        <v>64</v>
      </c>
      <c r="P10">
        <f t="shared" si="0"/>
        <v>1</v>
      </c>
      <c r="Q10">
        <f t="shared" si="1"/>
        <v>0</v>
      </c>
      <c r="R10" t="s">
        <v>67</v>
      </c>
      <c r="S10" t="s">
        <v>56</v>
      </c>
    </row>
    <row r="11" spans="1:21" x14ac:dyDescent="0.3">
      <c r="A11" t="s">
        <v>68</v>
      </c>
      <c r="B11" s="57">
        <v>243.1</v>
      </c>
      <c r="F11">
        <v>1041</v>
      </c>
      <c r="J11">
        <v>15.7</v>
      </c>
      <c r="M11">
        <v>1041</v>
      </c>
      <c r="N11" t="s">
        <v>64</v>
      </c>
      <c r="P11">
        <f t="shared" si="0"/>
        <v>1</v>
      </c>
      <c r="Q11">
        <f t="shared" si="1"/>
        <v>0</v>
      </c>
      <c r="R11" t="s">
        <v>69</v>
      </c>
      <c r="S11" t="s">
        <v>56</v>
      </c>
    </row>
    <row r="12" spans="1:21" x14ac:dyDescent="0.3">
      <c r="A12" t="s">
        <v>70</v>
      </c>
      <c r="B12" s="57">
        <v>244.7</v>
      </c>
      <c r="F12">
        <v>1041</v>
      </c>
      <c r="J12">
        <v>15.7</v>
      </c>
      <c r="M12">
        <v>1041</v>
      </c>
      <c r="N12" t="s">
        <v>64</v>
      </c>
      <c r="P12">
        <f t="shared" si="0"/>
        <v>1</v>
      </c>
      <c r="Q12">
        <f t="shared" si="1"/>
        <v>0</v>
      </c>
      <c r="R12" t="s">
        <v>71</v>
      </c>
      <c r="S12" t="s">
        <v>56</v>
      </c>
    </row>
    <row r="13" spans="1:21" x14ac:dyDescent="0.3">
      <c r="A13" t="s">
        <v>72</v>
      </c>
      <c r="B13" s="57">
        <v>126.2</v>
      </c>
      <c r="C13">
        <v>84</v>
      </c>
      <c r="D13" t="s">
        <v>73</v>
      </c>
      <c r="F13">
        <v>35</v>
      </c>
      <c r="J13">
        <v>13.6</v>
      </c>
      <c r="M13">
        <v>35</v>
      </c>
      <c r="N13" t="s">
        <v>54</v>
      </c>
      <c r="P13">
        <f t="shared" si="0"/>
        <v>1</v>
      </c>
      <c r="Q13">
        <f t="shared" si="1"/>
        <v>1</v>
      </c>
      <c r="R13" t="s">
        <v>74</v>
      </c>
      <c r="S13" t="s">
        <v>56</v>
      </c>
    </row>
    <row r="14" spans="1:21" x14ac:dyDescent="0.3">
      <c r="A14" t="s">
        <v>75</v>
      </c>
      <c r="B14" s="57">
        <v>96.9</v>
      </c>
      <c r="C14">
        <v>77</v>
      </c>
      <c r="D14" t="s">
        <v>76</v>
      </c>
      <c r="F14">
        <v>35</v>
      </c>
      <c r="J14">
        <v>13.6</v>
      </c>
      <c r="M14">
        <v>35</v>
      </c>
      <c r="P14">
        <f t="shared" si="0"/>
        <v>1</v>
      </c>
      <c r="Q14">
        <f t="shared" si="1"/>
        <v>1</v>
      </c>
      <c r="R14" t="s">
        <v>77</v>
      </c>
      <c r="S14" t="s">
        <v>56</v>
      </c>
    </row>
    <row r="15" spans="1:21" ht="16.2" customHeight="1" x14ac:dyDescent="0.3">
      <c r="A15" t="s">
        <v>78</v>
      </c>
      <c r="B15" s="57">
        <v>412.8</v>
      </c>
      <c r="C15">
        <f>12*30</f>
        <v>360</v>
      </c>
      <c r="D15">
        <v>236.22</v>
      </c>
      <c r="F15">
        <v>1510</v>
      </c>
      <c r="G15" t="s">
        <v>79</v>
      </c>
      <c r="H15">
        <v>24</v>
      </c>
      <c r="I15">
        <v>851</v>
      </c>
      <c r="M15">
        <v>1510</v>
      </c>
      <c r="N15" s="164" t="s">
        <v>80</v>
      </c>
      <c r="P15">
        <f>_xlfn.AGGREGATE(2,5,B15)</f>
        <v>1</v>
      </c>
      <c r="R15" s="294" t="s">
        <v>81</v>
      </c>
    </row>
    <row r="16" spans="1:21" ht="15.6" customHeight="1" x14ac:dyDescent="0.3">
      <c r="A16" t="s">
        <v>82</v>
      </c>
      <c r="B16" s="57">
        <v>292.7</v>
      </c>
      <c r="C16">
        <f>12*10</f>
        <v>120</v>
      </c>
      <c r="D16">
        <v>185.93</v>
      </c>
      <c r="F16">
        <v>2796</v>
      </c>
      <c r="G16" t="s">
        <v>83</v>
      </c>
      <c r="H16">
        <v>30</v>
      </c>
      <c r="I16">
        <v>826</v>
      </c>
      <c r="M16">
        <v>2795</v>
      </c>
      <c r="N16" s="164" t="s">
        <v>84</v>
      </c>
      <c r="P16">
        <f>_xlfn.AGGREGATE(2,5,B16)</f>
        <v>1</v>
      </c>
      <c r="R16" s="294" t="s">
        <v>85</v>
      </c>
    </row>
    <row r="17" spans="1:19" x14ac:dyDescent="0.3">
      <c r="A17" t="s">
        <v>86</v>
      </c>
      <c r="B17" s="161">
        <f>(32+168+C17)/3</f>
        <v>99.333333333333329</v>
      </c>
      <c r="C17">
        <f>14*7</f>
        <v>98</v>
      </c>
      <c r="E17" t="s">
        <v>87</v>
      </c>
      <c r="F17">
        <v>270</v>
      </c>
      <c r="J17">
        <v>16</v>
      </c>
      <c r="M17">
        <v>270</v>
      </c>
      <c r="N17" t="s">
        <v>88</v>
      </c>
      <c r="O17" t="s">
        <v>89</v>
      </c>
      <c r="P17">
        <v>1</v>
      </c>
      <c r="Q17">
        <v>1</v>
      </c>
    </row>
    <row r="18" spans="1:19" ht="15.6" x14ac:dyDescent="0.3">
      <c r="A18" t="s">
        <v>90</v>
      </c>
      <c r="B18" s="154">
        <f>(30+480+Table10811[[#This Row],[median (days)]])/3</f>
        <v>250</v>
      </c>
      <c r="C18">
        <v>240</v>
      </c>
      <c r="E18" s="151" t="s">
        <v>91</v>
      </c>
      <c r="F18">
        <v>18866</v>
      </c>
      <c r="H18">
        <v>30</v>
      </c>
      <c r="L18">
        <v>1.3</v>
      </c>
      <c r="M18" s="151">
        <f>F18*L18</f>
        <v>24525.8</v>
      </c>
      <c r="N18" t="s">
        <v>92</v>
      </c>
      <c r="O18" s="151"/>
      <c r="P18">
        <f>_xlfn.AGGREGATE(2,5,B18)</f>
        <v>1</v>
      </c>
      <c r="Q18">
        <f>_xlfn.AGGREGATE(2,5,C18)</f>
        <v>1</v>
      </c>
      <c r="R18" t="s">
        <v>93</v>
      </c>
      <c r="S18" t="s">
        <v>56</v>
      </c>
    </row>
    <row r="19" spans="1:19" ht="16.95" customHeight="1" x14ac:dyDescent="0.3">
      <c r="A19" t="s">
        <v>94</v>
      </c>
      <c r="B19" s="57">
        <v>262.7</v>
      </c>
      <c r="F19">
        <v>9906</v>
      </c>
      <c r="M19">
        <v>9906</v>
      </c>
      <c r="N19" t="s">
        <v>64</v>
      </c>
      <c r="P19">
        <f t="shared" ref="P19:P34" si="2">_xlfn.AGGREGATE(2,5,B19)</f>
        <v>1</v>
      </c>
      <c r="R19" s="5" t="s">
        <v>95</v>
      </c>
    </row>
    <row r="20" spans="1:19" ht="33.6" customHeight="1" x14ac:dyDescent="0.3">
      <c r="A20" s="5" t="s">
        <v>96</v>
      </c>
      <c r="B20" s="154">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x14ac:dyDescent="0.3">
      <c r="A21" s="5" t="s">
        <v>100</v>
      </c>
      <c r="B21" s="154">
        <f>(34+290+Table10811[[#This Row],[median (days)]])/3</f>
        <v>144</v>
      </c>
      <c r="C21">
        <v>108</v>
      </c>
      <c r="E21" t="s">
        <v>101</v>
      </c>
      <c r="F21" s="151">
        <v>228.5</v>
      </c>
      <c r="M21" s="151">
        <v>228.5</v>
      </c>
      <c r="N21" t="s">
        <v>98</v>
      </c>
      <c r="O21" s="151"/>
      <c r="P21">
        <f t="shared" si="2"/>
        <v>1</v>
      </c>
      <c r="Q21">
        <f t="shared" si="3"/>
        <v>1</v>
      </c>
      <c r="R21" t="s">
        <v>102</v>
      </c>
    </row>
    <row r="22" spans="1:19" ht="15.6" x14ac:dyDescent="0.3">
      <c r="A22" t="s">
        <v>103</v>
      </c>
      <c r="B22" s="57">
        <v>448.95</v>
      </c>
      <c r="C22" s="154">
        <v>323.55309999999997</v>
      </c>
      <c r="D22" t="s">
        <v>104</v>
      </c>
      <c r="F22">
        <v>16190</v>
      </c>
      <c r="M22">
        <v>16190</v>
      </c>
      <c r="P22">
        <f t="shared" si="2"/>
        <v>1</v>
      </c>
      <c r="Q22">
        <f t="shared" si="3"/>
        <v>1</v>
      </c>
      <c r="R22" t="s">
        <v>105</v>
      </c>
      <c r="S22" t="s">
        <v>56</v>
      </c>
    </row>
    <row r="23" spans="1:19" ht="15.6" x14ac:dyDescent="0.3">
      <c r="A23" t="s">
        <v>106</v>
      </c>
      <c r="B23" s="57">
        <v>58.4</v>
      </c>
      <c r="C23">
        <v>21</v>
      </c>
      <c r="D23">
        <v>68</v>
      </c>
      <c r="F23">
        <v>25</v>
      </c>
      <c r="H23">
        <v>1</v>
      </c>
      <c r="I23">
        <v>185</v>
      </c>
      <c r="K23">
        <v>9.1999999999999993</v>
      </c>
      <c r="L23" s="151">
        <v>1.84</v>
      </c>
      <c r="M23" s="151">
        <f>F23*L23</f>
        <v>46</v>
      </c>
      <c r="N23" t="s">
        <v>107</v>
      </c>
      <c r="O23" t="s">
        <v>108</v>
      </c>
      <c r="P23">
        <f t="shared" si="2"/>
        <v>1</v>
      </c>
      <c r="Q23">
        <f t="shared" si="3"/>
        <v>1</v>
      </c>
      <c r="R23" t="s">
        <v>109</v>
      </c>
      <c r="S23" t="s">
        <v>56</v>
      </c>
    </row>
    <row r="24" spans="1:19" x14ac:dyDescent="0.3">
      <c r="A24" t="s">
        <v>110</v>
      </c>
      <c r="B24" s="57">
        <v>213</v>
      </c>
      <c r="C24">
        <v>40</v>
      </c>
      <c r="F24">
        <v>3349</v>
      </c>
      <c r="G24" t="s">
        <v>111</v>
      </c>
      <c r="M24">
        <v>6924</v>
      </c>
      <c r="N24" t="s">
        <v>112</v>
      </c>
      <c r="O24" t="s">
        <v>108</v>
      </c>
      <c r="P24">
        <f t="shared" si="2"/>
        <v>1</v>
      </c>
      <c r="Q24">
        <f t="shared" si="3"/>
        <v>1</v>
      </c>
      <c r="R24" t="s">
        <v>113</v>
      </c>
      <c r="S24" t="s">
        <v>56</v>
      </c>
    </row>
    <row r="25" spans="1:19" x14ac:dyDescent="0.3">
      <c r="A25" t="s">
        <v>114</v>
      </c>
      <c r="B25" s="57">
        <v>173</v>
      </c>
      <c r="C25">
        <v>40</v>
      </c>
      <c r="F25">
        <v>9173</v>
      </c>
      <c r="K25">
        <v>7.5</v>
      </c>
      <c r="M25">
        <v>9173</v>
      </c>
      <c r="N25" t="s">
        <v>115</v>
      </c>
      <c r="O25" t="s">
        <v>116</v>
      </c>
      <c r="P25">
        <f t="shared" si="2"/>
        <v>1</v>
      </c>
      <c r="Q25">
        <f t="shared" si="3"/>
        <v>1</v>
      </c>
      <c r="R25" t="s">
        <v>117</v>
      </c>
      <c r="S25" t="s">
        <v>56</v>
      </c>
    </row>
    <row r="26" spans="1:19" x14ac:dyDescent="0.3">
      <c r="A26" t="s">
        <v>118</v>
      </c>
      <c r="B26" s="57">
        <v>266</v>
      </c>
      <c r="C26">
        <v>118</v>
      </c>
      <c r="F26">
        <v>27273</v>
      </c>
      <c r="K26">
        <v>14.1</v>
      </c>
      <c r="M26">
        <v>27273</v>
      </c>
      <c r="N26" t="s">
        <v>84</v>
      </c>
      <c r="P26">
        <f t="shared" si="2"/>
        <v>1</v>
      </c>
      <c r="Q26">
        <f t="shared" si="3"/>
        <v>1</v>
      </c>
      <c r="R26" t="s">
        <v>119</v>
      </c>
      <c r="S26" t="s">
        <v>56</v>
      </c>
    </row>
    <row r="27" spans="1:19" x14ac:dyDescent="0.3">
      <c r="A27" t="s">
        <v>120</v>
      </c>
      <c r="B27" s="57">
        <v>111</v>
      </c>
      <c r="D27">
        <v>65</v>
      </c>
      <c r="F27">
        <v>740</v>
      </c>
      <c r="M27">
        <v>740</v>
      </c>
      <c r="N27" t="s">
        <v>121</v>
      </c>
      <c r="P27">
        <f t="shared" si="2"/>
        <v>1</v>
      </c>
      <c r="Q27">
        <f t="shared" si="3"/>
        <v>0</v>
      </c>
      <c r="R27" t="s">
        <v>122</v>
      </c>
      <c r="S27" t="s">
        <v>56</v>
      </c>
    </row>
    <row r="28" spans="1:19" ht="15.6" x14ac:dyDescent="0.3">
      <c r="A28" t="s">
        <v>123</v>
      </c>
      <c r="B28" s="154">
        <f>(H28+2*C28+I28)/4</f>
        <v>287.75</v>
      </c>
      <c r="C28">
        <v>399</v>
      </c>
      <c r="F28">
        <v>477</v>
      </c>
      <c r="H28">
        <v>0</v>
      </c>
      <c r="I28">
        <v>353</v>
      </c>
      <c r="J28">
        <v>16</v>
      </c>
      <c r="K28">
        <v>18</v>
      </c>
      <c r="M28">
        <v>477</v>
      </c>
      <c r="N28" t="s">
        <v>124</v>
      </c>
      <c r="P28">
        <f t="shared" si="2"/>
        <v>1</v>
      </c>
      <c r="Q28">
        <f t="shared" si="3"/>
        <v>1</v>
      </c>
      <c r="R28" t="s">
        <v>125</v>
      </c>
      <c r="S28" t="s">
        <v>56</v>
      </c>
    </row>
    <row r="29" spans="1:19" x14ac:dyDescent="0.3">
      <c r="A29" t="s">
        <v>126</v>
      </c>
      <c r="B29" s="57">
        <v>128.1</v>
      </c>
      <c r="F29">
        <v>297</v>
      </c>
      <c r="K29">
        <v>13.5</v>
      </c>
      <c r="M29">
        <v>297</v>
      </c>
      <c r="N29" t="s">
        <v>127</v>
      </c>
      <c r="P29">
        <f t="shared" si="2"/>
        <v>1</v>
      </c>
      <c r="Q29">
        <f t="shared" si="3"/>
        <v>0</v>
      </c>
      <c r="R29" t="s">
        <v>128</v>
      </c>
      <c r="S29" t="s">
        <v>56</v>
      </c>
    </row>
    <row r="30" spans="1:19" x14ac:dyDescent="0.3">
      <c r="A30" t="s">
        <v>129</v>
      </c>
      <c r="B30" s="57">
        <v>146.72999999999999</v>
      </c>
      <c r="C30">
        <v>112</v>
      </c>
      <c r="D30">
        <v>121.25</v>
      </c>
      <c r="F30">
        <v>591</v>
      </c>
      <c r="M30">
        <v>591</v>
      </c>
      <c r="N30" t="s">
        <v>130</v>
      </c>
      <c r="P30">
        <f t="shared" si="2"/>
        <v>1</v>
      </c>
      <c r="Q30">
        <f t="shared" si="3"/>
        <v>1</v>
      </c>
      <c r="R30" s="153" t="s">
        <v>131</v>
      </c>
      <c r="S30" t="s">
        <v>56</v>
      </c>
    </row>
    <row r="31" spans="1:19" ht="15.6" x14ac:dyDescent="0.3">
      <c r="A31" t="s">
        <v>132</v>
      </c>
      <c r="B31" s="57">
        <f>(7+C31+80)/3</f>
        <v>34</v>
      </c>
      <c r="C31" s="159">
        <v>15</v>
      </c>
      <c r="E31" s="163" t="s">
        <v>133</v>
      </c>
      <c r="F31">
        <v>15174</v>
      </c>
      <c r="M31">
        <f>F31</f>
        <v>15174</v>
      </c>
      <c r="N31" t="s">
        <v>134</v>
      </c>
      <c r="P31" s="152">
        <f t="shared" si="2"/>
        <v>1</v>
      </c>
      <c r="Q31" s="152">
        <f t="shared" si="3"/>
        <v>1</v>
      </c>
      <c r="R31" t="s">
        <v>135</v>
      </c>
      <c r="S31" t="s">
        <v>56</v>
      </c>
    </row>
    <row r="32" spans="1:19" ht="15.6" x14ac:dyDescent="0.3">
      <c r="A32" t="s">
        <v>136</v>
      </c>
      <c r="B32" s="57">
        <f>(30+C32+200)/3</f>
        <v>101.66666666666667</v>
      </c>
      <c r="C32" s="159">
        <v>75</v>
      </c>
      <c r="E32" t="s">
        <v>137</v>
      </c>
      <c r="F32">
        <v>2115</v>
      </c>
      <c r="M32">
        <f>F32</f>
        <v>2115</v>
      </c>
      <c r="N32" t="s">
        <v>134</v>
      </c>
      <c r="P32">
        <f t="shared" si="2"/>
        <v>1</v>
      </c>
      <c r="Q32">
        <f t="shared" si="3"/>
        <v>1</v>
      </c>
      <c r="R32" t="s">
        <v>102</v>
      </c>
    </row>
    <row r="33" spans="1:21" ht="15.6" x14ac:dyDescent="0.3">
      <c r="A33" t="s">
        <v>138</v>
      </c>
      <c r="B33" s="57">
        <v>206.4</v>
      </c>
      <c r="C33" s="162">
        <v>226.5</v>
      </c>
      <c r="D33" t="s">
        <v>139</v>
      </c>
      <c r="F33">
        <v>302</v>
      </c>
      <c r="K33">
        <v>13.5</v>
      </c>
      <c r="M33">
        <f>F33</f>
        <v>302</v>
      </c>
      <c r="N33" t="s">
        <v>140</v>
      </c>
      <c r="P33">
        <f t="shared" si="2"/>
        <v>1</v>
      </c>
      <c r="Q33">
        <f t="shared" si="3"/>
        <v>1</v>
      </c>
      <c r="R33" t="s">
        <v>141</v>
      </c>
      <c r="S33" t="s">
        <v>56</v>
      </c>
    </row>
    <row r="34" spans="1:21" ht="15.6" x14ac:dyDescent="0.3">
      <c r="A34" t="s">
        <v>142</v>
      </c>
      <c r="B34" s="161">
        <f>(30+C34+270)/3</f>
        <v>130</v>
      </c>
      <c r="C34" s="159">
        <v>90</v>
      </c>
      <c r="F34">
        <v>28861</v>
      </c>
      <c r="M34">
        <f>F34</f>
        <v>28861</v>
      </c>
      <c r="N34" t="s">
        <v>143</v>
      </c>
      <c r="P34">
        <f t="shared" si="2"/>
        <v>1</v>
      </c>
      <c r="Q34">
        <f t="shared" si="3"/>
        <v>1</v>
      </c>
      <c r="R34" t="s">
        <v>144</v>
      </c>
      <c r="S34" t="s">
        <v>56</v>
      </c>
    </row>
    <row r="36" spans="1:21" ht="15.6" x14ac:dyDescent="0.3">
      <c r="A36" s="150" t="s">
        <v>145</v>
      </c>
      <c r="B36" s="334">
        <f>SUMPRODUCT(Table10811[mean (days)],F5:F34,Table10811[Aggregate Formula (mean)])/SUMPRODUCT(F5:F34,Table10811[Aggregate Formula (mean)])</f>
        <v>221.4556570709519</v>
      </c>
      <c r="C36" s="150"/>
      <c r="D36" s="150"/>
      <c r="E36" s="150"/>
      <c r="F36" s="150"/>
      <c r="G36" s="150"/>
      <c r="H36" s="150"/>
      <c r="I36" s="150"/>
      <c r="J36" s="150"/>
      <c r="K36" s="149"/>
      <c r="L36" s="150"/>
      <c r="M36" s="150"/>
      <c r="N36" s="150"/>
      <c r="O36" s="150"/>
      <c r="P36" s="150"/>
      <c r="Q36" s="150"/>
      <c r="R36" s="150"/>
      <c r="S36" s="150"/>
      <c r="T36" s="150"/>
      <c r="U36" s="150"/>
    </row>
    <row r="37" spans="1:21" ht="21" x14ac:dyDescent="0.4">
      <c r="A37" s="149" t="s">
        <v>146</v>
      </c>
      <c r="B37" s="335">
        <f>SUMPRODUCT(Table10811[mean (days)],M5:M34,Table10811[Aggregate Formula (mean)])/SUMPRODUCT(M5:M34,Table10811[Aggregate Formula (mean)])</f>
        <v>222.28205564494911</v>
      </c>
      <c r="C37" s="149">
        <f>SUMPRODUCT(C5:C34,M5:M34,Q5:Q34)/SUMPRODUCT(M5:M34,Q5:Q34)</f>
        <v>138.69505753013564</v>
      </c>
      <c r="D37" s="150"/>
      <c r="E37" s="150"/>
      <c r="F37" s="150"/>
      <c r="G37" s="150"/>
      <c r="H37" s="150"/>
      <c r="I37" s="150"/>
      <c r="J37" s="150"/>
      <c r="K37" s="150"/>
      <c r="L37" s="150"/>
      <c r="M37" s="150"/>
      <c r="N37" s="150"/>
      <c r="O37" s="150"/>
      <c r="P37" s="150"/>
      <c r="Q37" s="150"/>
      <c r="R37" s="150"/>
      <c r="S37" s="150"/>
      <c r="T37" s="150"/>
      <c r="U37" s="150"/>
    </row>
    <row r="38" spans="1:21" ht="21" x14ac:dyDescent="0.4">
      <c r="A38" s="157" t="s">
        <v>147</v>
      </c>
    </row>
    <row r="39" spans="1:21" ht="78" x14ac:dyDescent="0.3">
      <c r="A39" s="155" t="s">
        <v>35</v>
      </c>
      <c r="B39" s="155" t="s">
        <v>36</v>
      </c>
      <c r="C39" s="155" t="s">
        <v>37</v>
      </c>
      <c r="D39" s="155" t="s">
        <v>38</v>
      </c>
      <c r="E39" s="155" t="s">
        <v>39</v>
      </c>
      <c r="F39" s="155" t="s">
        <v>40</v>
      </c>
      <c r="G39" s="155" t="s">
        <v>41</v>
      </c>
      <c r="H39" s="155" t="s">
        <v>42</v>
      </c>
      <c r="I39" s="155" t="s">
        <v>43</v>
      </c>
      <c r="J39" s="155" t="s">
        <v>44</v>
      </c>
      <c r="K39" s="155" t="s">
        <v>45</v>
      </c>
      <c r="L39" s="156" t="s">
        <v>46</v>
      </c>
      <c r="M39" s="155" t="s">
        <v>47</v>
      </c>
      <c r="N39" s="155" t="s">
        <v>48</v>
      </c>
      <c r="O39" s="155" t="s">
        <v>49</v>
      </c>
      <c r="P39" s="156" t="s">
        <v>50</v>
      </c>
      <c r="Q39" s="156" t="s">
        <v>51</v>
      </c>
      <c r="R39" s="155" t="s">
        <v>52</v>
      </c>
      <c r="S39" s="146"/>
      <c r="T39" s="146"/>
      <c r="U39" s="146"/>
    </row>
    <row r="40" spans="1:21" ht="15.6" x14ac:dyDescent="0.3">
      <c r="A40" t="s">
        <v>148</v>
      </c>
      <c r="B40" s="146"/>
      <c r="C40" s="159">
        <v>40</v>
      </c>
      <c r="D40" s="146"/>
      <c r="E40" s="146"/>
      <c r="F40">
        <v>5693</v>
      </c>
      <c r="G40" s="146"/>
      <c r="H40" s="146"/>
      <c r="I40" s="146"/>
      <c r="J40" s="146"/>
      <c r="K40" s="146"/>
      <c r="L40" s="146"/>
      <c r="M40">
        <f>F40</f>
        <v>5693</v>
      </c>
      <c r="N40" t="s">
        <v>143</v>
      </c>
      <c r="O40" s="146"/>
      <c r="P40">
        <f>_xlfn.AGGREGATE(2,5,B40)</f>
        <v>0</v>
      </c>
      <c r="Q40">
        <f>_xlfn.AGGREGATE(2,5,C40)</f>
        <v>1</v>
      </c>
      <c r="R40" s="146" t="s">
        <v>102</v>
      </c>
      <c r="S40" s="146"/>
      <c r="T40" s="146"/>
      <c r="U40" s="146"/>
    </row>
    <row r="41" spans="1:21" ht="15.6" x14ac:dyDescent="0.3">
      <c r="A41" t="s">
        <v>149</v>
      </c>
      <c r="B41" s="146"/>
      <c r="C41" s="159">
        <v>30</v>
      </c>
      <c r="D41" s="146"/>
      <c r="E41" s="146"/>
      <c r="F41">
        <v>2329</v>
      </c>
      <c r="G41" s="146"/>
      <c r="H41" s="146"/>
      <c r="I41" s="146"/>
      <c r="J41" s="146"/>
      <c r="K41" s="146"/>
      <c r="L41" s="146"/>
      <c r="M41">
        <f>F41</f>
        <v>2329</v>
      </c>
      <c r="N41" t="s">
        <v>143</v>
      </c>
      <c r="O41" s="146"/>
      <c r="P41">
        <f>_xlfn.AGGREGATE(2,5,B41)</f>
        <v>0</v>
      </c>
      <c r="Q41">
        <f>_xlfn.AGGREGATE(2,5,C41)</f>
        <v>1</v>
      </c>
      <c r="R41" s="146" t="s">
        <v>102</v>
      </c>
      <c r="S41" s="146"/>
      <c r="T41" s="146"/>
      <c r="U41" s="146"/>
    </row>
    <row r="42" spans="1:21" ht="15.6" x14ac:dyDescent="0.3">
      <c r="A42" t="s">
        <v>150</v>
      </c>
      <c r="B42">
        <v>69.34</v>
      </c>
      <c r="C42" s="159"/>
      <c r="D42">
        <v>23.43</v>
      </c>
      <c r="E42" s="146"/>
      <c r="G42" s="146"/>
      <c r="H42" s="146"/>
      <c r="I42" s="146"/>
      <c r="J42" s="146"/>
      <c r="K42" s="146"/>
      <c r="L42" s="146"/>
      <c r="O42" s="146"/>
      <c r="R42" s="160" t="s">
        <v>151</v>
      </c>
      <c r="S42" s="146" t="s">
        <v>56</v>
      </c>
      <c r="T42" s="146"/>
      <c r="U42" s="146"/>
    </row>
    <row r="43" spans="1:21" ht="15.6" x14ac:dyDescent="0.3">
      <c r="B43" s="146"/>
      <c r="C43" s="159"/>
      <c r="D43" s="146"/>
      <c r="E43" s="146"/>
      <c r="G43" s="146"/>
      <c r="H43" s="146"/>
      <c r="I43" s="146"/>
      <c r="J43" s="146"/>
      <c r="K43" s="146"/>
      <c r="L43" s="146"/>
      <c r="O43" s="146"/>
      <c r="R43" s="146"/>
      <c r="S43" s="146"/>
      <c r="T43" s="146"/>
      <c r="U43" s="146"/>
    </row>
    <row r="44" spans="1:21" ht="15.6" x14ac:dyDescent="0.3">
      <c r="A44" s="150" t="s">
        <v>145</v>
      </c>
      <c r="B44" s="149"/>
      <c r="C44" s="158"/>
      <c r="D44" s="149"/>
      <c r="E44" s="149"/>
      <c r="F44" s="150"/>
      <c r="G44" s="149"/>
      <c r="H44" s="149"/>
      <c r="I44" s="149"/>
      <c r="J44" s="149"/>
      <c r="K44" s="149"/>
      <c r="L44" s="149"/>
      <c r="M44" s="150"/>
      <c r="N44" s="150"/>
      <c r="O44" s="149"/>
      <c r="P44" s="150"/>
      <c r="Q44" s="150"/>
      <c r="R44" s="149"/>
      <c r="S44" s="149"/>
      <c r="T44" s="149"/>
      <c r="U44" s="149"/>
    </row>
    <row r="45" spans="1:21" ht="15.6" x14ac:dyDescent="0.3">
      <c r="A45" s="149" t="s">
        <v>146</v>
      </c>
      <c r="B45" s="149"/>
      <c r="C45" s="149">
        <f>SUMPRODUCT(C40:C42,M40:M42,Q40:Q42)/SUMPRODUCT(M40:M42,Q40:Q42)</f>
        <v>37.096733981550734</v>
      </c>
      <c r="D45" s="149"/>
      <c r="E45" s="149"/>
      <c r="F45" s="150"/>
      <c r="G45" s="149"/>
      <c r="H45" s="149"/>
      <c r="I45" s="149"/>
      <c r="J45" s="149"/>
      <c r="K45" s="149"/>
      <c r="L45" s="149"/>
      <c r="M45" s="150"/>
      <c r="N45" s="150"/>
      <c r="O45" s="149"/>
      <c r="P45" s="150"/>
      <c r="Q45" s="150"/>
      <c r="R45" s="149"/>
      <c r="S45" s="149"/>
      <c r="T45" s="149"/>
      <c r="U45" s="149"/>
    </row>
    <row r="46" spans="1:21" ht="33.6" x14ac:dyDescent="0.65">
      <c r="A46" s="166"/>
      <c r="B46" s="146"/>
      <c r="C46" s="146"/>
      <c r="D46" s="146"/>
      <c r="E46" s="146"/>
      <c r="F46" s="146"/>
      <c r="G46" s="146"/>
      <c r="H46" s="146"/>
      <c r="I46" s="146"/>
      <c r="J46" s="146"/>
      <c r="K46" s="146"/>
      <c r="L46" s="146"/>
      <c r="M46" s="146"/>
      <c r="N46" s="146"/>
      <c r="O46" s="146"/>
      <c r="P46" s="146"/>
      <c r="Q46" s="146"/>
      <c r="R46" s="146"/>
      <c r="S46" s="146"/>
      <c r="T46" s="146"/>
      <c r="U46" s="146"/>
    </row>
    <row r="47" spans="1:21" ht="25.8" x14ac:dyDescent="0.5">
      <c r="A47" s="179" t="s">
        <v>152</v>
      </c>
      <c r="B47" s="146"/>
      <c r="C47" s="146"/>
      <c r="D47" s="146"/>
      <c r="E47" s="146"/>
      <c r="F47" s="146"/>
      <c r="G47" s="146"/>
      <c r="H47" s="146"/>
      <c r="I47" s="146"/>
      <c r="J47" s="146"/>
      <c r="K47" s="146"/>
      <c r="L47" s="146"/>
      <c r="M47" s="146"/>
      <c r="N47" s="146"/>
      <c r="O47" s="146"/>
      <c r="P47" s="146"/>
      <c r="Q47" s="146"/>
      <c r="R47" s="146"/>
      <c r="S47" s="146"/>
      <c r="T47" s="146"/>
      <c r="U47" s="146"/>
    </row>
    <row r="48" spans="1:21" ht="78" x14ac:dyDescent="0.3">
      <c r="A48" s="155" t="s">
        <v>35</v>
      </c>
      <c r="B48" s="155" t="s">
        <v>36</v>
      </c>
      <c r="C48" s="155" t="s">
        <v>37</v>
      </c>
      <c r="D48" s="155" t="s">
        <v>38</v>
      </c>
      <c r="E48" s="155" t="s">
        <v>39</v>
      </c>
      <c r="F48" s="155" t="s">
        <v>40</v>
      </c>
      <c r="G48" s="155" t="s">
        <v>41</v>
      </c>
      <c r="H48" s="155" t="s">
        <v>42</v>
      </c>
      <c r="I48" s="155" t="s">
        <v>43</v>
      </c>
      <c r="J48" s="155" t="s">
        <v>44</v>
      </c>
      <c r="K48" s="155" t="s">
        <v>45</v>
      </c>
      <c r="L48" s="156" t="s">
        <v>46</v>
      </c>
      <c r="M48" s="155" t="s">
        <v>47</v>
      </c>
      <c r="N48" s="155" t="s">
        <v>48</v>
      </c>
      <c r="O48" s="155" t="s">
        <v>49</v>
      </c>
      <c r="P48" s="156" t="s">
        <v>50</v>
      </c>
      <c r="Q48" s="156" t="s">
        <v>51</v>
      </c>
      <c r="R48" s="155" t="s">
        <v>52</v>
      </c>
    </row>
    <row r="49" spans="1:19" ht="15.6" x14ac:dyDescent="0.3">
      <c r="A49" t="s">
        <v>153</v>
      </c>
      <c r="B49" s="151">
        <f>(180+720+C49)/3</f>
        <v>430</v>
      </c>
      <c r="C49">
        <v>390</v>
      </c>
      <c r="E49" s="151" t="s">
        <v>154</v>
      </c>
      <c r="F49">
        <v>24309</v>
      </c>
      <c r="H49">
        <v>30</v>
      </c>
      <c r="L49">
        <v>1.3</v>
      </c>
      <c r="M49" s="151">
        <f>F49*L49</f>
        <v>31601.7</v>
      </c>
      <c r="N49" t="s">
        <v>92</v>
      </c>
      <c r="O49" s="151"/>
      <c r="P49">
        <f t="shared" ref="P49:P65" si="4">_xlfn.AGGREGATE(2,5,B49)</f>
        <v>1</v>
      </c>
      <c r="Q49">
        <f t="shared" ref="Q49:Q65" si="5">_xlfn.AGGREGATE(2,5,C49)</f>
        <v>1</v>
      </c>
      <c r="R49" t="s">
        <v>93</v>
      </c>
      <c r="S49" t="s">
        <v>56</v>
      </c>
    </row>
    <row r="50" spans="1:19" ht="15.6" x14ac:dyDescent="0.3">
      <c r="A50" t="s">
        <v>53</v>
      </c>
      <c r="B50">
        <v>169.86</v>
      </c>
      <c r="C50" s="70">
        <v>200</v>
      </c>
      <c r="D50">
        <v>5.0199999999999996</v>
      </c>
      <c r="F50">
        <v>2738</v>
      </c>
      <c r="I50">
        <v>180</v>
      </c>
      <c r="M50">
        <v>2738</v>
      </c>
      <c r="N50" t="s">
        <v>54</v>
      </c>
      <c r="P50">
        <f t="shared" si="4"/>
        <v>1</v>
      </c>
      <c r="Q50">
        <f t="shared" si="5"/>
        <v>1</v>
      </c>
      <c r="R50" t="s">
        <v>155</v>
      </c>
      <c r="S50" t="s">
        <v>56</v>
      </c>
    </row>
    <row r="51" spans="1:19" ht="28.2" customHeight="1" x14ac:dyDescent="0.3">
      <c r="A51" s="5" t="s">
        <v>96</v>
      </c>
      <c r="B51" s="154">
        <f>(115+670+C51)/3</f>
        <v>369.66666666666669</v>
      </c>
      <c r="C51">
        <v>324</v>
      </c>
      <c r="E51" t="s">
        <v>156</v>
      </c>
      <c r="F51">
        <v>68</v>
      </c>
      <c r="M51">
        <v>68</v>
      </c>
      <c r="N51" t="s">
        <v>98</v>
      </c>
      <c r="P51">
        <f t="shared" si="4"/>
        <v>1</v>
      </c>
      <c r="Q51">
        <f t="shared" si="5"/>
        <v>1</v>
      </c>
      <c r="R51" t="s">
        <v>99</v>
      </c>
      <c r="S51" t="s">
        <v>56</v>
      </c>
    </row>
    <row r="52" spans="1:19" ht="17.25" customHeight="1" x14ac:dyDescent="0.3">
      <c r="A52" s="5" t="s">
        <v>100</v>
      </c>
      <c r="B52" s="151">
        <f>(41+354+C52)/3</f>
        <v>204</v>
      </c>
      <c r="C52">
        <v>217</v>
      </c>
      <c r="E52" t="s">
        <v>157</v>
      </c>
      <c r="F52" s="151">
        <v>16.68</v>
      </c>
      <c r="M52" s="151">
        <v>16.68</v>
      </c>
      <c r="N52" t="s">
        <v>98</v>
      </c>
      <c r="O52" s="151"/>
      <c r="P52">
        <f t="shared" si="4"/>
        <v>1</v>
      </c>
      <c r="Q52">
        <f t="shared" si="5"/>
        <v>1</v>
      </c>
      <c r="R52" t="s">
        <v>102</v>
      </c>
    </row>
    <row r="53" spans="1:19" ht="15.6" x14ac:dyDescent="0.3">
      <c r="A53" t="s">
        <v>106</v>
      </c>
      <c r="B53">
        <v>354.1</v>
      </c>
      <c r="C53">
        <v>267</v>
      </c>
      <c r="D53">
        <v>337.2</v>
      </c>
      <c r="F53">
        <v>20</v>
      </c>
      <c r="H53">
        <v>2</v>
      </c>
      <c r="I53">
        <v>1122</v>
      </c>
      <c r="L53" s="151">
        <v>1.84</v>
      </c>
      <c r="M53" s="151">
        <f>F53*L53</f>
        <v>36.800000000000004</v>
      </c>
      <c r="N53" t="s">
        <v>107</v>
      </c>
      <c r="O53" s="151"/>
      <c r="P53">
        <f t="shared" si="4"/>
        <v>1</v>
      </c>
      <c r="Q53">
        <f t="shared" si="5"/>
        <v>1</v>
      </c>
      <c r="R53" t="s">
        <v>109</v>
      </c>
      <c r="S53" t="s">
        <v>56</v>
      </c>
    </row>
    <row r="54" spans="1:19" x14ac:dyDescent="0.3">
      <c r="A54" t="s">
        <v>110</v>
      </c>
      <c r="B54">
        <v>439</v>
      </c>
      <c r="C54">
        <v>271</v>
      </c>
      <c r="F54">
        <v>2643</v>
      </c>
      <c r="G54" t="s">
        <v>158</v>
      </c>
      <c r="M54">
        <v>5004</v>
      </c>
      <c r="N54" t="s">
        <v>112</v>
      </c>
      <c r="P54">
        <f t="shared" si="4"/>
        <v>1</v>
      </c>
      <c r="Q54">
        <f t="shared" si="5"/>
        <v>1</v>
      </c>
      <c r="R54" t="s">
        <v>113</v>
      </c>
      <c r="S54" t="s">
        <v>56</v>
      </c>
    </row>
    <row r="55" spans="1:19" ht="57.6" x14ac:dyDescent="0.3">
      <c r="A55" s="5" t="s">
        <v>159</v>
      </c>
      <c r="B55" s="151">
        <f>(730+1460+C55)/3</f>
        <v>1095</v>
      </c>
      <c r="C55">
        <v>1095</v>
      </c>
      <c r="E55" t="s">
        <v>160</v>
      </c>
      <c r="K55">
        <v>83.3</v>
      </c>
      <c r="M55">
        <v>851</v>
      </c>
      <c r="N55" t="s">
        <v>161</v>
      </c>
      <c r="P55">
        <f t="shared" si="4"/>
        <v>1</v>
      </c>
      <c r="Q55">
        <f t="shared" si="5"/>
        <v>1</v>
      </c>
      <c r="R55" t="s">
        <v>162</v>
      </c>
      <c r="S55" t="s">
        <v>56</v>
      </c>
    </row>
    <row r="56" spans="1:19" ht="15.6" x14ac:dyDescent="0.3">
      <c r="A56" t="s">
        <v>163</v>
      </c>
      <c r="B56" s="70">
        <v>430</v>
      </c>
      <c r="C56">
        <v>394</v>
      </c>
      <c r="F56">
        <v>851</v>
      </c>
      <c r="G56" t="s">
        <v>164</v>
      </c>
      <c r="K56">
        <v>83.3</v>
      </c>
      <c r="M56">
        <v>851</v>
      </c>
      <c r="N56" t="s">
        <v>161</v>
      </c>
      <c r="P56">
        <f t="shared" si="4"/>
        <v>1</v>
      </c>
      <c r="Q56">
        <f t="shared" si="5"/>
        <v>1</v>
      </c>
      <c r="R56" t="s">
        <v>102</v>
      </c>
    </row>
    <row r="57" spans="1:19" ht="15.6" x14ac:dyDescent="0.3">
      <c r="A57" t="s">
        <v>165</v>
      </c>
      <c r="B57" s="151">
        <f>(386.9+430.7+C57)/3</f>
        <v>408.79999999999995</v>
      </c>
      <c r="C57">
        <v>408.8</v>
      </c>
      <c r="E57" t="s">
        <v>166</v>
      </c>
      <c r="K57">
        <v>83.3</v>
      </c>
      <c r="M57">
        <v>824</v>
      </c>
      <c r="N57" t="s">
        <v>161</v>
      </c>
      <c r="P57">
        <f t="shared" si="4"/>
        <v>1</v>
      </c>
      <c r="Q57">
        <f t="shared" si="5"/>
        <v>1</v>
      </c>
      <c r="R57" t="s">
        <v>102</v>
      </c>
    </row>
    <row r="58" spans="1:19" x14ac:dyDescent="0.3">
      <c r="A58" s="5" t="s">
        <v>114</v>
      </c>
      <c r="B58">
        <v>363</v>
      </c>
      <c r="C58">
        <v>111</v>
      </c>
      <c r="K58">
        <v>65.3</v>
      </c>
      <c r="M58">
        <v>17373</v>
      </c>
      <c r="N58" t="s">
        <v>115</v>
      </c>
      <c r="O58" t="s">
        <v>116</v>
      </c>
      <c r="P58">
        <f t="shared" si="4"/>
        <v>1</v>
      </c>
      <c r="Q58">
        <f t="shared" si="5"/>
        <v>1</v>
      </c>
      <c r="R58" t="s">
        <v>117</v>
      </c>
      <c r="S58" t="s">
        <v>56</v>
      </c>
    </row>
    <row r="59" spans="1:19" x14ac:dyDescent="0.3">
      <c r="A59" s="5" t="s">
        <v>167</v>
      </c>
      <c r="B59">
        <v>272</v>
      </c>
      <c r="D59" t="s">
        <v>168</v>
      </c>
      <c r="F59">
        <v>351</v>
      </c>
      <c r="H59">
        <v>2</v>
      </c>
      <c r="I59">
        <v>365</v>
      </c>
      <c r="K59">
        <v>86.3</v>
      </c>
      <c r="M59">
        <v>351</v>
      </c>
      <c r="N59" t="s">
        <v>169</v>
      </c>
      <c r="P59">
        <f t="shared" si="4"/>
        <v>1</v>
      </c>
      <c r="Q59">
        <f t="shared" si="5"/>
        <v>0</v>
      </c>
      <c r="R59" t="s">
        <v>170</v>
      </c>
      <c r="S59" t="s">
        <v>56</v>
      </c>
    </row>
    <row r="60" spans="1:19" x14ac:dyDescent="0.3">
      <c r="A60" s="5" t="s">
        <v>120</v>
      </c>
      <c r="B60">
        <v>149</v>
      </c>
      <c r="D60">
        <v>42</v>
      </c>
      <c r="F60">
        <v>529</v>
      </c>
      <c r="N60" t="s">
        <v>121</v>
      </c>
      <c r="P60">
        <f t="shared" si="4"/>
        <v>1</v>
      </c>
      <c r="Q60">
        <f t="shared" si="5"/>
        <v>0</v>
      </c>
      <c r="R60" t="s">
        <v>122</v>
      </c>
      <c r="S60" t="s">
        <v>56</v>
      </c>
    </row>
    <row r="61" spans="1:19" ht="15.6" x14ac:dyDescent="0.3">
      <c r="A61" s="5" t="s">
        <v>171</v>
      </c>
      <c r="B61">
        <v>138</v>
      </c>
      <c r="F61">
        <v>42</v>
      </c>
      <c r="H61">
        <v>2</v>
      </c>
      <c r="I61">
        <v>363</v>
      </c>
      <c r="L61">
        <v>2.7</v>
      </c>
      <c r="M61" s="151">
        <v>113.4</v>
      </c>
      <c r="N61" t="s">
        <v>172</v>
      </c>
      <c r="O61" t="s">
        <v>173</v>
      </c>
      <c r="P61">
        <f t="shared" si="4"/>
        <v>1</v>
      </c>
      <c r="Q61">
        <f t="shared" si="5"/>
        <v>0</v>
      </c>
      <c r="R61" t="s">
        <v>174</v>
      </c>
      <c r="S61" t="s">
        <v>56</v>
      </c>
    </row>
    <row r="62" spans="1:19" ht="15.6" x14ac:dyDescent="0.3">
      <c r="A62" s="5" t="s">
        <v>175</v>
      </c>
      <c r="B62" s="151">
        <f>(50+666+C62)/3</f>
        <v>307</v>
      </c>
      <c r="C62">
        <v>205</v>
      </c>
      <c r="E62" t="s">
        <v>176</v>
      </c>
      <c r="F62">
        <v>17005</v>
      </c>
      <c r="M62">
        <v>32656</v>
      </c>
      <c r="N62" t="s">
        <v>177</v>
      </c>
      <c r="P62">
        <f t="shared" si="4"/>
        <v>1</v>
      </c>
      <c r="Q62">
        <f t="shared" si="5"/>
        <v>1</v>
      </c>
      <c r="R62" t="s">
        <v>178</v>
      </c>
      <c r="S62" t="s">
        <v>56</v>
      </c>
    </row>
    <row r="63" spans="1:19" x14ac:dyDescent="0.3">
      <c r="A63" s="5" t="s">
        <v>129</v>
      </c>
      <c r="B63">
        <v>230.81</v>
      </c>
      <c r="C63">
        <v>237</v>
      </c>
      <c r="D63">
        <v>73.599999999999994</v>
      </c>
      <c r="F63">
        <v>4117</v>
      </c>
      <c r="M63">
        <v>4117</v>
      </c>
      <c r="N63" t="s">
        <v>130</v>
      </c>
      <c r="P63">
        <f t="shared" si="4"/>
        <v>1</v>
      </c>
      <c r="Q63">
        <f t="shared" si="5"/>
        <v>1</v>
      </c>
      <c r="R63" s="153" t="s">
        <v>131</v>
      </c>
      <c r="S63" t="s">
        <v>56</v>
      </c>
    </row>
    <row r="64" spans="1:19" x14ac:dyDescent="0.3">
      <c r="A64" s="5" t="s">
        <v>179</v>
      </c>
      <c r="B64">
        <v>159</v>
      </c>
      <c r="F64">
        <v>95</v>
      </c>
      <c r="K64" t="s">
        <v>180</v>
      </c>
      <c r="M64">
        <v>95</v>
      </c>
      <c r="N64" t="s">
        <v>181</v>
      </c>
      <c r="P64">
        <f t="shared" si="4"/>
        <v>1</v>
      </c>
      <c r="Q64">
        <f t="shared" si="5"/>
        <v>0</v>
      </c>
      <c r="R64" t="s">
        <v>182</v>
      </c>
      <c r="S64" t="s">
        <v>56</v>
      </c>
    </row>
    <row r="65" spans="1:21" x14ac:dyDescent="0.3">
      <c r="A65" s="5" t="s">
        <v>183</v>
      </c>
      <c r="B65">
        <v>157</v>
      </c>
      <c r="F65">
        <v>97</v>
      </c>
      <c r="K65" t="s">
        <v>184</v>
      </c>
      <c r="M65">
        <v>97</v>
      </c>
      <c r="N65" t="s">
        <v>181</v>
      </c>
      <c r="P65">
        <f t="shared" si="4"/>
        <v>1</v>
      </c>
      <c r="Q65">
        <f t="shared" si="5"/>
        <v>0</v>
      </c>
      <c r="R65" t="s">
        <v>102</v>
      </c>
    </row>
    <row r="66" spans="1:21" x14ac:dyDescent="0.3">
      <c r="P66" s="152"/>
    </row>
    <row r="67" spans="1:21" x14ac:dyDescent="0.3">
      <c r="A67" s="150" t="s">
        <v>145</v>
      </c>
      <c r="B67" s="334">
        <f>SUMPRODUCT(B49:B65,F49:F65,P49:P65)/SUMPRODUCT(F49:F65,P49:P65)</f>
        <v>356.66375393772159</v>
      </c>
      <c r="C67" s="150"/>
      <c r="D67" s="150"/>
      <c r="E67" s="150"/>
      <c r="F67" s="150"/>
      <c r="G67" s="150"/>
      <c r="H67" s="150"/>
      <c r="I67" s="150"/>
      <c r="J67" s="150"/>
      <c r="K67" s="150"/>
      <c r="L67" s="150"/>
      <c r="M67" s="150"/>
      <c r="N67" s="150"/>
      <c r="O67" s="150"/>
      <c r="P67" s="150"/>
      <c r="Q67" s="150"/>
      <c r="R67" s="150"/>
      <c r="S67" s="150"/>
      <c r="T67" s="150"/>
      <c r="U67" s="150"/>
    </row>
    <row r="68" spans="1:21" ht="21" x14ac:dyDescent="0.4">
      <c r="A68" s="149" t="s">
        <v>146</v>
      </c>
      <c r="B68" s="335">
        <f>SUMPRODUCT(B49:B65,M49:M65,P49:P65)/SUMPRODUCT(M49:M65,P49:P65)</f>
        <v>365.21277323695784</v>
      </c>
      <c r="C68" s="149">
        <f>SUMPRODUCT(C49:C65,M49:M65,Q49:Q65)/SUMPRODUCT(M49:M65,Q49:Q65)</f>
        <v>264.89674816756639</v>
      </c>
      <c r="D68" s="150"/>
      <c r="E68" s="150"/>
      <c r="F68" s="150"/>
      <c r="G68" s="150"/>
      <c r="H68" s="150"/>
      <c r="I68" s="150"/>
      <c r="J68" s="150"/>
      <c r="K68" s="149"/>
      <c r="L68" s="150"/>
      <c r="M68" s="150"/>
      <c r="N68" s="150"/>
      <c r="O68" s="150"/>
      <c r="P68" s="150"/>
      <c r="Q68" s="150"/>
      <c r="R68" s="150"/>
      <c r="S68" s="150"/>
      <c r="T68" s="150"/>
      <c r="U68" s="150"/>
    </row>
    <row r="70" spans="1:21" ht="25.8" x14ac:dyDescent="0.5">
      <c r="A70" s="179" t="s">
        <v>185</v>
      </c>
    </row>
    <row r="71" spans="1:21" x14ac:dyDescent="0.3">
      <c r="A71" t="s">
        <v>186</v>
      </c>
      <c r="B71">
        <f>5*30</f>
        <v>150</v>
      </c>
      <c r="C71">
        <f>3*30</f>
        <v>90</v>
      </c>
      <c r="F71">
        <v>395</v>
      </c>
      <c r="H71">
        <v>1</v>
      </c>
      <c r="I71">
        <v>25</v>
      </c>
      <c r="M71">
        <v>395</v>
      </c>
      <c r="N71" t="s">
        <v>187</v>
      </c>
      <c r="O71" t="s">
        <v>89</v>
      </c>
      <c r="P71">
        <v>1</v>
      </c>
      <c r="Q71">
        <v>1</v>
      </c>
    </row>
    <row r="72" spans="1:21" ht="15.6" x14ac:dyDescent="0.3">
      <c r="A72" t="s">
        <v>188</v>
      </c>
      <c r="B72" s="151">
        <f>(105+700+C72)/3</f>
        <v>357</v>
      </c>
      <c r="C72">
        <f>38*7</f>
        <v>266</v>
      </c>
      <c r="D72" t="s">
        <v>189</v>
      </c>
      <c r="F72">
        <v>67</v>
      </c>
      <c r="M72">
        <v>67</v>
      </c>
      <c r="O72" t="s">
        <v>190</v>
      </c>
      <c r="P72">
        <v>1</v>
      </c>
      <c r="Q72">
        <v>1</v>
      </c>
      <c r="R72" t="s">
        <v>191</v>
      </c>
    </row>
    <row r="73" spans="1:21" x14ac:dyDescent="0.3">
      <c r="A73" t="s">
        <v>192</v>
      </c>
      <c r="B73">
        <f>5*30</f>
        <v>150</v>
      </c>
      <c r="F73">
        <v>85</v>
      </c>
      <c r="M73">
        <v>85</v>
      </c>
      <c r="N73" t="s">
        <v>193</v>
      </c>
      <c r="O73" t="s">
        <v>89</v>
      </c>
      <c r="P73">
        <v>1</v>
      </c>
      <c r="Q73">
        <v>0</v>
      </c>
      <c r="R73" t="s">
        <v>194</v>
      </c>
    </row>
    <row r="74" spans="1:21" x14ac:dyDescent="0.3">
      <c r="A74" t="s">
        <v>86</v>
      </c>
      <c r="B74">
        <f>16*7</f>
        <v>112</v>
      </c>
      <c r="F74">
        <v>204</v>
      </c>
      <c r="M74">
        <v>204</v>
      </c>
      <c r="N74" t="s">
        <v>88</v>
      </c>
      <c r="O74" t="s">
        <v>89</v>
      </c>
      <c r="P74">
        <v>1</v>
      </c>
      <c r="Q74">
        <v>1</v>
      </c>
    </row>
    <row r="75" spans="1:21" ht="15.6" x14ac:dyDescent="0.3">
      <c r="A75" t="s">
        <v>142</v>
      </c>
      <c r="B75" s="151">
        <f>(30+60+C75)/3</f>
        <v>40</v>
      </c>
      <c r="C75">
        <v>30</v>
      </c>
      <c r="E75" t="s">
        <v>195</v>
      </c>
      <c r="F75">
        <v>1343</v>
      </c>
      <c r="M75">
        <v>1343</v>
      </c>
      <c r="N75" t="s">
        <v>196</v>
      </c>
      <c r="O75" t="s">
        <v>89</v>
      </c>
      <c r="P75">
        <v>1</v>
      </c>
      <c r="Q75">
        <v>1</v>
      </c>
      <c r="R75" t="s">
        <v>197</v>
      </c>
    </row>
    <row r="77" spans="1:21" x14ac:dyDescent="0.3">
      <c r="A77" s="150" t="s">
        <v>145</v>
      </c>
      <c r="B77" s="334">
        <f>SUMPRODUCT(B71:B75,F71:F75,P71:P75)/SUMPRODUCT(F71:F75,P71:P75)</f>
        <v>82.372015281757399</v>
      </c>
      <c r="C77" s="150"/>
    </row>
    <row r="78" spans="1:21" ht="21" x14ac:dyDescent="0.4">
      <c r="A78" s="149" t="s">
        <v>146</v>
      </c>
      <c r="B78" s="335">
        <f>SUMPRODUCT(B71:B75,M71:M75,P71:P75)/SUMPRODUCT(M71:M75,P71:P75)</f>
        <v>82.372015281757399</v>
      </c>
      <c r="C78" s="149">
        <f>SUMPRODUCT(C71:C75,M71:M75,Q71:Q75)/SUMPRODUCT(M71:M75,Q71:Q75)</f>
        <v>46.621204579392732</v>
      </c>
    </row>
    <row r="79" spans="1:21" ht="15.6" x14ac:dyDescent="0.3">
      <c r="A79" s="146"/>
    </row>
    <row r="80" spans="1:21" ht="187.2" x14ac:dyDescent="0.3">
      <c r="B80" s="148" t="s">
        <v>198</v>
      </c>
      <c r="C80" s="5" t="s">
        <v>199</v>
      </c>
      <c r="D80" s="147" t="s">
        <v>200</v>
      </c>
      <c r="E80" s="147" t="s">
        <v>201</v>
      </c>
    </row>
    <row r="81" spans="2:3" ht="15.6" x14ac:dyDescent="0.3">
      <c r="B81" s="146" t="s">
        <v>202</v>
      </c>
      <c r="C81" s="145" t="s">
        <v>203</v>
      </c>
    </row>
    <row r="88" spans="2:3" ht="97.95" customHeight="1" x14ac:dyDescent="0.3"/>
    <row r="89" spans="2:3" ht="15.6" customHeight="1" x14ac:dyDescent="0.3"/>
    <row r="90" spans="2:3" ht="32.4" customHeight="1" x14ac:dyDescent="0.3"/>
    <row r="91" spans="2:3" ht="31.2" customHeight="1" x14ac:dyDescent="0.3"/>
    <row r="92" spans="2:3" ht="26.4" customHeight="1" x14ac:dyDescent="0.3"/>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85" zoomScaleNormal="85" workbookViewId="0">
      <selection activeCell="C10" sqref="C10"/>
    </sheetView>
  </sheetViews>
  <sheetFormatPr defaultColWidth="8.88671875" defaultRowHeight="15.6" x14ac:dyDescent="0.3"/>
  <cols>
    <col min="1" max="1" width="34.33203125" style="170" customWidth="1"/>
    <col min="2" max="2" width="8.88671875" style="170"/>
    <col min="3" max="3" width="22.6640625" style="170" customWidth="1"/>
    <col min="4" max="4" width="17.33203125" style="170" customWidth="1"/>
    <col min="5" max="5" width="19.6640625" style="170" customWidth="1"/>
    <col min="6" max="6" width="17.5546875" style="170" customWidth="1"/>
    <col min="7" max="7" width="21" style="170" customWidth="1"/>
    <col min="8" max="11" width="14.44140625" style="170" customWidth="1"/>
    <col min="12" max="12" width="10.44140625" style="170" customWidth="1"/>
    <col min="13" max="14" width="8.88671875" style="170" customWidth="1"/>
    <col min="15" max="15" width="11.6640625" style="170" customWidth="1"/>
    <col min="16" max="16" width="12.33203125" style="170" customWidth="1"/>
    <col min="17" max="17" width="12.88671875" style="170" customWidth="1"/>
    <col min="18" max="19" width="8.88671875" style="170" customWidth="1"/>
    <col min="20" max="20" width="11.5546875" style="170" customWidth="1"/>
    <col min="21" max="21" width="11.33203125" style="170" customWidth="1"/>
    <col min="22" max="22" width="18.21875" style="170" customWidth="1"/>
    <col min="23" max="23" width="42.44140625" style="170" customWidth="1"/>
    <col min="24" max="24" width="27.33203125" style="170" customWidth="1"/>
    <col min="25" max="16384" width="8.88671875" style="170"/>
  </cols>
  <sheetData>
    <row r="1" spans="1:24" ht="31.2" customHeight="1" x14ac:dyDescent="0.45">
      <c r="A1" s="336" t="s">
        <v>204</v>
      </c>
      <c r="B1" s="336" t="s">
        <v>205</v>
      </c>
      <c r="C1" s="336" t="s">
        <v>206</v>
      </c>
      <c r="D1" s="336"/>
      <c r="E1" s="336"/>
      <c r="F1" s="336"/>
      <c r="G1" s="336"/>
      <c r="H1" s="343" t="s">
        <v>207</v>
      </c>
      <c r="I1" s="343"/>
      <c r="J1" s="343"/>
      <c r="K1" s="343"/>
      <c r="L1" s="343"/>
      <c r="M1" s="343" t="s">
        <v>208</v>
      </c>
      <c r="N1" s="343"/>
      <c r="O1" s="343"/>
      <c r="P1" s="343"/>
      <c r="Q1" s="343"/>
      <c r="R1" s="343" t="s">
        <v>209</v>
      </c>
      <c r="S1" s="343"/>
      <c r="T1" s="343"/>
      <c r="U1" s="343"/>
      <c r="V1" s="343"/>
      <c r="W1" s="336" t="s">
        <v>210</v>
      </c>
      <c r="X1" s="336" t="s">
        <v>211</v>
      </c>
    </row>
    <row r="2" spans="1:24" ht="78" x14ac:dyDescent="0.3">
      <c r="A2" s="170" t="s">
        <v>212</v>
      </c>
      <c r="B2" s="170">
        <v>2019</v>
      </c>
      <c r="C2" s="170" t="s">
        <v>213</v>
      </c>
      <c r="D2" s="170" t="s">
        <v>214</v>
      </c>
      <c r="E2" s="170" t="s">
        <v>215</v>
      </c>
      <c r="F2" s="170" t="s">
        <v>216</v>
      </c>
      <c r="G2" s="170" t="s">
        <v>217</v>
      </c>
      <c r="H2" s="170" t="s">
        <v>218</v>
      </c>
      <c r="I2" s="170" t="s">
        <v>219</v>
      </c>
      <c r="J2" s="170" t="s">
        <v>215</v>
      </c>
      <c r="K2" s="170" t="s">
        <v>216</v>
      </c>
      <c r="L2" s="170" t="s">
        <v>220</v>
      </c>
      <c r="M2" s="170" t="s">
        <v>221</v>
      </c>
      <c r="N2" s="170" t="s">
        <v>219</v>
      </c>
      <c r="O2" s="170" t="s">
        <v>215</v>
      </c>
      <c r="P2" s="170" t="s">
        <v>222</v>
      </c>
      <c r="Q2" s="170" t="s">
        <v>223</v>
      </c>
      <c r="R2" s="170" t="s">
        <v>224</v>
      </c>
      <c r="S2" s="170" t="s">
        <v>219</v>
      </c>
      <c r="T2" s="170" t="s">
        <v>215</v>
      </c>
      <c r="U2" s="170" t="s">
        <v>216</v>
      </c>
      <c r="V2" s="170" t="s">
        <v>225</v>
      </c>
      <c r="W2" s="189" t="s">
        <v>226</v>
      </c>
      <c r="X2" s="170" t="s">
        <v>227</v>
      </c>
    </row>
    <row r="3" spans="1:24" x14ac:dyDescent="0.3">
      <c r="C3" s="170">
        <v>4225</v>
      </c>
      <c r="D3" s="190">
        <v>26.6</v>
      </c>
      <c r="E3" s="170">
        <f>D3*C3</f>
        <v>112385</v>
      </c>
      <c r="F3" s="170">
        <f>K3+P3+U3</f>
        <v>285745</v>
      </c>
      <c r="G3" s="170">
        <f>E3/F3</f>
        <v>0.39330521968888343</v>
      </c>
      <c r="H3" s="191">
        <v>3081</v>
      </c>
      <c r="I3" s="170">
        <v>10.8</v>
      </c>
      <c r="J3" s="191">
        <f>I3*H3</f>
        <v>33274.800000000003</v>
      </c>
      <c r="K3" s="170">
        <f>H3*30</f>
        <v>92430</v>
      </c>
      <c r="L3" s="170">
        <f>J3/K3</f>
        <v>0.36000000000000004</v>
      </c>
      <c r="M3" s="191">
        <f>C3*0.164</f>
        <v>692.9</v>
      </c>
      <c r="N3" s="170">
        <v>28.5</v>
      </c>
      <c r="O3" s="191">
        <f>N3*M3</f>
        <v>19747.649999999998</v>
      </c>
      <c r="P3" s="170">
        <f>100*M3</f>
        <v>69290</v>
      </c>
      <c r="Q3" s="170">
        <f>O3/P3</f>
        <v>0.28499999999999998</v>
      </c>
      <c r="R3" s="191">
        <v>451</v>
      </c>
      <c r="S3" s="170">
        <v>91.8</v>
      </c>
      <c r="T3" s="191">
        <f>S3*R3</f>
        <v>41401.799999999996</v>
      </c>
      <c r="U3" s="170">
        <f>275*R3</f>
        <v>124025</v>
      </c>
      <c r="V3" s="170">
        <f>T3/U3</f>
        <v>0.33381818181818179</v>
      </c>
    </row>
    <row r="4" spans="1:24" ht="57.6" customHeight="1" x14ac:dyDescent="0.3">
      <c r="A4" s="170" t="s">
        <v>228</v>
      </c>
      <c r="B4" s="170">
        <v>2016</v>
      </c>
      <c r="C4" s="170">
        <v>72</v>
      </c>
      <c r="D4" s="190">
        <v>31</v>
      </c>
      <c r="E4" s="170">
        <f>D4*C4</f>
        <v>2232</v>
      </c>
      <c r="G4" s="167"/>
      <c r="W4" s="192" t="s">
        <v>229</v>
      </c>
      <c r="X4" s="170" t="s">
        <v>230</v>
      </c>
    </row>
    <row r="5" spans="1:24" ht="57.6" customHeight="1" x14ac:dyDescent="0.3">
      <c r="A5" s="170" t="s">
        <v>231</v>
      </c>
      <c r="B5" s="170">
        <v>2010</v>
      </c>
      <c r="C5" s="170">
        <v>2518</v>
      </c>
      <c r="D5" s="190">
        <v>23</v>
      </c>
      <c r="E5" s="170">
        <f>D5*C5</f>
        <v>57914</v>
      </c>
      <c r="G5" s="167"/>
      <c r="W5" s="193" t="s">
        <v>232</v>
      </c>
    </row>
    <row r="6" spans="1:24" ht="57.6" customHeight="1" x14ac:dyDescent="0.3">
      <c r="A6" s="170" t="s">
        <v>233</v>
      </c>
      <c r="B6" s="170">
        <v>2010</v>
      </c>
      <c r="C6" s="191">
        <f>AVERAGE(C5,C7)</f>
        <v>3144.43</v>
      </c>
      <c r="D6" s="190">
        <v>23</v>
      </c>
      <c r="G6" s="167"/>
      <c r="W6" s="193"/>
    </row>
    <row r="7" spans="1:24" ht="46.8" x14ac:dyDescent="0.3">
      <c r="A7" s="170" t="s">
        <v>234</v>
      </c>
      <c r="B7" s="170">
        <v>2010</v>
      </c>
      <c r="C7" s="191">
        <f>4516*0.835</f>
        <v>3770.8599999999997</v>
      </c>
      <c r="D7" s="190">
        <v>23</v>
      </c>
      <c r="E7" s="191">
        <f t="shared" ref="E7:E12" si="0">D7*C7</f>
        <v>86729.78</v>
      </c>
      <c r="W7" s="193"/>
    </row>
    <row r="8" spans="1:24" ht="31.2" x14ac:dyDescent="0.3">
      <c r="A8" s="170" t="s">
        <v>235</v>
      </c>
      <c r="B8" s="170">
        <v>2010</v>
      </c>
      <c r="C8" s="191">
        <f>AVERAGE(C7,C9)</f>
        <v>4753.3850000000002</v>
      </c>
      <c r="D8" s="190">
        <v>32</v>
      </c>
      <c r="E8" s="191">
        <f t="shared" si="0"/>
        <v>152108.32</v>
      </c>
      <c r="W8" s="193"/>
    </row>
    <row r="9" spans="1:24" ht="46.8" x14ac:dyDescent="0.3">
      <c r="A9" s="170" t="s">
        <v>236</v>
      </c>
      <c r="B9" s="170">
        <v>2010</v>
      </c>
      <c r="C9" s="191">
        <f>6593*0.87</f>
        <v>5735.91</v>
      </c>
      <c r="D9" s="190">
        <v>39</v>
      </c>
      <c r="E9" s="191">
        <f t="shared" si="0"/>
        <v>223700.49</v>
      </c>
      <c r="W9" s="193"/>
    </row>
    <row r="10" spans="1:24" ht="46.8" x14ac:dyDescent="0.3">
      <c r="A10" s="170" t="s">
        <v>237</v>
      </c>
      <c r="B10" s="170">
        <v>2010</v>
      </c>
      <c r="C10" s="191">
        <f>4302*0.65</f>
        <v>2796.3</v>
      </c>
      <c r="D10" s="190">
        <v>19</v>
      </c>
      <c r="E10" s="191">
        <f t="shared" si="0"/>
        <v>53129.700000000004</v>
      </c>
      <c r="W10" s="193"/>
    </row>
    <row r="11" spans="1:24" ht="31.2" x14ac:dyDescent="0.3">
      <c r="A11" s="170" t="s">
        <v>238</v>
      </c>
      <c r="B11" s="170">
        <v>2010</v>
      </c>
      <c r="C11" s="191">
        <f>AVERAGE(C10,C12)</f>
        <v>4481.6100000000006</v>
      </c>
      <c r="D11" s="190">
        <v>19</v>
      </c>
      <c r="E11" s="191">
        <f t="shared" si="0"/>
        <v>85150.590000000011</v>
      </c>
      <c r="W11" s="193"/>
    </row>
    <row r="12" spans="1:24" ht="46.8" x14ac:dyDescent="0.3">
      <c r="A12" s="170" t="s">
        <v>239</v>
      </c>
      <c r="B12" s="170">
        <v>2010</v>
      </c>
      <c r="C12" s="191">
        <f>9069*0.68</f>
        <v>6166.92</v>
      </c>
      <c r="D12" s="190">
        <v>25.9</v>
      </c>
      <c r="E12" s="191">
        <f t="shared" si="0"/>
        <v>159723.228</v>
      </c>
      <c r="W12" s="193"/>
    </row>
    <row r="13" spans="1:24" x14ac:dyDescent="0.3">
      <c r="A13" s="170" t="s">
        <v>240</v>
      </c>
      <c r="B13" s="170">
        <v>2017</v>
      </c>
      <c r="C13" s="170">
        <v>212</v>
      </c>
      <c r="D13" s="170">
        <v>76.8</v>
      </c>
    </row>
    <row r="14" spans="1:24" x14ac:dyDescent="0.3">
      <c r="A14" s="170" t="s">
        <v>241</v>
      </c>
      <c r="B14" s="170">
        <v>2017</v>
      </c>
      <c r="C14" s="170">
        <v>272</v>
      </c>
      <c r="D14" s="170">
        <v>30.6</v>
      </c>
    </row>
    <row r="22" spans="24:28" x14ac:dyDescent="0.3">
      <c r="X22" s="190"/>
      <c r="Y22" s="190"/>
      <c r="Z22" s="190"/>
      <c r="AA22" s="190"/>
      <c r="AB22" s="190"/>
    </row>
    <row r="23" spans="24:28" x14ac:dyDescent="0.3">
      <c r="Z23" s="190"/>
      <c r="AA23" s="190"/>
      <c r="AB23" s="190"/>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4" x14ac:dyDescent="0.3"/>
  <cols>
    <col min="1" max="1" width="12" customWidth="1"/>
    <col min="2" max="2" width="16" customWidth="1"/>
    <col min="3" max="3" width="27" customWidth="1"/>
    <col min="4" max="5" width="14.44140625" customWidth="1"/>
    <col min="6" max="6" width="15.6640625" customWidth="1"/>
    <col min="7" max="7" width="21.21875" customWidth="1"/>
  </cols>
  <sheetData>
    <row r="1" spans="1:15" ht="69" customHeight="1" x14ac:dyDescent="0.3">
      <c r="A1" s="344" t="s">
        <v>242</v>
      </c>
      <c r="B1" s="344"/>
      <c r="C1" s="344"/>
      <c r="D1" s="344"/>
      <c r="E1" s="344"/>
      <c r="F1" s="344"/>
      <c r="G1" s="344"/>
      <c r="H1" s="344"/>
      <c r="I1" s="344"/>
      <c r="J1" s="344"/>
      <c r="K1" s="344"/>
      <c r="L1" s="344"/>
      <c r="M1" s="344"/>
      <c r="N1" s="344"/>
      <c r="O1" s="344"/>
    </row>
    <row r="2" spans="1:15" ht="57.6" x14ac:dyDescent="0.3">
      <c r="A2" s="295" t="s">
        <v>243</v>
      </c>
      <c r="B2" s="295"/>
      <c r="C2" s="295"/>
      <c r="D2" s="295"/>
      <c r="E2" s="295"/>
      <c r="F2" s="295"/>
      <c r="G2" s="295"/>
      <c r="H2" s="295"/>
      <c r="I2" s="295"/>
      <c r="J2" s="295"/>
      <c r="K2" s="295"/>
      <c r="L2" s="295"/>
      <c r="M2" s="295"/>
      <c r="N2" s="295"/>
      <c r="O2" s="295"/>
    </row>
    <row r="3" spans="1:15" ht="28.8" x14ac:dyDescent="0.3">
      <c r="A3" t="s">
        <v>244</v>
      </c>
      <c r="B3" s="297" t="s">
        <v>245</v>
      </c>
      <c r="C3" s="297" t="s">
        <v>246</v>
      </c>
      <c r="D3" s="297" t="s">
        <v>247</v>
      </c>
      <c r="E3" s="297" t="s">
        <v>248</v>
      </c>
      <c r="F3" s="297" t="s">
        <v>249</v>
      </c>
      <c r="G3" s="297" t="s">
        <v>250</v>
      </c>
      <c r="H3" s="295"/>
      <c r="I3" s="295"/>
      <c r="J3" s="295"/>
      <c r="K3" s="295"/>
      <c r="L3" s="295"/>
      <c r="M3" s="295"/>
      <c r="N3" s="295"/>
      <c r="O3" s="295"/>
    </row>
    <row r="4" spans="1:15" x14ac:dyDescent="0.3">
      <c r="A4" s="295">
        <v>30</v>
      </c>
      <c r="B4">
        <v>16525</v>
      </c>
      <c r="C4">
        <v>3.4</v>
      </c>
      <c r="D4">
        <v>1.3</v>
      </c>
      <c r="E4">
        <v>9.6</v>
      </c>
      <c r="F4" s="56">
        <f>SUM(C4:E4)/3</f>
        <v>4.7666666666666666</v>
      </c>
      <c r="G4" s="57">
        <f>F4*B4</f>
        <v>78769.166666666672</v>
      </c>
    </row>
    <row r="5" spans="1:15" x14ac:dyDescent="0.3">
      <c r="A5">
        <v>100</v>
      </c>
      <c r="B5">
        <v>7504</v>
      </c>
      <c r="C5">
        <v>23.9</v>
      </c>
      <c r="D5">
        <v>7.2</v>
      </c>
      <c r="E5">
        <v>55.4</v>
      </c>
      <c r="F5" s="56">
        <f>SUM(C5:E5)/3</f>
        <v>28.833333333333332</v>
      </c>
      <c r="G5" s="57">
        <f>F5*B5</f>
        <v>216365.33333333331</v>
      </c>
    </row>
    <row r="6" spans="1:15" x14ac:dyDescent="0.3">
      <c r="A6">
        <v>275</v>
      </c>
      <c r="B6">
        <v>4419</v>
      </c>
      <c r="C6">
        <v>101.5</v>
      </c>
      <c r="D6">
        <v>48.3</v>
      </c>
      <c r="E6">
        <v>171.5</v>
      </c>
      <c r="F6" s="56">
        <f>SUM(C6:E6)/3</f>
        <v>107.10000000000001</v>
      </c>
      <c r="G6" s="57">
        <f>F6*B6</f>
        <v>473274.9</v>
      </c>
    </row>
    <row r="7" spans="1:15" x14ac:dyDescent="0.3">
      <c r="A7" t="s">
        <v>251</v>
      </c>
      <c r="B7">
        <f>SUM(B4:B6)</f>
        <v>28448</v>
      </c>
      <c r="F7" s="56"/>
      <c r="G7" s="58">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zoomScale="85" zoomScaleNormal="85" workbookViewId="0">
      <selection activeCell="A2" sqref="A2:L2"/>
    </sheetView>
  </sheetViews>
  <sheetFormatPr defaultRowHeight="14.4" x14ac:dyDescent="0.3"/>
  <sheetData>
    <row r="1" spans="1:20" ht="31.2" x14ac:dyDescent="0.6">
      <c r="A1" s="213" t="s">
        <v>252</v>
      </c>
    </row>
    <row r="2" spans="1:20" ht="139.19999999999999" customHeight="1" x14ac:dyDescent="0.3">
      <c r="A2" s="345" t="s">
        <v>1034</v>
      </c>
      <c r="B2" s="345"/>
      <c r="C2" s="345"/>
      <c r="D2" s="345"/>
      <c r="E2" s="345"/>
      <c r="F2" s="345"/>
      <c r="G2" s="345"/>
      <c r="H2" s="345"/>
      <c r="I2" s="345"/>
      <c r="J2" s="345"/>
      <c r="K2" s="345"/>
      <c r="L2" s="345"/>
    </row>
    <row r="3" spans="1:20" ht="160.19999999999999" customHeight="1" x14ac:dyDescent="0.3">
      <c r="A3" s="346" t="s">
        <v>253</v>
      </c>
      <c r="B3" s="346"/>
      <c r="C3" s="346"/>
      <c r="D3" s="346"/>
      <c r="E3" s="346"/>
      <c r="F3" s="346"/>
      <c r="G3" s="346"/>
      <c r="H3" s="346"/>
      <c r="I3" s="346"/>
      <c r="J3" s="346"/>
      <c r="K3" s="346"/>
      <c r="L3" s="346"/>
    </row>
    <row r="5" spans="1:20" ht="15.6" x14ac:dyDescent="0.3">
      <c r="A5" s="211" t="s">
        <v>254</v>
      </c>
    </row>
    <row r="6" spans="1:20" ht="15.6" x14ac:dyDescent="0.3">
      <c r="A6" s="212" t="s">
        <v>255</v>
      </c>
    </row>
    <row r="7" spans="1:20" ht="15.6" x14ac:dyDescent="0.3">
      <c r="A7" s="212" t="s">
        <v>256</v>
      </c>
    </row>
    <row r="8" spans="1:20" ht="15.6" x14ac:dyDescent="0.3">
      <c r="A8" s="212" t="s">
        <v>257</v>
      </c>
    </row>
    <row r="9" spans="1:20" ht="15.6" x14ac:dyDescent="0.3">
      <c r="A9" s="212" t="s">
        <v>258</v>
      </c>
    </row>
    <row r="10" spans="1:20" ht="15.6" x14ac:dyDescent="0.3">
      <c r="A10" s="212" t="s">
        <v>259</v>
      </c>
    </row>
    <row r="11" spans="1:20" x14ac:dyDescent="0.3">
      <c r="A11" s="347" t="s">
        <v>260</v>
      </c>
      <c r="B11" s="347"/>
      <c r="C11" s="347"/>
      <c r="D11" s="347"/>
      <c r="E11" s="347"/>
      <c r="F11" s="347"/>
      <c r="G11" s="347"/>
      <c r="H11" s="347"/>
      <c r="I11" s="347"/>
      <c r="J11" s="347"/>
      <c r="K11" s="347"/>
      <c r="L11" s="347"/>
    </row>
    <row r="12" spans="1:20" ht="45.6" customHeight="1" x14ac:dyDescent="0.3">
      <c r="A12" s="347"/>
      <c r="B12" s="347"/>
      <c r="C12" s="347"/>
      <c r="D12" s="347"/>
      <c r="E12" s="347"/>
      <c r="F12" s="347"/>
      <c r="G12" s="347"/>
      <c r="H12" s="347"/>
      <c r="I12" s="347"/>
      <c r="J12" s="347"/>
      <c r="K12" s="347"/>
      <c r="L12" s="347"/>
      <c r="P12" t="s">
        <v>261</v>
      </c>
      <c r="Q12" t="s">
        <v>262</v>
      </c>
      <c r="S12" t="s">
        <v>263</v>
      </c>
    </row>
    <row r="13" spans="1:20" ht="48.6" customHeight="1" x14ac:dyDescent="0.3">
      <c r="A13" s="347"/>
      <c r="B13" s="347"/>
      <c r="C13" s="347"/>
      <c r="D13" s="347"/>
      <c r="E13" s="347"/>
      <c r="F13" s="347"/>
      <c r="G13" s="347"/>
      <c r="H13" s="347"/>
      <c r="I13" s="347"/>
      <c r="J13" s="347"/>
      <c r="K13" s="347"/>
      <c r="L13" s="347"/>
      <c r="N13" s="114" t="s">
        <v>264</v>
      </c>
      <c r="P13" s="57">
        <f xml:space="preserve"> (271 + 774 + 1579)/3</f>
        <v>874.66666666666663</v>
      </c>
      <c r="Q13" s="56">
        <f>P13/365</f>
        <v>2.3963470319634701</v>
      </c>
      <c r="R13" t="s">
        <v>265</v>
      </c>
      <c r="S13">
        <f>1-0.136</f>
        <v>0.86399999999999999</v>
      </c>
    </row>
    <row r="14" spans="1:20" ht="49.95" customHeight="1" x14ac:dyDescent="0.3">
      <c r="A14" s="347"/>
      <c r="B14" s="347"/>
      <c r="C14" s="347"/>
      <c r="D14" s="347"/>
      <c r="E14" s="347"/>
      <c r="F14" s="347"/>
      <c r="G14" s="347"/>
      <c r="H14" s="347"/>
      <c r="I14" s="347"/>
      <c r="J14" s="347"/>
      <c r="K14" s="347"/>
      <c r="L14" s="347"/>
      <c r="N14" t="s">
        <v>266</v>
      </c>
      <c r="P14" s="57">
        <f>(183+433+799)/3</f>
        <v>471.66666666666669</v>
      </c>
      <c r="Q14" s="56">
        <f>P14/365</f>
        <v>1.2922374429223744</v>
      </c>
      <c r="R14" t="s">
        <v>267</v>
      </c>
      <c r="S14">
        <f>1-0.386</f>
        <v>0.61399999999999999</v>
      </c>
      <c r="T14" t="s">
        <v>268</v>
      </c>
    </row>
    <row r="15" spans="1:20" x14ac:dyDescent="0.3">
      <c r="A15" s="84" t="s">
        <v>269</v>
      </c>
    </row>
    <row r="16" spans="1:20" x14ac:dyDescent="0.3">
      <c r="A16" s="114"/>
    </row>
    <row r="17" spans="1:2" ht="15.6" x14ac:dyDescent="0.3">
      <c r="A17" s="214" t="s">
        <v>270</v>
      </c>
    </row>
    <row r="18" spans="1:2" x14ac:dyDescent="0.3">
      <c r="B18" t="s">
        <v>271</v>
      </c>
    </row>
    <row r="19" spans="1:2" x14ac:dyDescent="0.3">
      <c r="B19" t="s">
        <v>272</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zoomScale="115" zoomScaleNormal="115" workbookViewId="0">
      <selection activeCell="E27" sqref="E27"/>
    </sheetView>
  </sheetViews>
  <sheetFormatPr defaultRowHeight="14.4" x14ac:dyDescent="0.3"/>
  <cols>
    <col min="1" max="1" width="49.6640625" customWidth="1"/>
    <col min="2" max="2" width="26.6640625" customWidth="1"/>
    <col min="3" max="3" width="19.5546875" customWidth="1"/>
    <col min="4" max="4" width="20.88671875" customWidth="1"/>
    <col min="5" max="5" width="39.33203125" customWidth="1"/>
    <col min="6" max="6" width="42.88671875" customWidth="1"/>
    <col min="7" max="7" width="12.109375" customWidth="1"/>
    <col min="8" max="8" width="22.44140625" customWidth="1"/>
    <col min="9" max="9" width="23.6640625" customWidth="1"/>
    <col min="10" max="10" width="14.109375" customWidth="1"/>
    <col min="11" max="11" width="23" customWidth="1"/>
    <col min="12" max="12" width="45.44140625"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18" ht="28.8" x14ac:dyDescent="0.55000000000000004">
      <c r="A1" s="348" t="s">
        <v>273</v>
      </c>
      <c r="B1" s="348"/>
      <c r="C1" s="348"/>
      <c r="D1" s="348"/>
      <c r="E1" s="348"/>
      <c r="F1" s="348"/>
      <c r="G1" s="348"/>
      <c r="H1" s="348"/>
      <c r="I1" s="348"/>
      <c r="J1" s="348"/>
      <c r="K1" s="348"/>
      <c r="L1" s="348"/>
      <c r="M1" s="348"/>
      <c r="N1" s="348"/>
      <c r="O1" s="348"/>
      <c r="P1" s="348"/>
      <c r="Q1" s="348"/>
      <c r="R1" s="348"/>
    </row>
    <row r="2" spans="1:18" ht="15" thickBot="1" x14ac:dyDescent="0.35"/>
    <row r="3" spans="1:18" ht="114" customHeight="1" thickBot="1" x14ac:dyDescent="0.35">
      <c r="A3" s="349" t="s">
        <v>1035</v>
      </c>
      <c r="B3" s="350"/>
      <c r="C3" s="350"/>
      <c r="D3" s="350"/>
      <c r="E3" s="350"/>
      <c r="F3" s="350"/>
      <c r="G3" s="350"/>
      <c r="H3" s="350"/>
      <c r="I3" s="351"/>
    </row>
    <row r="4" spans="1:18" x14ac:dyDescent="0.3">
      <c r="A4" s="141" t="s">
        <v>274</v>
      </c>
      <c r="F4" s="217">
        <v>214688736</v>
      </c>
    </row>
    <row r="6" spans="1:18" x14ac:dyDescent="0.3">
      <c r="A6" s="141" t="s">
        <v>275</v>
      </c>
    </row>
    <row r="7" spans="1:18" x14ac:dyDescent="0.3">
      <c r="A7" s="137" t="s">
        <v>276</v>
      </c>
      <c r="F7">
        <v>4.0000000000000001E-3</v>
      </c>
    </row>
    <row r="8" spans="1:18" x14ac:dyDescent="0.3">
      <c r="A8" s="137" t="s">
        <v>277</v>
      </c>
      <c r="F8">
        <v>1.4E-2</v>
      </c>
    </row>
    <row r="9" spans="1:18" x14ac:dyDescent="0.3">
      <c r="A9" s="137" t="s">
        <v>278</v>
      </c>
      <c r="F9">
        <f>F13-F7</f>
        <v>0.01</v>
      </c>
    </row>
    <row r="10" spans="1:18" x14ac:dyDescent="0.3">
      <c r="A10" s="137" t="s">
        <v>279</v>
      </c>
      <c r="F10" s="143">
        <f>F4*F9</f>
        <v>2146887.36</v>
      </c>
    </row>
    <row r="11" spans="1:18" x14ac:dyDescent="0.3">
      <c r="A11" s="137"/>
    </row>
    <row r="12" spans="1:18" x14ac:dyDescent="0.3">
      <c r="A12" s="141" t="s">
        <v>280</v>
      </c>
    </row>
    <row r="13" spans="1:18" x14ac:dyDescent="0.3">
      <c r="A13" s="137" t="s">
        <v>277</v>
      </c>
      <c r="F13">
        <v>1.4E-2</v>
      </c>
    </row>
    <row r="14" spans="1:18" x14ac:dyDescent="0.3">
      <c r="A14" s="144" t="s">
        <v>281</v>
      </c>
      <c r="F14" s="133">
        <f>F4*F13</f>
        <v>3005642.304</v>
      </c>
    </row>
    <row r="15" spans="1:18" x14ac:dyDescent="0.3">
      <c r="A15" s="137"/>
      <c r="F15" s="143"/>
    </row>
    <row r="17" spans="1:18" x14ac:dyDescent="0.3">
      <c r="A17" s="139" t="s">
        <v>282</v>
      </c>
      <c r="J17" s="352" t="s">
        <v>283</v>
      </c>
      <c r="K17" s="352"/>
      <c r="L17" s="352"/>
      <c r="M17" s="352"/>
      <c r="N17" s="295"/>
      <c r="O17" s="295"/>
      <c r="P17" s="295"/>
      <c r="Q17" s="295"/>
      <c r="R17" s="295"/>
    </row>
    <row r="18" spans="1:18" x14ac:dyDescent="0.3">
      <c r="A18" s="137" t="s">
        <v>284</v>
      </c>
      <c r="F18">
        <v>1.7500000000000002E-2</v>
      </c>
      <c r="J18" s="352"/>
      <c r="K18" s="352"/>
      <c r="L18" s="352"/>
      <c r="M18" s="352"/>
      <c r="N18" s="295"/>
      <c r="O18" s="295"/>
      <c r="P18" s="295"/>
      <c r="Q18" s="295"/>
      <c r="R18" s="295"/>
    </row>
    <row r="19" spans="1:18" x14ac:dyDescent="0.3">
      <c r="A19" s="137" t="s">
        <v>285</v>
      </c>
      <c r="F19">
        <f>0.933-0.071</f>
        <v>0.8620000000000001</v>
      </c>
      <c r="J19" s="352"/>
      <c r="K19" s="352"/>
      <c r="L19" s="352"/>
      <c r="M19" s="352"/>
      <c r="N19" s="295"/>
      <c r="O19" s="295"/>
      <c r="P19" s="295"/>
      <c r="Q19" s="295"/>
      <c r="R19" s="295"/>
    </row>
    <row r="20" spans="1:18" x14ac:dyDescent="0.3">
      <c r="A20" s="137" t="s">
        <v>286</v>
      </c>
      <c r="F20" s="57">
        <f>F19*F14</f>
        <v>2590863.6660480001</v>
      </c>
      <c r="J20" s="352"/>
      <c r="K20" s="352"/>
      <c r="L20" s="352"/>
      <c r="M20" s="352"/>
      <c r="N20" s="295"/>
      <c r="O20" s="295"/>
      <c r="P20" s="295"/>
      <c r="Q20" s="295"/>
      <c r="R20" s="295"/>
    </row>
    <row r="21" spans="1:18" ht="21" x14ac:dyDescent="0.4">
      <c r="A21" s="135" t="s">
        <v>287</v>
      </c>
      <c r="B21" s="134"/>
      <c r="C21" s="134"/>
      <c r="D21" s="134"/>
      <c r="E21" s="134"/>
      <c r="F21" s="184">
        <f>F10*F19*(1-F39)</f>
        <v>1171440.5004345602</v>
      </c>
      <c r="G21" s="134"/>
      <c r="H21" s="134"/>
      <c r="J21" s="352"/>
      <c r="K21" s="352"/>
      <c r="L21" s="352"/>
      <c r="M21" s="352"/>
      <c r="N21" s="295"/>
      <c r="O21" s="295"/>
      <c r="P21" s="295"/>
      <c r="Q21" s="295"/>
      <c r="R21" s="295"/>
    </row>
    <row r="22" spans="1:18" ht="21" x14ac:dyDescent="0.4">
      <c r="A22" s="135" t="s">
        <v>288</v>
      </c>
      <c r="B22" s="134"/>
      <c r="C22" s="134"/>
      <c r="D22" s="134"/>
      <c r="E22" s="134"/>
      <c r="F22" s="184">
        <f>F10*F19*F39</f>
        <v>679176.40388544009</v>
      </c>
      <c r="G22" s="134"/>
      <c r="H22" s="134"/>
      <c r="J22" s="352"/>
      <c r="K22" s="352"/>
      <c r="L22" s="352"/>
      <c r="M22" s="352"/>
      <c r="N22" s="295"/>
      <c r="O22" s="295"/>
      <c r="P22" s="295"/>
      <c r="Q22" s="295"/>
      <c r="R22" s="295"/>
    </row>
    <row r="23" spans="1:18" x14ac:dyDescent="0.3">
      <c r="A23" s="137" t="s">
        <v>289</v>
      </c>
      <c r="B23" s="137"/>
      <c r="C23" s="137"/>
      <c r="D23" s="137"/>
      <c r="E23" s="137"/>
      <c r="F23" s="142">
        <v>0.13800000000000001</v>
      </c>
      <c r="G23" s="137"/>
      <c r="H23" s="137"/>
      <c r="J23" s="352"/>
      <c r="K23" s="352"/>
      <c r="L23" s="352"/>
      <c r="M23" s="352"/>
      <c r="N23" s="295"/>
      <c r="O23" s="295"/>
      <c r="P23" s="295"/>
      <c r="Q23" s="295"/>
      <c r="R23" s="295"/>
    </row>
    <row r="24" spans="1:18" x14ac:dyDescent="0.3">
      <c r="A24" s="137" t="s">
        <v>290</v>
      </c>
      <c r="B24" s="137"/>
      <c r="C24" s="137"/>
      <c r="D24" s="137"/>
      <c r="E24" s="137"/>
      <c r="F24" s="60">
        <f>F4*F18*F23</f>
        <v>518473.29744000011</v>
      </c>
      <c r="G24" s="137"/>
      <c r="H24" s="137"/>
      <c r="J24" s="352"/>
      <c r="K24" s="352"/>
      <c r="L24" s="352"/>
      <c r="M24" s="352"/>
      <c r="N24" s="295"/>
      <c r="O24" s="295"/>
      <c r="P24" s="295"/>
      <c r="Q24" s="295"/>
      <c r="R24" s="295"/>
    </row>
    <row r="25" spans="1:18" x14ac:dyDescent="0.3">
      <c r="A25" s="137" t="s">
        <v>291</v>
      </c>
      <c r="B25" s="137"/>
      <c r="C25" s="137"/>
      <c r="D25" s="137"/>
      <c r="E25" s="137"/>
      <c r="F25" s="60">
        <f>F24*F31</f>
        <v>460715.37210518407</v>
      </c>
      <c r="G25" s="137"/>
      <c r="H25" s="137"/>
      <c r="J25" s="352"/>
      <c r="K25" s="352"/>
      <c r="L25" s="352"/>
      <c r="M25" s="352"/>
      <c r="N25" s="295"/>
      <c r="O25" s="295"/>
      <c r="P25" s="295"/>
      <c r="Q25" s="295"/>
      <c r="R25" s="295"/>
    </row>
    <row r="26" spans="1:18" x14ac:dyDescent="0.3">
      <c r="A26" s="137"/>
      <c r="F26" s="290"/>
      <c r="J26" s="120" t="s">
        <v>292</v>
      </c>
      <c r="K26" s="295"/>
      <c r="L26" s="295"/>
      <c r="M26" s="295"/>
      <c r="N26" s="295"/>
      <c r="O26" s="295"/>
      <c r="P26" s="295"/>
      <c r="Q26" s="295"/>
      <c r="R26" s="295"/>
    </row>
    <row r="27" spans="1:18" x14ac:dyDescent="0.3">
      <c r="A27" s="139" t="s">
        <v>293</v>
      </c>
    </row>
    <row r="28" spans="1:18" hidden="1" x14ac:dyDescent="0.3">
      <c r="A28" s="137" t="s">
        <v>294</v>
      </c>
      <c r="F28">
        <f>1615000-1127000</f>
        <v>488000</v>
      </c>
      <c r="J28" s="140" t="s">
        <v>295</v>
      </c>
      <c r="K28" s="120"/>
      <c r="L28" s="120"/>
      <c r="M28" s="120"/>
      <c r="N28" s="120"/>
      <c r="O28" s="120"/>
      <c r="P28" s="120"/>
      <c r="Q28" s="120"/>
      <c r="R28" s="120"/>
    </row>
    <row r="29" spans="1:18" x14ac:dyDescent="0.3">
      <c r="A29" s="137" t="s">
        <v>296</v>
      </c>
      <c r="F29">
        <v>2.0999999999999999E-3</v>
      </c>
      <c r="K29" s="120"/>
      <c r="L29" s="120"/>
      <c r="M29" s="120"/>
      <c r="N29" s="120"/>
      <c r="O29" s="120"/>
      <c r="P29" s="120"/>
      <c r="Q29" s="120"/>
      <c r="R29" s="120"/>
    </row>
    <row r="30" spans="1:18" x14ac:dyDescent="0.3">
      <c r="A30" s="137" t="s">
        <v>297</v>
      </c>
      <c r="F30" s="218">
        <f>F29*F4</f>
        <v>450846.3456</v>
      </c>
      <c r="J30" s="218"/>
      <c r="K30" s="120"/>
      <c r="L30" s="120"/>
      <c r="M30" s="120"/>
      <c r="N30" s="120"/>
      <c r="O30" s="120"/>
      <c r="P30" s="120"/>
      <c r="Q30" s="120"/>
      <c r="R30" s="120"/>
    </row>
    <row r="31" spans="1:18" x14ac:dyDescent="0.3">
      <c r="A31" s="137" t="s">
        <v>298</v>
      </c>
      <c r="F31">
        <v>0.88859999999999995</v>
      </c>
      <c r="J31" s="140"/>
      <c r="K31" s="120"/>
      <c r="L31" s="120"/>
      <c r="M31" s="120"/>
      <c r="N31" s="120"/>
      <c r="O31" s="120"/>
      <c r="P31" s="120"/>
      <c r="Q31" s="120"/>
      <c r="R31" s="120"/>
    </row>
    <row r="32" spans="1:18" ht="21" x14ac:dyDescent="0.4">
      <c r="A32" s="135" t="s">
        <v>299</v>
      </c>
      <c r="B32" s="134"/>
      <c r="C32" s="134"/>
      <c r="D32" s="134"/>
      <c r="E32" s="134"/>
      <c r="F32" s="184">
        <f>F30*F31*(1-F39)</f>
        <v>253593.76568920127</v>
      </c>
      <c r="G32" s="134"/>
      <c r="H32" s="134"/>
    </row>
    <row r="33" spans="1:18" ht="21" x14ac:dyDescent="0.4">
      <c r="A33" s="135" t="s">
        <v>300</v>
      </c>
      <c r="B33" s="134"/>
      <c r="C33" s="134"/>
      <c r="D33" s="134"/>
      <c r="E33" s="134"/>
      <c r="F33" s="184">
        <f>F30*F31*F39</f>
        <v>147028.29701095869</v>
      </c>
      <c r="G33" s="134"/>
      <c r="H33" s="134"/>
      <c r="J33" s="140"/>
      <c r="K33" s="120"/>
      <c r="L33" s="120"/>
      <c r="M33" s="120"/>
      <c r="N33" s="120"/>
      <c r="O33" s="120"/>
      <c r="P33" s="120"/>
      <c r="Q33" s="120"/>
      <c r="R33" s="120"/>
    </row>
    <row r="34" spans="1:18" x14ac:dyDescent="0.3">
      <c r="A34" s="139" t="s">
        <v>301</v>
      </c>
      <c r="I34" s="57"/>
    </row>
    <row r="35" spans="1:18" x14ac:dyDescent="0.3">
      <c r="A35" s="137" t="s">
        <v>302</v>
      </c>
      <c r="C35">
        <v>5.1200000000000002E-2</v>
      </c>
    </row>
    <row r="36" spans="1:18" x14ac:dyDescent="0.3">
      <c r="A36" s="137" t="s">
        <v>303</v>
      </c>
    </row>
    <row r="38" spans="1:18" x14ac:dyDescent="0.3">
      <c r="A38" s="141" t="s">
        <v>304</v>
      </c>
    </row>
    <row r="39" spans="1:18" ht="14.4" customHeight="1" x14ac:dyDescent="0.3">
      <c r="A39" s="137" t="s">
        <v>305</v>
      </c>
      <c r="B39" s="5"/>
      <c r="C39" s="5"/>
      <c r="D39" s="5"/>
      <c r="E39" s="5"/>
      <c r="F39">
        <v>0.36699999999999999</v>
      </c>
      <c r="G39" s="5"/>
      <c r="H39" s="5"/>
      <c r="I39" s="5"/>
    </row>
    <row r="40" spans="1:18" x14ac:dyDescent="0.3">
      <c r="A40" s="5"/>
      <c r="B40" s="5"/>
      <c r="C40" s="5"/>
      <c r="D40" s="5"/>
      <c r="E40" s="5"/>
      <c r="F40" s="5"/>
      <c r="G40" s="5"/>
      <c r="H40" s="5"/>
      <c r="I40" s="5"/>
    </row>
    <row r="41" spans="1:18" x14ac:dyDescent="0.3">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zoomScaleNormal="100" workbookViewId="0">
      <selection activeCell="N17" sqref="N17"/>
    </sheetView>
  </sheetViews>
  <sheetFormatPr defaultRowHeight="14.4" x14ac:dyDescent="0.3"/>
  <cols>
    <col min="8" max="8" width="26.5546875" customWidth="1"/>
    <col min="9" max="9" width="18.44140625" customWidth="1"/>
    <col min="10" max="10" width="18.6640625" customWidth="1"/>
    <col min="11" max="11" width="14.88671875" bestFit="1" customWidth="1"/>
    <col min="14" max="14" width="12.5546875" bestFit="1" customWidth="1"/>
  </cols>
  <sheetData>
    <row r="1" spans="1:14" x14ac:dyDescent="0.3">
      <c r="A1" s="141" t="s">
        <v>306</v>
      </c>
      <c r="I1" s="57">
        <f>I6/I5</f>
        <v>234057971.01449275</v>
      </c>
    </row>
    <row r="3" spans="1:14" x14ac:dyDescent="0.3">
      <c r="A3" s="139" t="s">
        <v>307</v>
      </c>
    </row>
    <row r="5" spans="1:14" x14ac:dyDescent="0.3">
      <c r="A5" s="137" t="s">
        <v>308</v>
      </c>
      <c r="I5" s="215">
        <v>6.8999999999999999E-3</v>
      </c>
      <c r="J5" t="s">
        <v>309</v>
      </c>
    </row>
    <row r="6" spans="1:14" x14ac:dyDescent="0.3">
      <c r="A6" s="137" t="s">
        <v>310</v>
      </c>
      <c r="I6">
        <v>1615000</v>
      </c>
      <c r="N6" s="57"/>
    </row>
    <row r="7" spans="1:14" x14ac:dyDescent="0.3">
      <c r="A7" s="137" t="s">
        <v>311</v>
      </c>
      <c r="I7">
        <v>0.83</v>
      </c>
    </row>
    <row r="8" spans="1:14" x14ac:dyDescent="0.3">
      <c r="A8" s="137" t="s">
        <v>312</v>
      </c>
      <c r="I8">
        <f>I6*I7</f>
        <v>1340450</v>
      </c>
    </row>
    <row r="9" spans="1:14" x14ac:dyDescent="0.3">
      <c r="A9" s="137" t="s">
        <v>313</v>
      </c>
      <c r="I9" s="57">
        <f>I6-I8</f>
        <v>274550</v>
      </c>
    </row>
    <row r="10" spans="1:14" x14ac:dyDescent="0.3">
      <c r="A10" s="137"/>
      <c r="I10" s="57"/>
    </row>
    <row r="11" spans="1:14" x14ac:dyDescent="0.3">
      <c r="A11" s="141" t="s">
        <v>314</v>
      </c>
    </row>
    <row r="13" spans="1:14" x14ac:dyDescent="0.3">
      <c r="A13" s="137" t="s">
        <v>315</v>
      </c>
      <c r="I13">
        <v>5.0000000000000001E-3</v>
      </c>
      <c r="J13" t="s">
        <v>316</v>
      </c>
    </row>
    <row r="14" spans="1:14" x14ac:dyDescent="0.3">
      <c r="A14" s="137" t="s">
        <v>317</v>
      </c>
      <c r="I14">
        <v>1E-3</v>
      </c>
      <c r="J14" t="s">
        <v>318</v>
      </c>
    </row>
    <row r="15" spans="1:14" x14ac:dyDescent="0.3">
      <c r="A15" s="137" t="s">
        <v>319</v>
      </c>
      <c r="I15" s="57">
        <f>I14*I1</f>
        <v>234057.97101449277</v>
      </c>
    </row>
    <row r="16" spans="1:14" x14ac:dyDescent="0.3">
      <c r="A16" s="137" t="s">
        <v>320</v>
      </c>
      <c r="I16" s="138">
        <f>I13-I14</f>
        <v>4.0000000000000001E-3</v>
      </c>
    </row>
    <row r="17" spans="1:11" x14ac:dyDescent="0.3">
      <c r="A17" s="137" t="s">
        <v>321</v>
      </c>
      <c r="B17" s="297"/>
      <c r="C17" s="297"/>
      <c r="D17" s="297"/>
      <c r="E17" s="297"/>
      <c r="F17" s="297"/>
      <c r="G17" s="297"/>
      <c r="H17" s="297"/>
      <c r="I17" s="136">
        <f>I16/I13</f>
        <v>0.8</v>
      </c>
    </row>
    <row r="18" spans="1:11" ht="21" x14ac:dyDescent="0.4">
      <c r="A18" s="135" t="s">
        <v>322</v>
      </c>
      <c r="B18" s="291"/>
      <c r="C18" s="291"/>
      <c r="D18" s="291"/>
      <c r="E18" s="291"/>
      <c r="F18" s="291"/>
      <c r="G18" s="291"/>
      <c r="H18" s="291"/>
      <c r="I18" s="184">
        <f>I27*I16*(1-I46)</f>
        <v>596174.36181818182</v>
      </c>
    </row>
    <row r="19" spans="1:11" ht="21" x14ac:dyDescent="0.4">
      <c r="A19" s="135" t="s">
        <v>323</v>
      </c>
      <c r="B19" s="291"/>
      <c r="C19" s="291"/>
      <c r="D19" s="291"/>
      <c r="E19" s="291"/>
      <c r="F19" s="291"/>
      <c r="G19" s="291"/>
      <c r="H19" s="291"/>
      <c r="I19" s="184">
        <f>I27*I16*I46</f>
        <v>345649.27454545454</v>
      </c>
    </row>
    <row r="20" spans="1:11" x14ac:dyDescent="0.3">
      <c r="A20" s="137" t="s">
        <v>324</v>
      </c>
      <c r="I20">
        <v>2.1000000000000001E-2</v>
      </c>
      <c r="J20" t="s">
        <v>325</v>
      </c>
    </row>
    <row r="23" spans="1:11" x14ac:dyDescent="0.3">
      <c r="A23" s="137" t="s">
        <v>326</v>
      </c>
      <c r="I23">
        <v>3.9E-2</v>
      </c>
      <c r="K23" s="57"/>
    </row>
    <row r="24" spans="1:11" x14ac:dyDescent="0.3">
      <c r="A24" s="137" t="s">
        <v>327</v>
      </c>
      <c r="I24">
        <v>9131250</v>
      </c>
      <c r="K24" s="57"/>
    </row>
    <row r="25" spans="1:11" x14ac:dyDescent="0.3">
      <c r="A25" s="137" t="s">
        <v>328</v>
      </c>
      <c r="I25">
        <v>9.9000000000000005E-2</v>
      </c>
      <c r="K25" s="57"/>
    </row>
    <row r="26" spans="1:11" x14ac:dyDescent="0.3">
      <c r="A26" s="137" t="s">
        <v>329</v>
      </c>
      <c r="I26">
        <v>23310135</v>
      </c>
    </row>
    <row r="27" spans="1:11" x14ac:dyDescent="0.3">
      <c r="A27" s="137" t="s">
        <v>330</v>
      </c>
      <c r="I27" s="57">
        <f>I26/I25</f>
        <v>235455909.09090909</v>
      </c>
    </row>
    <row r="29" spans="1:11" x14ac:dyDescent="0.3">
      <c r="A29" s="139" t="s">
        <v>331</v>
      </c>
    </row>
    <row r="30" spans="1:11" x14ac:dyDescent="0.3">
      <c r="A30" s="137" t="s">
        <v>332</v>
      </c>
      <c r="I30">
        <v>8.9999999999999993E-3</v>
      </c>
      <c r="J30" t="s">
        <v>333</v>
      </c>
    </row>
    <row r="31" spans="1:11" x14ac:dyDescent="0.3">
      <c r="A31" s="137" t="s">
        <v>334</v>
      </c>
      <c r="I31">
        <v>2100000</v>
      </c>
      <c r="J31" t="s">
        <v>335</v>
      </c>
    </row>
    <row r="32" spans="1:11" x14ac:dyDescent="0.3">
      <c r="A32" s="137" t="s">
        <v>336</v>
      </c>
      <c r="I32" s="61">
        <f>[1]Sheet1!$M$218</f>
        <v>0.10952077073716551</v>
      </c>
    </row>
    <row r="33" spans="1:11" x14ac:dyDescent="0.3">
      <c r="A33" s="137" t="s">
        <v>337</v>
      </c>
      <c r="I33" s="57">
        <f>I31*(1-I32)</f>
        <v>1870006.3814519525</v>
      </c>
    </row>
    <row r="34" spans="1:11" x14ac:dyDescent="0.3">
      <c r="A34" s="137" t="s">
        <v>338</v>
      </c>
      <c r="I34">
        <v>2.1000000000000001E-2</v>
      </c>
      <c r="K34" s="133"/>
    </row>
    <row r="35" spans="1:11" x14ac:dyDescent="0.3">
      <c r="A35" s="137" t="s">
        <v>339</v>
      </c>
      <c r="I35">
        <v>4800000</v>
      </c>
      <c r="J35" t="s">
        <v>335</v>
      </c>
      <c r="K35" s="133"/>
    </row>
    <row r="36" spans="1:11" x14ac:dyDescent="0.3">
      <c r="A36" s="137" t="s">
        <v>340</v>
      </c>
      <c r="I36" s="216">
        <f>I30/I34</f>
        <v>0.42857142857142849</v>
      </c>
    </row>
    <row r="37" spans="1:11" x14ac:dyDescent="0.3">
      <c r="A37" s="137" t="s">
        <v>341</v>
      </c>
      <c r="I37" s="57">
        <f>I35-I31</f>
        <v>2700000</v>
      </c>
    </row>
    <row r="38" spans="1:11" ht="21" x14ac:dyDescent="0.4">
      <c r="A38" s="135" t="s">
        <v>287</v>
      </c>
      <c r="B38" s="135"/>
      <c r="C38" s="134"/>
      <c r="D38" s="134"/>
      <c r="E38" s="134"/>
      <c r="F38" s="134"/>
      <c r="G38" s="134"/>
      <c r="H38" s="134"/>
      <c r="I38" s="184">
        <f>I37*(1-I32)*(1-I46)</f>
        <v>1521918.0507331106</v>
      </c>
    </row>
    <row r="39" spans="1:11" ht="21" x14ac:dyDescent="0.4">
      <c r="A39" s="135" t="s">
        <v>288</v>
      </c>
      <c r="B39" s="135"/>
      <c r="C39" s="134"/>
      <c r="D39" s="134"/>
      <c r="E39" s="134"/>
      <c r="F39" s="134"/>
      <c r="G39" s="134"/>
      <c r="H39" s="134"/>
      <c r="I39" s="184">
        <f>I37*(1-I32)*I46</f>
        <v>882375.86827654275</v>
      </c>
    </row>
    <row r="40" spans="1:11" x14ac:dyDescent="0.3">
      <c r="A40" s="137" t="s">
        <v>342</v>
      </c>
      <c r="I40" s="57">
        <f>I33/I36</f>
        <v>4363348.2233878896</v>
      </c>
    </row>
    <row r="41" spans="1:11" x14ac:dyDescent="0.3">
      <c r="A41" s="137" t="s">
        <v>343</v>
      </c>
      <c r="I41" s="57">
        <f>I40-I33</f>
        <v>2493341.8419359373</v>
      </c>
    </row>
    <row r="42" spans="1:11" x14ac:dyDescent="0.3">
      <c r="A42" s="137" t="s">
        <v>344</v>
      </c>
      <c r="I42">
        <v>4.0000000000000001E-3</v>
      </c>
      <c r="J42" t="s">
        <v>345</v>
      </c>
    </row>
    <row r="43" spans="1:11" x14ac:dyDescent="0.3">
      <c r="A43" s="137" t="s">
        <v>346</v>
      </c>
      <c r="I43">
        <v>1.4E-2</v>
      </c>
      <c r="J43" t="s">
        <v>345</v>
      </c>
    </row>
    <row r="45" spans="1:11" x14ac:dyDescent="0.3">
      <c r="A45" s="141" t="s">
        <v>304</v>
      </c>
    </row>
    <row r="46" spans="1:11" x14ac:dyDescent="0.3">
      <c r="A46" s="137" t="s">
        <v>305</v>
      </c>
      <c r="B46" s="5"/>
      <c r="C46" s="5"/>
      <c r="D46" s="5"/>
      <c r="E46" s="5"/>
      <c r="I46">
        <f>'2002 Remission estimates'!F39</f>
        <v>0.36699999999999999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tabSelected="1" zoomScale="70" zoomScaleNormal="70" workbookViewId="0">
      <pane xSplit="1" ySplit="1" topLeftCell="B2" activePane="bottomRight" state="frozen"/>
      <selection pane="topRight" activeCell="B1" sqref="B1"/>
      <selection pane="bottomLeft" activeCell="A2" sqref="A2"/>
      <selection pane="bottomRight" activeCell="H4" sqref="H4"/>
    </sheetView>
  </sheetViews>
  <sheetFormatPr defaultRowHeight="14.4" x14ac:dyDescent="0.3"/>
  <cols>
    <col min="1" max="1" width="22.33203125" style="5" customWidth="1"/>
    <col min="2" max="2" width="12.44140625" style="5" customWidth="1"/>
    <col min="3" max="3" width="11.5546875" style="5" customWidth="1"/>
    <col min="4" max="4" width="23" style="5" customWidth="1"/>
    <col min="5" max="5" width="23.109375" style="5" customWidth="1"/>
    <col min="6" max="6" width="30.33203125" style="5" customWidth="1"/>
    <col min="7" max="7" width="8.88671875" style="5"/>
    <col min="8" max="9" width="21.33203125" style="5" customWidth="1"/>
    <col min="10" max="10" width="14.109375" style="5" customWidth="1"/>
    <col min="11" max="11" width="15.6640625" style="37" customWidth="1"/>
    <col min="12" max="12" width="12.33203125" style="27" customWidth="1"/>
    <col min="13" max="13" width="21.33203125" style="5" customWidth="1"/>
    <col min="14" max="14" width="8.88671875" style="5"/>
    <col min="15" max="15" width="10.33203125" style="5" bestFit="1" customWidth="1"/>
    <col min="16" max="16" width="11.109375" style="5" customWidth="1"/>
    <col min="17" max="17" width="9" style="5" bestFit="1" customWidth="1"/>
    <col min="18" max="18" width="14.44140625" style="5" bestFit="1" customWidth="1"/>
    <col min="19" max="19" width="20.6640625" style="5" customWidth="1"/>
    <col min="20" max="20" width="18.44140625" style="5" customWidth="1"/>
    <col min="21" max="21" width="17.33203125" style="5" customWidth="1"/>
    <col min="22" max="22" width="27.109375" style="5" customWidth="1"/>
    <col min="23" max="23" width="11.44140625" customWidth="1"/>
    <col min="24" max="24" width="63.109375" style="5" customWidth="1"/>
  </cols>
  <sheetData>
    <row r="1" spans="1:25" ht="83.25" customHeight="1" x14ac:dyDescent="0.4">
      <c r="A1" s="337"/>
      <c r="B1" s="337" t="s">
        <v>347</v>
      </c>
      <c r="C1" s="337" t="s">
        <v>348</v>
      </c>
      <c r="D1" s="337" t="s">
        <v>349</v>
      </c>
      <c r="E1" s="337" t="s">
        <v>350</v>
      </c>
      <c r="F1" s="337" t="s">
        <v>351</v>
      </c>
      <c r="G1" s="337" t="s">
        <v>352</v>
      </c>
      <c r="H1" s="337" t="s">
        <v>353</v>
      </c>
      <c r="I1" s="337" t="s">
        <v>354</v>
      </c>
      <c r="J1" s="337" t="s">
        <v>355</v>
      </c>
      <c r="K1" s="338" t="s">
        <v>356</v>
      </c>
      <c r="L1" s="339" t="s">
        <v>357</v>
      </c>
      <c r="M1" s="337" t="s">
        <v>358</v>
      </c>
      <c r="N1" s="337" t="s">
        <v>359</v>
      </c>
      <c r="O1" s="337" t="s">
        <v>360</v>
      </c>
      <c r="P1" s="337" t="s">
        <v>361</v>
      </c>
      <c r="Q1" s="337" t="s">
        <v>362</v>
      </c>
      <c r="R1" s="337" t="s">
        <v>363</v>
      </c>
      <c r="S1" s="337" t="s">
        <v>364</v>
      </c>
      <c r="T1" s="339" t="s">
        <v>365</v>
      </c>
      <c r="U1" s="339" t="s">
        <v>366</v>
      </c>
      <c r="V1" s="339" t="s">
        <v>367</v>
      </c>
      <c r="W1" s="339" t="s">
        <v>368</v>
      </c>
      <c r="X1" s="337" t="s">
        <v>52</v>
      </c>
      <c r="Y1" s="5"/>
    </row>
    <row r="2" spans="1:25" ht="74.400000000000006" customHeight="1" x14ac:dyDescent="0.3">
      <c r="A2" s="28" t="s">
        <v>369</v>
      </c>
      <c r="B2" s="20" t="s">
        <v>370</v>
      </c>
      <c r="C2" s="20">
        <v>2003</v>
      </c>
      <c r="D2" s="5" t="s">
        <v>371</v>
      </c>
      <c r="E2" s="298" t="s">
        <v>372</v>
      </c>
      <c r="F2" s="5" t="s">
        <v>373</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100.8" x14ac:dyDescent="0.3">
      <c r="B3" s="297" t="s">
        <v>374</v>
      </c>
      <c r="C3" s="297">
        <v>2015</v>
      </c>
      <c r="D3" s="294" t="s">
        <v>375</v>
      </c>
      <c r="E3" s="298" t="s">
        <v>376</v>
      </c>
      <c r="F3" s="295" t="s">
        <v>377</v>
      </c>
      <c r="G3" s="5" t="s">
        <v>378</v>
      </c>
      <c r="H3" s="5" t="s">
        <v>379</v>
      </c>
      <c r="K3" s="21"/>
      <c r="L3" s="27">
        <v>10</v>
      </c>
      <c r="T3" s="25">
        <v>0.7</v>
      </c>
      <c r="U3" s="26">
        <f>(-1/(L3) * LN(T3) )</f>
        <v>3.5667494393873247E-2</v>
      </c>
      <c r="V3" s="26"/>
      <c r="X3" s="294" t="s">
        <v>380</v>
      </c>
    </row>
    <row r="4" spans="1:25" ht="57.6" x14ac:dyDescent="0.3">
      <c r="A4" s="353" t="s">
        <v>381</v>
      </c>
      <c r="B4" s="356" t="s">
        <v>374</v>
      </c>
      <c r="C4" s="356">
        <v>2001</v>
      </c>
      <c r="D4" s="344" t="s">
        <v>382</v>
      </c>
      <c r="E4" s="357" t="s">
        <v>383</v>
      </c>
      <c r="F4" s="358" t="s">
        <v>384</v>
      </c>
      <c r="G4" s="5">
        <v>581</v>
      </c>
      <c r="H4" s="23" t="s">
        <v>385</v>
      </c>
      <c r="J4" s="5">
        <v>439</v>
      </c>
      <c r="K4" s="21" t="s">
        <v>386</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4" t="s">
        <v>387</v>
      </c>
    </row>
    <row r="5" spans="1:25" ht="28.8" x14ac:dyDescent="0.3">
      <c r="A5" s="353"/>
      <c r="B5" s="356"/>
      <c r="C5" s="356"/>
      <c r="D5" s="344"/>
      <c r="E5" s="357"/>
      <c r="F5" s="358"/>
      <c r="J5" s="5">
        <v>354</v>
      </c>
      <c r="K5" s="21" t="s">
        <v>388</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4" t="s">
        <v>389</v>
      </c>
    </row>
    <row r="6" spans="1:25" ht="43.2" x14ac:dyDescent="0.3">
      <c r="A6" s="353"/>
      <c r="B6" s="356"/>
      <c r="C6" s="356"/>
      <c r="D6" s="344"/>
      <c r="E6" s="357"/>
      <c r="F6" s="358"/>
      <c r="J6" s="5">
        <v>242</v>
      </c>
      <c r="K6" s="21" t="s">
        <v>390</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4" t="s">
        <v>391</v>
      </c>
    </row>
    <row r="7" spans="1:25" ht="98.4" customHeight="1" x14ac:dyDescent="0.3">
      <c r="A7" s="28" t="s">
        <v>392</v>
      </c>
      <c r="B7" s="20" t="s">
        <v>393</v>
      </c>
      <c r="C7" s="20">
        <v>2011</v>
      </c>
      <c r="D7" s="294" t="s">
        <v>394</v>
      </c>
      <c r="E7" s="298" t="s">
        <v>395</v>
      </c>
      <c r="F7" s="295" t="s">
        <v>396</v>
      </c>
      <c r="G7" s="23">
        <v>914</v>
      </c>
      <c r="H7" s="23" t="s">
        <v>397</v>
      </c>
      <c r="I7" s="23" t="s">
        <v>398</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x14ac:dyDescent="0.3">
      <c r="A8" s="28"/>
      <c r="B8" s="20"/>
      <c r="C8" s="20"/>
      <c r="D8" s="294"/>
      <c r="E8" s="298"/>
      <c r="F8" s="5" t="s">
        <v>399</v>
      </c>
      <c r="K8" s="21">
        <v>12</v>
      </c>
      <c r="L8" s="21">
        <f>K8</f>
        <v>12</v>
      </c>
      <c r="M8" s="5">
        <v>0.48</v>
      </c>
      <c r="N8" s="5">
        <v>0.24</v>
      </c>
      <c r="T8" s="25">
        <f>(1-M8-N8)</f>
        <v>0.28000000000000003</v>
      </c>
      <c r="U8" s="26">
        <f t="shared" si="3"/>
        <v>0.10608047298440727</v>
      </c>
      <c r="V8" s="26"/>
    </row>
    <row r="9" spans="1:25" ht="187.2" hidden="1" x14ac:dyDescent="0.3">
      <c r="A9" s="28" t="s">
        <v>400</v>
      </c>
      <c r="B9" s="20" t="s">
        <v>374</v>
      </c>
      <c r="C9" s="20">
        <v>2016</v>
      </c>
      <c r="D9" s="5" t="s">
        <v>401</v>
      </c>
      <c r="E9" s="3" t="s">
        <v>402</v>
      </c>
      <c r="F9" s="5" t="s">
        <v>403</v>
      </c>
      <c r="G9" s="5">
        <v>1080</v>
      </c>
      <c r="H9" s="5" t="s">
        <v>404</v>
      </c>
      <c r="I9" s="5" t="s">
        <v>405</v>
      </c>
      <c r="J9" s="5">
        <v>795</v>
      </c>
      <c r="K9" s="21">
        <v>4.5</v>
      </c>
      <c r="L9" s="29">
        <f>K9</f>
        <v>4.5</v>
      </c>
      <c r="M9" s="23">
        <f>G9-N9-Q9-R9</f>
        <v>422.94000000000005</v>
      </c>
      <c r="N9" s="5">
        <f>SUM(N10:N11)</f>
        <v>49</v>
      </c>
      <c r="O9" s="30">
        <f>N9/G9</f>
        <v>4.5370370370370373E-2</v>
      </c>
      <c r="P9" s="31" t="s">
        <v>406</v>
      </c>
      <c r="Q9" s="23">
        <f>0.468*J9</f>
        <v>372.06</v>
      </c>
      <c r="R9" s="5">
        <f>285-N9</f>
        <v>236</v>
      </c>
      <c r="S9" s="31" t="s">
        <v>406</v>
      </c>
      <c r="T9" s="25">
        <f t="shared" ref="T9:T15" si="4">SUM(Q9:R9)/G9</f>
        <v>0.56301851851851847</v>
      </c>
      <c r="U9" s="26">
        <f t="shared" si="3"/>
        <v>0.1276539464023419</v>
      </c>
      <c r="V9" s="32"/>
    </row>
    <row r="10" spans="1:25" x14ac:dyDescent="0.3">
      <c r="A10" s="28"/>
      <c r="B10" s="20"/>
      <c r="C10" s="20"/>
      <c r="E10" s="3"/>
      <c r="F10" s="5" t="s">
        <v>407</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x14ac:dyDescent="0.3">
      <c r="A11" s="28"/>
      <c r="B11" s="20"/>
      <c r="C11" s="20"/>
      <c r="E11" s="3"/>
      <c r="F11" s="5" t="s">
        <v>408</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72" x14ac:dyDescent="0.3">
      <c r="B12" s="297" t="s">
        <v>409</v>
      </c>
      <c r="C12" s="297">
        <v>2007</v>
      </c>
      <c r="D12" s="5" t="s">
        <v>410</v>
      </c>
      <c r="E12" s="3" t="s">
        <v>411</v>
      </c>
      <c r="F12" s="5" t="s">
        <v>412</v>
      </c>
      <c r="G12" s="5">
        <v>99</v>
      </c>
      <c r="H12" s="5" t="s">
        <v>413</v>
      </c>
      <c r="I12" s="5" t="s">
        <v>398</v>
      </c>
      <c r="J12" s="5">
        <v>99</v>
      </c>
      <c r="K12" s="21">
        <v>0.5</v>
      </c>
      <c r="L12" s="21">
        <v>0.5</v>
      </c>
      <c r="M12" s="23">
        <f>0.54*G12</f>
        <v>53.46</v>
      </c>
      <c r="N12" s="5">
        <v>1</v>
      </c>
      <c r="O12" s="30">
        <f>N12/G12</f>
        <v>1.0101010101010102E-2</v>
      </c>
      <c r="P12" s="5">
        <v>0</v>
      </c>
      <c r="Q12" s="23">
        <f>G12-M12-N12</f>
        <v>44.54</v>
      </c>
      <c r="R12" s="5" t="s">
        <v>406</v>
      </c>
      <c r="S12" s="5" t="s">
        <v>406</v>
      </c>
      <c r="T12" s="25">
        <f t="shared" si="4"/>
        <v>0.44989898989898991</v>
      </c>
      <c r="U12" s="26">
        <f t="shared" si="3"/>
        <v>1.5974643766107366</v>
      </c>
      <c r="V12" s="32"/>
      <c r="X12" s="5" t="s">
        <v>414</v>
      </c>
    </row>
    <row r="13" spans="1:25" ht="100.8" x14ac:dyDescent="0.3">
      <c r="B13" s="5" t="s">
        <v>415</v>
      </c>
      <c r="C13" s="297">
        <v>1993</v>
      </c>
      <c r="D13" s="5" t="s">
        <v>416</v>
      </c>
      <c r="E13" s="3"/>
      <c r="F13" s="5" t="s">
        <v>417</v>
      </c>
      <c r="G13" s="5">
        <v>150</v>
      </c>
      <c r="H13" s="5">
        <v>83</v>
      </c>
      <c r="I13" s="5" t="s">
        <v>398</v>
      </c>
      <c r="J13" s="5">
        <v>106</v>
      </c>
      <c r="K13" s="21" t="s">
        <v>418</v>
      </c>
      <c r="L13" s="25">
        <f>3.75</f>
        <v>3.75</v>
      </c>
      <c r="M13" s="23">
        <f>0.55*G13</f>
        <v>82.5</v>
      </c>
      <c r="N13" s="5">
        <v>1</v>
      </c>
      <c r="O13" s="30">
        <f>N13/G13</f>
        <v>6.6666666666666671E-3</v>
      </c>
      <c r="P13" s="5" t="s">
        <v>406</v>
      </c>
      <c r="Q13" s="5">
        <v>26</v>
      </c>
      <c r="R13" s="5">
        <v>33</v>
      </c>
      <c r="S13" s="5" t="s">
        <v>406</v>
      </c>
      <c r="T13" s="25">
        <f t="shared" si="4"/>
        <v>0.39333333333333331</v>
      </c>
      <c r="U13" s="26">
        <f t="shared" si="3"/>
        <v>0.24882609338414302</v>
      </c>
      <c r="V13" s="32"/>
      <c r="X13" s="5" t="s">
        <v>419</v>
      </c>
    </row>
    <row r="14" spans="1:25" ht="86.4" x14ac:dyDescent="0.3">
      <c r="B14" s="297" t="s">
        <v>420</v>
      </c>
      <c r="C14" s="297">
        <v>2009</v>
      </c>
      <c r="D14" s="5" t="s">
        <v>421</v>
      </c>
      <c r="E14" s="3" t="s">
        <v>422</v>
      </c>
      <c r="F14" s="5" t="s">
        <v>423</v>
      </c>
      <c r="G14" s="5">
        <v>225</v>
      </c>
      <c r="H14" s="5" t="s">
        <v>424</v>
      </c>
      <c r="I14" s="5" t="s">
        <v>398</v>
      </c>
      <c r="J14" s="5">
        <v>225</v>
      </c>
      <c r="K14" s="21">
        <v>1</v>
      </c>
      <c r="L14" s="21">
        <f>K14</f>
        <v>1</v>
      </c>
      <c r="M14" s="23">
        <v>121</v>
      </c>
      <c r="N14" s="5">
        <v>5</v>
      </c>
      <c r="O14" s="30">
        <f>N14/G14</f>
        <v>2.2222222222222223E-2</v>
      </c>
      <c r="P14" s="5" t="s">
        <v>425</v>
      </c>
      <c r="Q14" s="5" t="s">
        <v>406</v>
      </c>
      <c r="R14" s="5">
        <v>109</v>
      </c>
      <c r="S14" s="5" t="s">
        <v>406</v>
      </c>
      <c r="T14" s="25">
        <f t="shared" si="4"/>
        <v>0.48444444444444446</v>
      </c>
      <c r="U14" s="26">
        <f t="shared" si="3"/>
        <v>0.72475251997527645</v>
      </c>
      <c r="V14" s="32"/>
      <c r="X14" s="5" t="s">
        <v>426</v>
      </c>
    </row>
    <row r="15" spans="1:25" ht="144" x14ac:dyDescent="0.3">
      <c r="A15" s="296"/>
      <c r="B15" s="297" t="s">
        <v>427</v>
      </c>
      <c r="C15" s="297">
        <v>2019</v>
      </c>
      <c r="D15" s="5" t="s">
        <v>428</v>
      </c>
      <c r="E15" s="33" t="s">
        <v>429</v>
      </c>
      <c r="F15" s="5" t="s">
        <v>430</v>
      </c>
      <c r="G15" s="5">
        <v>653</v>
      </c>
      <c r="H15" s="5" t="s">
        <v>431</v>
      </c>
      <c r="I15" s="5" t="s">
        <v>398</v>
      </c>
      <c r="J15" s="5">
        <v>375</v>
      </c>
      <c r="K15" s="21">
        <v>3.5</v>
      </c>
      <c r="L15" s="21">
        <f>K15</f>
        <v>3.5</v>
      </c>
      <c r="M15" s="5">
        <v>306</v>
      </c>
      <c r="N15" s="5">
        <v>0</v>
      </c>
      <c r="O15" s="30">
        <f>N15/G15</f>
        <v>0</v>
      </c>
      <c r="P15" s="5">
        <v>0</v>
      </c>
      <c r="Q15" s="5">
        <f>J15-M15</f>
        <v>69</v>
      </c>
      <c r="R15" s="23">
        <f>G15-J15</f>
        <v>278</v>
      </c>
      <c r="S15" s="5" t="s">
        <v>398</v>
      </c>
      <c r="T15" s="25">
        <f t="shared" si="4"/>
        <v>0.53139356814701377</v>
      </c>
      <c r="U15" s="26">
        <f t="shared" si="3"/>
        <v>0.18064352837987765</v>
      </c>
      <c r="V15" s="32"/>
      <c r="X15" s="5" t="s">
        <v>432</v>
      </c>
    </row>
    <row r="16" spans="1:25" ht="100.8" x14ac:dyDescent="0.3">
      <c r="B16" s="35" t="s">
        <v>433</v>
      </c>
      <c r="C16" s="297">
        <v>2007</v>
      </c>
      <c r="D16" s="5" t="s">
        <v>434</v>
      </c>
      <c r="E16" s="3" t="s">
        <v>435</v>
      </c>
      <c r="F16" s="5" t="s">
        <v>436</v>
      </c>
      <c r="G16" s="23">
        <f>J16/0.7</f>
        <v>612.85714285714289</v>
      </c>
      <c r="H16" s="23" t="s">
        <v>437</v>
      </c>
      <c r="I16" s="23" t="s">
        <v>438</v>
      </c>
      <c r="J16" s="5">
        <v>429</v>
      </c>
      <c r="K16" s="21"/>
      <c r="L16" s="25"/>
      <c r="M16" s="5" t="s">
        <v>398</v>
      </c>
      <c r="N16" s="5" t="s">
        <v>398</v>
      </c>
      <c r="P16" s="5" t="s">
        <v>398</v>
      </c>
      <c r="R16" s="5" t="s">
        <v>398</v>
      </c>
      <c r="T16" s="25"/>
      <c r="U16" s="26"/>
      <c r="V16" s="26"/>
      <c r="X16" s="5" t="s">
        <v>439</v>
      </c>
    </row>
    <row r="17" spans="1:24" x14ac:dyDescent="0.3">
      <c r="B17" s="297"/>
      <c r="C17" s="297"/>
      <c r="E17" s="3"/>
      <c r="F17" s="354" t="s">
        <v>440</v>
      </c>
      <c r="G17" s="23">
        <f>$G$16</f>
        <v>612.85714285714289</v>
      </c>
      <c r="H17" s="23"/>
      <c r="I17" s="23"/>
      <c r="K17" s="21">
        <v>1</v>
      </c>
      <c r="L17" s="21">
        <f>K17</f>
        <v>1</v>
      </c>
      <c r="M17" s="23">
        <f>J16*0.14</f>
        <v>60.06</v>
      </c>
      <c r="T17" s="25">
        <f>($G$16-M17)/$G$16</f>
        <v>0.90200000000000014</v>
      </c>
      <c r="U17" s="26">
        <f t="shared" si="3"/>
        <v>0.10314075891951324</v>
      </c>
      <c r="V17" s="26"/>
    </row>
    <row r="18" spans="1:24" x14ac:dyDescent="0.3">
      <c r="B18" s="297"/>
      <c r="C18" s="297"/>
      <c r="E18" s="3"/>
      <c r="F18" s="354"/>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x14ac:dyDescent="0.3">
      <c r="B19" s="297"/>
      <c r="C19" s="297"/>
      <c r="E19" s="3"/>
      <c r="F19" s="354" t="s">
        <v>441</v>
      </c>
      <c r="G19" s="23">
        <f t="shared" si="6"/>
        <v>612.85714285714289</v>
      </c>
      <c r="H19" s="23"/>
      <c r="I19" s="23"/>
      <c r="K19" s="21">
        <v>1</v>
      </c>
      <c r="L19" s="21">
        <f>K19</f>
        <v>1</v>
      </c>
      <c r="M19" s="23">
        <f>M17</f>
        <v>60.06</v>
      </c>
      <c r="T19" s="25">
        <f t="shared" si="7"/>
        <v>0.90200000000000014</v>
      </c>
      <c r="U19" s="26">
        <f t="shared" si="3"/>
        <v>0.10314075891951324</v>
      </c>
      <c r="V19" s="26"/>
    </row>
    <row r="20" spans="1:24" x14ac:dyDescent="0.3">
      <c r="B20" s="297"/>
      <c r="C20" s="297"/>
      <c r="E20" s="3"/>
      <c r="F20" s="354"/>
      <c r="G20" s="23">
        <f t="shared" si="6"/>
        <v>612.85714285714289</v>
      </c>
      <c r="H20" s="23"/>
      <c r="I20" s="23"/>
      <c r="K20" s="21">
        <v>3</v>
      </c>
      <c r="L20" s="21">
        <f>K20</f>
        <v>3</v>
      </c>
      <c r="M20" s="23">
        <f>J16*0.4</f>
        <v>171.60000000000002</v>
      </c>
      <c r="T20" s="25">
        <f t="shared" si="7"/>
        <v>0.72</v>
      </c>
      <c r="U20" s="26">
        <f t="shared" si="3"/>
        <v>0.10950135565734537</v>
      </c>
      <c r="V20" s="26"/>
    </row>
    <row r="21" spans="1:24" ht="16.649999999999999" customHeight="1" x14ac:dyDescent="0.3">
      <c r="B21" s="297" t="s">
        <v>442</v>
      </c>
      <c r="C21" s="297">
        <v>2017</v>
      </c>
      <c r="D21" s="5" t="s">
        <v>443</v>
      </c>
      <c r="E21" s="3" t="s">
        <v>444</v>
      </c>
      <c r="F21" s="5" t="s">
        <v>445</v>
      </c>
      <c r="G21" s="5">
        <v>27273</v>
      </c>
      <c r="J21" s="5" t="s">
        <v>406</v>
      </c>
      <c r="K21" s="21">
        <f>13/12</f>
        <v>1.0833333333333333</v>
      </c>
      <c r="M21" s="5" t="s">
        <v>406</v>
      </c>
      <c r="N21" s="5" t="s">
        <v>406</v>
      </c>
      <c r="P21" s="5" t="s">
        <v>406</v>
      </c>
      <c r="Q21" s="5" t="s">
        <v>406</v>
      </c>
      <c r="R21" s="5" t="s">
        <v>406</v>
      </c>
      <c r="S21" s="5" t="s">
        <v>406</v>
      </c>
      <c r="U21" s="26"/>
      <c r="X21" s="5" t="s">
        <v>446</v>
      </c>
    </row>
    <row r="23" spans="1:24" ht="31.2" customHeight="1" x14ac:dyDescent="0.3">
      <c r="A23" s="36"/>
      <c r="B23" s="5" t="s">
        <v>447</v>
      </c>
      <c r="C23" s="5">
        <v>2011</v>
      </c>
      <c r="F23" s="5" t="s">
        <v>448</v>
      </c>
      <c r="H23" s="34">
        <v>0.95</v>
      </c>
      <c r="K23" s="21">
        <v>10</v>
      </c>
      <c r="L23" s="27">
        <f>K23</f>
        <v>10</v>
      </c>
      <c r="M23" s="34"/>
      <c r="V23" s="34">
        <v>0.7</v>
      </c>
      <c r="W23" s="5">
        <f>(-1/L23) *LN(V23)</f>
        <v>3.5667494393873247E-2</v>
      </c>
      <c r="X23"/>
    </row>
    <row r="24" spans="1:24" x14ac:dyDescent="0.3">
      <c r="A24" s="355" t="s">
        <v>449</v>
      </c>
      <c r="B24" s="355"/>
      <c r="C24" s="355"/>
      <c r="D24" s="355"/>
      <c r="E24" s="355"/>
      <c r="F24" s="355"/>
      <c r="G24" s="355"/>
      <c r="H24" s="355" t="s">
        <v>449</v>
      </c>
      <c r="I24" s="355"/>
      <c r="J24" s="355"/>
      <c r="K24" s="355"/>
      <c r="L24" s="355"/>
      <c r="M24" s="355"/>
      <c r="N24" s="355"/>
      <c r="O24" s="355" t="s">
        <v>449</v>
      </c>
      <c r="P24" s="355"/>
      <c r="Q24" s="355"/>
      <c r="R24" s="355"/>
      <c r="S24" s="355"/>
      <c r="T24" s="355"/>
      <c r="U24" s="355"/>
      <c r="V24" s="355" t="s">
        <v>449</v>
      </c>
      <c r="W24" s="355"/>
      <c r="X24"/>
    </row>
    <row r="25" spans="1:24" ht="18.45" customHeight="1" x14ac:dyDescent="0.3">
      <c r="B25" s="5" t="s">
        <v>450</v>
      </c>
      <c r="C25" s="297">
        <v>2008</v>
      </c>
      <c r="D25" s="5" t="s">
        <v>451</v>
      </c>
      <c r="E25" s="3" t="s">
        <v>452</v>
      </c>
      <c r="F25" s="5" t="s">
        <v>453</v>
      </c>
      <c r="G25" s="5">
        <v>2694</v>
      </c>
      <c r="H25" s="5" t="s">
        <v>454</v>
      </c>
      <c r="I25" s="5" t="s">
        <v>398</v>
      </c>
      <c r="J25" s="5">
        <v>1631</v>
      </c>
      <c r="K25" s="21">
        <v>1</v>
      </c>
      <c r="L25" s="21">
        <f>K25</f>
        <v>1</v>
      </c>
      <c r="M25" s="23">
        <f>0.111*G25</f>
        <v>299.03399999999999</v>
      </c>
      <c r="N25" s="5">
        <v>31</v>
      </c>
      <c r="O25" s="30">
        <f>N25/G25</f>
        <v>1.1507052709725315E-2</v>
      </c>
      <c r="P25" s="5" t="s">
        <v>406</v>
      </c>
      <c r="Q25" s="23">
        <f>0.158*J25</f>
        <v>257.69799999999998</v>
      </c>
      <c r="R25" s="23">
        <f>119+155</f>
        <v>274</v>
      </c>
      <c r="S25" s="5" t="s">
        <v>406</v>
      </c>
      <c r="T25" s="25">
        <f>SUM(Q25:R25)/G25</f>
        <v>0.19736377134372679</v>
      </c>
      <c r="U25" s="26">
        <f>(-1/(L25) * LN(T25) )</f>
        <v>1.6227066979867451</v>
      </c>
      <c r="V25" s="32"/>
      <c r="X25" s="5" t="s">
        <v>455</v>
      </c>
    </row>
    <row r="26" spans="1:24" ht="28.8" x14ac:dyDescent="0.3">
      <c r="A26" s="353" t="s">
        <v>456</v>
      </c>
      <c r="B26" s="5" t="s">
        <v>457</v>
      </c>
      <c r="C26" s="5">
        <v>2013</v>
      </c>
      <c r="F26" s="5" t="s">
        <v>458</v>
      </c>
      <c r="K26" s="21">
        <v>3.4</v>
      </c>
      <c r="L26" s="21">
        <f>K26</f>
        <v>3.4</v>
      </c>
      <c r="M26" s="34">
        <v>0.68</v>
      </c>
      <c r="T26" s="34">
        <f>1-M26</f>
        <v>0.31999999999999995</v>
      </c>
      <c r="U26" s="26">
        <f>(-1/(L26) * LN(T26) )</f>
        <v>0.33512773034951915</v>
      </c>
    </row>
    <row r="27" spans="1:24" ht="28.8" x14ac:dyDescent="0.3">
      <c r="A27" s="353"/>
      <c r="B27" s="5" t="s">
        <v>457</v>
      </c>
      <c r="C27" s="5">
        <v>2013</v>
      </c>
      <c r="F27" s="5" t="s">
        <v>459</v>
      </c>
      <c r="K27" s="21">
        <v>3.4</v>
      </c>
      <c r="L27" s="21">
        <f>K27</f>
        <v>3.4</v>
      </c>
      <c r="M27" s="34">
        <v>0.5</v>
      </c>
      <c r="T27" s="34">
        <f>1-M27</f>
        <v>0.5</v>
      </c>
      <c r="U27" s="26">
        <f>(-1/(L27) * LN(T27) )</f>
        <v>0.20386681781174862</v>
      </c>
    </row>
    <row r="28" spans="1:24" ht="12.75" customHeight="1" x14ac:dyDescent="0.3">
      <c r="A28" s="353"/>
      <c r="B28" s="297" t="s">
        <v>460</v>
      </c>
      <c r="C28" s="297">
        <v>2016</v>
      </c>
      <c r="D28" s="5" t="s">
        <v>461</v>
      </c>
      <c r="E28" s="3"/>
      <c r="F28" s="5" t="s">
        <v>462</v>
      </c>
      <c r="K28" s="21">
        <v>3.4</v>
      </c>
      <c r="L28" s="21">
        <f>K28</f>
        <v>3.4</v>
      </c>
      <c r="U28" s="26"/>
      <c r="V28" s="5">
        <f>0.605+0.188</f>
        <v>0.79299999999999993</v>
      </c>
      <c r="W28" s="5">
        <f>(-1/L28) *LN(V28)</f>
        <v>6.8215310984496819E-2</v>
      </c>
    </row>
    <row r="29" spans="1:24" x14ac:dyDescent="0.3">
      <c r="L29" s="5"/>
      <c r="W29" s="5"/>
      <c r="X29"/>
    </row>
    <row r="30" spans="1:24" x14ac:dyDescent="0.3">
      <c r="L30" s="5"/>
      <c r="W30" s="5"/>
      <c r="X30"/>
    </row>
    <row r="31" spans="1:24" ht="15" thickBot="1" x14ac:dyDescent="0.35"/>
    <row r="32" spans="1:24" ht="36" x14ac:dyDescent="0.35">
      <c r="T32" s="38" t="s">
        <v>463</v>
      </c>
      <c r="U32" s="39" t="s">
        <v>464</v>
      </c>
      <c r="V32" s="40" t="s">
        <v>465</v>
      </c>
      <c r="W32" s="41" t="s">
        <v>466</v>
      </c>
    </row>
    <row r="33" spans="20:23" ht="36" x14ac:dyDescent="0.35">
      <c r="T33" s="42" t="s">
        <v>467</v>
      </c>
      <c r="U33" s="43">
        <f>AVERAGE(U2:U21)</f>
        <v>0.21594323008591226</v>
      </c>
      <c r="V33" s="44">
        <f>AVERAGE(O:O)</f>
        <v>0.1583374529331063</v>
      </c>
      <c r="W33" s="45">
        <f>AVERAGE(W2:W23)</f>
        <v>0.12216222883241151</v>
      </c>
    </row>
    <row r="34" spans="20:23" ht="18" x14ac:dyDescent="0.35">
      <c r="T34" s="46" t="s">
        <v>468</v>
      </c>
      <c r="U34" s="47">
        <f ca="1">AVERAGEIF(L2:L23,"&lt;1",U2:U21)</f>
        <v>1.5974643766107366</v>
      </c>
      <c r="V34" s="48">
        <f ca="1">AVERAGEIF($L$2:$L$23,"&lt;1",$O$2:$O$21)</f>
        <v>1.0101010101010102E-2</v>
      </c>
      <c r="W34" s="49"/>
    </row>
    <row r="35" spans="20:23" ht="18" x14ac:dyDescent="0.35">
      <c r="T35" s="46" t="s">
        <v>469</v>
      </c>
      <c r="U35" s="50">
        <f ca="1">AVERAGEIF(L2:L23,"&gt;=1",U2:U21)</f>
        <v>0.13467728029033441</v>
      </c>
      <c r="V35" s="48">
        <f ca="1">AVERAGEIF($L$2:$L$23,"&gt;=1",$O$2:$O$21)</f>
        <v>0.1911226577170482</v>
      </c>
      <c r="W35" s="49"/>
    </row>
    <row r="36" spans="20:23" ht="18" x14ac:dyDescent="0.35">
      <c r="T36" s="46" t="s">
        <v>470</v>
      </c>
      <c r="U36" s="47">
        <f ca="1">AVERAGEIF(L2:L23,"&gt;=5",U2:U21)</f>
        <v>5.8534509444546655E-2</v>
      </c>
      <c r="V36" s="48">
        <f ca="1">AVERAGEIF($L$2:$L$23,"&gt;=5",$O$2:$O$21)</f>
        <v>0.32916893203883496</v>
      </c>
      <c r="W36" s="51"/>
    </row>
    <row r="37" spans="20:23" ht="18" x14ac:dyDescent="0.35">
      <c r="T37" s="46" t="s">
        <v>471</v>
      </c>
      <c r="U37" s="47">
        <f ca="1">AVERAGEIF(L2:L23,"&gt;=10",U2:U21)</f>
        <v>6.1902490043295878E-2</v>
      </c>
      <c r="V37" s="48">
        <f ca="1">AVERAGEIF($L$2:$L$23,"&gt;=10",$O$2:$O$21)</f>
        <v>0.34350000000000003</v>
      </c>
      <c r="W37" s="49"/>
    </row>
    <row r="38" spans="20:23" ht="18.600000000000001" thickBot="1" x14ac:dyDescent="0.4">
      <c r="T38" s="52" t="s">
        <v>472</v>
      </c>
      <c r="U38" s="53">
        <f ca="1">AVERAGEIF(L2:L23,"&gt;=25",U2:U21)</f>
        <v>5.1960130855316193E-2</v>
      </c>
      <c r="V38" s="54">
        <f ca="1">AVERAGEIF($L$2:$L$23,"&gt;=25",$O$2:$O$21)</f>
        <v>0.47949999999999998</v>
      </c>
      <c r="W38" s="55"/>
    </row>
    <row r="39" spans="20:23" x14ac:dyDescent="0.3">
      <c r="T39" t="s">
        <v>473</v>
      </c>
      <c r="W39" s="5"/>
    </row>
  </sheetData>
  <mergeCells count="13">
    <mergeCell ref="O24:U24"/>
    <mergeCell ref="V24:W24"/>
    <mergeCell ref="A4:A6"/>
    <mergeCell ref="B4:B6"/>
    <mergeCell ref="C4:C6"/>
    <mergeCell ref="D4:D6"/>
    <mergeCell ref="E4:E6"/>
    <mergeCell ref="F4:F6"/>
    <mergeCell ref="A26:A28"/>
    <mergeCell ref="F17:F18"/>
    <mergeCell ref="F19:F20"/>
    <mergeCell ref="A24:G24"/>
    <mergeCell ref="H24:N24"/>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29F746-BB8E-4FDA-9C20-FC548435535F}">
  <ds:schemaRefs>
    <ds:schemaRef ds:uri="http://schemas.microsoft.com/sharepoint/v3/contenttype/forms"/>
  </ds:schemaRefs>
</ds:datastoreItem>
</file>

<file path=customXml/itemProps2.xml><?xml version="1.0" encoding="utf-8"?>
<ds:datastoreItem xmlns:ds="http://schemas.openxmlformats.org/officeDocument/2006/customXml" ds:itemID="{4A3A4146-83B4-440D-940A-F8CED8F70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796B3B-F083-48FE-8C9F-E99F37C419C9}">
  <ds:schemaRef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 ds:uri="12e73323-2992-4b61-9f89-f2ff99442528"/>
    <ds:schemaRef ds:uri="http://purl.org/dc/terms/"/>
    <ds:schemaRef ds:uri="http://schemas.microsoft.com/office/infopath/2007/PartnerControls"/>
    <ds:schemaRef ds:uri="60bd3312-76b2-43ff-ab1e-17ba520e0d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Erin Stringfellow</cp:lastModifiedBy>
  <cp:revision/>
  <dcterms:created xsi:type="dcterms:W3CDTF">2021-01-08T18:56:55Z</dcterms:created>
  <dcterms:modified xsi:type="dcterms:W3CDTF">2021-08-05T15:42:30Z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