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e7b1da923a40d0/Desktop/Documents/GitHub/KRG_Intel_TDC/IP/TDC/Test_SW/"/>
    </mc:Choice>
  </mc:AlternateContent>
  <xr:revisionPtr revIDLastSave="55" documentId="10_ncr:8000_{598D2D5D-3863-4EED-A0F6-BC729F9B164D}" xr6:coauthVersionLast="47" xr6:coauthVersionMax="47" xr10:uidLastSave="{715A1B19-EAEB-47EF-82D8-00538353FBC3}"/>
  <workbookProtection workbookPassword="9192" lockStructure="1"/>
  <bookViews>
    <workbookView xWindow="-108" yWindow="-108" windowWidth="23256" windowHeight="12456" tabRatio="598" xr2:uid="{00000000-000D-0000-FFFF-FFFF00000000}"/>
  </bookViews>
  <sheets>
    <sheet name="Cal" sheetId="1" r:id="rId1"/>
    <sheet name="Sheet2" sheetId="2" state="hidden" r:id="rId2"/>
    <sheet name="Sheet3" sheetId="3" state="hidden" r:id="rId3"/>
    <sheet name="Sheet1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E30" i="1"/>
  <c r="AW10" i="1"/>
  <c r="AW9" i="1"/>
  <c r="B38" i="1" l="1"/>
  <c r="G31" i="1"/>
  <c r="G28" i="1"/>
  <c r="AZ9" i="1" l="1"/>
  <c r="BP7" i="1" l="1"/>
  <c r="G7" i="1" s="1"/>
  <c r="BN22" i="1"/>
  <c r="BM22" i="1"/>
  <c r="BL22" i="1"/>
  <c r="BP17" i="1"/>
  <c r="BO17" i="1"/>
  <c r="BN17" i="1"/>
  <c r="BM17" i="1"/>
  <c r="BL17" i="1"/>
  <c r="BP13" i="1"/>
  <c r="BO13" i="1"/>
  <c r="BN13" i="1"/>
  <c r="BM13" i="1"/>
  <c r="BP9" i="1"/>
  <c r="BO9" i="1"/>
  <c r="BN9" i="1"/>
  <c r="BM9" i="1"/>
  <c r="B37" i="1"/>
  <c r="G9" i="1" l="1"/>
  <c r="G22" i="1"/>
  <c r="G13" i="1"/>
  <c r="G17" i="1"/>
  <c r="G29" i="1"/>
  <c r="G25" i="1"/>
  <c r="G26" i="1" s="1"/>
  <c r="AN26" i="1" s="1"/>
  <c r="G32" i="1"/>
  <c r="G8" i="1"/>
  <c r="AI26" i="1" l="1"/>
  <c r="AM26" i="1"/>
  <c r="AH26" i="1"/>
  <c r="AL26" i="1"/>
  <c r="AG26" i="1"/>
  <c r="AK26" i="1"/>
  <c r="AE26" i="1"/>
  <c r="AJ26" i="1"/>
  <c r="AH17" i="1"/>
  <c r="AI9" i="1"/>
  <c r="G27" i="1" l="1"/>
  <c r="AI13" i="1"/>
  <c r="AJ13" i="1"/>
  <c r="AE13" i="1"/>
  <c r="AK13" i="1"/>
  <c r="AG13" i="1"/>
  <c r="AH13" i="1"/>
  <c r="AL17" i="1"/>
  <c r="AJ22" i="1"/>
  <c r="AK22" i="1"/>
  <c r="AG22" i="1"/>
  <c r="AL22" i="1"/>
  <c r="AH22" i="1"/>
  <c r="AI22" i="1"/>
  <c r="AE22" i="1"/>
  <c r="AG17" i="1"/>
  <c r="AJ17" i="1"/>
  <c r="AK17" i="1"/>
  <c r="AI17" i="1"/>
  <c r="AE17" i="1"/>
  <c r="AK9" i="1"/>
  <c r="AE9" i="1"/>
  <c r="AJ9" i="1"/>
  <c r="AH9" i="1"/>
  <c r="AG9" i="1"/>
  <c r="G14" i="1" l="1"/>
  <c r="G18" i="1"/>
  <c r="G10" i="1"/>
  <c r="G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kigtan</author>
  </authors>
  <commentList>
    <comment ref="E26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Enter any value between 0.05 and 0.95 (both inclusive)
</t>
        </r>
      </text>
    </comment>
    <comment ref="E30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Loop Filter Resistance and Charge Pump Current are determined by Bandwidth Setting, VCO post divider and M counter.
The M counter value shown here is the total of M Counter Low Count and M Counter High Count.  Change the M Counter Low Count(D13) and M Counter High Count(D14) if this value does not correspond to the M counter value after reconfiguration.  
</t>
        </r>
      </text>
    </comment>
  </commentList>
</comments>
</file>

<file path=xl/sharedStrings.xml><?xml version="1.0" encoding="utf-8"?>
<sst xmlns="http://schemas.openxmlformats.org/spreadsheetml/2006/main" count="188" uniqueCount="94">
  <si>
    <t>N Counter</t>
  </si>
  <si>
    <t>High Count</t>
  </si>
  <si>
    <t>Low Count</t>
  </si>
  <si>
    <t>Bypass</t>
  </si>
  <si>
    <t>Yes</t>
  </si>
  <si>
    <t>No</t>
  </si>
  <si>
    <t>Odd Division</t>
  </si>
  <si>
    <t>M counter</t>
  </si>
  <si>
    <t>Binary Address</t>
  </si>
  <si>
    <t>000011</t>
  </si>
  <si>
    <t>000100</t>
  </si>
  <si>
    <t>Register Name</t>
  </si>
  <si>
    <t>Mode</t>
  </si>
  <si>
    <t>000000</t>
  </si>
  <si>
    <t>Operation Mode</t>
  </si>
  <si>
    <t>waitrequest</t>
  </si>
  <si>
    <t>polling</t>
  </si>
  <si>
    <t>C counter</t>
  </si>
  <si>
    <t>000101</t>
  </si>
  <si>
    <t>C0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</si>
  <si>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</si>
  <si>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</si>
  <si>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</si>
  <si>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</si>
  <si>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</si>
  <si>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</si>
  <si>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</si>
  <si>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</si>
  <si>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</si>
  <si>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</si>
  <si>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C13</t>
  </si>
  <si>
    <t>C14</t>
  </si>
  <si>
    <t>C15</t>
  </si>
  <si>
    <t>C16</t>
  </si>
  <si>
    <t>C17</t>
  </si>
  <si>
    <t>Parameter</t>
  </si>
  <si>
    <t>Dynamic Phase Shift</t>
  </si>
  <si>
    <t>000110</t>
  </si>
  <si>
    <t>Number of Shift</t>
  </si>
  <si>
    <t>Counter to be shifted</t>
  </si>
  <si>
    <t>Direction of Shift</t>
  </si>
  <si>
    <t>M Counter</t>
  </si>
  <si>
    <t>Positive</t>
  </si>
  <si>
    <t>Negative</t>
  </si>
  <si>
    <t>M Counter Fractional Value (K)</t>
  </si>
  <si>
    <t>000111</t>
  </si>
  <si>
    <t>Fractional Value</t>
  </si>
  <si>
    <t>Loop Filter Resistance</t>
  </si>
  <si>
    <t>(LF_R)</t>
  </si>
  <si>
    <t>001000</t>
  </si>
  <si>
    <t>Bandwidth Setting</t>
  </si>
  <si>
    <t>Low</t>
  </si>
  <si>
    <t>Medium</t>
  </si>
  <si>
    <t>High</t>
  </si>
  <si>
    <t>VCO post divider</t>
  </si>
  <si>
    <t>Charge Pump Current (CP)</t>
  </si>
  <si>
    <t>001001</t>
  </si>
  <si>
    <t>Feedback</t>
  </si>
  <si>
    <t>CP</t>
  </si>
  <si>
    <t>LF</t>
  </si>
  <si>
    <t>000</t>
  </si>
  <si>
    <t>010</t>
  </si>
  <si>
    <t>001</t>
  </si>
  <si>
    <t>0111</t>
  </si>
  <si>
    <t>0110</t>
  </si>
  <si>
    <t>0100</t>
  </si>
  <si>
    <t>0011</t>
  </si>
  <si>
    <t>0010</t>
  </si>
  <si>
    <t>011</t>
  </si>
  <si>
    <t>Binary Value</t>
  </si>
  <si>
    <t>Decimal Value</t>
  </si>
  <si>
    <t xml:space="preserve">User Input </t>
  </si>
  <si>
    <t>Fractional carry out</t>
  </si>
  <si>
    <t>PLL Mode</t>
  </si>
  <si>
    <t>Integer-N PLL</t>
  </si>
  <si>
    <t>Fractional-N PLL</t>
  </si>
  <si>
    <t>Segegrate</t>
  </si>
  <si>
    <t>Hex Value</t>
  </si>
  <si>
    <t>Required Value</t>
  </si>
  <si>
    <t>This tool will generate the binary or hex code values required to reconfigure the Factional PLL based on user's input.</t>
  </si>
  <si>
    <t>High/Low Count</t>
  </si>
  <si>
    <t>Yes/No</t>
  </si>
  <si>
    <t>Counter selection</t>
  </si>
  <si>
    <t>DPS counter</t>
  </si>
  <si>
    <t>DPS direction</t>
  </si>
  <si>
    <t>Bandwidth</t>
  </si>
  <si>
    <t>DSM-bit</t>
  </si>
  <si>
    <t>Post Div</t>
  </si>
  <si>
    <t>Value for Drop Down Menu</t>
  </si>
  <si>
    <t>All C Counters</t>
  </si>
  <si>
    <t>C7</t>
  </si>
  <si>
    <t>C12</t>
  </si>
  <si>
    <t xml:space="preserve">(Intermediate Value)Do  not Change the location </t>
  </si>
  <si>
    <t>Version:0.02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</si>
</sst>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1" fillId="2" borderId="2" xfId="0" quotePrefix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quotePrefix="1" applyFont="1" applyFill="1" applyBorder="1" applyAlignment="1">
      <alignment horizontal="center" vertical="top" wrapText="1"/>
    </xf>
    <xf numFmtId="0" fontId="2" fillId="4" borderId="1" xfId="0" quotePrefix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4" xfId="0" applyBorder="1"/>
    <xf numFmtId="0" fontId="0" fillId="0" borderId="5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5" borderId="4" xfId="0" applyFont="1" applyFill="1" applyBorder="1"/>
    <xf numFmtId="49" fontId="3" fillId="5" borderId="4" xfId="0" applyNumberFormat="1" applyFont="1" applyFill="1" applyBorder="1"/>
    <xf numFmtId="0" fontId="3" fillId="5" borderId="7" xfId="0" applyFont="1" applyFill="1" applyBorder="1"/>
    <xf numFmtId="0" fontId="0" fillId="0" borderId="10" xfId="0" applyBorder="1"/>
    <xf numFmtId="49" fontId="0" fillId="0" borderId="4" xfId="0" quotePrefix="1" applyNumberForma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49" fontId="0" fillId="0" borderId="10" xfId="0" applyNumberFormat="1" applyBorder="1"/>
    <xf numFmtId="49" fontId="0" fillId="0" borderId="5" xfId="0" applyNumberFormat="1" applyBorder="1"/>
    <xf numFmtId="0" fontId="0" fillId="2" borderId="4" xfId="0" applyFill="1" applyBorder="1"/>
    <xf numFmtId="0" fontId="0" fillId="2" borderId="10" xfId="0" applyFill="1" applyBorder="1"/>
    <xf numFmtId="49" fontId="0" fillId="0" borderId="7" xfId="0" quotePrefix="1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7" xfId="0" applyNumberFormat="1" applyBorder="1" applyAlignment="1">
      <alignment horizontal="center"/>
    </xf>
    <xf numFmtId="0" fontId="0" fillId="0" borderId="18" xfId="0" applyBorder="1"/>
    <xf numFmtId="49" fontId="0" fillId="0" borderId="6" xfId="0" applyNumberFormat="1" applyBorder="1"/>
    <xf numFmtId="0" fontId="0" fillId="0" borderId="0" xfId="0" applyProtection="1">
      <protection hidden="1"/>
    </xf>
    <xf numFmtId="0" fontId="3" fillId="5" borderId="0" xfId="0" applyFont="1" applyFill="1" applyProtection="1">
      <protection hidden="1"/>
    </xf>
    <xf numFmtId="0" fontId="3" fillId="5" borderId="8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3" fillId="5" borderId="4" xfId="0" applyFont="1" applyFill="1" applyBorder="1" applyAlignment="1" applyProtection="1">
      <alignment horizontal="center"/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13" xfId="0" applyFill="1" applyBorder="1" applyAlignment="1" applyProtection="1">
      <alignment horizontal="center"/>
      <protection locked="0"/>
    </xf>
    <xf numFmtId="0" fontId="0" fillId="6" borderId="19" xfId="0" applyFill="1" applyBorder="1" applyAlignment="1" applyProtection="1">
      <alignment horizontal="center"/>
      <protection locked="0"/>
    </xf>
    <xf numFmtId="0" fontId="4" fillId="6" borderId="12" xfId="0" applyFont="1" applyFill="1" applyBorder="1" applyAlignment="1" applyProtection="1">
      <alignment horizontal="center"/>
      <protection locked="0"/>
    </xf>
    <xf numFmtId="0" fontId="4" fillId="6" borderId="13" xfId="0" applyFont="1" applyFill="1" applyBorder="1" applyAlignment="1" applyProtection="1">
      <alignment horizontal="center"/>
      <protection locked="0"/>
    </xf>
    <xf numFmtId="0" fontId="4" fillId="6" borderId="14" xfId="0" applyFont="1" applyFill="1" applyBorder="1" applyAlignment="1" applyProtection="1">
      <alignment horizontal="center"/>
      <protection locked="0"/>
    </xf>
    <xf numFmtId="0" fontId="0" fillId="6" borderId="8" xfId="0" applyFill="1" applyBorder="1" applyAlignment="1" applyProtection="1">
      <alignment horizontal="center"/>
      <protection locked="0"/>
    </xf>
    <xf numFmtId="49" fontId="0" fillId="6" borderId="0" xfId="0" applyNumberFormat="1" applyFill="1" applyProtection="1">
      <protection locked="0"/>
    </xf>
    <xf numFmtId="0" fontId="0" fillId="7" borderId="6" xfId="0" applyFill="1" applyBorder="1"/>
    <xf numFmtId="0" fontId="0" fillId="7" borderId="10" xfId="0" applyFill="1" applyBorder="1" applyAlignment="1" applyProtection="1">
      <alignment horizontal="center"/>
      <protection locked="0"/>
    </xf>
    <xf numFmtId="0" fontId="0" fillId="7" borderId="9" xfId="0" applyFill="1" applyBorder="1"/>
    <xf numFmtId="0" fontId="0" fillId="7" borderId="5" xfId="0" applyFill="1" applyBorder="1" applyAlignment="1" applyProtection="1">
      <alignment horizontal="center"/>
      <protection locked="0"/>
    </xf>
    <xf numFmtId="0" fontId="3" fillId="5" borderId="2" xfId="0" applyFont="1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6" borderId="15" xfId="0" applyFill="1" applyBorder="1" applyAlignment="1" applyProtection="1">
      <alignment horizontal="center"/>
      <protection locked="0"/>
    </xf>
    <xf numFmtId="0" fontId="0" fillId="6" borderId="16" xfId="0" applyFill="1" applyBorder="1" applyAlignment="1" applyProtection="1">
      <alignment horizontal="center"/>
      <protection locked="0"/>
    </xf>
    <xf numFmtId="0" fontId="0" fillId="8" borderId="17" xfId="0" applyFill="1" applyBorder="1" applyAlignment="1" applyProtection="1">
      <alignment horizontal="center"/>
      <protection hidden="1"/>
    </xf>
    <xf numFmtId="0" fontId="0" fillId="9" borderId="7" xfId="0" applyFill="1" applyBorder="1"/>
    <xf numFmtId="0" fontId="0" fillId="9" borderId="8" xfId="0" applyFill="1" applyBorder="1" applyAlignment="1" applyProtection="1">
      <alignment horizontal="center"/>
      <protection hidden="1"/>
    </xf>
    <xf numFmtId="0" fontId="0" fillId="9" borderId="9" xfId="0" applyFill="1" applyBorder="1"/>
    <xf numFmtId="0" fontId="0" fillId="9" borderId="1" xfId="0" applyFill="1" applyBorder="1" applyAlignment="1" applyProtection="1">
      <alignment horizontal="center"/>
      <protection hidden="1"/>
    </xf>
    <xf numFmtId="0" fontId="0" fillId="9" borderId="6" xfId="0" applyFill="1" applyBorder="1"/>
    <xf numFmtId="0" fontId="0" fillId="9" borderId="11" xfId="0" applyFill="1" applyBorder="1" applyAlignment="1" applyProtection="1">
      <alignment horizontal="center"/>
      <protection hidden="1"/>
    </xf>
    <xf numFmtId="0" fontId="0" fillId="9" borderId="23" xfId="0" applyFill="1" applyBorder="1"/>
    <xf numFmtId="0" fontId="0" fillId="9" borderId="0" xfId="0" applyFill="1"/>
    <xf numFmtId="0" fontId="0" fillId="9" borderId="1" xfId="0" applyFill="1" applyBorder="1" applyProtection="1">
      <protection hidden="1"/>
    </xf>
    <xf numFmtId="0" fontId="0" fillId="0" borderId="0" xfId="0" applyAlignment="1">
      <alignment horizontal="center"/>
    </xf>
    <xf numFmtId="0" fontId="6" fillId="0" borderId="0" xfId="0" applyFont="1" applyProtection="1">
      <protection hidden="1"/>
    </xf>
    <xf numFmtId="0" fontId="0" fillId="6" borderId="4" xfId="0" applyFill="1" applyBorder="1" applyAlignment="1" applyProtection="1">
      <alignment horizontal="center" vertical="top"/>
      <protection locked="0"/>
    </xf>
    <xf numFmtId="0" fontId="0" fillId="6" borderId="10" xfId="0" applyFill="1" applyBorder="1" applyAlignment="1" applyProtection="1">
      <alignment horizontal="center" vertical="top"/>
      <protection locked="0"/>
    </xf>
    <xf numFmtId="0" fontId="0" fillId="6" borderId="13" xfId="0" applyFill="1" applyBorder="1" applyAlignment="1" applyProtection="1">
      <alignment horizontal="center" vertical="top"/>
      <protection locked="0"/>
    </xf>
    <xf numFmtId="0" fontId="0" fillId="6" borderId="19" xfId="0" applyFill="1" applyBorder="1" applyAlignment="1" applyProtection="1">
      <alignment horizontal="center" vertical="top"/>
      <protection locked="0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theme="0"/>
        </patternFill>
      </fill>
    </dxf>
    <dxf>
      <font>
        <condense val="0"/>
        <extend val="0"/>
        <color rgb="FF9C0006"/>
      </font>
      <fill>
        <patternFill>
          <bgColor theme="0"/>
        </patternFill>
      </fill>
    </dxf>
    <dxf>
      <font>
        <condense val="0"/>
        <extend val="0"/>
        <color rgb="FF9C0006"/>
      </font>
      <fill>
        <patternFill>
          <bgColor theme="0"/>
        </patternFill>
      </fill>
    </dxf>
    <dxf>
      <font>
        <condense val="0"/>
        <extend val="0"/>
        <color rgb="FF9C0006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fgColor theme="1"/>
          <bgColor theme="1"/>
        </patternFill>
      </fill>
    </dxf>
  </dxfs>
  <tableStyles count="0" defaultTableStyle="TableStyleMedium9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P262"/>
  <sheetViews>
    <sheetView showGridLines="0" tabSelected="1" topLeftCell="A9" zoomScale="115" zoomScaleNormal="115" workbookViewId="0">
      <selection activeCell="E13" sqref="E13"/>
    </sheetView>
  </sheetViews>
  <sheetFormatPr defaultRowHeight="14.4" x14ac:dyDescent="0.3"/>
  <cols>
    <col min="1" max="1" width="1.44140625" customWidth="1"/>
    <col min="2" max="2" width="28.5546875" bestFit="1" customWidth="1"/>
    <col min="3" max="3" width="15" style="13" customWidth="1"/>
    <col min="4" max="4" width="20.109375" bestFit="1" customWidth="1"/>
    <col min="5" max="5" width="13.5546875" style="40" customWidth="1"/>
    <col min="6" max="6" width="13.88671875" customWidth="1"/>
    <col min="7" max="7" width="37.6640625" style="37" bestFit="1" customWidth="1"/>
    <col min="8" max="30" width="9.109375" style="37" customWidth="1"/>
    <col min="31" max="41" width="9.109375" style="37" hidden="1" customWidth="1"/>
    <col min="42" max="42" width="12" style="37" hidden="1" customWidth="1"/>
    <col min="43" max="43" width="15.6640625" style="37" hidden="1" customWidth="1"/>
    <col min="44" max="44" width="15.33203125" style="37" hidden="1" customWidth="1"/>
    <col min="45" max="45" width="9.109375" style="37" hidden="1" customWidth="1"/>
    <col min="46" max="46" width="16.88671875" style="37" hidden="1" customWidth="1"/>
    <col min="47" max="47" width="11.6640625" style="37" hidden="1" customWidth="1"/>
    <col min="48" max="48" width="12.88671875" style="37" hidden="1" customWidth="1"/>
    <col min="49" max="49" width="10.5546875" style="37" hidden="1" customWidth="1"/>
    <col min="50" max="50" width="8.109375" style="37" hidden="1" customWidth="1"/>
    <col min="51" max="51" width="15.33203125" style="37" hidden="1" customWidth="1"/>
    <col min="52" max="68" width="9.109375" style="37" hidden="1" customWidth="1"/>
    <col min="69" max="74" width="0" hidden="1" customWidth="1"/>
  </cols>
  <sheetData>
    <row r="1" spans="2:68" x14ac:dyDescent="0.3">
      <c r="B1" t="s">
        <v>79</v>
      </c>
      <c r="H1" s="37" t="s">
        <v>93</v>
      </c>
    </row>
    <row r="4" spans="2:68" x14ac:dyDescent="0.3">
      <c r="B4" t="s">
        <v>73</v>
      </c>
      <c r="C4" s="49" t="s">
        <v>74</v>
      </c>
    </row>
    <row r="5" spans="2:68" ht="15" thickBot="1" x14ac:dyDescent="0.35"/>
    <row r="6" spans="2:68" ht="15" thickBot="1" x14ac:dyDescent="0.35">
      <c r="B6" s="18" t="s">
        <v>11</v>
      </c>
      <c r="C6" s="19" t="s">
        <v>8</v>
      </c>
      <c r="D6" s="18" t="s">
        <v>35</v>
      </c>
      <c r="E6" s="41" t="s">
        <v>71</v>
      </c>
      <c r="F6" s="20"/>
      <c r="G6" s="39" t="s">
        <v>78</v>
      </c>
      <c r="AS6" s="37" t="s">
        <v>88</v>
      </c>
      <c r="BI6" s="38"/>
      <c r="BJ6" s="38"/>
      <c r="BK6" s="38"/>
      <c r="BL6" s="38" t="s">
        <v>92</v>
      </c>
      <c r="BM6" s="38"/>
      <c r="BN6" s="38"/>
      <c r="BO6" s="38"/>
      <c r="BP6" s="38"/>
    </row>
    <row r="7" spans="2:68" x14ac:dyDescent="0.3">
      <c r="B7" s="14" t="s">
        <v>12</v>
      </c>
      <c r="C7" s="16" t="s">
        <v>13</v>
      </c>
      <c r="D7" s="14" t="s">
        <v>14</v>
      </c>
      <c r="E7" s="73" t="s">
        <v>16</v>
      </c>
      <c r="F7" s="62" t="s">
        <v>69</v>
      </c>
      <c r="G7" s="63">
        <f>BP7</f>
        <v>1</v>
      </c>
      <c r="AG7" s="37" t="s">
        <v>76</v>
      </c>
      <c r="AQ7" s="54" t="s">
        <v>14</v>
      </c>
      <c r="AR7" s="54" t="s">
        <v>80</v>
      </c>
      <c r="AS7" s="54" t="s">
        <v>81</v>
      </c>
      <c r="AT7" s="54" t="s">
        <v>82</v>
      </c>
      <c r="AU7" s="54" t="s">
        <v>83</v>
      </c>
      <c r="AV7" s="54" t="s">
        <v>84</v>
      </c>
      <c r="AW7" s="54" t="s">
        <v>85</v>
      </c>
      <c r="AX7" s="54" t="s">
        <v>86</v>
      </c>
      <c r="AY7" s="54" t="s">
        <v>73</v>
      </c>
      <c r="AZ7" s="54" t="s">
        <v>87</v>
      </c>
      <c r="BP7" s="37">
        <f>IF(E7="waitrequest",0,1)</f>
        <v>1</v>
      </c>
    </row>
    <row r="8" spans="2:68" ht="15" thickBot="1" x14ac:dyDescent="0.35">
      <c r="B8" s="15"/>
      <c r="C8" s="17"/>
      <c r="D8" s="21"/>
      <c r="E8" s="74"/>
      <c r="F8" s="64" t="s">
        <v>77</v>
      </c>
      <c r="G8" s="65" t="str">
        <f>BIN2HEX(G7)</f>
        <v>1</v>
      </c>
      <c r="AQ8" s="37" t="s">
        <v>15</v>
      </c>
      <c r="AR8" s="37">
        <v>1</v>
      </c>
      <c r="AS8" s="37" t="s">
        <v>4</v>
      </c>
      <c r="AT8" s="37" t="s">
        <v>19</v>
      </c>
      <c r="AU8" s="37" t="s">
        <v>19</v>
      </c>
      <c r="AV8" s="37" t="s">
        <v>42</v>
      </c>
      <c r="AW8" s="37" t="s">
        <v>51</v>
      </c>
      <c r="AX8" s="37">
        <v>8</v>
      </c>
      <c r="AY8" s="37" t="s">
        <v>74</v>
      </c>
      <c r="AZ8" s="37">
        <v>1</v>
      </c>
    </row>
    <row r="9" spans="2:68" x14ac:dyDescent="0.3">
      <c r="B9" s="14" t="s">
        <v>0</v>
      </c>
      <c r="C9" s="29" t="s">
        <v>9</v>
      </c>
      <c r="D9" s="31" t="s">
        <v>2</v>
      </c>
      <c r="E9" s="42">
        <v>4</v>
      </c>
      <c r="F9" s="62" t="s">
        <v>69</v>
      </c>
      <c r="G9" s="63" t="str">
        <f>BM9&amp;BN9&amp;BO9&amp;BP9</f>
        <v>100000010100000100</v>
      </c>
      <c r="AE9" s="37">
        <f>LEN(G9)</f>
        <v>18</v>
      </c>
      <c r="AG9" s="37" t="str">
        <f>MID(G9,1,2)</f>
        <v>10</v>
      </c>
      <c r="AH9" s="37" t="str">
        <f>MID(G9,3,4)</f>
        <v>0000</v>
      </c>
      <c r="AI9" s="37" t="str">
        <f>MID(G9,7,4)</f>
        <v>0101</v>
      </c>
      <c r="AJ9" s="37" t="str">
        <f>MID(G9,11,4)</f>
        <v>0000</v>
      </c>
      <c r="AK9" s="37" t="str">
        <f>MID(G9,15,4)</f>
        <v>0100</v>
      </c>
      <c r="AQ9" s="37" t="s">
        <v>16</v>
      </c>
      <c r="AR9" s="37">
        <v>2</v>
      </c>
      <c r="AS9" s="37" t="s">
        <v>5</v>
      </c>
      <c r="AT9" s="37" t="s">
        <v>20</v>
      </c>
      <c r="AU9" s="37" t="s">
        <v>20</v>
      </c>
      <c r="AV9" s="37" t="s">
        <v>43</v>
      </c>
      <c r="AW9" s="37" t="str">
        <f>IF(C4="Fractional-N PLL"," ","Medium")</f>
        <v>Medium</v>
      </c>
      <c r="AX9" s="37">
        <v>16</v>
      </c>
      <c r="AY9" s="37" t="s">
        <v>75</v>
      </c>
      <c r="AZ9" s="37">
        <f>IF(C4="Fractional-N PLL",1,2)</f>
        <v>2</v>
      </c>
      <c r="BM9" s="37">
        <f>IF(E12="Yes",1,0)</f>
        <v>1</v>
      </c>
      <c r="BN9" s="37">
        <f>IF(E11="Yes",1,0)</f>
        <v>0</v>
      </c>
      <c r="BO9" s="37" t="str">
        <f>DEC2BIN(E10,8)</f>
        <v>00000101</v>
      </c>
      <c r="BP9" s="37" t="str">
        <f>DEC2BIN(E9,8)</f>
        <v>00000100</v>
      </c>
    </row>
    <row r="10" spans="2:68" x14ac:dyDescent="0.3">
      <c r="B10" s="21"/>
      <c r="C10" s="30"/>
      <c r="D10" s="32" t="s">
        <v>1</v>
      </c>
      <c r="E10" s="43">
        <v>5</v>
      </c>
      <c r="F10" s="66" t="s">
        <v>77</v>
      </c>
      <c r="G10" s="67" t="str">
        <f>BIN2HEX(AG9)&amp;BIN2HEX(AH9)&amp;BIN2HEX(AI9)&amp;BIN2HEX(AJ9)&amp;BIN2HEX(AK9)</f>
        <v>20504</v>
      </c>
      <c r="AR10" s="37">
        <v>3</v>
      </c>
      <c r="AT10" s="37" t="s">
        <v>21</v>
      </c>
      <c r="AU10" s="37" t="s">
        <v>21</v>
      </c>
      <c r="AW10" s="37" t="str">
        <f>IF(C4="Fractional-N PLL"," ","High")</f>
        <v>High</v>
      </c>
      <c r="AX10" s="37">
        <v>24</v>
      </c>
    </row>
    <row r="11" spans="2:68" x14ac:dyDescent="0.3">
      <c r="B11" s="21"/>
      <c r="C11" s="30"/>
      <c r="D11" s="32" t="s">
        <v>3</v>
      </c>
      <c r="E11" s="43" t="s">
        <v>5</v>
      </c>
      <c r="F11" s="66"/>
      <c r="G11" s="67"/>
      <c r="AR11" s="37">
        <v>4</v>
      </c>
      <c r="AT11" s="37" t="s">
        <v>22</v>
      </c>
      <c r="AU11" s="37" t="s">
        <v>22</v>
      </c>
      <c r="AX11" s="37">
        <v>32</v>
      </c>
    </row>
    <row r="12" spans="2:68" ht="15" thickBot="1" x14ac:dyDescent="0.35">
      <c r="B12" s="21"/>
      <c r="C12" s="30"/>
      <c r="D12" s="35" t="s">
        <v>6</v>
      </c>
      <c r="E12" s="44" t="s">
        <v>4</v>
      </c>
      <c r="F12" s="66"/>
      <c r="G12" s="67"/>
      <c r="AR12" s="37">
        <v>5</v>
      </c>
      <c r="AT12" s="37" t="s">
        <v>23</v>
      </c>
      <c r="AU12" s="37" t="s">
        <v>23</v>
      </c>
    </row>
    <row r="13" spans="2:68" x14ac:dyDescent="0.3">
      <c r="B13" s="14" t="s">
        <v>7</v>
      </c>
      <c r="C13" s="34" t="s">
        <v>10</v>
      </c>
      <c r="D13" s="31" t="s">
        <v>2</v>
      </c>
      <c r="E13" s="42">
        <v>193</v>
      </c>
      <c r="F13" s="62" t="s">
        <v>69</v>
      </c>
      <c r="G13" s="63" t="str">
        <f>BM13&amp;BN13&amp;BO13&amp;BP13</f>
        <v>000000000111000001</v>
      </c>
      <c r="AE13" s="37">
        <f>LEN(G13)</f>
        <v>18</v>
      </c>
      <c r="AG13" s="37" t="str">
        <f>MID(G13,1,2)</f>
        <v>00</v>
      </c>
      <c r="AH13" s="37" t="str">
        <f>MID(G13,3,4)</f>
        <v>0000</v>
      </c>
      <c r="AI13" s="37" t="str">
        <f>MID(G13,7,4)</f>
        <v>0001</v>
      </c>
      <c r="AJ13" s="37" t="str">
        <f>MID(G13,11,4)</f>
        <v>1100</v>
      </c>
      <c r="AK13" s="37" t="str">
        <f>MID(G13,15,4)</f>
        <v>0001</v>
      </c>
      <c r="AR13" s="37">
        <v>6</v>
      </c>
      <c r="AT13" s="37" t="s">
        <v>24</v>
      </c>
      <c r="AU13" s="37" t="s">
        <v>24</v>
      </c>
      <c r="BM13" s="37">
        <f>IF(E16="Yes",1,0)</f>
        <v>0</v>
      </c>
      <c r="BN13" s="37">
        <f>IF(E15="Yes",1,0)</f>
        <v>0</v>
      </c>
      <c r="BO13" s="37" t="str">
        <f>DEC2BIN(E14,8)</f>
        <v>00000001</v>
      </c>
      <c r="BP13" s="37" t="str">
        <f>DEC2BIN(E13,8)</f>
        <v>11000001</v>
      </c>
    </row>
    <row r="14" spans="2:68" x14ac:dyDescent="0.3">
      <c r="B14" s="21"/>
      <c r="C14" s="30"/>
      <c r="D14" s="32" t="s">
        <v>1</v>
      </c>
      <c r="E14" s="43">
        <v>1</v>
      </c>
      <c r="F14" s="66" t="s">
        <v>77</v>
      </c>
      <c r="G14" s="67" t="str">
        <f>BIN2HEX(AG13)&amp;BIN2HEX(AH13)&amp;BIN2HEX(AI13)&amp;BIN2HEX(AJ13)&amp;BIN2HEX(AK13)</f>
        <v>001C1</v>
      </c>
      <c r="AR14" s="37">
        <v>7</v>
      </c>
      <c r="AT14" s="37" t="s">
        <v>25</v>
      </c>
      <c r="AU14" s="37" t="s">
        <v>25</v>
      </c>
    </row>
    <row r="15" spans="2:68" x14ac:dyDescent="0.3">
      <c r="B15" s="21"/>
      <c r="C15" s="30"/>
      <c r="D15" s="32" t="s">
        <v>3</v>
      </c>
      <c r="E15" s="43" t="s">
        <v>5</v>
      </c>
      <c r="F15" s="66"/>
      <c r="G15" s="67"/>
      <c r="AR15" s="37">
        <v>8</v>
      </c>
      <c r="AT15" s="37" t="s">
        <v>90</v>
      </c>
      <c r="AU15" s="37" t="s">
        <v>90</v>
      </c>
    </row>
    <row r="16" spans="2:68" ht="15" thickBot="1" x14ac:dyDescent="0.35">
      <c r="B16" s="21"/>
      <c r="C16" s="30"/>
      <c r="D16" s="35" t="s">
        <v>6</v>
      </c>
      <c r="E16" s="44" t="s">
        <v>5</v>
      </c>
      <c r="F16" s="66"/>
      <c r="G16" s="67"/>
      <c r="AR16" s="37">
        <v>9</v>
      </c>
      <c r="AT16" s="37" t="s">
        <v>26</v>
      </c>
      <c r="AU16" s="37" t="s">
        <v>26</v>
      </c>
    </row>
    <row r="17" spans="2:68" x14ac:dyDescent="0.3">
      <c r="B17" s="14" t="s">
        <v>17</v>
      </c>
      <c r="C17" s="29" t="s">
        <v>18</v>
      </c>
      <c r="D17" s="31" t="s">
        <v>2</v>
      </c>
      <c r="E17" s="42">
        <v>253</v>
      </c>
      <c r="F17" s="62" t="s">
        <v>69</v>
      </c>
      <c r="G17" s="63" t="str">
        <f>BL17&amp;BM17&amp;BN17&amp;BO17&amp;BP17</f>
        <v>00001101001100111111101</v>
      </c>
      <c r="AE17" s="37">
        <f>LEN(G17)</f>
        <v>23</v>
      </c>
      <c r="AG17" s="37" t="str">
        <f>MID(G17,1,3)</f>
        <v>000</v>
      </c>
      <c r="AH17" s="37" t="str">
        <f>MID(G17,4,4)</f>
        <v>0110</v>
      </c>
      <c r="AI17" s="37" t="str">
        <f>MID(G17,8,4)</f>
        <v>1001</v>
      </c>
      <c r="AJ17" s="37" t="str">
        <f>MID(G17,12,4)</f>
        <v>1001</v>
      </c>
      <c r="AK17" s="37" t="str">
        <f>MID(G17,16,4)</f>
        <v>1111</v>
      </c>
      <c r="AL17" s="37" t="str">
        <f>MID(G17,20,4)</f>
        <v>1101</v>
      </c>
      <c r="AR17" s="37">
        <v>10</v>
      </c>
      <c r="AT17" s="37" t="s">
        <v>27</v>
      </c>
      <c r="AU17" s="37" t="s">
        <v>27</v>
      </c>
      <c r="BL17" s="37" t="str">
        <f>DEC2BIN((RIGHT(E21,(LEN(E21)-1))),5)</f>
        <v>00001</v>
      </c>
      <c r="BM17" s="37">
        <f>IF(E20="yes",1,0)</f>
        <v>1</v>
      </c>
      <c r="BN17" s="37">
        <f>IF(E19="Yes",1,0)</f>
        <v>0</v>
      </c>
      <c r="BO17" s="37" t="str">
        <f>DEC2BIN(E18,8)</f>
        <v>10011001</v>
      </c>
      <c r="BP17" s="37" t="str">
        <f>DEC2BIN(E17,8)</f>
        <v>11111101</v>
      </c>
    </row>
    <row r="18" spans="2:68" x14ac:dyDescent="0.3">
      <c r="B18" s="21"/>
      <c r="C18" s="30"/>
      <c r="D18" s="32" t="s">
        <v>1</v>
      </c>
      <c r="E18" s="43">
        <v>153</v>
      </c>
      <c r="F18" s="66" t="s">
        <v>77</v>
      </c>
      <c r="G18" s="67" t="str">
        <f>BIN2HEX(AG17)&amp;BIN2HEX(AH17)&amp;BIN2HEX(AI17)&amp;BIN2HEX(AJ17)&amp;BIN2HEX(AK17)&amp;BIN2HEX(AL17)</f>
        <v>0699FD</v>
      </c>
      <c r="AR18" s="37">
        <v>11</v>
      </c>
      <c r="AT18" s="37" t="s">
        <v>28</v>
      </c>
      <c r="AU18" s="37" t="s">
        <v>28</v>
      </c>
    </row>
    <row r="19" spans="2:68" x14ac:dyDescent="0.3">
      <c r="B19" s="21"/>
      <c r="C19" s="30"/>
      <c r="D19" s="32" t="s">
        <v>3</v>
      </c>
      <c r="E19" s="43" t="s">
        <v>5</v>
      </c>
      <c r="F19" s="66"/>
      <c r="G19" s="67"/>
      <c r="AR19" s="37">
        <v>12</v>
      </c>
      <c r="AT19" s="37" t="s">
        <v>29</v>
      </c>
      <c r="AU19" s="37" t="s">
        <v>29</v>
      </c>
    </row>
    <row r="20" spans="2:68" x14ac:dyDescent="0.3">
      <c r="B20" s="21"/>
      <c r="C20" s="30"/>
      <c r="D20" s="32" t="s">
        <v>6</v>
      </c>
      <c r="E20" s="43" t="s">
        <v>4</v>
      </c>
      <c r="F20" s="66"/>
      <c r="G20" s="67"/>
      <c r="AR20" s="37">
        <v>13</v>
      </c>
      <c r="AT20" s="37" t="s">
        <v>91</v>
      </c>
      <c r="AU20" s="37" t="s">
        <v>91</v>
      </c>
    </row>
    <row r="21" spans="2:68" ht="15" thickBot="1" x14ac:dyDescent="0.35">
      <c r="B21" s="21"/>
      <c r="C21" s="30"/>
      <c r="D21" s="35" t="s">
        <v>17</v>
      </c>
      <c r="E21" s="44" t="s">
        <v>20</v>
      </c>
      <c r="F21" s="66"/>
      <c r="G21" s="67"/>
      <c r="AR21" s="37">
        <v>14</v>
      </c>
      <c r="AT21" s="37" t="s">
        <v>30</v>
      </c>
      <c r="AU21" s="37" t="s">
        <v>30</v>
      </c>
    </row>
    <row r="22" spans="2:68" ht="15.6" x14ac:dyDescent="0.3">
      <c r="B22" s="14" t="s">
        <v>36</v>
      </c>
      <c r="C22" s="29" t="s">
        <v>37</v>
      </c>
      <c r="D22" s="31" t="s">
        <v>38</v>
      </c>
      <c r="E22" s="45">
        <v>1</v>
      </c>
      <c r="F22" s="62" t="s">
        <v>69</v>
      </c>
      <c r="G22" s="63" t="str">
        <f xml:space="preserve"> BL22&amp;BM22&amp;BN22&amp;BO22</f>
        <v>1000000000000000000001</v>
      </c>
      <c r="AE22" s="37">
        <f>LEN(G22)</f>
        <v>22</v>
      </c>
      <c r="AG22" s="37" t="str">
        <f>MID(G22,1,2)</f>
        <v>10</v>
      </c>
      <c r="AH22" s="37" t="str">
        <f>MID(G22,3,4)</f>
        <v>0000</v>
      </c>
      <c r="AI22" s="37" t="str">
        <f>MID(G22,7,4)</f>
        <v>0000</v>
      </c>
      <c r="AJ22" s="37" t="str">
        <f>MID(G22,11,4)</f>
        <v>0000</v>
      </c>
      <c r="AK22" s="37" t="str">
        <f>MID(G22,15,4)</f>
        <v>0000</v>
      </c>
      <c r="AL22" s="37" t="str">
        <f>MID(G22,19,4)</f>
        <v>0001</v>
      </c>
      <c r="AR22" s="37">
        <v>15</v>
      </c>
      <c r="AT22" s="37" t="s">
        <v>31</v>
      </c>
      <c r="AU22" s="37" t="s">
        <v>31</v>
      </c>
      <c r="BL22" s="37">
        <f>IF(E24="Positive",1,0)</f>
        <v>1</v>
      </c>
      <c r="BM22" s="37" t="str">
        <f>IF(LEN(E23)&lt;8,DEC2BIN(RIGHT((E23),LEN(E23)-1),5),IF(E23="All C Counters",11111,IF(E23="M Counter",10010,0)))</f>
        <v>00000</v>
      </c>
      <c r="BN22" s="37" t="str">
        <f>DEC2BIN(INT(E22/256),8)&amp;DEC2BIN(MOD(E22,256),8)</f>
        <v>0000000000000001</v>
      </c>
    </row>
    <row r="23" spans="2:68" ht="15.6" x14ac:dyDescent="0.3">
      <c r="B23" s="21"/>
      <c r="C23" s="30"/>
      <c r="D23" s="32" t="s">
        <v>39</v>
      </c>
      <c r="E23" s="46" t="s">
        <v>19</v>
      </c>
      <c r="F23" s="66" t="s">
        <v>77</v>
      </c>
      <c r="G23" s="67" t="str">
        <f>BIN2HEX(AG22)&amp;BIN2HEX(AH22)&amp;BIN2HEX(AI22)&amp;BIN2HEX(AJ22)&amp;BIN2HEX(AK22)&amp;BIN2HEX(AL22)</f>
        <v>200001</v>
      </c>
      <c r="AR23" s="37">
        <v>16</v>
      </c>
      <c r="AT23" s="37" t="s">
        <v>32</v>
      </c>
      <c r="AU23" s="37" t="s">
        <v>32</v>
      </c>
      <c r="AZ23" s="55"/>
      <c r="BA23" s="55"/>
    </row>
    <row r="24" spans="2:68" ht="16.2" thickBot="1" x14ac:dyDescent="0.35">
      <c r="B24" s="21"/>
      <c r="C24" s="30"/>
      <c r="D24" s="33" t="s">
        <v>40</v>
      </c>
      <c r="E24" s="47" t="s">
        <v>42</v>
      </c>
      <c r="F24" s="66"/>
      <c r="G24" s="67"/>
      <c r="AR24" s="37">
        <v>17</v>
      </c>
      <c r="AT24" s="37" t="s">
        <v>33</v>
      </c>
      <c r="AU24" s="37" t="s">
        <v>33</v>
      </c>
      <c r="AZ24" s="55"/>
      <c r="BA24" s="55"/>
    </row>
    <row r="25" spans="2:68" x14ac:dyDescent="0.3">
      <c r="B25" s="23" t="s">
        <v>44</v>
      </c>
      <c r="C25" s="29" t="s">
        <v>45</v>
      </c>
      <c r="D25" s="14" t="s">
        <v>72</v>
      </c>
      <c r="E25" s="48">
        <v>8</v>
      </c>
      <c r="F25" s="62" t="s">
        <v>70</v>
      </c>
      <c r="G25" s="63">
        <f>INT(E26*2^E25)</f>
        <v>128</v>
      </c>
      <c r="AR25" s="37">
        <v>18</v>
      </c>
      <c r="AT25" s="37" t="s">
        <v>34</v>
      </c>
      <c r="AU25" s="37" t="s">
        <v>34</v>
      </c>
      <c r="AZ25" s="55"/>
      <c r="BA25" s="55"/>
    </row>
    <row r="26" spans="2:68" x14ac:dyDescent="0.3">
      <c r="B26" s="24"/>
      <c r="C26" s="36"/>
      <c r="D26" s="77" t="s">
        <v>46</v>
      </c>
      <c r="E26" s="75">
        <v>0.5</v>
      </c>
      <c r="F26" s="66" t="s">
        <v>69</v>
      </c>
      <c r="G26" s="67" t="str">
        <f>DEC2BIN(G25/256^3,8)&amp;DEC2BIN(MOD(G25/256^2,256),8)&amp;DEC2BIN(MOD(G25/256,256),8)&amp;DEC2BIN(MOD(G25,256),8)</f>
        <v>00000000000000000000000010000000</v>
      </c>
      <c r="AE26" s="37">
        <f>LEN(G26)</f>
        <v>32</v>
      </c>
      <c r="AG26" s="37" t="str">
        <f>MID(G26,1,4)</f>
        <v>0000</v>
      </c>
      <c r="AH26" s="37" t="str">
        <f>MID(G26,5,4)</f>
        <v>0000</v>
      </c>
      <c r="AI26" s="37" t="str">
        <f>MID(G26,9,4)</f>
        <v>0000</v>
      </c>
      <c r="AJ26" s="37" t="str">
        <f>MID(G26,13,4)</f>
        <v>0000</v>
      </c>
      <c r="AK26" s="37" t="str">
        <f>MID(G26,17,4)</f>
        <v>0000</v>
      </c>
      <c r="AL26" s="37" t="str">
        <f>MID(G26,21,4)</f>
        <v>0000</v>
      </c>
      <c r="AM26" s="37" t="str">
        <f>MID(G26,25,4)</f>
        <v>1000</v>
      </c>
      <c r="AN26" s="37" t="str">
        <f>MID(G26,29,4)</f>
        <v>0000</v>
      </c>
      <c r="AR26" s="37">
        <v>19</v>
      </c>
      <c r="AU26" s="37" t="s">
        <v>89</v>
      </c>
      <c r="AZ26" s="55"/>
      <c r="BA26" s="55"/>
    </row>
    <row r="27" spans="2:68" ht="15" thickBot="1" x14ac:dyDescent="0.35">
      <c r="B27" s="21"/>
      <c r="C27" s="36"/>
      <c r="D27" s="78"/>
      <c r="E27" s="76"/>
      <c r="F27" s="66" t="s">
        <v>77</v>
      </c>
      <c r="G27" s="67" t="str">
        <f>BIN2HEX(AG26)&amp;BIN2HEX(AH26)&amp;BIN2HEX(AI26)&amp;BIN2HEX(AJ26)&amp;BIN2HEX(AK26)&amp;BIN2HEX(AL26)&amp;BIN2HEX(AM26)&amp;BIN2HEX(AN26)</f>
        <v>00000080</v>
      </c>
      <c r="AR27" s="37">
        <v>20</v>
      </c>
      <c r="AU27" s="37" t="s">
        <v>41</v>
      </c>
      <c r="AZ27" s="55"/>
      <c r="BA27" s="55"/>
    </row>
    <row r="28" spans="2:68" x14ac:dyDescent="0.3">
      <c r="B28" s="27" t="s">
        <v>47</v>
      </c>
      <c r="C28" s="29" t="s">
        <v>49</v>
      </c>
      <c r="D28" s="56" t="s">
        <v>50</v>
      </c>
      <c r="E28" s="59" t="s">
        <v>52</v>
      </c>
      <c r="F28" s="68" t="s">
        <v>69</v>
      </c>
      <c r="G28" s="63" t="str">
        <f>IF(E28="Low",VLOOKUP((E30)*E29,Sheet2!A2:C10,3),IF(E28="Medium",VLOOKUP((E30)*E29,Sheet2!A13:C21,3),VLOOKUP((E30)*E29,Sheet2!A24:C32,3)))</f>
        <v>0010</v>
      </c>
      <c r="AR28" s="37">
        <v>21</v>
      </c>
    </row>
    <row r="29" spans="2:68" x14ac:dyDescent="0.3">
      <c r="B29" s="28" t="s">
        <v>48</v>
      </c>
      <c r="C29" s="36"/>
      <c r="D29" s="57" t="s">
        <v>54</v>
      </c>
      <c r="E29" s="60">
        <v>1</v>
      </c>
      <c r="F29" s="69" t="s">
        <v>77</v>
      </c>
      <c r="G29" s="67" t="str">
        <f>BIN2HEX(G28)</f>
        <v>2</v>
      </c>
      <c r="AR29" s="37">
        <v>22</v>
      </c>
    </row>
    <row r="30" spans="2:68" ht="15" thickBot="1" x14ac:dyDescent="0.35">
      <c r="B30" s="28"/>
      <c r="C30" s="36"/>
      <c r="D30" s="58" t="s">
        <v>41</v>
      </c>
      <c r="E30" s="61">
        <f>IF(E15="Yes",1,E13+E14)</f>
        <v>194</v>
      </c>
      <c r="F30" s="69"/>
      <c r="G30" s="67"/>
      <c r="AR30" s="37">
        <v>23</v>
      </c>
    </row>
    <row r="31" spans="2:68" x14ac:dyDescent="0.3">
      <c r="B31" s="14" t="s">
        <v>55</v>
      </c>
      <c r="C31" s="22" t="s">
        <v>56</v>
      </c>
      <c r="D31" s="50"/>
      <c r="E31" s="51"/>
      <c r="F31" s="62" t="s">
        <v>69</v>
      </c>
      <c r="G31" s="63" t="str">
        <f>IF(E28="Low",VLOOKUP((E30)*E29,Sheet2!A2:C10,2),IF(E28="Medium",VLOOKUP((E30)*E29,Sheet2!A13:C21,2),VLOOKUP((E30)*E29,Sheet2!A24:C32,2)))</f>
        <v>010</v>
      </c>
      <c r="AR31" s="37">
        <v>24</v>
      </c>
    </row>
    <row r="32" spans="2:68" x14ac:dyDescent="0.3">
      <c r="B32" s="21"/>
      <c r="C32" s="25"/>
      <c r="D32" s="50"/>
      <c r="E32" s="51"/>
      <c r="F32" s="66" t="s">
        <v>77</v>
      </c>
      <c r="G32" s="67" t="str">
        <f>BIN2HEX(G31)</f>
        <v>2</v>
      </c>
      <c r="AR32" s="37">
        <v>25</v>
      </c>
    </row>
    <row r="33" spans="2:44" ht="15" thickBot="1" x14ac:dyDescent="0.35">
      <c r="B33" s="15"/>
      <c r="C33" s="26"/>
      <c r="D33" s="52"/>
      <c r="E33" s="53"/>
      <c r="F33" s="64"/>
      <c r="G33" s="70"/>
      <c r="AR33" s="37">
        <v>26</v>
      </c>
    </row>
    <row r="34" spans="2:44" x14ac:dyDescent="0.3">
      <c r="AR34" s="37">
        <v>27</v>
      </c>
    </row>
    <row r="35" spans="2:44" x14ac:dyDescent="0.3">
      <c r="AR35" s="37">
        <v>28</v>
      </c>
    </row>
    <row r="36" spans="2:44" x14ac:dyDescent="0.3">
      <c r="B36" s="37"/>
      <c r="E36" s="71"/>
      <c r="AR36" s="37">
        <v>29</v>
      </c>
    </row>
    <row r="37" spans="2:44" ht="23.4" x14ac:dyDescent="0.45">
      <c r="B37" s="72" t="str">
        <f>IF(AND(C4="Fractional-N PLL",E29= 2),"ERROR:VCO post divider must be set to 1 in Fractional-N PLL Mode","")</f>
        <v/>
      </c>
      <c r="E37" s="71"/>
      <c r="AR37" s="37">
        <v>30</v>
      </c>
    </row>
    <row r="38" spans="2:44" ht="23.4" x14ac:dyDescent="0.45">
      <c r="B38" s="72" t="str">
        <f>IF(AND(E29=1,E30= 1),"ERROR:M=1 is not supported when VCO post divider=1. Increase M or VCO post divider","")</f>
        <v/>
      </c>
      <c r="E38" s="71"/>
      <c r="AR38" s="37">
        <v>31</v>
      </c>
    </row>
    <row r="39" spans="2:44" ht="23.4" x14ac:dyDescent="0.45">
      <c r="B39" s="72" t="str">
        <f>IF(AND(C4="Fractional-N PLL",E28&lt;&gt;"Low"),"ERROR:Use only Low Bandwidth Setting in Fractional-N PLL Mode","")</f>
        <v/>
      </c>
      <c r="E39" s="71"/>
      <c r="F39" s="37"/>
      <c r="N39"/>
      <c r="AR39" s="37">
        <v>32</v>
      </c>
    </row>
    <row r="40" spans="2:44" x14ac:dyDescent="0.3">
      <c r="E40" s="71"/>
      <c r="F40" s="37"/>
      <c r="N40"/>
      <c r="AR40" s="37">
        <v>33</v>
      </c>
    </row>
    <row r="41" spans="2:44" x14ac:dyDescent="0.3">
      <c r="AR41" s="37">
        <v>34</v>
      </c>
    </row>
    <row r="42" spans="2:44" x14ac:dyDescent="0.3">
      <c r="AR42" s="37">
        <v>35</v>
      </c>
    </row>
    <row r="43" spans="2:44" x14ac:dyDescent="0.3">
      <c r="AR43" s="37">
        <v>36</v>
      </c>
    </row>
    <row r="44" spans="2:44" x14ac:dyDescent="0.3">
      <c r="AR44" s="37">
        <v>37</v>
      </c>
    </row>
    <row r="45" spans="2:44" x14ac:dyDescent="0.3">
      <c r="AR45" s="37">
        <v>38</v>
      </c>
    </row>
    <row r="46" spans="2:44" x14ac:dyDescent="0.3">
      <c r="AR46" s="37">
        <v>39</v>
      </c>
    </row>
    <row r="47" spans="2:44" x14ac:dyDescent="0.3">
      <c r="AR47" s="37">
        <v>40</v>
      </c>
    </row>
    <row r="48" spans="2:44" x14ac:dyDescent="0.3">
      <c r="AR48" s="37">
        <v>41</v>
      </c>
    </row>
    <row r="49" spans="44:44" x14ac:dyDescent="0.3">
      <c r="AR49" s="37">
        <v>42</v>
      </c>
    </row>
    <row r="50" spans="44:44" x14ac:dyDescent="0.3">
      <c r="AR50" s="37">
        <v>43</v>
      </c>
    </row>
    <row r="51" spans="44:44" x14ac:dyDescent="0.3">
      <c r="AR51" s="37">
        <v>44</v>
      </c>
    </row>
    <row r="52" spans="44:44" x14ac:dyDescent="0.3">
      <c r="AR52" s="37">
        <v>45</v>
      </c>
    </row>
    <row r="53" spans="44:44" x14ac:dyDescent="0.3">
      <c r="AR53" s="37">
        <v>46</v>
      </c>
    </row>
    <row r="54" spans="44:44" x14ac:dyDescent="0.3">
      <c r="AR54" s="37">
        <v>47</v>
      </c>
    </row>
    <row r="55" spans="44:44" x14ac:dyDescent="0.3">
      <c r="AR55" s="37">
        <v>48</v>
      </c>
    </row>
    <row r="56" spans="44:44" x14ac:dyDescent="0.3">
      <c r="AR56" s="37">
        <v>49</v>
      </c>
    </row>
    <row r="57" spans="44:44" x14ac:dyDescent="0.3">
      <c r="AR57" s="37">
        <v>50</v>
      </c>
    </row>
    <row r="58" spans="44:44" x14ac:dyDescent="0.3">
      <c r="AR58" s="37">
        <v>51</v>
      </c>
    </row>
    <row r="59" spans="44:44" x14ac:dyDescent="0.3">
      <c r="AR59" s="37">
        <v>52</v>
      </c>
    </row>
    <row r="60" spans="44:44" x14ac:dyDescent="0.3">
      <c r="AR60" s="37">
        <v>53</v>
      </c>
    </row>
    <row r="61" spans="44:44" x14ac:dyDescent="0.3">
      <c r="AR61" s="37">
        <v>54</v>
      </c>
    </row>
    <row r="62" spans="44:44" x14ac:dyDescent="0.3">
      <c r="AR62" s="37">
        <v>55</v>
      </c>
    </row>
    <row r="63" spans="44:44" x14ac:dyDescent="0.3">
      <c r="AR63" s="37">
        <v>56</v>
      </c>
    </row>
    <row r="64" spans="44:44" x14ac:dyDescent="0.3">
      <c r="AR64" s="37">
        <v>57</v>
      </c>
    </row>
    <row r="65" spans="44:44" x14ac:dyDescent="0.3">
      <c r="AR65" s="37">
        <v>58</v>
      </c>
    </row>
    <row r="66" spans="44:44" x14ac:dyDescent="0.3">
      <c r="AR66" s="37">
        <v>59</v>
      </c>
    </row>
    <row r="67" spans="44:44" x14ac:dyDescent="0.3">
      <c r="AR67" s="37">
        <v>60</v>
      </c>
    </row>
    <row r="68" spans="44:44" x14ac:dyDescent="0.3">
      <c r="AR68" s="37">
        <v>61</v>
      </c>
    </row>
    <row r="69" spans="44:44" x14ac:dyDescent="0.3">
      <c r="AR69" s="37">
        <v>62</v>
      </c>
    </row>
    <row r="70" spans="44:44" x14ac:dyDescent="0.3">
      <c r="AR70" s="37">
        <v>63</v>
      </c>
    </row>
    <row r="71" spans="44:44" x14ac:dyDescent="0.3">
      <c r="AR71" s="37">
        <v>64</v>
      </c>
    </row>
    <row r="72" spans="44:44" x14ac:dyDescent="0.3">
      <c r="AR72" s="37">
        <v>65</v>
      </c>
    </row>
    <row r="73" spans="44:44" x14ac:dyDescent="0.3">
      <c r="AR73" s="37">
        <v>66</v>
      </c>
    </row>
    <row r="74" spans="44:44" x14ac:dyDescent="0.3">
      <c r="AR74" s="37">
        <v>67</v>
      </c>
    </row>
    <row r="75" spans="44:44" x14ac:dyDescent="0.3">
      <c r="AR75" s="37">
        <v>68</v>
      </c>
    </row>
    <row r="76" spans="44:44" x14ac:dyDescent="0.3">
      <c r="AR76" s="37">
        <v>69</v>
      </c>
    </row>
    <row r="77" spans="44:44" x14ac:dyDescent="0.3">
      <c r="AR77" s="37">
        <v>70</v>
      </c>
    </row>
    <row r="78" spans="44:44" x14ac:dyDescent="0.3">
      <c r="AR78" s="37">
        <v>71</v>
      </c>
    </row>
    <row r="79" spans="44:44" x14ac:dyDescent="0.3">
      <c r="AR79" s="37">
        <v>72</v>
      </c>
    </row>
    <row r="80" spans="44:44" x14ac:dyDescent="0.3">
      <c r="AR80" s="37">
        <v>73</v>
      </c>
    </row>
    <row r="81" spans="44:44" x14ac:dyDescent="0.3">
      <c r="AR81" s="37">
        <v>74</v>
      </c>
    </row>
    <row r="82" spans="44:44" x14ac:dyDescent="0.3">
      <c r="AR82" s="37">
        <v>75</v>
      </c>
    </row>
    <row r="83" spans="44:44" x14ac:dyDescent="0.3">
      <c r="AR83" s="37">
        <v>76</v>
      </c>
    </row>
    <row r="84" spans="44:44" x14ac:dyDescent="0.3">
      <c r="AR84" s="37">
        <v>77</v>
      </c>
    </row>
    <row r="85" spans="44:44" x14ac:dyDescent="0.3">
      <c r="AR85" s="37">
        <v>78</v>
      </c>
    </row>
    <row r="86" spans="44:44" x14ac:dyDescent="0.3">
      <c r="AR86" s="37">
        <v>79</v>
      </c>
    </row>
    <row r="87" spans="44:44" x14ac:dyDescent="0.3">
      <c r="AR87" s="37">
        <v>80</v>
      </c>
    </row>
    <row r="88" spans="44:44" x14ac:dyDescent="0.3">
      <c r="AR88" s="37">
        <v>81</v>
      </c>
    </row>
    <row r="89" spans="44:44" x14ac:dyDescent="0.3">
      <c r="AR89" s="37">
        <v>82</v>
      </c>
    </row>
    <row r="90" spans="44:44" x14ac:dyDescent="0.3">
      <c r="AR90" s="37">
        <v>83</v>
      </c>
    </row>
    <row r="91" spans="44:44" x14ac:dyDescent="0.3">
      <c r="AR91" s="37">
        <v>84</v>
      </c>
    </row>
    <row r="92" spans="44:44" x14ac:dyDescent="0.3">
      <c r="AR92" s="37">
        <v>85</v>
      </c>
    </row>
    <row r="93" spans="44:44" x14ac:dyDescent="0.3">
      <c r="AR93" s="37">
        <v>86</v>
      </c>
    </row>
    <row r="94" spans="44:44" x14ac:dyDescent="0.3">
      <c r="AR94" s="37">
        <v>87</v>
      </c>
    </row>
    <row r="95" spans="44:44" x14ac:dyDescent="0.3">
      <c r="AR95" s="37">
        <v>88</v>
      </c>
    </row>
    <row r="96" spans="44:44" x14ac:dyDescent="0.3">
      <c r="AR96" s="37">
        <v>89</v>
      </c>
    </row>
    <row r="97" spans="44:44" x14ac:dyDescent="0.3">
      <c r="AR97" s="37">
        <v>90</v>
      </c>
    </row>
    <row r="98" spans="44:44" x14ac:dyDescent="0.3">
      <c r="AR98" s="37">
        <v>91</v>
      </c>
    </row>
    <row r="99" spans="44:44" x14ac:dyDescent="0.3">
      <c r="AR99" s="37">
        <v>92</v>
      </c>
    </row>
    <row r="100" spans="44:44" x14ac:dyDescent="0.3">
      <c r="AR100" s="37">
        <v>93</v>
      </c>
    </row>
    <row r="101" spans="44:44" x14ac:dyDescent="0.3">
      <c r="AR101" s="37">
        <v>94</v>
      </c>
    </row>
    <row r="102" spans="44:44" x14ac:dyDescent="0.3">
      <c r="AR102" s="37">
        <v>95</v>
      </c>
    </row>
    <row r="103" spans="44:44" x14ac:dyDescent="0.3">
      <c r="AR103" s="37">
        <v>96</v>
      </c>
    </row>
    <row r="104" spans="44:44" x14ac:dyDescent="0.3">
      <c r="AR104" s="37">
        <v>97</v>
      </c>
    </row>
    <row r="105" spans="44:44" x14ac:dyDescent="0.3">
      <c r="AR105" s="37">
        <v>98</v>
      </c>
    </row>
    <row r="106" spans="44:44" x14ac:dyDescent="0.3">
      <c r="AR106" s="37">
        <v>99</v>
      </c>
    </row>
    <row r="107" spans="44:44" x14ac:dyDescent="0.3">
      <c r="AR107" s="37">
        <v>100</v>
      </c>
    </row>
    <row r="108" spans="44:44" x14ac:dyDescent="0.3">
      <c r="AR108" s="37">
        <v>101</v>
      </c>
    </row>
    <row r="109" spans="44:44" x14ac:dyDescent="0.3">
      <c r="AR109" s="37">
        <v>102</v>
      </c>
    </row>
    <row r="110" spans="44:44" x14ac:dyDescent="0.3">
      <c r="AR110" s="37">
        <v>103</v>
      </c>
    </row>
    <row r="111" spans="44:44" x14ac:dyDescent="0.3">
      <c r="AR111" s="37">
        <v>104</v>
      </c>
    </row>
    <row r="112" spans="44:44" x14ac:dyDescent="0.3">
      <c r="AR112" s="37">
        <v>105</v>
      </c>
    </row>
    <row r="113" spans="44:44" x14ac:dyDescent="0.3">
      <c r="AR113" s="37">
        <v>106</v>
      </c>
    </row>
    <row r="114" spans="44:44" x14ac:dyDescent="0.3">
      <c r="AR114" s="37">
        <v>107</v>
      </c>
    </row>
    <row r="115" spans="44:44" x14ac:dyDescent="0.3">
      <c r="AR115" s="37">
        <v>108</v>
      </c>
    </row>
    <row r="116" spans="44:44" x14ac:dyDescent="0.3">
      <c r="AR116" s="37">
        <v>109</v>
      </c>
    </row>
    <row r="117" spans="44:44" x14ac:dyDescent="0.3">
      <c r="AR117" s="37">
        <v>110</v>
      </c>
    </row>
    <row r="118" spans="44:44" x14ac:dyDescent="0.3">
      <c r="AR118" s="37">
        <v>111</v>
      </c>
    </row>
    <row r="119" spans="44:44" x14ac:dyDescent="0.3">
      <c r="AR119" s="37">
        <v>112</v>
      </c>
    </row>
    <row r="120" spans="44:44" x14ac:dyDescent="0.3">
      <c r="AR120" s="37">
        <v>113</v>
      </c>
    </row>
    <row r="121" spans="44:44" x14ac:dyDescent="0.3">
      <c r="AR121" s="37">
        <v>114</v>
      </c>
    </row>
    <row r="122" spans="44:44" x14ac:dyDescent="0.3">
      <c r="AR122" s="37">
        <v>115</v>
      </c>
    </row>
    <row r="123" spans="44:44" x14ac:dyDescent="0.3">
      <c r="AR123" s="37">
        <v>116</v>
      </c>
    </row>
    <row r="124" spans="44:44" x14ac:dyDescent="0.3">
      <c r="AR124" s="37">
        <v>117</v>
      </c>
    </row>
    <row r="125" spans="44:44" x14ac:dyDescent="0.3">
      <c r="AR125" s="37">
        <v>118</v>
      </c>
    </row>
    <row r="126" spans="44:44" x14ac:dyDescent="0.3">
      <c r="AR126" s="37">
        <v>119</v>
      </c>
    </row>
    <row r="127" spans="44:44" x14ac:dyDescent="0.3">
      <c r="AR127" s="37">
        <v>120</v>
      </c>
    </row>
    <row r="128" spans="44:44" x14ac:dyDescent="0.3">
      <c r="AR128" s="37">
        <v>121</v>
      </c>
    </row>
    <row r="129" spans="44:44" x14ac:dyDescent="0.3">
      <c r="AR129" s="37">
        <v>122</v>
      </c>
    </row>
    <row r="130" spans="44:44" x14ac:dyDescent="0.3">
      <c r="AR130" s="37">
        <v>123</v>
      </c>
    </row>
    <row r="131" spans="44:44" x14ac:dyDescent="0.3">
      <c r="AR131" s="37">
        <v>124</v>
      </c>
    </row>
    <row r="132" spans="44:44" x14ac:dyDescent="0.3">
      <c r="AR132" s="37">
        <v>125</v>
      </c>
    </row>
    <row r="133" spans="44:44" x14ac:dyDescent="0.3">
      <c r="AR133" s="37">
        <v>126</v>
      </c>
    </row>
    <row r="134" spans="44:44" x14ac:dyDescent="0.3">
      <c r="AR134" s="37">
        <v>127</v>
      </c>
    </row>
    <row r="135" spans="44:44" x14ac:dyDescent="0.3">
      <c r="AR135" s="37">
        <v>128</v>
      </c>
    </row>
    <row r="136" spans="44:44" x14ac:dyDescent="0.3">
      <c r="AR136" s="37">
        <v>129</v>
      </c>
    </row>
    <row r="137" spans="44:44" x14ac:dyDescent="0.3">
      <c r="AR137" s="37">
        <v>130</v>
      </c>
    </row>
    <row r="138" spans="44:44" x14ac:dyDescent="0.3">
      <c r="AR138" s="37">
        <v>131</v>
      </c>
    </row>
    <row r="139" spans="44:44" x14ac:dyDescent="0.3">
      <c r="AR139" s="37">
        <v>132</v>
      </c>
    </row>
    <row r="140" spans="44:44" x14ac:dyDescent="0.3">
      <c r="AR140" s="37">
        <v>133</v>
      </c>
    </row>
    <row r="141" spans="44:44" x14ac:dyDescent="0.3">
      <c r="AR141" s="37">
        <v>134</v>
      </c>
    </row>
    <row r="142" spans="44:44" x14ac:dyDescent="0.3">
      <c r="AR142" s="37">
        <v>135</v>
      </c>
    </row>
    <row r="143" spans="44:44" x14ac:dyDescent="0.3">
      <c r="AR143" s="37">
        <v>136</v>
      </c>
    </row>
    <row r="144" spans="44:44" x14ac:dyDescent="0.3">
      <c r="AR144" s="37">
        <v>137</v>
      </c>
    </row>
    <row r="145" spans="44:44" x14ac:dyDescent="0.3">
      <c r="AR145" s="37">
        <v>138</v>
      </c>
    </row>
    <row r="146" spans="44:44" x14ac:dyDescent="0.3">
      <c r="AR146" s="37">
        <v>139</v>
      </c>
    </row>
    <row r="147" spans="44:44" x14ac:dyDescent="0.3">
      <c r="AR147" s="37">
        <v>140</v>
      </c>
    </row>
    <row r="148" spans="44:44" x14ac:dyDescent="0.3">
      <c r="AR148" s="37">
        <v>141</v>
      </c>
    </row>
    <row r="149" spans="44:44" x14ac:dyDescent="0.3">
      <c r="AR149" s="37">
        <v>142</v>
      </c>
    </row>
    <row r="150" spans="44:44" x14ac:dyDescent="0.3">
      <c r="AR150" s="37">
        <v>143</v>
      </c>
    </row>
    <row r="151" spans="44:44" x14ac:dyDescent="0.3">
      <c r="AR151" s="37">
        <v>144</v>
      </c>
    </row>
    <row r="152" spans="44:44" x14ac:dyDescent="0.3">
      <c r="AR152" s="37">
        <v>145</v>
      </c>
    </row>
    <row r="153" spans="44:44" x14ac:dyDescent="0.3">
      <c r="AR153" s="37">
        <v>146</v>
      </c>
    </row>
    <row r="154" spans="44:44" x14ac:dyDescent="0.3">
      <c r="AR154" s="37">
        <v>147</v>
      </c>
    </row>
    <row r="155" spans="44:44" x14ac:dyDescent="0.3">
      <c r="AR155" s="37">
        <v>148</v>
      </c>
    </row>
    <row r="156" spans="44:44" x14ac:dyDescent="0.3">
      <c r="AR156" s="37">
        <v>149</v>
      </c>
    </row>
    <row r="157" spans="44:44" x14ac:dyDescent="0.3">
      <c r="AR157" s="37">
        <v>150</v>
      </c>
    </row>
    <row r="158" spans="44:44" x14ac:dyDescent="0.3">
      <c r="AR158" s="37">
        <v>151</v>
      </c>
    </row>
    <row r="159" spans="44:44" x14ac:dyDescent="0.3">
      <c r="AR159" s="37">
        <v>152</v>
      </c>
    </row>
    <row r="160" spans="44:44" x14ac:dyDescent="0.3">
      <c r="AR160" s="37">
        <v>153</v>
      </c>
    </row>
    <row r="161" spans="44:44" x14ac:dyDescent="0.3">
      <c r="AR161" s="37">
        <v>154</v>
      </c>
    </row>
    <row r="162" spans="44:44" x14ac:dyDescent="0.3">
      <c r="AR162" s="37">
        <v>155</v>
      </c>
    </row>
    <row r="163" spans="44:44" x14ac:dyDescent="0.3">
      <c r="AR163" s="37">
        <v>156</v>
      </c>
    </row>
    <row r="164" spans="44:44" x14ac:dyDescent="0.3">
      <c r="AR164" s="37">
        <v>157</v>
      </c>
    </row>
    <row r="165" spans="44:44" x14ac:dyDescent="0.3">
      <c r="AR165" s="37">
        <v>158</v>
      </c>
    </row>
    <row r="166" spans="44:44" x14ac:dyDescent="0.3">
      <c r="AR166" s="37">
        <v>159</v>
      </c>
    </row>
    <row r="167" spans="44:44" x14ac:dyDescent="0.3">
      <c r="AR167" s="37">
        <v>160</v>
      </c>
    </row>
    <row r="168" spans="44:44" x14ac:dyDescent="0.3">
      <c r="AR168" s="37">
        <v>161</v>
      </c>
    </row>
    <row r="169" spans="44:44" x14ac:dyDescent="0.3">
      <c r="AR169" s="37">
        <v>162</v>
      </c>
    </row>
    <row r="170" spans="44:44" x14ac:dyDescent="0.3">
      <c r="AR170" s="37">
        <v>163</v>
      </c>
    </row>
    <row r="171" spans="44:44" x14ac:dyDescent="0.3">
      <c r="AR171" s="37">
        <v>164</v>
      </c>
    </row>
    <row r="172" spans="44:44" x14ac:dyDescent="0.3">
      <c r="AR172" s="37">
        <v>165</v>
      </c>
    </row>
    <row r="173" spans="44:44" x14ac:dyDescent="0.3">
      <c r="AR173" s="37">
        <v>166</v>
      </c>
    </row>
    <row r="174" spans="44:44" x14ac:dyDescent="0.3">
      <c r="AR174" s="37">
        <v>167</v>
      </c>
    </row>
    <row r="175" spans="44:44" x14ac:dyDescent="0.3">
      <c r="AR175" s="37">
        <v>168</v>
      </c>
    </row>
    <row r="176" spans="44:44" x14ac:dyDescent="0.3">
      <c r="AR176" s="37">
        <v>169</v>
      </c>
    </row>
    <row r="177" spans="44:44" x14ac:dyDescent="0.3">
      <c r="AR177" s="37">
        <v>170</v>
      </c>
    </row>
    <row r="178" spans="44:44" x14ac:dyDescent="0.3">
      <c r="AR178" s="37">
        <v>171</v>
      </c>
    </row>
    <row r="179" spans="44:44" x14ac:dyDescent="0.3">
      <c r="AR179" s="37">
        <v>172</v>
      </c>
    </row>
    <row r="180" spans="44:44" x14ac:dyDescent="0.3">
      <c r="AR180" s="37">
        <v>173</v>
      </c>
    </row>
    <row r="181" spans="44:44" x14ac:dyDescent="0.3">
      <c r="AR181" s="37">
        <v>174</v>
      </c>
    </row>
    <row r="182" spans="44:44" x14ac:dyDescent="0.3">
      <c r="AR182" s="37">
        <v>175</v>
      </c>
    </row>
    <row r="183" spans="44:44" x14ac:dyDescent="0.3">
      <c r="AR183" s="37">
        <v>176</v>
      </c>
    </row>
    <row r="184" spans="44:44" x14ac:dyDescent="0.3">
      <c r="AR184" s="37">
        <v>177</v>
      </c>
    </row>
    <row r="185" spans="44:44" x14ac:dyDescent="0.3">
      <c r="AR185" s="37">
        <v>178</v>
      </c>
    </row>
    <row r="186" spans="44:44" x14ac:dyDescent="0.3">
      <c r="AR186" s="37">
        <v>179</v>
      </c>
    </row>
    <row r="187" spans="44:44" x14ac:dyDescent="0.3">
      <c r="AR187" s="37">
        <v>180</v>
      </c>
    </row>
    <row r="188" spans="44:44" x14ac:dyDescent="0.3">
      <c r="AR188" s="37">
        <v>181</v>
      </c>
    </row>
    <row r="189" spans="44:44" x14ac:dyDescent="0.3">
      <c r="AR189" s="37">
        <v>182</v>
      </c>
    </row>
    <row r="190" spans="44:44" x14ac:dyDescent="0.3">
      <c r="AR190" s="37">
        <v>183</v>
      </c>
    </row>
    <row r="191" spans="44:44" x14ac:dyDescent="0.3">
      <c r="AR191" s="37">
        <v>184</v>
      </c>
    </row>
    <row r="192" spans="44:44" x14ac:dyDescent="0.3">
      <c r="AR192" s="37">
        <v>185</v>
      </c>
    </row>
    <row r="193" spans="44:44" x14ac:dyDescent="0.3">
      <c r="AR193" s="37">
        <v>186</v>
      </c>
    </row>
    <row r="194" spans="44:44" x14ac:dyDescent="0.3">
      <c r="AR194" s="37">
        <v>187</v>
      </c>
    </row>
    <row r="195" spans="44:44" x14ac:dyDescent="0.3">
      <c r="AR195" s="37">
        <v>188</v>
      </c>
    </row>
    <row r="196" spans="44:44" x14ac:dyDescent="0.3">
      <c r="AR196" s="37">
        <v>189</v>
      </c>
    </row>
    <row r="197" spans="44:44" x14ac:dyDescent="0.3">
      <c r="AR197" s="37">
        <v>190</v>
      </c>
    </row>
    <row r="198" spans="44:44" x14ac:dyDescent="0.3">
      <c r="AR198" s="37">
        <v>191</v>
      </c>
    </row>
    <row r="199" spans="44:44" x14ac:dyDescent="0.3">
      <c r="AR199" s="37">
        <v>192</v>
      </c>
    </row>
    <row r="200" spans="44:44" x14ac:dyDescent="0.3">
      <c r="AR200" s="37">
        <v>193</v>
      </c>
    </row>
    <row r="201" spans="44:44" x14ac:dyDescent="0.3">
      <c r="AR201" s="37">
        <v>194</v>
      </c>
    </row>
    <row r="202" spans="44:44" x14ac:dyDescent="0.3">
      <c r="AR202" s="37">
        <v>195</v>
      </c>
    </row>
    <row r="203" spans="44:44" x14ac:dyDescent="0.3">
      <c r="AR203" s="37">
        <v>196</v>
      </c>
    </row>
    <row r="204" spans="44:44" x14ac:dyDescent="0.3">
      <c r="AR204" s="37">
        <v>197</v>
      </c>
    </row>
    <row r="205" spans="44:44" x14ac:dyDescent="0.3">
      <c r="AR205" s="37">
        <v>198</v>
      </c>
    </row>
    <row r="206" spans="44:44" x14ac:dyDescent="0.3">
      <c r="AR206" s="37">
        <v>199</v>
      </c>
    </row>
    <row r="207" spans="44:44" x14ac:dyDescent="0.3">
      <c r="AR207" s="37">
        <v>200</v>
      </c>
    </row>
    <row r="208" spans="44:44" x14ac:dyDescent="0.3">
      <c r="AR208" s="37">
        <v>201</v>
      </c>
    </row>
    <row r="209" spans="44:44" x14ac:dyDescent="0.3">
      <c r="AR209" s="37">
        <v>202</v>
      </c>
    </row>
    <row r="210" spans="44:44" x14ac:dyDescent="0.3">
      <c r="AR210" s="37">
        <v>203</v>
      </c>
    </row>
    <row r="211" spans="44:44" x14ac:dyDescent="0.3">
      <c r="AR211" s="37">
        <v>204</v>
      </c>
    </row>
    <row r="212" spans="44:44" x14ac:dyDescent="0.3">
      <c r="AR212" s="37">
        <v>205</v>
      </c>
    </row>
    <row r="213" spans="44:44" x14ac:dyDescent="0.3">
      <c r="AR213" s="37">
        <v>206</v>
      </c>
    </row>
    <row r="214" spans="44:44" x14ac:dyDescent="0.3">
      <c r="AR214" s="37">
        <v>207</v>
      </c>
    </row>
    <row r="215" spans="44:44" x14ac:dyDescent="0.3">
      <c r="AR215" s="37">
        <v>208</v>
      </c>
    </row>
    <row r="216" spans="44:44" x14ac:dyDescent="0.3">
      <c r="AR216" s="37">
        <v>209</v>
      </c>
    </row>
    <row r="217" spans="44:44" x14ac:dyDescent="0.3">
      <c r="AR217" s="37">
        <v>210</v>
      </c>
    </row>
    <row r="218" spans="44:44" x14ac:dyDescent="0.3">
      <c r="AR218" s="37">
        <v>211</v>
      </c>
    </row>
    <row r="219" spans="44:44" x14ac:dyDescent="0.3">
      <c r="AR219" s="37">
        <v>212</v>
      </c>
    </row>
    <row r="220" spans="44:44" x14ac:dyDescent="0.3">
      <c r="AR220" s="37">
        <v>213</v>
      </c>
    </row>
    <row r="221" spans="44:44" x14ac:dyDescent="0.3">
      <c r="AR221" s="37">
        <v>214</v>
      </c>
    </row>
    <row r="222" spans="44:44" x14ac:dyDescent="0.3">
      <c r="AR222" s="37">
        <v>215</v>
      </c>
    </row>
    <row r="223" spans="44:44" x14ac:dyDescent="0.3">
      <c r="AR223" s="37">
        <v>216</v>
      </c>
    </row>
    <row r="224" spans="44:44" x14ac:dyDescent="0.3">
      <c r="AR224" s="37">
        <v>217</v>
      </c>
    </row>
    <row r="225" spans="44:44" x14ac:dyDescent="0.3">
      <c r="AR225" s="37">
        <v>218</v>
      </c>
    </row>
    <row r="226" spans="44:44" x14ac:dyDescent="0.3">
      <c r="AR226" s="37">
        <v>219</v>
      </c>
    </row>
    <row r="227" spans="44:44" x14ac:dyDescent="0.3">
      <c r="AR227" s="37">
        <v>220</v>
      </c>
    </row>
    <row r="228" spans="44:44" x14ac:dyDescent="0.3">
      <c r="AR228" s="37">
        <v>221</v>
      </c>
    </row>
    <row r="229" spans="44:44" x14ac:dyDescent="0.3">
      <c r="AR229" s="37">
        <v>222</v>
      </c>
    </row>
    <row r="230" spans="44:44" x14ac:dyDescent="0.3">
      <c r="AR230" s="37">
        <v>223</v>
      </c>
    </row>
    <row r="231" spans="44:44" x14ac:dyDescent="0.3">
      <c r="AR231" s="37">
        <v>224</v>
      </c>
    </row>
    <row r="232" spans="44:44" x14ac:dyDescent="0.3">
      <c r="AR232" s="37">
        <v>225</v>
      </c>
    </row>
    <row r="233" spans="44:44" x14ac:dyDescent="0.3">
      <c r="AR233" s="37">
        <v>226</v>
      </c>
    </row>
    <row r="234" spans="44:44" x14ac:dyDescent="0.3">
      <c r="AR234" s="37">
        <v>227</v>
      </c>
    </row>
    <row r="235" spans="44:44" x14ac:dyDescent="0.3">
      <c r="AR235" s="37">
        <v>228</v>
      </c>
    </row>
    <row r="236" spans="44:44" x14ac:dyDescent="0.3">
      <c r="AR236" s="37">
        <v>229</v>
      </c>
    </row>
    <row r="237" spans="44:44" x14ac:dyDescent="0.3">
      <c r="AR237" s="37">
        <v>230</v>
      </c>
    </row>
    <row r="238" spans="44:44" x14ac:dyDescent="0.3">
      <c r="AR238" s="37">
        <v>231</v>
      </c>
    </row>
    <row r="239" spans="44:44" x14ac:dyDescent="0.3">
      <c r="AR239" s="37">
        <v>232</v>
      </c>
    </row>
    <row r="240" spans="44:44" x14ac:dyDescent="0.3">
      <c r="AR240" s="37">
        <v>233</v>
      </c>
    </row>
    <row r="241" spans="44:44" x14ac:dyDescent="0.3">
      <c r="AR241" s="37">
        <v>234</v>
      </c>
    </row>
    <row r="242" spans="44:44" x14ac:dyDescent="0.3">
      <c r="AR242" s="37">
        <v>235</v>
      </c>
    </row>
    <row r="243" spans="44:44" x14ac:dyDescent="0.3">
      <c r="AR243" s="37">
        <v>236</v>
      </c>
    </row>
    <row r="244" spans="44:44" x14ac:dyDescent="0.3">
      <c r="AR244" s="37">
        <v>237</v>
      </c>
    </row>
    <row r="245" spans="44:44" x14ac:dyDescent="0.3">
      <c r="AR245" s="37">
        <v>238</v>
      </c>
    </row>
    <row r="246" spans="44:44" x14ac:dyDescent="0.3">
      <c r="AR246" s="37">
        <v>239</v>
      </c>
    </row>
    <row r="247" spans="44:44" x14ac:dyDescent="0.3">
      <c r="AR247" s="37">
        <v>240</v>
      </c>
    </row>
    <row r="248" spans="44:44" x14ac:dyDescent="0.3">
      <c r="AR248" s="37">
        <v>241</v>
      </c>
    </row>
    <row r="249" spans="44:44" x14ac:dyDescent="0.3">
      <c r="AR249" s="37">
        <v>242</v>
      </c>
    </row>
    <row r="250" spans="44:44" x14ac:dyDescent="0.3">
      <c r="AR250" s="37">
        <v>243</v>
      </c>
    </row>
    <row r="251" spans="44:44" x14ac:dyDescent="0.3">
      <c r="AR251" s="37">
        <v>244</v>
      </c>
    </row>
    <row r="252" spans="44:44" x14ac:dyDescent="0.3">
      <c r="AR252" s="37">
        <v>245</v>
      </c>
    </row>
    <row r="253" spans="44:44" x14ac:dyDescent="0.3">
      <c r="AR253" s="37">
        <v>246</v>
      </c>
    </row>
    <row r="254" spans="44:44" x14ac:dyDescent="0.3">
      <c r="AR254" s="37">
        <v>247</v>
      </c>
    </row>
    <row r="255" spans="44:44" x14ac:dyDescent="0.3">
      <c r="AR255" s="37">
        <v>248</v>
      </c>
    </row>
    <row r="256" spans="44:44" x14ac:dyDescent="0.3">
      <c r="AR256" s="37">
        <v>249</v>
      </c>
    </row>
    <row r="257" spans="44:44" x14ac:dyDescent="0.3">
      <c r="AR257" s="37">
        <v>250</v>
      </c>
    </row>
    <row r="258" spans="44:44" x14ac:dyDescent="0.3">
      <c r="AR258" s="37">
        <v>251</v>
      </c>
    </row>
    <row r="259" spans="44:44" x14ac:dyDescent="0.3">
      <c r="AR259" s="37">
        <v>252</v>
      </c>
    </row>
    <row r="260" spans="44:44" x14ac:dyDescent="0.3">
      <c r="AR260" s="37">
        <v>253</v>
      </c>
    </row>
    <row r="261" spans="44:44" x14ac:dyDescent="0.3">
      <c r="AR261" s="37">
        <v>254</v>
      </c>
    </row>
    <row r="262" spans="44:44" x14ac:dyDescent="0.3">
      <c r="AR262" s="37">
        <v>255</v>
      </c>
    </row>
  </sheetData>
  <sheetProtection password="9192" sheet="1" objects="1" scenarios="1"/>
  <mergeCells count="3">
    <mergeCell ref="E7:E8"/>
    <mergeCell ref="E26:E27"/>
    <mergeCell ref="D26:D27"/>
  </mergeCells>
  <conditionalFormatting sqref="D25:G27">
    <cfRule type="expression" dxfId="5" priority="10">
      <formula>$C$4="Integer-N PLL"</formula>
    </cfRule>
  </conditionalFormatting>
  <conditionalFormatting sqref="E29:E30">
    <cfRule type="expression" dxfId="4" priority="7">
      <formula>"$B$4=""Fractional-N PLL"" AND $D$29=""2"""</formula>
    </cfRule>
  </conditionalFormatting>
  <conditionalFormatting sqref="B37">
    <cfRule type="containsText" dxfId="3" priority="6" operator="containsText" text="Error">
      <formula>NOT(ISERROR(SEARCH("Error",B37)))</formula>
    </cfRule>
  </conditionalFormatting>
  <conditionalFormatting sqref="B38">
    <cfRule type="containsText" dxfId="2" priority="3" operator="containsText" text="Error">
      <formula>NOT(ISERROR(SEARCH("Error",B38)))</formula>
    </cfRule>
  </conditionalFormatting>
  <conditionalFormatting sqref="B39">
    <cfRule type="containsText" dxfId="1" priority="2" operator="containsText" text="Error">
      <formula>NOT(ISERROR(SEARCH("Error",B39)))</formula>
    </cfRule>
  </conditionalFormatting>
  <conditionalFormatting sqref="B39">
    <cfRule type="containsText" dxfId="0" priority="1" operator="containsText" text="Error">
      <formula>NOT(ISERROR(SEARCH("Error",B39)))</formula>
    </cfRule>
  </conditionalFormatting>
  <dataValidations xWindow="232" yWindow="281" count="11">
    <dataValidation type="list" allowBlank="1" showInputMessage="1" showErrorMessage="1" sqref="E28" xr:uid="{00000000-0002-0000-0000-000000000000}">
      <formula1>$AW$8:$AW$10</formula1>
    </dataValidation>
    <dataValidation type="list" allowBlank="1" showInputMessage="1" showErrorMessage="1" sqref="E29" xr:uid="{00000000-0002-0000-0000-000001000000}">
      <formula1>$AZ$8:$AZ$9</formula1>
    </dataValidation>
    <dataValidation type="decimal" allowBlank="1" showInputMessage="1" showErrorMessage="1" sqref="E26" xr:uid="{00000000-0002-0000-0000-000002000000}">
      <formula1>0.05</formula1>
      <formula2>0.95</formula2>
    </dataValidation>
    <dataValidation type="list" allowBlank="1" showInputMessage="1" showErrorMessage="1" sqref="E25" xr:uid="{00000000-0002-0000-0000-000003000000}">
      <formula1>$AX$8:$AX$11</formula1>
    </dataValidation>
    <dataValidation type="list" allowBlank="1" showInputMessage="1" showErrorMessage="1" sqref="E22 E13:E14 E9:E10 E17:E18" xr:uid="{00000000-0002-0000-0000-000004000000}">
      <formula1>$AR$8:$AR$262</formula1>
    </dataValidation>
    <dataValidation type="list" allowBlank="1" showInputMessage="1" showErrorMessage="1" sqref="E24" xr:uid="{00000000-0002-0000-0000-000005000000}">
      <formula1>$AV$8:$AV$9</formula1>
    </dataValidation>
    <dataValidation type="list" allowBlank="1" showInputMessage="1" showErrorMessage="1" sqref="E11:E12 E19:E20 E15:E16" xr:uid="{00000000-0002-0000-0000-000006000000}">
      <formula1>$AS$8:$AS$9</formula1>
    </dataValidation>
    <dataValidation type="list" allowBlank="1" showInputMessage="1" showErrorMessage="1" sqref="E7:E8" xr:uid="{00000000-0002-0000-0000-000007000000}">
      <formula1>$AQ$8:$AQ$9</formula1>
    </dataValidation>
    <dataValidation type="list" allowBlank="1" showInputMessage="1" showErrorMessage="1" sqref="C4" xr:uid="{00000000-0002-0000-0000-000008000000}">
      <formula1>$AY$8:$AY$9</formula1>
    </dataValidation>
    <dataValidation type="list" allowBlank="1" showInputMessage="1" showErrorMessage="1" sqref="E21" xr:uid="{00000000-0002-0000-0000-000009000000}">
      <formula1>$AT$8:$AT$25</formula1>
    </dataValidation>
    <dataValidation type="list" allowBlank="1" showInputMessage="1" showErrorMessage="1" sqref="E23" xr:uid="{00000000-0002-0000-0000-00000A000000}">
      <formula1>$AU$8:$AU$27</formula1>
    </dataValidation>
  </dataValidations>
  <pageMargins left="0.7" right="0.7" top="0.75" bottom="0.75" header="0.3" footer="0.3"/>
  <pageSetup scale="12" orientation="landscape" r:id="rId1"/>
  <ignoredErrors>
    <ignoredError sqref="C9 C13 C17 C22 C25 C28 C31 C7:C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zoomScaleNormal="100" workbookViewId="0">
      <selection activeCell="D37" sqref="D37"/>
    </sheetView>
  </sheetViews>
  <sheetFormatPr defaultRowHeight="14.4" x14ac:dyDescent="0.3"/>
  <sheetData>
    <row r="1" spans="1:5" x14ac:dyDescent="0.3">
      <c r="A1" s="1" t="s">
        <v>57</v>
      </c>
      <c r="B1" s="1" t="s">
        <v>58</v>
      </c>
      <c r="C1" s="1" t="s">
        <v>59</v>
      </c>
      <c r="E1" s="2" t="s">
        <v>51</v>
      </c>
    </row>
    <row r="2" spans="1:5" x14ac:dyDescent="0.3">
      <c r="A2" s="1">
        <v>2</v>
      </c>
      <c r="B2" s="3" t="s">
        <v>60</v>
      </c>
      <c r="C2" s="4">
        <v>1000</v>
      </c>
    </row>
    <row r="3" spans="1:5" x14ac:dyDescent="0.3">
      <c r="A3" s="1">
        <v>3</v>
      </c>
      <c r="B3" s="3" t="s">
        <v>61</v>
      </c>
      <c r="C3" s="4">
        <v>1001</v>
      </c>
    </row>
    <row r="4" spans="1:5" x14ac:dyDescent="0.3">
      <c r="A4" s="1">
        <v>4</v>
      </c>
      <c r="B4" s="3" t="s">
        <v>62</v>
      </c>
      <c r="C4" s="4">
        <v>1000</v>
      </c>
    </row>
    <row r="5" spans="1:5" x14ac:dyDescent="0.3">
      <c r="A5" s="1">
        <v>8</v>
      </c>
      <c r="B5" s="3" t="s">
        <v>61</v>
      </c>
      <c r="C5" s="4">
        <v>1000</v>
      </c>
    </row>
    <row r="6" spans="1:5" x14ac:dyDescent="0.3">
      <c r="A6" s="1">
        <v>14</v>
      </c>
      <c r="B6" s="3" t="s">
        <v>62</v>
      </c>
      <c r="C6" s="5" t="s">
        <v>63</v>
      </c>
    </row>
    <row r="7" spans="1:5" x14ac:dyDescent="0.3">
      <c r="A7" s="1">
        <v>33</v>
      </c>
      <c r="B7" s="3" t="s">
        <v>62</v>
      </c>
      <c r="C7" s="5" t="s">
        <v>64</v>
      </c>
    </row>
    <row r="8" spans="1:5" x14ac:dyDescent="0.3">
      <c r="A8" s="1">
        <v>71</v>
      </c>
      <c r="B8" s="3" t="s">
        <v>62</v>
      </c>
      <c r="C8" s="5" t="s">
        <v>65</v>
      </c>
    </row>
    <row r="9" spans="1:5" x14ac:dyDescent="0.3">
      <c r="A9" s="1">
        <v>125</v>
      </c>
      <c r="B9" s="3" t="s">
        <v>62</v>
      </c>
      <c r="C9" s="5" t="s">
        <v>66</v>
      </c>
    </row>
    <row r="10" spans="1:5" x14ac:dyDescent="0.3">
      <c r="A10" s="1">
        <v>193</v>
      </c>
      <c r="B10" s="3" t="s">
        <v>62</v>
      </c>
      <c r="C10" s="5" t="s">
        <v>67</v>
      </c>
    </row>
    <row r="12" spans="1:5" x14ac:dyDescent="0.3">
      <c r="A12" s="1" t="s">
        <v>57</v>
      </c>
      <c r="B12" s="1" t="s">
        <v>58</v>
      </c>
      <c r="C12" s="1" t="s">
        <v>59</v>
      </c>
      <c r="E12" s="2" t="s">
        <v>52</v>
      </c>
    </row>
    <row r="13" spans="1:5" ht="15" thickBot="1" x14ac:dyDescent="0.35">
      <c r="A13" s="1">
        <v>2</v>
      </c>
      <c r="B13" s="6" t="s">
        <v>61</v>
      </c>
      <c r="C13" s="7">
        <v>1001</v>
      </c>
    </row>
    <row r="14" spans="1:5" ht="15" thickBot="1" x14ac:dyDescent="0.35">
      <c r="A14" s="1">
        <v>3</v>
      </c>
      <c r="B14" s="6" t="s">
        <v>68</v>
      </c>
      <c r="C14" s="7">
        <v>1001</v>
      </c>
    </row>
    <row r="15" spans="1:5" ht="15" thickBot="1" x14ac:dyDescent="0.35">
      <c r="A15" s="1">
        <v>4</v>
      </c>
      <c r="B15" s="6" t="s">
        <v>61</v>
      </c>
      <c r="C15" s="7">
        <v>1000</v>
      </c>
    </row>
    <row r="16" spans="1:5" ht="15" thickBot="1" x14ac:dyDescent="0.35">
      <c r="A16" s="1">
        <v>8</v>
      </c>
      <c r="B16" s="6" t="s">
        <v>68</v>
      </c>
      <c r="C16" s="7">
        <v>1000</v>
      </c>
    </row>
    <row r="17" spans="1:5" ht="15" thickBot="1" x14ac:dyDescent="0.35">
      <c r="A17" s="1">
        <v>14</v>
      </c>
      <c r="B17" s="6" t="s">
        <v>61</v>
      </c>
      <c r="C17" s="8" t="s">
        <v>63</v>
      </c>
    </row>
    <row r="18" spans="1:5" ht="15" thickBot="1" x14ac:dyDescent="0.35">
      <c r="A18" s="1">
        <v>33</v>
      </c>
      <c r="B18" s="6" t="s">
        <v>61</v>
      </c>
      <c r="C18" s="8" t="s">
        <v>64</v>
      </c>
    </row>
    <row r="19" spans="1:5" ht="15" thickBot="1" x14ac:dyDescent="0.35">
      <c r="A19" s="1">
        <v>71</v>
      </c>
      <c r="B19" s="6" t="s">
        <v>61</v>
      </c>
      <c r="C19" s="8" t="s">
        <v>65</v>
      </c>
    </row>
    <row r="20" spans="1:5" ht="15" thickBot="1" x14ac:dyDescent="0.35">
      <c r="A20" s="1">
        <v>125</v>
      </c>
      <c r="B20" s="6" t="s">
        <v>61</v>
      </c>
      <c r="C20" s="8" t="s">
        <v>66</v>
      </c>
    </row>
    <row r="21" spans="1:5" ht="15" thickBot="1" x14ac:dyDescent="0.35">
      <c r="A21" s="1">
        <v>193</v>
      </c>
      <c r="B21" s="6" t="s">
        <v>61</v>
      </c>
      <c r="C21" s="8" t="s">
        <v>67</v>
      </c>
    </row>
    <row r="23" spans="1:5" x14ac:dyDescent="0.3">
      <c r="A23" s="1" t="s">
        <v>57</v>
      </c>
      <c r="B23" s="1" t="s">
        <v>58</v>
      </c>
      <c r="C23" s="1" t="s">
        <v>59</v>
      </c>
      <c r="E23" s="2" t="s">
        <v>53</v>
      </c>
    </row>
    <row r="24" spans="1:5" ht="15" thickBot="1" x14ac:dyDescent="0.35">
      <c r="A24" s="1">
        <v>2</v>
      </c>
      <c r="B24" s="10" t="s">
        <v>68</v>
      </c>
      <c r="C24" s="12">
        <v>1001</v>
      </c>
    </row>
    <row r="25" spans="1:5" ht="15" thickBot="1" x14ac:dyDescent="0.35">
      <c r="A25" s="1">
        <v>3</v>
      </c>
      <c r="B25" s="9">
        <v>100</v>
      </c>
      <c r="C25" s="12">
        <v>1001</v>
      </c>
    </row>
    <row r="26" spans="1:5" ht="15" thickBot="1" x14ac:dyDescent="0.35">
      <c r="A26" s="1">
        <v>4</v>
      </c>
      <c r="B26" s="10" t="s">
        <v>68</v>
      </c>
      <c r="C26" s="12">
        <v>1000</v>
      </c>
    </row>
    <row r="27" spans="1:5" ht="15" thickBot="1" x14ac:dyDescent="0.35">
      <c r="A27" s="1">
        <v>8</v>
      </c>
      <c r="B27" s="9">
        <v>100</v>
      </c>
      <c r="C27" s="12">
        <v>1000</v>
      </c>
    </row>
    <row r="28" spans="1:5" ht="15" thickBot="1" x14ac:dyDescent="0.35">
      <c r="A28" s="1">
        <v>14</v>
      </c>
      <c r="B28" s="10" t="s">
        <v>68</v>
      </c>
      <c r="C28" s="11" t="s">
        <v>63</v>
      </c>
    </row>
    <row r="29" spans="1:5" ht="15" customHeight="1" thickBot="1" x14ac:dyDescent="0.35">
      <c r="A29" s="1">
        <v>33</v>
      </c>
      <c r="B29" s="10" t="s">
        <v>68</v>
      </c>
      <c r="C29" s="11" t="s">
        <v>64</v>
      </c>
    </row>
    <row r="30" spans="1:5" ht="15" thickBot="1" x14ac:dyDescent="0.35">
      <c r="A30" s="1">
        <v>71</v>
      </c>
      <c r="B30" s="10" t="s">
        <v>68</v>
      </c>
      <c r="C30" s="11" t="s">
        <v>65</v>
      </c>
    </row>
    <row r="31" spans="1:5" ht="15" thickBot="1" x14ac:dyDescent="0.35">
      <c r="A31" s="1">
        <v>125</v>
      </c>
      <c r="B31" s="10" t="s">
        <v>68</v>
      </c>
      <c r="C31" s="11" t="s">
        <v>66</v>
      </c>
    </row>
    <row r="32" spans="1:5" ht="15" thickBot="1" x14ac:dyDescent="0.35">
      <c r="A32" s="1">
        <v>193</v>
      </c>
      <c r="B32" s="10" t="s">
        <v>68</v>
      </c>
      <c r="C32" s="11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</vt:lpstr>
      <vt:lpstr>Sheet2</vt:lpstr>
      <vt:lpstr>Sheet3</vt:lpstr>
      <vt:lpstr>Sheet1</vt:lpstr>
    </vt:vector>
  </TitlesOfParts>
  <Company>Altera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kigtan</dc:creator>
  <cp:lastModifiedBy>Tyler Sheaves</cp:lastModifiedBy>
  <cp:lastPrinted>2012-06-27T05:33:15Z</cp:lastPrinted>
  <dcterms:created xsi:type="dcterms:W3CDTF">2012-05-22T07:17:31Z</dcterms:created>
  <dcterms:modified xsi:type="dcterms:W3CDTF">2023-07-06T20:47:46Z</dcterms:modified>
</cp:coreProperties>
</file>