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CF &amp; Sensitivity Model" sheetId="1" state="visible" r:id="rId2"/>
    <sheet name="MKT" sheetId="2" state="visible" r:id="rId3"/>
    <sheet name="CAPEX" sheetId="3" state="visible" r:id="rId4"/>
    <sheet name="Volume" sheetId="4" state="visible" r:id="rId5"/>
    <sheet name="Expenses" sheetId="5" state="visible" r:id="rId6"/>
    <sheet name="Sheet6" sheetId="6" state="visible" r:id="rId7"/>
  </sheets>
  <definedNames>
    <definedName function="false" hidden="false" name="CIQWBGuid" vbProcedure="false">"2cd8126d-26c3-430c-b7fa-a069e3a1fc62"</definedName>
    <definedName function="false" hidden="false" name="IQ_CH" vbProcedure="false">110000</definedName>
    <definedName function="false" hidden="false" name="IQ_CQ" vbProcedure="false">5000</definedName>
    <definedName function="false" hidden="false" name="IQ_CY" vbProcedure="false">10000</definedName>
    <definedName function="false" hidden="false" name="IQ_DAILY" vbProcedure="false">500000</definedName>
    <definedName function="false" hidden="false" name="IQ_DNTM" vbProcedure="false">700000</definedName>
    <definedName function="false" hidden="false" name="IQ_FH" vbProcedure="false">100000</definedName>
    <definedName function="false" hidden="false" name="IQ_FQ" vbProcedure="false">500</definedName>
    <definedName function="false" hidden="false" name="IQ_FWD_CY" vbProcedure="false">10001</definedName>
    <definedName function="false" hidden="false" name="IQ_FWD_CY1" vbProcedure="false">10002</definedName>
    <definedName function="false" hidden="false" name="IQ_FWD_CY2" vbProcedure="false">10003</definedName>
    <definedName function="false" hidden="false" name="IQ_FWD_FY" vbProcedure="false">1001</definedName>
    <definedName function="false" hidden="false" name="IQ_FWD_FY1" vbProcedure="false">1002</definedName>
    <definedName function="false" hidden="false" name="IQ_FWD_FY2" vbProcedure="false">1003</definedName>
    <definedName function="false" hidden="false" name="IQ_FWD_Q" vbProcedure="false">501</definedName>
    <definedName function="false" hidden="false" name="IQ_FWD_Q1" vbProcedure="false">502</definedName>
    <definedName function="false" hidden="false" name="IQ_FWD_Q2" vbProcedure="false">503</definedName>
    <definedName function="false" hidden="false" name="IQ_FY" vbProcedure="false">1000</definedName>
    <definedName function="false" hidden="false" name="IQ_LATESTK" vbProcedure="false">1000</definedName>
    <definedName function="false" hidden="false" name="IQ_LATESTQ" vbProcedure="false">500</definedName>
    <definedName function="false" hidden="false" name="IQ_LTM" vbProcedure="false">2000</definedName>
    <definedName function="false" hidden="false" name="IQ_LTMMONTH" vbProcedure="false">120000</definedName>
    <definedName function="false" hidden="false" name="IQ_MONTH" vbProcedure="false">15000</definedName>
    <definedName function="false" hidden="false" name="IQ_MTD" vbProcedure="false">800000</definedName>
    <definedName function="false" hidden="false" name="IQ_NAMES_REVISION_DATE_" vbProcedure="false">"10/01/2018 15:52:08"</definedName>
    <definedName function="false" hidden="false" name="IQ_NTM" vbProcedure="false">6000</definedName>
    <definedName function="false" hidden="false" name="IQ_QTD" vbProcedure="false">750000</definedName>
    <definedName function="false" hidden="false" name="IQ_TODAY" vbProcedure="false">0</definedName>
    <definedName function="false" hidden="false" name="IQ_WEEK" vbProcedure="false">50000</definedName>
    <definedName function="false" hidden="false" name="IQ_YTD" vbProcedure="false">3000</definedName>
    <definedName function="false" hidden="false" name="IQ_YTDMONTH" vbProcedure="false">130000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0" authorId="0">
      <text>
        <r>
          <rPr>
            <sz val="11"/>
            <color rgb="FF000000"/>
            <rFont val="Calibri"/>
            <family val="2"/>
            <charset val="1"/>
          </rPr>
          <t xml:space="preserve">Minimum Price of a lottery</t>
        </r>
      </text>
    </comment>
  </commentList>
</comments>
</file>

<file path=xl/sharedStrings.xml><?xml version="1.0" encoding="utf-8"?>
<sst xmlns="http://schemas.openxmlformats.org/spreadsheetml/2006/main" count="296" uniqueCount="196">
  <si>
    <t xml:space="preserve">Bank of Bhutan Limited</t>
  </si>
  <si>
    <t xml:space="preserve"> Forecast Period</t>
  </si>
  <si>
    <t xml:space="preserve">FINANCIAL STATEMENTS</t>
  </si>
  <si>
    <t xml:space="preserve">Balance Sheet Check</t>
  </si>
  <si>
    <t xml:space="preserve">(Figures in Ngultrums)</t>
  </si>
  <si>
    <t xml:space="preserve">Assumptions</t>
  </si>
  <si>
    <t xml:space="preserve">Revenue</t>
  </si>
  <si>
    <t xml:space="preserve">No of transaction </t>
  </si>
  <si>
    <t xml:space="preserve">No of transaction growth rate</t>
  </si>
  <si>
    <t xml:space="preserve">Commission on transaction</t>
  </si>
  <si>
    <t xml:space="preserve">Revenue total</t>
  </si>
  <si>
    <t xml:space="preserve">AMC</t>
  </si>
  <si>
    <t xml:space="preserve">Commission per transaction</t>
  </si>
  <si>
    <t xml:space="preserve">Additional cost per txn</t>
  </si>
  <si>
    <t xml:space="preserve">Marketing &amp; Promotions</t>
  </si>
  <si>
    <t xml:space="preserve">Advertising &amp; marketing </t>
  </si>
  <si>
    <t xml:space="preserve">Discount (first transactions during launch)</t>
  </si>
  <si>
    <t xml:space="preserve">Promotions</t>
  </si>
  <si>
    <t xml:space="preserve">Salaries and Benefits </t>
  </si>
  <si>
    <t xml:space="preserve">Rent and Overhead</t>
  </si>
  <si>
    <t xml:space="preserve">Depreciation &amp; Amortization (% of fixed assets)</t>
  </si>
  <si>
    <t xml:space="preserve">Tax Rate (% of Earnings Before Tax)</t>
  </si>
  <si>
    <t xml:space="preserve">Capital Expenditures</t>
  </si>
  <si>
    <t xml:space="preserve">Software &amp; implemetation cost</t>
  </si>
  <si>
    <t xml:space="preserve">Other fixed assets</t>
  </si>
  <si>
    <t xml:space="preserve">Account set up fee</t>
  </si>
  <si>
    <t xml:space="preserve">Income Statement</t>
  </si>
  <si>
    <t xml:space="preserve">Reveneue</t>
  </si>
  <si>
    <t xml:space="preserve">Expenses</t>
  </si>
  <si>
    <t xml:space="preserve">Commissions</t>
  </si>
  <si>
    <t xml:space="preserve">Salaries and Benefits</t>
  </si>
  <si>
    <t xml:space="preserve">Depreciation &amp; Amortization</t>
  </si>
  <si>
    <t xml:space="preserve">Total Expenses</t>
  </si>
  <si>
    <t xml:space="preserve">Earnings Before Tax</t>
  </si>
  <si>
    <t xml:space="preserve">Taxes</t>
  </si>
  <si>
    <t xml:space="preserve">Net Earnings</t>
  </si>
  <si>
    <t xml:space="preserve">\</t>
  </si>
  <si>
    <t xml:space="preserve">Balance Sheet</t>
  </si>
  <si>
    <t xml:space="preserve">Assets</t>
  </si>
  <si>
    <t xml:space="preserve">Cash</t>
  </si>
  <si>
    <t xml:space="preserve">Accounts Receivable</t>
  </si>
  <si>
    <t xml:space="preserve">Inventory</t>
  </si>
  <si>
    <t xml:space="preserve">Property &amp; Equipment</t>
  </si>
  <si>
    <t xml:space="preserve">Total Assets</t>
  </si>
  <si>
    <t xml:space="preserve">Liabilities</t>
  </si>
  <si>
    <t xml:space="preserve">Accounts Payable</t>
  </si>
  <si>
    <t xml:space="preserve">Debt</t>
  </si>
  <si>
    <t xml:space="preserve">Total Liabilities</t>
  </si>
  <si>
    <t xml:space="preserve">Shareholder's Equity</t>
  </si>
  <si>
    <t xml:space="preserve">Equity Capital</t>
  </si>
  <si>
    <t xml:space="preserve">Retained Earnings</t>
  </si>
  <si>
    <t xml:space="preserve">Total Liabilities &amp; Shareholder's Equity</t>
  </si>
  <si>
    <t xml:space="preserve">Check</t>
  </si>
  <si>
    <t xml:space="preserve">Cash Flow Statement</t>
  </si>
  <si>
    <t xml:space="preserve">Operating Cash Flow</t>
  </si>
  <si>
    <t xml:space="preserve">Plus: Depreciation &amp; Amortization</t>
  </si>
  <si>
    <t xml:space="preserve">Less: Changes in Working Capital</t>
  </si>
  <si>
    <t xml:space="preserve">Cash from Operations</t>
  </si>
  <si>
    <t xml:space="preserve">Investing Cash Flow</t>
  </si>
  <si>
    <t xml:space="preserve">Investments in Property &amp; Equipment</t>
  </si>
  <si>
    <t xml:space="preserve">Cash from Investing</t>
  </si>
  <si>
    <t xml:space="preserve">Financing Cash Flow</t>
  </si>
  <si>
    <t xml:space="preserve">Issuance (repayment) of debt</t>
  </si>
  <si>
    <t xml:space="preserve">Issuance (repayment) of equity</t>
  </si>
  <si>
    <t xml:space="preserve">Cash from Financing</t>
  </si>
  <si>
    <t xml:space="preserve">Net Increase (decrease) in Cash</t>
  </si>
  <si>
    <t xml:space="preserve">Opening Cash Balance</t>
  </si>
  <si>
    <t xml:space="preserve">Closing Cash Balance</t>
  </si>
  <si>
    <t xml:space="preserve">Supporting Schedules</t>
  </si>
  <si>
    <t xml:space="preserve">Working Capital Schedule</t>
  </si>
  <si>
    <t xml:space="preserve">Net Working Capital (NWC)</t>
  </si>
  <si>
    <t xml:space="preserve">Change in NWC</t>
  </si>
  <si>
    <t xml:space="preserve">Depreciation Schedule</t>
  </si>
  <si>
    <t xml:space="preserve">Opening Fixed Assets</t>
  </si>
  <si>
    <t xml:space="preserve">Plus Capex</t>
  </si>
  <si>
    <t xml:space="preserve">Less Depreciation</t>
  </si>
  <si>
    <t xml:space="preserve">Closing fixed assets</t>
  </si>
  <si>
    <t xml:space="preserve">Debt &amp; Interest Schedule</t>
  </si>
  <si>
    <t xml:space="preserve">Debt Opening</t>
  </si>
  <si>
    <t xml:space="preserve">Issuance (repayment)</t>
  </si>
  <si>
    <t xml:space="preserve">Debt Closing</t>
  </si>
  <si>
    <t xml:space="preserve">Interest Expense</t>
  </si>
  <si>
    <t xml:space="preserve">DCF Model</t>
  </si>
  <si>
    <t xml:space="preserve">EBIT</t>
  </si>
  <si>
    <t xml:space="preserve">Interest</t>
  </si>
  <si>
    <t xml:space="preserve">NOPAT</t>
  </si>
  <si>
    <t xml:space="preserve">Less: Cash Taxes</t>
  </si>
  <si>
    <t xml:space="preserve">Plus: D&amp;A</t>
  </si>
  <si>
    <t xml:space="preserve">EBITDA</t>
  </si>
  <si>
    <t xml:space="preserve">Less: Capex</t>
  </si>
  <si>
    <t xml:space="preserve">Less: Changes in NWC</t>
  </si>
  <si>
    <t xml:space="preserve">Unlevered FCF</t>
  </si>
  <si>
    <t xml:space="preserve">Discount rate/factor</t>
  </si>
  <si>
    <t xml:space="preserve">Discounted Cash Flow</t>
  </si>
  <si>
    <t xml:space="preserve">NPV</t>
  </si>
  <si>
    <t xml:space="preserve">IRR</t>
  </si>
  <si>
    <t xml:space="preserve">Payback </t>
  </si>
  <si>
    <t xml:space="preserve">Cumm FCF</t>
  </si>
  <si>
    <t xml:space="preserve">Years</t>
  </si>
  <si>
    <t xml:space="preserve">2022-2023 Marketing Plan</t>
  </si>
  <si>
    <t xml:space="preserve">Category</t>
  </si>
  <si>
    <t xml:space="preserve">Sub Category</t>
  </si>
  <si>
    <t xml:space="preserve">Project</t>
  </si>
  <si>
    <t xml:space="preserve">Q2</t>
  </si>
  <si>
    <t xml:space="preserve">Q3</t>
  </si>
  <si>
    <t xml:space="preserve">Q4</t>
  </si>
  <si>
    <t xml:space="preserve">Q1-2023</t>
  </si>
  <si>
    <t xml:space="preserve">Budget</t>
  </si>
  <si>
    <t xml:space="preserve">Remark</t>
  </si>
  <si>
    <t xml:space="preserve">Digital Marketing</t>
  </si>
  <si>
    <t xml:space="preserve">Social Media</t>
  </si>
  <si>
    <t xml:space="preserve">Facebook</t>
  </si>
  <si>
    <t xml:space="preserve">Post</t>
  </si>
  <si>
    <t xml:space="preserve">Instagram</t>
  </si>
  <si>
    <t xml:space="preserve">Youtube</t>
  </si>
  <si>
    <t xml:space="preserve">Repeat</t>
  </si>
  <si>
    <t xml:space="preserve">Special Events</t>
  </si>
  <si>
    <t xml:space="preserve">Product Launch</t>
  </si>
  <si>
    <t xml:space="preserve">Discount fee</t>
  </si>
  <si>
    <t xml:space="preserve">-</t>
  </si>
  <si>
    <t xml:space="preserve">Website</t>
  </si>
  <si>
    <t xml:space="preserve">Web banners</t>
  </si>
  <si>
    <t xml:space="preserve">email Marketing</t>
  </si>
  <si>
    <t xml:space="preserve">emailer through mailchimp</t>
  </si>
  <si>
    <t xml:space="preserve">email</t>
  </si>
  <si>
    <t xml:space="preserve">Offline &amp; Other</t>
  </si>
  <si>
    <t xml:space="preserve">Events</t>
  </si>
  <si>
    <t xml:space="preserve">Road Show</t>
  </si>
  <si>
    <t xml:space="preserve">N/A</t>
  </si>
  <si>
    <t xml:space="preserve">Roadshow Event</t>
  </si>
  <si>
    <t xml:space="preserve">Partnerships</t>
  </si>
  <si>
    <t xml:space="preserve">     Agents (local Education consultancy firms)</t>
  </si>
  <si>
    <t xml:space="preserve">appointment of Agents and signing of contracts</t>
  </si>
  <si>
    <t xml:space="preserve">Monthly Report</t>
  </si>
  <si>
    <t xml:space="preserve">Print Advertisements</t>
  </si>
  <si>
    <t xml:space="preserve">Magazines</t>
  </si>
  <si>
    <t xml:space="preserve">Brochures</t>
  </si>
  <si>
    <t xml:space="preserve">1000 Nos</t>
  </si>
  <si>
    <t xml:space="preserve">Banners</t>
  </si>
  <si>
    <t xml:space="preserve">Total Budget</t>
  </si>
  <si>
    <t xml:space="preserve">Launch</t>
  </si>
  <si>
    <t xml:space="preserve">audio visual</t>
  </si>
  <si>
    <t xml:space="preserve">partnership with agents</t>
  </si>
  <si>
    <t xml:space="preserve">Social media boost</t>
  </si>
  <si>
    <t xml:space="preserve">sms blast (3 times)</t>
  </si>
  <si>
    <t xml:space="preserve">brochures</t>
  </si>
  <si>
    <t xml:space="preserve">print media</t>
  </si>
  <si>
    <t xml:space="preserve">bannar at branch</t>
  </si>
  <si>
    <t xml:space="preserve">Year-1  </t>
  </si>
  <si>
    <t xml:space="preserve">Year-2 </t>
  </si>
  <si>
    <t xml:space="preserve">Year-3 </t>
  </si>
  <si>
    <t xml:space="preserve">Year-4 </t>
  </si>
  <si>
    <t xml:space="preserve">Year-5 </t>
  </si>
  <si>
    <t xml:space="preserve">Total for 5 Years  </t>
  </si>
  <si>
    <t xml:space="preserve">MONTH</t>
  </si>
  <si>
    <t xml:space="preserve">TRANSACTION</t>
  </si>
  <si>
    <t xml:space="preserve">SL.NO</t>
  </si>
  <si>
    <t xml:space="preserve">Month</t>
  </si>
  <si>
    <t xml:space="preserve">TRANSACTION_COUNT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</si>
  <si>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</si>
  <si>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</si>
  <si>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</si>
  <si>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</si>
  <si>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</si>
  <si>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</si>
  <si>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 Jul</t>
  </si>
  <si>
    <t xml:space="preserve">Aug</t>
  </si>
  <si>
    <t xml:space="preserve">Oct</t>
  </si>
  <si>
    <t xml:space="preserve">Sep</t>
  </si>
  <si>
    <t xml:space="preserve">Nov</t>
  </si>
  <si>
    <t xml:space="preserve">Dec</t>
  </si>
  <si>
    <t xml:space="preserve">USD @</t>
  </si>
  <si>
    <t xml:space="preserve">Total AMC</t>
  </si>
  <si>
    <t xml:space="preserve">Application</t>
  </si>
  <si>
    <t xml:space="preserve">Staff expenses</t>
  </si>
  <si>
    <t xml:space="preserve">YEAR</t>
  </si>
  <si>
    <t xml:space="preserve">Payment gateway</t>
  </si>
  <si>
    <t xml:space="preserve">Basic Salary</t>
  </si>
  <si>
    <t xml:space="preserve">Samuh</t>
  </si>
  <si>
    <t xml:space="preserve">Banking Allowance</t>
  </si>
  <si>
    <t xml:space="preserve">Topups</t>
  </si>
  <si>
    <t xml:space="preserve">Corporate Allowance</t>
  </si>
  <si>
    <t xml:space="preserve">Cardless Withdrawal</t>
  </si>
  <si>
    <t xml:space="preserve">PBVA</t>
  </si>
  <si>
    <t xml:space="preserve">QR</t>
  </si>
  <si>
    <t xml:space="preserve">PF</t>
  </si>
  <si>
    <t xml:space="preserve">Lottery</t>
  </si>
  <si>
    <t xml:space="preserve">add money</t>
  </si>
  <si>
    <t xml:space="preserve">Vote</t>
  </si>
  <si>
    <t xml:space="preserve">four different jobs</t>
  </si>
  <si>
    <t xml:space="preserve">flight</t>
  </si>
  <si>
    <t xml:space="preserve">insurance</t>
  </si>
  <si>
    <t xml:space="preserve">thromde</t>
  </si>
  <si>
    <t xml:space="preserve">cheque deposit</t>
  </si>
  <si>
    <t xml:space="preserve">cards</t>
  </si>
  <si>
    <t xml:space="preserve">other Banking</t>
  </si>
</sst>
</file>

<file path=xl/styles.xml><?xml version="1.0" encoding="utf-8"?>
<styleSheet xmlns="http://schemas.openxmlformats.org/spreadsheetml/2006/main">
  <numFmts count="18">
    <numFmt numFmtId="164" formatCode="General"/>
    <numFmt numFmtId="165" formatCode="_(* #,##0.00_);_(* \(#,##0.00\);_(* \-??_);_(@_)"/>
    <numFmt numFmtId="166" formatCode="_-* #,##0.00_-;\-* #,##0.00_-;_-* \-??_-;_-@_-"/>
    <numFmt numFmtId="167" formatCode="_-* #,##0_-;\(#,##0\)_-;_-* \-_-;_-@_-"/>
    <numFmt numFmtId="168" formatCode="&quot;Yr &quot;0"/>
    <numFmt numFmtId="169" formatCode="0%"/>
    <numFmt numFmtId="170" formatCode="0.0%"/>
    <numFmt numFmtId="171" formatCode="_-* #,##0_-;\-* #,##0_-;_-* \-??_-;_-@_-"/>
    <numFmt numFmtId="172" formatCode="0.00%"/>
    <numFmt numFmtId="173" formatCode="0.00"/>
    <numFmt numFmtId="174" formatCode="0"/>
    <numFmt numFmtId="175" formatCode="#,##0.00"/>
    <numFmt numFmtId="176" formatCode="_-* #,##0.00_-;\(#,##0.00\)_-;_-* \-_-;_-@_-"/>
    <numFmt numFmtId="177" formatCode="0.0000_ ;\-0.0000\ "/>
    <numFmt numFmtId="178" formatCode="_(* #,##0_);_(* \(#,##0\);_(* \-??_);_(@_)"/>
    <numFmt numFmtId="179" formatCode="_-* #,##0.00,,_-;\(#,##0.00,,\)_-;_-* \-_-;_-@_-"/>
    <numFmt numFmtId="180" formatCode="d\-mmm"/>
    <numFmt numFmtId="181" formatCode="#,##0"/>
  </numFmts>
  <fonts count="2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563C1"/>
      <name val="Arial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color rgb="FFFFFFFF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i val="true"/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sz val="11"/>
      <color rgb="FF0000FF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i val="true"/>
      <sz val="11"/>
      <name val="Arial"/>
      <family val="2"/>
      <charset val="1"/>
    </font>
    <font>
      <b val="true"/>
      <sz val="11"/>
      <color rgb="FF0000FF"/>
      <name val="Arial"/>
      <family val="2"/>
      <charset val="1"/>
    </font>
    <font>
      <b val="true"/>
      <sz val="14"/>
      <color rgb="FF000000"/>
      <name val="Tw Cen MT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Tw Cen MT"/>
      <family val="2"/>
      <charset val="1"/>
    </font>
    <font>
      <sz val="10"/>
      <color rgb="FF000000"/>
      <name val="Tw Cen MT"/>
      <family val="2"/>
      <charset val="1"/>
    </font>
    <font>
      <sz val="11"/>
      <color rgb="FF000000"/>
      <name val="Tw Cen MT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8"/>
      <color rgb="FF000000"/>
      <name val="Segoe UI"/>
      <family val="0"/>
      <charset val="1"/>
    </font>
    <font>
      <b val="true"/>
      <sz val="11"/>
      <color rgb="FFFFFFFF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132E57"/>
        <bgColor rgb="FF333333"/>
      </patternFill>
    </fill>
    <fill>
      <patternFill patternType="solid">
        <fgColor rgb="FF1E8496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D0CECE"/>
        <bgColor rgb="FFCCCCFF"/>
      </patternFill>
    </fill>
    <fill>
      <patternFill patternType="solid">
        <fgColor rgb="FFF2F2F2"/>
        <bgColor rgb="FFDEEBF7"/>
      </patternFill>
    </fill>
    <fill>
      <patternFill patternType="solid">
        <fgColor rgb="FFED7D31"/>
        <bgColor rgb="FFFF8080"/>
      </patternFill>
    </fill>
    <fill>
      <patternFill patternType="solid">
        <fgColor rgb="FFFFFFFF"/>
        <bgColor rgb="FFF2F2F2"/>
      </patternFill>
    </fill>
    <fill>
      <patternFill patternType="solid">
        <fgColor rgb="FF5B9BD5"/>
        <bgColor rgb="FF969696"/>
      </patternFill>
    </fill>
    <fill>
      <patternFill patternType="solid">
        <fgColor rgb="FFDEEBF7"/>
        <bgColor rgb="FFF2F2F2"/>
      </patternFill>
    </fill>
  </fills>
  <borders count="18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double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9DC3E6"/>
      </left>
      <right/>
      <top style="thin">
        <color rgb="FF9DC3E6"/>
      </top>
      <bottom style="thin">
        <color rgb="FF9DC3E6"/>
      </bottom>
      <diagonal/>
    </border>
    <border diagonalUp="false" diagonalDown="false">
      <left/>
      <right style="thin">
        <color rgb="FF9DC3E6"/>
      </right>
      <top style="thin">
        <color rgb="FF9DC3E6"/>
      </top>
      <bottom style="thin">
        <color rgb="FF9DC3E6"/>
      </bottom>
      <diagonal/>
    </border>
  </borders>
  <cellStyleXfs count="3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1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6" fillId="0" borderId="0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6" fillId="0" borderId="0" xfId="15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7" fillId="2" borderId="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6" fillId="2" borderId="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6" fillId="2" borderId="0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6" fillId="2" borderId="0" xfId="15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8" fillId="2" borderId="0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8" fillId="2" borderId="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8" fillId="2" borderId="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9" fillId="0" borderId="0" xfId="15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9" fillId="0" borderId="0" xfId="15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9" fillId="0" borderId="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8" fillId="3" borderId="0" xfId="2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0" fillId="3" borderId="0" xfId="2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0" fillId="3" borderId="0" xfId="21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11" fillId="0" borderId="0" xfId="15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11" fillId="0" borderId="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2" fillId="0" borderId="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3" fillId="0" borderId="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3" fillId="0" borderId="0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10" fillId="0" borderId="0" xfId="15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0" fontId="11" fillId="0" borderId="0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6" fillId="0" borderId="0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6" fillId="0" borderId="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6" fillId="0" borderId="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2" fontId="6" fillId="4" borderId="0" xfId="19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2" fontId="6" fillId="0" borderId="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6" fillId="5" borderId="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11" fillId="5" borderId="0" xfId="19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11" fillId="5" borderId="0" xfId="15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3" fontId="11" fillId="5" borderId="0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6" fillId="5" borderId="0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6" fillId="5" borderId="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6" fillId="5" borderId="0" xfId="15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0" fontId="11" fillId="5" borderId="0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6" fillId="0" borderId="0" xfId="15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0" fontId="11" fillId="0" borderId="0" xfId="19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6" fillId="0" borderId="0" xfId="15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73" fontId="6" fillId="0" borderId="0" xfId="19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3" fontId="11" fillId="0" borderId="0" xfId="19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4" fontId="11" fillId="0" borderId="0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3" fontId="11" fillId="0" borderId="0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6" fillId="6" borderId="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6" fillId="6" borderId="0" xfId="15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0" fontId="11" fillId="6" borderId="0" xfId="19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0" fontId="11" fillId="6" borderId="0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6" fillId="6" borderId="0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6" fillId="6" borderId="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9" fillId="0" borderId="0" xfId="15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0" fontId="14" fillId="0" borderId="0" xfId="19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0" fontId="14" fillId="0" borderId="0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9" fillId="0" borderId="0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9" fillId="0" borderId="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9" fillId="4" borderId="0" xfId="15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0" fontId="14" fillId="4" borderId="0" xfId="19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4" fontId="11" fillId="0" borderId="0" xfId="19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2" fontId="6" fillId="0" borderId="0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0" xfId="15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14" fillId="0" borderId="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6" fontId="6" fillId="0" borderId="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6" fontId="9" fillId="0" borderId="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8" fillId="3" borderId="0" xfId="21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8" fillId="3" borderId="0" xfId="21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13" fillId="0" borderId="0" xfId="15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15" fillId="0" borderId="0" xfId="15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15" fillId="0" borderId="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0" fillId="0" borderId="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6" fontId="13" fillId="0" borderId="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15" fillId="0" borderId="0" xfId="19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9" fontId="15" fillId="0" borderId="0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12" fillId="0" borderId="0" xfId="19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9" fontId="12" fillId="0" borderId="0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6" fillId="0" borderId="0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2" fillId="0" borderId="0" xfId="15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6" fontId="10" fillId="0" borderId="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3" fillId="0" borderId="1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3" fillId="0" borderId="1" xfId="15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10" fillId="0" borderId="1" xfId="15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10" fillId="0" borderId="1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6" fontId="10" fillId="0" borderId="1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6" fillId="0" borderId="0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13" fillId="0" borderId="2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3" fillId="0" borderId="2" xfId="15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10" fillId="0" borderId="2" xfId="15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10" fillId="0" borderId="2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0" fillId="0" borderId="2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7" fontId="13" fillId="0" borderId="3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3" fillId="0" borderId="3" xfId="15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10" fillId="0" borderId="3" xfId="15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10" fillId="0" borderId="3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7" fontId="9" fillId="0" borderId="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7" fontId="9" fillId="0" borderId="0" xfId="15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7" fontId="9" fillId="0" borderId="0" xfId="15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6" fillId="0" borderId="1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6" fillId="0" borderId="1" xfId="15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1" xfId="15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11" fillId="0" borderId="1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1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6" fillId="0" borderId="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6" fontId="11" fillId="0" borderId="1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6" fillId="0" borderId="4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6" fillId="0" borderId="4" xfId="15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6" fillId="0" borderId="4" xfId="15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6" fillId="0" borderId="4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9" fontId="6" fillId="0" borderId="1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6" fontId="11" fillId="0" borderId="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1" fillId="0" borderId="4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3" fillId="0" borderId="0" xfId="15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9" fontId="13" fillId="0" borderId="1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6" fillId="0" borderId="0" xfId="19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8" fillId="7" borderId="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8" fillId="7" borderId="0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8" fillId="0" borderId="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8" fillId="7" borderId="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18" fillId="8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0" fontId="18" fillId="8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8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8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8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8" borderId="9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8" fillId="8" borderId="11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8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8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1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6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8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8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8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8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8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2" fillId="0" borderId="5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17" fillId="0" borderId="15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9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10" borderId="1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Comma 3" xfId="21"/>
    <cellStyle name="Comma 4" xfId="22"/>
    <cellStyle name="Hyperlink 2" xfId="23"/>
    <cellStyle name="Hyperlink 2 2" xfId="24"/>
    <cellStyle name="Normal 2" xfId="25"/>
    <cellStyle name="Normal 2 2" xfId="26"/>
    <cellStyle name="Normal 2 3" xfId="27"/>
    <cellStyle name="Normal 3" xfId="28"/>
    <cellStyle name="Normal 3 2" xfId="29"/>
    <cellStyle name="Normal 4" xfId="30"/>
    <cellStyle name="Normal 5" xfId="31"/>
    <cellStyle name="Normal 6" xfId="32"/>
  </cellStyles>
  <dxfs count="2">
    <dxf>
      <font>
        <color rgb="FF006100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1E8496"/>
      <rgbColor rgb="FFD0CECE"/>
      <rgbColor rgb="FF808080"/>
      <rgbColor rgb="FF5B9BD5"/>
      <rgbColor rgb="FF993366"/>
      <rgbColor rgb="FFF2F2F2"/>
      <rgbColor rgb="FFDEEBF7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132E57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34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11" activeCellId="0" sqref="C11"/>
    </sheetView>
  </sheetViews>
  <sheetFormatPr defaultColWidth="9.1796875" defaultRowHeight="13.5" zeroHeight="false" outlineLevelRow="1" outlineLevelCol="0"/>
  <cols>
    <col collapsed="false" customWidth="true" hidden="false" outlineLevel="0" max="1" min="1" style="1" width="26.45"/>
    <col collapsed="false" customWidth="true" hidden="false" outlineLevel="0" max="2" min="2" style="1" width="6.73"/>
    <col collapsed="false" customWidth="true" hidden="false" outlineLevel="0" max="3" min="3" style="2" width="11.17"/>
    <col collapsed="false" customWidth="true" hidden="false" outlineLevel="0" max="4" min="4" style="3" width="7.82"/>
    <col collapsed="false" customWidth="true" hidden="false" outlineLevel="0" max="5" min="5" style="1" width="15.09"/>
    <col collapsed="false" customWidth="true" hidden="false" outlineLevel="0" max="6" min="6" style="1" width="16.09"/>
    <col collapsed="false" customWidth="true" hidden="false" outlineLevel="0" max="7" min="7" style="1" width="16.45"/>
    <col collapsed="false" customWidth="true" hidden="false" outlineLevel="0" max="8" min="8" style="1" width="15.63"/>
    <col collapsed="false" customWidth="true" hidden="false" outlineLevel="0" max="9" min="9" style="1" width="15.89"/>
    <col collapsed="false" customWidth="true" hidden="false" outlineLevel="0" max="10" min="10" style="1" width="24.18"/>
    <col collapsed="false" customWidth="true" hidden="false" outlineLevel="0" max="11" min="11" style="1" width="15.89"/>
    <col collapsed="false" customWidth="true" hidden="false" outlineLevel="0" max="12" min="12" style="1" width="14"/>
    <col collapsed="false" customWidth="false" hidden="false" outlineLevel="0" max="1024" min="13" style="1" width="9.18"/>
  </cols>
  <sheetData>
    <row r="1" customFormat="false" ht="13.5" hidden="false" customHeight="false" outlineLevel="0" collapsed="false">
      <c r="A1" s="4" t="s">
        <v>0</v>
      </c>
      <c r="B1" s="5"/>
      <c r="C1" s="6"/>
      <c r="D1" s="7"/>
      <c r="E1" s="6"/>
      <c r="F1" s="6"/>
      <c r="G1" s="8" t="s">
        <v>1</v>
      </c>
      <c r="H1" s="8"/>
      <c r="I1" s="8"/>
      <c r="J1" s="8"/>
      <c r="K1" s="8"/>
    </row>
    <row r="2" customFormat="false" ht="21.75" hidden="false" customHeight="true" outlineLevel="0" collapsed="false">
      <c r="A2" s="9" t="s">
        <v>2</v>
      </c>
      <c r="B2" s="9"/>
      <c r="C2" s="8"/>
      <c r="D2" s="7"/>
      <c r="E2" s="6"/>
      <c r="F2" s="6"/>
      <c r="G2" s="10" t="n">
        <v>1</v>
      </c>
      <c r="H2" s="10" t="n">
        <f aca="false">+G2+1</f>
        <v>2</v>
      </c>
      <c r="I2" s="10" t="n">
        <f aca="false">+H2+1</f>
        <v>3</v>
      </c>
      <c r="J2" s="10" t="n">
        <f aca="false">+I2+1</f>
        <v>4</v>
      </c>
      <c r="K2" s="10" t="n">
        <f aca="false">+J2+1</f>
        <v>5</v>
      </c>
    </row>
    <row r="3" customFormat="false" ht="14.25" hidden="false" customHeight="false" outlineLevel="0" collapsed="false">
      <c r="A3" s="1" t="s">
        <v>3</v>
      </c>
      <c r="D3" s="11"/>
      <c r="E3" s="12"/>
      <c r="F3" s="12"/>
      <c r="G3" s="12" t="str">
        <f aca="false">IFERROR(IF(ABS(G67)&gt;1,"ERROR","OK"),"OK")</f>
        <v>OK</v>
      </c>
      <c r="H3" s="12" t="str">
        <f aca="false">IFERROR(IF(ABS(H67)&gt;1,"ERROR","OK"),"OK")</f>
        <v>OK</v>
      </c>
      <c r="I3" s="12" t="str">
        <f aca="false">IFERROR(IF(ABS(I67)&gt;1,"ERROR","OK"),"OK")</f>
        <v>OK</v>
      </c>
      <c r="J3" s="12" t="str">
        <f aca="false">IFERROR(IF(ABS(J67)&gt;1,"ERROR","OK"),"OK")</f>
        <v>OK</v>
      </c>
      <c r="K3" s="12" t="str">
        <f aca="false">IFERROR(IF(ABS(K67)&gt;1,"ERROR","OK"),"OK")</f>
        <v>OK</v>
      </c>
    </row>
    <row r="4" customFormat="false" ht="14.25" hidden="false" customHeight="false" outlineLevel="0" collapsed="false">
      <c r="J4" s="13" t="s">
        <v>4</v>
      </c>
    </row>
    <row r="5" customFormat="false" ht="13.5" hidden="false" customHeight="false" outlineLevel="0" collapsed="false">
      <c r="A5" s="14" t="s">
        <v>5</v>
      </c>
      <c r="B5" s="15"/>
      <c r="C5" s="15"/>
      <c r="D5" s="16"/>
      <c r="E5" s="15"/>
      <c r="F5" s="15"/>
      <c r="G5" s="15"/>
      <c r="H5" s="15"/>
      <c r="I5" s="15"/>
      <c r="J5" s="15"/>
      <c r="K5" s="15"/>
    </row>
    <row r="6" customFormat="false" ht="13.5" hidden="false" customHeight="false" outlineLevel="1" collapsed="false">
      <c r="D6" s="17"/>
      <c r="E6" s="18"/>
      <c r="F6" s="18"/>
      <c r="G6" s="19"/>
      <c r="H6" s="19"/>
      <c r="I6" s="19"/>
      <c r="J6" s="19"/>
      <c r="K6" s="19"/>
    </row>
    <row r="7" customFormat="false" ht="13.5" hidden="false" customHeight="false" outlineLevel="1" collapsed="false">
      <c r="A7" s="1" t="s">
        <v>6</v>
      </c>
      <c r="B7" s="20"/>
      <c r="C7" s="21"/>
      <c r="D7" s="22"/>
      <c r="E7" s="23"/>
      <c r="F7" s="24"/>
      <c r="G7" s="24"/>
      <c r="H7" s="24"/>
      <c r="I7" s="24"/>
      <c r="J7" s="24"/>
      <c r="K7" s="24"/>
    </row>
    <row r="8" customFormat="false" ht="13.8" hidden="false" customHeight="false" outlineLevel="1" collapsed="false">
      <c r="A8" s="1" t="s">
        <v>7</v>
      </c>
      <c r="B8" s="20"/>
      <c r="C8" s="21"/>
      <c r="D8" s="22"/>
      <c r="E8" s="23"/>
      <c r="F8" s="25"/>
      <c r="G8" s="26" t="n">
        <v>73617</v>
      </c>
      <c r="H8" s="26" t="n">
        <f aca="false">ROUND(G8*(1+$C$9),0)</f>
        <v>88340</v>
      </c>
      <c r="I8" s="26" t="n">
        <f aca="false">ROUND(H8*(1+$C$9),0)</f>
        <v>106008</v>
      </c>
      <c r="J8" s="26" t="n">
        <f aca="false">ROUND(I8*(1+$C$9),0)</f>
        <v>127210</v>
      </c>
      <c r="K8" s="26" t="n">
        <f aca="false">ROUND(J8*(1+$C$9),0)</f>
        <v>152652</v>
      </c>
    </row>
    <row r="9" customFormat="false" ht="13.5" hidden="false" customHeight="false" outlineLevel="1" collapsed="false">
      <c r="A9" s="1" t="s">
        <v>8</v>
      </c>
      <c r="C9" s="27" t="n">
        <v>0.2</v>
      </c>
      <c r="D9" s="17"/>
      <c r="E9" s="23"/>
      <c r="F9" s="25"/>
      <c r="G9" s="25"/>
      <c r="H9" s="28"/>
      <c r="I9" s="28"/>
      <c r="J9" s="28"/>
      <c r="K9" s="28"/>
    </row>
    <row r="10" customFormat="false" ht="13.8" hidden="false" customHeight="false" outlineLevel="1" collapsed="false">
      <c r="A10" s="29" t="s">
        <v>9</v>
      </c>
      <c r="B10" s="29"/>
      <c r="C10" s="30" t="n">
        <v>0.022</v>
      </c>
      <c r="D10" s="31"/>
      <c r="E10" s="32" t="n">
        <v>160</v>
      </c>
      <c r="F10" s="33"/>
      <c r="G10" s="34" t="n">
        <f aca="false">$C$10*G8*E10</f>
        <v>259131.84</v>
      </c>
      <c r="H10" s="34" t="n">
        <f aca="false">$C$10*H8*E10</f>
        <v>310956.8</v>
      </c>
      <c r="I10" s="34" t="n">
        <f aca="false">$C$10*I8*E10</f>
        <v>373148.16</v>
      </c>
      <c r="J10" s="34" t="n">
        <f aca="false">$C$10*J8*E10</f>
        <v>447779.2</v>
      </c>
      <c r="K10" s="34" t="n">
        <f aca="false">$C$10*K8*E10</f>
        <v>537335.04</v>
      </c>
    </row>
    <row r="11" customFormat="false" ht="13.5" hidden="false" customHeight="false" outlineLevel="1" collapsed="false">
      <c r="A11" s="29" t="s">
        <v>10</v>
      </c>
      <c r="B11" s="29"/>
      <c r="C11" s="35"/>
      <c r="D11" s="31"/>
      <c r="E11" s="36"/>
      <c r="F11" s="34"/>
      <c r="G11" s="34" t="n">
        <f aca="false">G10</f>
        <v>259131.84</v>
      </c>
      <c r="H11" s="34" t="n">
        <f aca="false">H10</f>
        <v>310956.8</v>
      </c>
      <c r="I11" s="34" t="n">
        <f aca="false">I10</f>
        <v>373148.16</v>
      </c>
      <c r="J11" s="34" t="n">
        <f aca="false">J10</f>
        <v>447779.2</v>
      </c>
      <c r="K11" s="34" t="n">
        <f aca="false">K10</f>
        <v>537335.04</v>
      </c>
    </row>
    <row r="12" customFormat="false" ht="13.5" hidden="false" customHeight="false" outlineLevel="1" collapsed="false">
      <c r="C12" s="37"/>
      <c r="D12" s="17"/>
      <c r="E12" s="23"/>
      <c r="F12" s="24"/>
      <c r="G12" s="25"/>
      <c r="H12" s="24"/>
      <c r="I12" s="24"/>
      <c r="J12" s="24"/>
      <c r="K12" s="24"/>
    </row>
    <row r="13" customFormat="false" ht="13.8" hidden="false" customHeight="false" outlineLevel="1" collapsed="false">
      <c r="A13" s="1" t="s">
        <v>11</v>
      </c>
      <c r="C13" s="37"/>
      <c r="D13" s="38"/>
      <c r="E13" s="23"/>
      <c r="F13" s="25"/>
      <c r="G13" s="25"/>
      <c r="H13" s="25" t="n">
        <f aca="false">Expenses!$B$10</f>
        <v>121909.333333333</v>
      </c>
      <c r="I13" s="25" t="n">
        <f aca="false">Expenses!$B$10</f>
        <v>121909.333333333</v>
      </c>
      <c r="J13" s="25" t="n">
        <f aca="false">Expenses!$B$10</f>
        <v>121909.333333333</v>
      </c>
      <c r="K13" s="25" t="n">
        <f aca="false">Expenses!$B$10</f>
        <v>121909.333333333</v>
      </c>
    </row>
    <row r="14" customFormat="false" ht="13.5" hidden="false" customHeight="false" outlineLevel="1" collapsed="false">
      <c r="A14" s="1" t="s">
        <v>12</v>
      </c>
      <c r="B14" s="39"/>
      <c r="C14" s="40" t="n">
        <v>0</v>
      </c>
      <c r="D14" s="41" t="n">
        <v>0</v>
      </c>
      <c r="E14" s="42" t="n">
        <v>0</v>
      </c>
      <c r="F14" s="25"/>
      <c r="G14" s="25" t="n">
        <v>0</v>
      </c>
      <c r="H14" s="25" t="n">
        <v>0</v>
      </c>
      <c r="I14" s="25" t="n">
        <v>0</v>
      </c>
      <c r="J14" s="25" t="n">
        <v>0</v>
      </c>
      <c r="K14" s="25" t="n">
        <v>0</v>
      </c>
    </row>
    <row r="15" customFormat="false" ht="13.5" hidden="false" customHeight="false" outlineLevel="1" collapsed="false">
      <c r="A15" s="1" t="s">
        <v>13</v>
      </c>
      <c r="B15" s="39"/>
      <c r="C15" s="2" t="n">
        <v>0</v>
      </c>
      <c r="D15" s="40" t="n">
        <v>0</v>
      </c>
      <c r="E15" s="43" t="n">
        <v>0</v>
      </c>
      <c r="F15" s="25"/>
      <c r="G15" s="25" t="n">
        <f aca="false">((70%*G8*$C$15)+(25%*G8*$D$15)+(5%*G8*$E$15))</f>
        <v>0</v>
      </c>
      <c r="H15" s="25" t="n">
        <f aca="false">((70%*H8*$C$15)+(25%*H8*$D$15)+(5%*H8*$E$15))</f>
        <v>0</v>
      </c>
      <c r="I15" s="25" t="n">
        <f aca="false">((70%*I8*$C$15)+(25%*I8*$D$15)+(5%*I8*$E$15))</f>
        <v>0</v>
      </c>
      <c r="J15" s="25" t="n">
        <f aca="false">((70%*J8*$C$15)+(25%*J8*$D$15)+(5%*J8*$E$15))</f>
        <v>0</v>
      </c>
      <c r="K15" s="25" t="n">
        <f aca="false">((70%*K8*$C$15)+(25%*K8*$D$15)+(5%*K8*$E$15))</f>
        <v>0</v>
      </c>
    </row>
    <row r="16" customFormat="false" ht="13.5" hidden="false" customHeight="false" outlineLevel="1" collapsed="false">
      <c r="A16" s="44" t="s">
        <v>14</v>
      </c>
      <c r="B16" s="44"/>
      <c r="C16" s="45"/>
      <c r="D16" s="46"/>
      <c r="E16" s="47"/>
      <c r="F16" s="48"/>
      <c r="G16" s="49" t="n">
        <f aca="false">25*Expenses!B1*12</f>
        <v>24936</v>
      </c>
      <c r="H16" s="49" t="n">
        <f aca="false">G16</f>
        <v>24936</v>
      </c>
      <c r="I16" s="49" t="n">
        <f aca="false">H16</f>
        <v>24936</v>
      </c>
      <c r="J16" s="49" t="n">
        <f aca="false">I16</f>
        <v>24936</v>
      </c>
      <c r="K16" s="49" t="n">
        <f aca="false">J16</f>
        <v>24936</v>
      </c>
    </row>
    <row r="17" s="13" customFormat="true" ht="14.25" hidden="false" customHeight="false" outlineLevel="1" collapsed="false">
      <c r="A17" s="50" t="s">
        <v>15</v>
      </c>
      <c r="C17" s="12"/>
      <c r="D17" s="51"/>
      <c r="E17" s="52"/>
      <c r="F17" s="53"/>
      <c r="G17" s="54" t="n">
        <f aca="false">MKT!D25</f>
        <v>0</v>
      </c>
      <c r="H17" s="54" t="n">
        <v>0</v>
      </c>
      <c r="I17" s="54" t="n">
        <v>0</v>
      </c>
      <c r="J17" s="54" t="n">
        <v>0</v>
      </c>
      <c r="K17" s="54" t="n">
        <v>0</v>
      </c>
    </row>
    <row r="18" s="13" customFormat="true" ht="14.25" hidden="false" customHeight="false" outlineLevel="1" collapsed="false">
      <c r="A18" s="50" t="s">
        <v>16</v>
      </c>
      <c r="C18" s="55" t="n">
        <v>0</v>
      </c>
      <c r="D18" s="56" t="n">
        <v>0</v>
      </c>
      <c r="E18" s="52"/>
      <c r="F18" s="53"/>
      <c r="G18" s="54" t="n">
        <f aca="false">C18*D18*C10</f>
        <v>0</v>
      </c>
      <c r="H18" s="54"/>
      <c r="I18" s="54"/>
      <c r="J18" s="54"/>
      <c r="K18" s="54"/>
    </row>
    <row r="19" s="13" customFormat="true" ht="14.25" hidden="false" customHeight="false" outlineLevel="1" collapsed="false">
      <c r="A19" s="50" t="s">
        <v>17</v>
      </c>
      <c r="C19" s="12"/>
      <c r="D19" s="51"/>
      <c r="E19" s="52"/>
      <c r="F19" s="53"/>
      <c r="G19" s="54"/>
      <c r="H19" s="54" t="n">
        <v>0</v>
      </c>
      <c r="I19" s="54" t="n">
        <v>0</v>
      </c>
      <c r="J19" s="54" t="n">
        <v>0</v>
      </c>
      <c r="K19" s="54" t="n">
        <v>0</v>
      </c>
    </row>
    <row r="20" customFormat="false" ht="13.5" hidden="false" customHeight="false" outlineLevel="1" collapsed="false">
      <c r="A20" s="1" t="s">
        <v>18</v>
      </c>
      <c r="C20" s="37"/>
      <c r="D20" s="57"/>
      <c r="E20" s="23"/>
      <c r="F20" s="25"/>
      <c r="G20" s="25" t="n">
        <f aca="false">Expenses!I12</f>
        <v>126582</v>
      </c>
      <c r="H20" s="25" t="n">
        <f aca="false">G20*(1+0.025)</f>
        <v>129746.55</v>
      </c>
      <c r="I20" s="25" t="n">
        <f aca="false">H20*(1+0.025)</f>
        <v>132990.21375</v>
      </c>
      <c r="J20" s="25" t="n">
        <f aca="false">I20*(1+0.025)</f>
        <v>136314.96909375</v>
      </c>
      <c r="K20" s="25" t="n">
        <f aca="false">J20*(1+0.025)</f>
        <v>139722.843321094</v>
      </c>
      <c r="L20" s="58"/>
    </row>
    <row r="21" customFormat="false" ht="13.5" hidden="false" customHeight="false" outlineLevel="1" collapsed="false">
      <c r="A21" s="1" t="s">
        <v>19</v>
      </c>
      <c r="C21" s="37"/>
      <c r="D21" s="17"/>
      <c r="E21" s="18"/>
      <c r="F21" s="25"/>
      <c r="G21" s="25" t="n">
        <v>60000</v>
      </c>
      <c r="H21" s="25" t="n">
        <f aca="false">G21*(1+0.01)</f>
        <v>60600</v>
      </c>
      <c r="I21" s="25" t="n">
        <f aca="false">H21*(1+0.01)</f>
        <v>61206</v>
      </c>
      <c r="J21" s="25" t="n">
        <f aca="false">I21*(1+0.01)</f>
        <v>61818.06</v>
      </c>
      <c r="K21" s="25" t="n">
        <f aca="false">J21*(1+0.01)</f>
        <v>62436.2406</v>
      </c>
    </row>
    <row r="22" customFormat="false" ht="13.8" hidden="false" customHeight="false" outlineLevel="1" collapsed="false">
      <c r="A22" s="1" t="s">
        <v>20</v>
      </c>
      <c r="C22" s="37"/>
      <c r="D22" s="38"/>
      <c r="E22" s="23"/>
      <c r="F22" s="24"/>
      <c r="G22" s="24" t="n">
        <v>0.1429</v>
      </c>
      <c r="H22" s="24" t="n">
        <v>0.1429</v>
      </c>
      <c r="I22" s="24" t="n">
        <v>0.09</v>
      </c>
      <c r="J22" s="24" t="n">
        <v>0.09</v>
      </c>
      <c r="K22" s="24" t="n">
        <v>0.09</v>
      </c>
    </row>
    <row r="23" customFormat="false" ht="14.25" hidden="false" customHeight="false" outlineLevel="1" collapsed="false">
      <c r="A23" s="1" t="s">
        <v>21</v>
      </c>
      <c r="B23" s="13"/>
      <c r="C23" s="12"/>
      <c r="D23" s="38"/>
      <c r="E23" s="23"/>
      <c r="F23" s="24"/>
      <c r="G23" s="24" t="n">
        <v>0</v>
      </c>
      <c r="H23" s="24" t="n">
        <v>0</v>
      </c>
      <c r="I23" s="24" t="n">
        <f aca="false">$G$23</f>
        <v>0</v>
      </c>
      <c r="J23" s="24" t="n">
        <f aca="false">$G$23</f>
        <v>0</v>
      </c>
      <c r="K23" s="24" t="n">
        <f aca="false">$G$23</f>
        <v>0</v>
      </c>
    </row>
    <row r="24" customFormat="false" ht="13.8" hidden="false" customHeight="false" outlineLevel="1" collapsed="false">
      <c r="A24" s="1" t="s">
        <v>22</v>
      </c>
      <c r="C24" s="37"/>
      <c r="D24" s="17"/>
      <c r="E24" s="18"/>
      <c r="G24" s="59" t="n">
        <f aca="false">SUM(G25:G27)</f>
        <v>249360</v>
      </c>
      <c r="H24" s="1" t="n">
        <v>0</v>
      </c>
      <c r="I24" s="1" t="n">
        <v>0</v>
      </c>
      <c r="J24" s="1" t="n">
        <v>0</v>
      </c>
      <c r="K24" s="1" t="n">
        <v>0</v>
      </c>
    </row>
    <row r="25" s="13" customFormat="true" ht="13.8" hidden="false" customHeight="false" outlineLevel="1" collapsed="false">
      <c r="A25" s="50" t="s">
        <v>23</v>
      </c>
      <c r="C25" s="12"/>
      <c r="D25" s="60"/>
      <c r="E25" s="61"/>
      <c r="G25" s="62" t="n">
        <f aca="false">CAPEX!B10</f>
        <v>249360</v>
      </c>
    </row>
    <row r="26" s="13" customFormat="true" ht="14.25" hidden="false" customHeight="false" outlineLevel="1" collapsed="false">
      <c r="A26" s="50" t="s">
        <v>24</v>
      </c>
      <c r="C26" s="12"/>
      <c r="D26" s="60"/>
      <c r="E26" s="61"/>
      <c r="G26" s="63" t="n">
        <v>0</v>
      </c>
    </row>
    <row r="27" customFormat="false" ht="14.25" hidden="false" customHeight="false" outlineLevel="1" collapsed="false">
      <c r="A27" s="50" t="s">
        <v>25</v>
      </c>
      <c r="B27" s="39"/>
      <c r="D27" s="40"/>
      <c r="E27" s="43"/>
      <c r="F27" s="25"/>
      <c r="G27" s="63" t="n">
        <v>0</v>
      </c>
      <c r="H27" s="25"/>
      <c r="I27" s="25"/>
      <c r="J27" s="25"/>
      <c r="K27" s="25"/>
    </row>
    <row r="28" customFormat="false" ht="13.5" hidden="false" customHeight="false" outlineLevel="1" collapsed="false">
      <c r="C28" s="37"/>
      <c r="D28" s="17"/>
      <c r="E28" s="18"/>
      <c r="G28" s="1" t="n">
        <v>0</v>
      </c>
      <c r="H28" s="1" t="n">
        <v>0</v>
      </c>
      <c r="I28" s="1" t="n">
        <v>0</v>
      </c>
      <c r="J28" s="1" t="n">
        <v>0</v>
      </c>
      <c r="K28" s="1" t="n">
        <v>0</v>
      </c>
    </row>
    <row r="29" customFormat="false" ht="13.5" hidden="false" customHeight="false" outlineLevel="1" collapsed="false">
      <c r="C29" s="37"/>
      <c r="D29" s="17"/>
      <c r="E29" s="18"/>
      <c r="G29" s="62" t="n">
        <v>0</v>
      </c>
      <c r="H29" s="1" t="n">
        <v>0</v>
      </c>
      <c r="I29" s="1" t="n">
        <v>0</v>
      </c>
      <c r="J29" s="1" t="n">
        <v>0</v>
      </c>
      <c r="K29" s="1" t="n">
        <v>0</v>
      </c>
    </row>
    <row r="30" customFormat="false" ht="13.5" hidden="false" customHeight="false" outlineLevel="0" collapsed="false">
      <c r="C30" s="37"/>
      <c r="D30" s="17"/>
      <c r="E30" s="18"/>
      <c r="F30" s="18"/>
      <c r="G30" s="19"/>
      <c r="H30" s="19"/>
      <c r="I30" s="19"/>
      <c r="J30" s="19"/>
      <c r="K30" s="19"/>
    </row>
    <row r="31" customFormat="false" ht="13.5" hidden="false" customHeight="false" outlineLevel="0" collapsed="false">
      <c r="A31" s="14" t="s">
        <v>26</v>
      </c>
      <c r="B31" s="14"/>
      <c r="C31" s="64"/>
      <c r="D31" s="65"/>
      <c r="E31" s="14"/>
      <c r="F31" s="14"/>
      <c r="G31" s="14"/>
      <c r="H31" s="14"/>
      <c r="I31" s="14"/>
      <c r="J31" s="14"/>
      <c r="K31" s="14"/>
    </row>
    <row r="32" customFormat="false" ht="13.5" hidden="false" customHeight="false" outlineLevel="1" collapsed="false">
      <c r="A32" s="20"/>
      <c r="B32" s="20"/>
      <c r="C32" s="66"/>
      <c r="D32" s="67"/>
      <c r="E32" s="68"/>
      <c r="F32" s="68"/>
      <c r="G32" s="69"/>
      <c r="H32" s="69"/>
      <c r="I32" s="69"/>
      <c r="J32" s="69"/>
      <c r="K32" s="69"/>
    </row>
    <row r="33" customFormat="false" ht="13.5" hidden="false" customHeight="false" outlineLevel="1" collapsed="false">
      <c r="A33" s="20" t="s">
        <v>27</v>
      </c>
      <c r="B33" s="20"/>
      <c r="C33" s="66"/>
      <c r="D33" s="67"/>
      <c r="E33" s="68"/>
      <c r="F33" s="68"/>
      <c r="G33" s="70" t="n">
        <f aca="false">G11</f>
        <v>259131.84</v>
      </c>
      <c r="H33" s="70" t="n">
        <f aca="false">H11</f>
        <v>310956.8</v>
      </c>
      <c r="I33" s="70" t="n">
        <f aca="false">I11</f>
        <v>373148.16</v>
      </c>
      <c r="J33" s="70" t="n">
        <f aca="false">J11</f>
        <v>447779.2</v>
      </c>
      <c r="K33" s="70" t="n">
        <f aca="false">K11</f>
        <v>537335.04</v>
      </c>
    </row>
    <row r="34" customFormat="false" ht="13.5" hidden="false" customHeight="false" outlineLevel="1" collapsed="false">
      <c r="A34" s="20" t="s">
        <v>28</v>
      </c>
      <c r="B34" s="20"/>
      <c r="C34" s="66"/>
      <c r="D34" s="71"/>
      <c r="E34" s="72"/>
      <c r="F34" s="72"/>
      <c r="G34" s="72"/>
      <c r="H34" s="72"/>
      <c r="I34" s="72"/>
      <c r="J34" s="69"/>
      <c r="K34" s="69"/>
    </row>
    <row r="35" customFormat="false" ht="13.5" hidden="false" customHeight="false" outlineLevel="1" collapsed="false">
      <c r="A35" s="1" t="s">
        <v>11</v>
      </c>
      <c r="C35" s="37"/>
      <c r="D35" s="73"/>
      <c r="E35" s="74"/>
      <c r="F35" s="74"/>
      <c r="G35" s="75" t="n">
        <f aca="false">G13</f>
        <v>0</v>
      </c>
      <c r="H35" s="75" t="n">
        <f aca="false">H13</f>
        <v>121909.333333333</v>
      </c>
      <c r="I35" s="75" t="n">
        <f aca="false">I13</f>
        <v>121909.333333333</v>
      </c>
      <c r="J35" s="75" t="n">
        <f aca="false">J13</f>
        <v>121909.333333333</v>
      </c>
      <c r="K35" s="75" t="n">
        <f aca="false">K13</f>
        <v>121909.333333333</v>
      </c>
    </row>
    <row r="36" customFormat="false" ht="13.5" hidden="false" customHeight="false" outlineLevel="1" collapsed="false">
      <c r="A36" s="1" t="s">
        <v>29</v>
      </c>
      <c r="B36" s="20"/>
      <c r="C36" s="66"/>
      <c r="D36" s="71"/>
      <c r="E36" s="72"/>
      <c r="F36" s="72"/>
      <c r="G36" s="75" t="n">
        <f aca="false">G14+G15</f>
        <v>0</v>
      </c>
      <c r="H36" s="75" t="n">
        <f aca="false">H14+H15</f>
        <v>0</v>
      </c>
      <c r="I36" s="75" t="n">
        <f aca="false">I14+I15</f>
        <v>0</v>
      </c>
      <c r="J36" s="75" t="n">
        <f aca="false">J14+J15</f>
        <v>0</v>
      </c>
      <c r="K36" s="75" t="n">
        <f aca="false">K14+K15</f>
        <v>0</v>
      </c>
    </row>
    <row r="37" customFormat="false" ht="13.5" hidden="false" customHeight="false" outlineLevel="1" collapsed="false">
      <c r="A37" s="1" t="s">
        <v>14</v>
      </c>
      <c r="B37" s="20"/>
      <c r="C37" s="66"/>
      <c r="D37" s="71"/>
      <c r="E37" s="72"/>
      <c r="F37" s="72"/>
      <c r="G37" s="75" t="n">
        <f aca="false">G16</f>
        <v>24936</v>
      </c>
      <c r="H37" s="75" t="n">
        <f aca="false">H16</f>
        <v>24936</v>
      </c>
      <c r="I37" s="75" t="n">
        <f aca="false">I16</f>
        <v>24936</v>
      </c>
      <c r="J37" s="75" t="n">
        <f aca="false">J16</f>
        <v>24936</v>
      </c>
      <c r="K37" s="75" t="n">
        <f aca="false">K16</f>
        <v>24936</v>
      </c>
    </row>
    <row r="38" customFormat="false" ht="13.5" hidden="false" customHeight="false" outlineLevel="1" collapsed="false">
      <c r="A38" s="1" t="s">
        <v>30</v>
      </c>
      <c r="C38" s="37"/>
      <c r="D38" s="76"/>
      <c r="E38" s="19"/>
      <c r="F38" s="19"/>
      <c r="G38" s="75" t="n">
        <f aca="false">G20</f>
        <v>126582</v>
      </c>
      <c r="H38" s="75" t="n">
        <f aca="false">H20</f>
        <v>129746.55</v>
      </c>
      <c r="I38" s="75" t="n">
        <f aca="false">I20</f>
        <v>132990.21375</v>
      </c>
      <c r="J38" s="75" t="n">
        <f aca="false">J20</f>
        <v>136314.96909375</v>
      </c>
      <c r="K38" s="75" t="n">
        <f aca="false">K20</f>
        <v>139722.843321094</v>
      </c>
    </row>
    <row r="39" customFormat="false" ht="13.5" hidden="false" customHeight="false" outlineLevel="1" collapsed="false">
      <c r="A39" s="1" t="s">
        <v>19</v>
      </c>
      <c r="C39" s="37"/>
      <c r="D39" s="76"/>
      <c r="E39" s="19"/>
      <c r="F39" s="19"/>
      <c r="G39" s="75" t="n">
        <f aca="false">G21</f>
        <v>60000</v>
      </c>
      <c r="H39" s="75" t="n">
        <f aca="false">H21</f>
        <v>60600</v>
      </c>
      <c r="I39" s="75" t="n">
        <f aca="false">I21</f>
        <v>61206</v>
      </c>
      <c r="J39" s="75" t="n">
        <f aca="false">J21</f>
        <v>61818.06</v>
      </c>
      <c r="K39" s="75" t="n">
        <f aca="false">K21</f>
        <v>62436.2406</v>
      </c>
    </row>
    <row r="40" customFormat="false" ht="13.5" hidden="false" customHeight="false" outlineLevel="1" collapsed="false">
      <c r="A40" s="1" t="s">
        <v>31</v>
      </c>
      <c r="C40" s="37"/>
      <c r="D40" s="76"/>
      <c r="E40" s="19"/>
      <c r="F40" s="19"/>
      <c r="G40" s="75" t="n">
        <f aca="false">$G$25*G22*0.5</f>
        <v>17816.772</v>
      </c>
      <c r="H40" s="75" t="n">
        <f aca="false">$G$25*H22</f>
        <v>35633.544</v>
      </c>
      <c r="I40" s="75" t="n">
        <f aca="false">$G$25*I22</f>
        <v>22442.4</v>
      </c>
      <c r="J40" s="75" t="n">
        <f aca="false">$G$25*J22</f>
        <v>22442.4</v>
      </c>
      <c r="K40" s="75" t="n">
        <f aca="false">$G$25*K22</f>
        <v>22442.4</v>
      </c>
    </row>
    <row r="41" customFormat="false" ht="16.5" hidden="false" customHeight="true" outlineLevel="1" collapsed="false">
      <c r="A41" s="20" t="s">
        <v>32</v>
      </c>
      <c r="C41" s="37"/>
      <c r="D41" s="22"/>
      <c r="E41" s="69"/>
      <c r="F41" s="69"/>
      <c r="G41" s="77" t="n">
        <f aca="false">SUM(G35:G40)</f>
        <v>229334.772</v>
      </c>
      <c r="H41" s="77" t="n">
        <f aca="false">SUM(H35:H40)</f>
        <v>372825.427333333</v>
      </c>
      <c r="I41" s="77" t="n">
        <f aca="false">SUM(I35:I40)</f>
        <v>363483.947083333</v>
      </c>
      <c r="J41" s="77" t="n">
        <f aca="false">SUM(J35:J40)</f>
        <v>367420.762427083</v>
      </c>
      <c r="K41" s="77" t="n">
        <f aca="false">SUM(K35:K40)</f>
        <v>371446.817254427</v>
      </c>
    </row>
    <row r="42" customFormat="false" ht="13.5" hidden="false" customHeight="false" outlineLevel="1" collapsed="false">
      <c r="A42" s="78" t="s">
        <v>33</v>
      </c>
      <c r="B42" s="78"/>
      <c r="C42" s="79"/>
      <c r="D42" s="80"/>
      <c r="E42" s="81"/>
      <c r="F42" s="81"/>
      <c r="G42" s="82" t="n">
        <f aca="false">G33-G41</f>
        <v>29797.068</v>
      </c>
      <c r="H42" s="82" t="n">
        <f aca="false">H33-H41</f>
        <v>-61868.6273333333</v>
      </c>
      <c r="I42" s="82" t="n">
        <f aca="false">I33-I41</f>
        <v>9664.21291666676</v>
      </c>
      <c r="J42" s="82" t="n">
        <f aca="false">J33-J41</f>
        <v>80358.4375729168</v>
      </c>
      <c r="K42" s="82" t="n">
        <f aca="false">K33-K41</f>
        <v>165888.222745573</v>
      </c>
    </row>
    <row r="43" customFormat="false" ht="13.5" hidden="false" customHeight="false" outlineLevel="1" collapsed="false">
      <c r="A43" s="20"/>
      <c r="B43" s="20"/>
      <c r="C43" s="66"/>
      <c r="D43" s="67"/>
      <c r="E43" s="68"/>
      <c r="F43" s="68"/>
      <c r="G43" s="69"/>
      <c r="H43" s="69"/>
      <c r="I43" s="69"/>
      <c r="J43" s="69"/>
      <c r="K43" s="69"/>
    </row>
    <row r="44" customFormat="false" ht="13.8" hidden="false" customHeight="false" outlineLevel="1" collapsed="false">
      <c r="A44" s="1" t="s">
        <v>34</v>
      </c>
      <c r="B44" s="28" t="n">
        <v>0.3</v>
      </c>
      <c r="C44" s="37"/>
      <c r="D44" s="76"/>
      <c r="E44" s="19"/>
      <c r="F44" s="19"/>
      <c r="G44" s="83" t="n">
        <f aca="false">IF(G42*$B$44&gt;0, G42*$B$44,0)</f>
        <v>8939.12040000001</v>
      </c>
      <c r="H44" s="83" t="n">
        <f aca="false">IF(H42*$B$44&gt;0, H42*$B$44,0)</f>
        <v>0</v>
      </c>
      <c r="I44" s="83" t="n">
        <f aca="false">IF(I42*$B$44&gt;0, I42*$B$44,0)</f>
        <v>2899.26387500003</v>
      </c>
      <c r="J44" s="83" t="n">
        <f aca="false">IF(J42*$B$44&gt;0, J42*$B$44,0)</f>
        <v>24107.531271875</v>
      </c>
      <c r="K44" s="83" t="n">
        <f aca="false">IF(K42*$B$44&gt;0, K42*$B$44,0)</f>
        <v>49766.4668236719</v>
      </c>
    </row>
    <row r="45" customFormat="false" ht="13.8" hidden="false" customHeight="false" outlineLevel="1" collapsed="false">
      <c r="A45" s="84" t="s">
        <v>35</v>
      </c>
      <c r="B45" s="84"/>
      <c r="C45" s="85"/>
      <c r="D45" s="86"/>
      <c r="E45" s="87"/>
      <c r="F45" s="87"/>
      <c r="G45" s="88" t="n">
        <f aca="false">G42-G44</f>
        <v>20857.9476</v>
      </c>
      <c r="H45" s="88" t="n">
        <f aca="false">IF(SUM(H42:H44)&gt;0, SUM(H42:H44),0)</f>
        <v>0</v>
      </c>
      <c r="I45" s="88" t="n">
        <f aca="false">IF(SUM(I42:I44)&gt;0, SUM(I42:I44),0)</f>
        <v>12563.4767916668</v>
      </c>
      <c r="J45" s="88" t="n">
        <f aca="false">IF(SUM(J42:J44)&gt;0, SUM(J42:J44),0)</f>
        <v>104465.968844792</v>
      </c>
      <c r="K45" s="88" t="n">
        <f aca="false">IF(SUM(K42:K44)&gt;0, SUM(K42:K44),0)</f>
        <v>215654.689569245</v>
      </c>
    </row>
    <row r="46" customFormat="false" ht="14.25" hidden="false" customHeight="false" outlineLevel="1" collapsed="false">
      <c r="C46" s="37"/>
      <c r="D46" s="76"/>
      <c r="E46" s="19"/>
      <c r="F46" s="19"/>
      <c r="G46" s="1" t="s">
        <v>36</v>
      </c>
    </row>
    <row r="47" customFormat="false" ht="13.5" hidden="false" customHeight="false" outlineLevel="0" collapsed="false">
      <c r="C47" s="37"/>
      <c r="D47" s="76"/>
      <c r="E47" s="19"/>
      <c r="F47" s="19"/>
    </row>
    <row r="48" customFormat="false" ht="13.5" hidden="false" customHeight="false" outlineLevel="0" collapsed="false">
      <c r="A48" s="14" t="s">
        <v>37</v>
      </c>
      <c r="B48" s="14"/>
      <c r="C48" s="64"/>
      <c r="D48" s="65"/>
      <c r="E48" s="14"/>
      <c r="F48" s="14"/>
      <c r="G48" s="14"/>
      <c r="H48" s="14"/>
      <c r="I48" s="14"/>
      <c r="J48" s="14"/>
      <c r="K48" s="14"/>
    </row>
    <row r="49" customFormat="false" ht="13.5" hidden="true" customHeight="false" outlineLevel="1" collapsed="false">
      <c r="C49" s="37"/>
      <c r="D49" s="76"/>
      <c r="E49" s="19"/>
      <c r="F49" s="19"/>
    </row>
    <row r="50" customFormat="false" ht="13.5" hidden="true" customHeight="false" outlineLevel="1" collapsed="false">
      <c r="A50" s="20" t="s">
        <v>38</v>
      </c>
      <c r="C50" s="37"/>
      <c r="D50" s="76"/>
      <c r="E50" s="19"/>
      <c r="F50" s="19"/>
    </row>
    <row r="51" customFormat="false" ht="13.5" hidden="true" customHeight="false" outlineLevel="1" collapsed="false">
      <c r="A51" s="1" t="s">
        <v>39</v>
      </c>
      <c r="C51" s="89"/>
      <c r="D51" s="76"/>
      <c r="E51" s="19"/>
      <c r="F51" s="19"/>
      <c r="G51" s="1" t="n">
        <f aca="false">G89</f>
        <v>-210685.2804</v>
      </c>
      <c r="H51" s="1" t="n">
        <f aca="false">H89</f>
        <v>-175051.7364</v>
      </c>
      <c r="I51" s="1" t="n">
        <f aca="false">I89</f>
        <v>-140045.859608333</v>
      </c>
      <c r="J51" s="1" t="n">
        <f aca="false">J89</f>
        <v>-13137.4907635414</v>
      </c>
      <c r="K51" s="1" t="n">
        <f aca="false">K89</f>
        <v>224959.598805704</v>
      </c>
    </row>
    <row r="52" customFormat="false" ht="13.5" hidden="true" customHeight="false" outlineLevel="1" collapsed="false">
      <c r="A52" s="1" t="s">
        <v>40</v>
      </c>
      <c r="C52" s="89"/>
      <c r="D52" s="76"/>
      <c r="E52" s="19"/>
      <c r="F52" s="19"/>
      <c r="G52" s="26" t="n">
        <v>0</v>
      </c>
      <c r="H52" s="26" t="n">
        <v>0</v>
      </c>
      <c r="I52" s="26" t="n">
        <v>0</v>
      </c>
      <c r="J52" s="26" t="n">
        <v>0</v>
      </c>
      <c r="K52" s="26" t="n">
        <v>0</v>
      </c>
    </row>
    <row r="53" customFormat="false" ht="13.5" hidden="true" customHeight="false" outlineLevel="1" collapsed="false">
      <c r="A53" s="1" t="s">
        <v>41</v>
      </c>
      <c r="C53" s="89"/>
      <c r="D53" s="76"/>
      <c r="E53" s="19"/>
      <c r="F53" s="19"/>
      <c r="G53" s="1" t="n">
        <v>0</v>
      </c>
      <c r="H53" s="1" t="n">
        <v>0</v>
      </c>
      <c r="I53" s="1" t="n">
        <v>0</v>
      </c>
      <c r="J53" s="1" t="n">
        <v>0</v>
      </c>
      <c r="K53" s="1" t="n">
        <v>0</v>
      </c>
    </row>
    <row r="54" customFormat="false" ht="13.5" hidden="true" customHeight="false" outlineLevel="1" collapsed="false">
      <c r="A54" s="1" t="s">
        <v>42</v>
      </c>
      <c r="C54" s="37"/>
      <c r="D54" s="76"/>
      <c r="E54" s="19"/>
      <c r="F54" s="19"/>
      <c r="G54" s="1" t="n">
        <f aca="false">G104</f>
        <v>231543.228</v>
      </c>
      <c r="H54" s="1" t="n">
        <f aca="false">H104</f>
        <v>195909.684</v>
      </c>
      <c r="I54" s="1" t="n">
        <f aca="false">I104</f>
        <v>173467.284</v>
      </c>
      <c r="J54" s="1" t="n">
        <f aca="false">J104</f>
        <v>151024.884</v>
      </c>
      <c r="K54" s="1" t="n">
        <f aca="false">K104</f>
        <v>128582.484</v>
      </c>
    </row>
    <row r="55" customFormat="false" ht="14.25" hidden="true" customHeight="false" outlineLevel="1" collapsed="false">
      <c r="A55" s="84" t="s">
        <v>43</v>
      </c>
      <c r="B55" s="84"/>
      <c r="C55" s="85"/>
      <c r="D55" s="86"/>
      <c r="E55" s="87"/>
      <c r="F55" s="87"/>
      <c r="G55" s="84" t="n">
        <f aca="false">SUM(G51:G54)</f>
        <v>20857.9476</v>
      </c>
      <c r="H55" s="84" t="n">
        <f aca="false">SUM(H51:H54)</f>
        <v>20857.9476</v>
      </c>
      <c r="I55" s="84" t="n">
        <f aca="false">SUM(I51:I54)</f>
        <v>33421.4243916668</v>
      </c>
      <c r="J55" s="84" t="n">
        <f aca="false">SUM(J51:J54)</f>
        <v>137887.393236459</v>
      </c>
      <c r="K55" s="84" t="n">
        <f aca="false">SUM(K51:K54)</f>
        <v>353542.082805704</v>
      </c>
    </row>
    <row r="56" customFormat="false" ht="14.25" hidden="true" customHeight="false" outlineLevel="1" collapsed="false">
      <c r="A56" s="20"/>
      <c r="B56" s="20"/>
      <c r="C56" s="66"/>
      <c r="D56" s="67"/>
      <c r="E56" s="68"/>
      <c r="F56" s="68"/>
      <c r="G56" s="20"/>
      <c r="H56" s="20"/>
      <c r="I56" s="20"/>
      <c r="J56" s="20"/>
      <c r="K56" s="20"/>
    </row>
    <row r="57" customFormat="false" ht="13.5" hidden="true" customHeight="false" outlineLevel="1" collapsed="false">
      <c r="A57" s="20" t="s">
        <v>44</v>
      </c>
      <c r="C57" s="89"/>
      <c r="D57" s="76"/>
      <c r="E57" s="19"/>
      <c r="F57" s="19"/>
    </row>
    <row r="58" customFormat="false" ht="13.5" hidden="true" customHeight="false" outlineLevel="1" collapsed="false">
      <c r="A58" s="1" t="s">
        <v>45</v>
      </c>
      <c r="C58" s="89"/>
      <c r="D58" s="76"/>
      <c r="E58" s="19"/>
      <c r="F58" s="19"/>
      <c r="G58" s="1" t="n">
        <v>0</v>
      </c>
      <c r="H58" s="1" t="n">
        <v>0</v>
      </c>
      <c r="I58" s="1" t="n">
        <v>0</v>
      </c>
      <c r="J58" s="1" t="n">
        <v>0</v>
      </c>
      <c r="K58" s="1" t="n">
        <v>0</v>
      </c>
    </row>
    <row r="59" customFormat="false" ht="13.5" hidden="true" customHeight="false" outlineLevel="1" collapsed="false">
      <c r="A59" s="1" t="s">
        <v>46</v>
      </c>
      <c r="C59" s="37"/>
      <c r="D59" s="76"/>
      <c r="E59" s="19"/>
      <c r="F59" s="19"/>
      <c r="G59" s="1" t="n">
        <v>0</v>
      </c>
      <c r="H59" s="1" t="n">
        <v>0</v>
      </c>
      <c r="I59" s="1" t="n">
        <v>0</v>
      </c>
      <c r="J59" s="1" t="n">
        <v>0</v>
      </c>
      <c r="K59" s="1" t="n">
        <v>0</v>
      </c>
    </row>
    <row r="60" customFormat="false" ht="13.5" hidden="true" customHeight="false" outlineLevel="1" collapsed="false">
      <c r="A60" s="78" t="s">
        <v>47</v>
      </c>
      <c r="B60" s="78"/>
      <c r="C60" s="79"/>
      <c r="D60" s="80"/>
      <c r="E60" s="81"/>
      <c r="F60" s="81"/>
      <c r="G60" s="78" t="n">
        <f aca="false">SUM(G58:G59)</f>
        <v>0</v>
      </c>
      <c r="H60" s="78" t="n">
        <f aca="false">SUM(H58:H59)</f>
        <v>0</v>
      </c>
      <c r="I60" s="78" t="n">
        <f aca="false">SUM(I58:I59)</f>
        <v>0</v>
      </c>
      <c r="J60" s="78" t="n">
        <f aca="false">SUM(J58:J59)</f>
        <v>0</v>
      </c>
      <c r="K60" s="78" t="n">
        <f aca="false">SUM(K58:K59)</f>
        <v>0</v>
      </c>
    </row>
    <row r="61" customFormat="false" ht="13.5" hidden="true" customHeight="false" outlineLevel="1" collapsed="false">
      <c r="A61" s="20" t="s">
        <v>48</v>
      </c>
      <c r="C61" s="37"/>
      <c r="D61" s="76"/>
      <c r="E61" s="19"/>
      <c r="F61" s="19"/>
    </row>
    <row r="62" customFormat="false" ht="13.5" hidden="true" customHeight="false" outlineLevel="1" collapsed="false">
      <c r="A62" s="1" t="s">
        <v>49</v>
      </c>
      <c r="C62" s="37"/>
      <c r="D62" s="76"/>
      <c r="E62" s="19"/>
      <c r="F62" s="19"/>
      <c r="G62" s="1" t="n">
        <f aca="false">F62+G29</f>
        <v>0</v>
      </c>
      <c r="H62" s="1" t="n">
        <f aca="false">G62+H29</f>
        <v>0</v>
      </c>
      <c r="I62" s="1" t="n">
        <f aca="false">H62+I29</f>
        <v>0</v>
      </c>
      <c r="J62" s="1" t="n">
        <f aca="false">I62+J29</f>
        <v>0</v>
      </c>
      <c r="K62" s="1" t="n">
        <f aca="false">J62+K29</f>
        <v>0</v>
      </c>
    </row>
    <row r="63" customFormat="false" ht="13.5" hidden="true" customHeight="false" outlineLevel="1" collapsed="false">
      <c r="A63" s="1" t="s">
        <v>50</v>
      </c>
      <c r="C63" s="37"/>
      <c r="D63" s="76"/>
      <c r="E63" s="19"/>
      <c r="F63" s="19"/>
      <c r="G63" s="1" t="n">
        <f aca="false">+F63+G45</f>
        <v>20857.9476</v>
      </c>
      <c r="H63" s="1" t="n">
        <f aca="false">+G63+H45</f>
        <v>20857.9476</v>
      </c>
      <c r="I63" s="1" t="n">
        <f aca="false">+H63+I45</f>
        <v>33421.4243916668</v>
      </c>
      <c r="J63" s="1" t="n">
        <f aca="false">+I63+J45</f>
        <v>137887.393236459</v>
      </c>
      <c r="K63" s="1" t="n">
        <f aca="false">+J63+K45</f>
        <v>353542.082805704</v>
      </c>
    </row>
    <row r="64" customFormat="false" ht="13.5" hidden="true" customHeight="false" outlineLevel="1" collapsed="false">
      <c r="A64" s="90" t="s">
        <v>48</v>
      </c>
      <c r="B64" s="90"/>
      <c r="C64" s="91"/>
      <c r="D64" s="92"/>
      <c r="E64" s="93"/>
      <c r="F64" s="93"/>
      <c r="G64" s="90" t="n">
        <f aca="false">SUM(G62:G63)</f>
        <v>20857.9476</v>
      </c>
      <c r="H64" s="90" t="n">
        <f aca="false">SUM(H62:H63)</f>
        <v>20857.9476</v>
      </c>
      <c r="I64" s="90" t="n">
        <f aca="false">SUM(I62:I63)</f>
        <v>33421.4243916668</v>
      </c>
      <c r="J64" s="90" t="n">
        <f aca="false">SUM(J62:J63)</f>
        <v>137887.393236459</v>
      </c>
      <c r="K64" s="90" t="n">
        <f aca="false">SUM(K62:K63)</f>
        <v>353542.082805704</v>
      </c>
    </row>
    <row r="65" customFormat="false" ht="14.25" hidden="true" customHeight="false" outlineLevel="1" collapsed="false">
      <c r="A65" s="84" t="s">
        <v>51</v>
      </c>
      <c r="B65" s="84"/>
      <c r="C65" s="85"/>
      <c r="D65" s="86"/>
      <c r="E65" s="87"/>
      <c r="F65" s="87"/>
      <c r="G65" s="84" t="n">
        <f aca="false">G64+G60</f>
        <v>20857.9476</v>
      </c>
      <c r="H65" s="84" t="n">
        <f aca="false">H64+H60</f>
        <v>20857.9476</v>
      </c>
      <c r="I65" s="84" t="n">
        <f aca="false">I64+I60</f>
        <v>33421.4243916668</v>
      </c>
      <c r="J65" s="84" t="n">
        <f aca="false">J64+J60</f>
        <v>137887.393236459</v>
      </c>
      <c r="K65" s="84" t="n">
        <f aca="false">K64+K60</f>
        <v>353542.082805704</v>
      </c>
    </row>
    <row r="66" customFormat="false" ht="14.25" hidden="true" customHeight="false" outlineLevel="1" collapsed="false">
      <c r="C66" s="37"/>
      <c r="D66" s="76"/>
      <c r="E66" s="19"/>
      <c r="F66" s="19"/>
    </row>
    <row r="67" customFormat="false" ht="14.25" hidden="true" customHeight="false" outlineLevel="1" collapsed="false">
      <c r="A67" s="13" t="s">
        <v>52</v>
      </c>
      <c r="B67" s="94"/>
      <c r="C67" s="95"/>
      <c r="D67" s="96"/>
      <c r="E67" s="94"/>
      <c r="F67" s="94"/>
      <c r="G67" s="94" t="n">
        <f aca="false">G65-G55</f>
        <v>0</v>
      </c>
      <c r="H67" s="94" t="n">
        <f aca="false">H65-H55</f>
        <v>0</v>
      </c>
      <c r="I67" s="94" t="n">
        <f aca="false">I65-I55</f>
        <v>0</v>
      </c>
      <c r="J67" s="94" t="n">
        <f aca="false">J65-J55</f>
        <v>0</v>
      </c>
      <c r="K67" s="94" t="n">
        <f aca="false">K65-K55</f>
        <v>0</v>
      </c>
    </row>
    <row r="68" customFormat="false" ht="14.25" hidden="true" customHeight="false" outlineLevel="1" collapsed="false">
      <c r="A68" s="94"/>
      <c r="B68" s="94"/>
      <c r="C68" s="95"/>
      <c r="D68" s="96"/>
      <c r="E68" s="94"/>
      <c r="F68" s="94"/>
      <c r="G68" s="94"/>
      <c r="H68" s="94"/>
      <c r="I68" s="94"/>
      <c r="J68" s="94"/>
      <c r="K68" s="94"/>
    </row>
    <row r="69" customFormat="false" ht="13.5" hidden="false" customHeight="false" outlineLevel="0" collapsed="false">
      <c r="C69" s="37"/>
      <c r="D69" s="76"/>
      <c r="E69" s="19"/>
      <c r="F69" s="19"/>
    </row>
    <row r="70" customFormat="false" ht="13.5" hidden="false" customHeight="false" outlineLevel="0" collapsed="false">
      <c r="A70" s="14" t="s">
        <v>53</v>
      </c>
      <c r="B70" s="14"/>
      <c r="C70" s="64"/>
      <c r="D70" s="65"/>
      <c r="E70" s="14"/>
      <c r="F70" s="14"/>
      <c r="G70" s="14"/>
      <c r="H70" s="14"/>
      <c r="I70" s="14"/>
      <c r="J70" s="14"/>
      <c r="K70" s="14"/>
    </row>
    <row r="71" customFormat="false" ht="13.5" hidden="true" customHeight="false" outlineLevel="1" collapsed="false">
      <c r="A71" s="20"/>
      <c r="C71" s="37"/>
      <c r="D71" s="67"/>
      <c r="E71" s="19"/>
      <c r="F71" s="19"/>
    </row>
    <row r="72" customFormat="false" ht="13.5" hidden="true" customHeight="false" outlineLevel="1" collapsed="false">
      <c r="A72" s="20" t="s">
        <v>54</v>
      </c>
      <c r="C72" s="37"/>
      <c r="D72" s="76"/>
      <c r="E72" s="19"/>
      <c r="F72" s="19"/>
    </row>
    <row r="73" customFormat="false" ht="13.5" hidden="true" customHeight="false" outlineLevel="1" collapsed="false">
      <c r="A73" s="1" t="s">
        <v>35</v>
      </c>
      <c r="C73" s="37"/>
      <c r="D73" s="76"/>
      <c r="E73" s="19"/>
      <c r="F73" s="19"/>
      <c r="G73" s="1" t="n">
        <f aca="false">G45</f>
        <v>20857.9476</v>
      </c>
      <c r="H73" s="1" t="n">
        <f aca="false">H45</f>
        <v>0</v>
      </c>
      <c r="I73" s="1" t="n">
        <f aca="false">I45</f>
        <v>12563.4767916668</v>
      </c>
      <c r="J73" s="1" t="n">
        <f aca="false">J45</f>
        <v>104465.968844792</v>
      </c>
      <c r="K73" s="1" t="n">
        <f aca="false">K45</f>
        <v>215654.689569245</v>
      </c>
    </row>
    <row r="74" customFormat="false" ht="13.5" hidden="true" customHeight="false" outlineLevel="1" collapsed="false">
      <c r="A74" s="1" t="s">
        <v>55</v>
      </c>
      <c r="C74" s="37"/>
      <c r="D74" s="76"/>
      <c r="E74" s="19"/>
      <c r="F74" s="19"/>
      <c r="G74" s="1" t="n">
        <f aca="false">G40</f>
        <v>17816.772</v>
      </c>
      <c r="H74" s="1" t="n">
        <f aca="false">H40</f>
        <v>35633.544</v>
      </c>
      <c r="I74" s="1" t="n">
        <f aca="false">I40</f>
        <v>22442.4</v>
      </c>
      <c r="J74" s="1" t="n">
        <f aca="false">J40</f>
        <v>22442.4</v>
      </c>
      <c r="K74" s="1" t="n">
        <f aca="false">K40</f>
        <v>22442.4</v>
      </c>
    </row>
    <row r="75" customFormat="false" ht="13.5" hidden="true" customHeight="false" outlineLevel="1" collapsed="false">
      <c r="A75" s="1" t="s">
        <v>56</v>
      </c>
      <c r="C75" s="37"/>
      <c r="D75" s="76"/>
      <c r="E75" s="19"/>
      <c r="F75" s="19"/>
      <c r="G75" s="1" t="n">
        <f aca="false">G98</f>
        <v>0</v>
      </c>
      <c r="H75" s="1" t="n">
        <f aca="false">H98</f>
        <v>0</v>
      </c>
      <c r="I75" s="1" t="n">
        <f aca="false">I98</f>
        <v>0</v>
      </c>
      <c r="J75" s="1" t="n">
        <f aca="false">J98</f>
        <v>0</v>
      </c>
      <c r="K75" s="1" t="n">
        <f aca="false">K98</f>
        <v>0</v>
      </c>
    </row>
    <row r="76" customFormat="false" ht="13.5" hidden="true" customHeight="false" outlineLevel="1" collapsed="false">
      <c r="A76" s="78" t="s">
        <v>57</v>
      </c>
      <c r="B76" s="97"/>
      <c r="C76" s="98"/>
      <c r="D76" s="80"/>
      <c r="E76" s="81"/>
      <c r="F76" s="81"/>
      <c r="G76" s="81" t="n">
        <f aca="false">G73+G74-G75</f>
        <v>38674.7196</v>
      </c>
      <c r="H76" s="81" t="n">
        <f aca="false">H73+H74-H75</f>
        <v>35633.544</v>
      </c>
      <c r="I76" s="81" t="n">
        <f aca="false">I73+I74-I75</f>
        <v>35005.8767916668</v>
      </c>
      <c r="J76" s="81" t="n">
        <f aca="false">J73+J74-J75</f>
        <v>126908.368844792</v>
      </c>
      <c r="K76" s="81" t="n">
        <f aca="false">K73+K74-K75</f>
        <v>238097.089569245</v>
      </c>
    </row>
    <row r="77" customFormat="false" ht="13.5" hidden="true" customHeight="false" outlineLevel="1" collapsed="false">
      <c r="A77" s="20"/>
      <c r="C77" s="37"/>
      <c r="D77" s="67"/>
      <c r="E77" s="68"/>
      <c r="F77" s="68"/>
      <c r="G77" s="20"/>
      <c r="H77" s="20"/>
      <c r="I77" s="20"/>
      <c r="J77" s="20"/>
      <c r="K77" s="20"/>
    </row>
    <row r="78" customFormat="false" ht="13.5" hidden="true" customHeight="false" outlineLevel="1" collapsed="false">
      <c r="A78" s="20" t="s">
        <v>58</v>
      </c>
      <c r="C78" s="37"/>
      <c r="D78" s="76"/>
      <c r="E78" s="19"/>
      <c r="F78" s="19"/>
    </row>
    <row r="79" customFormat="false" ht="13.5" hidden="true" customHeight="false" outlineLevel="1" collapsed="false">
      <c r="A79" s="1" t="s">
        <v>59</v>
      </c>
      <c r="C79" s="37"/>
      <c r="D79" s="76"/>
      <c r="E79" s="19"/>
      <c r="F79" s="19"/>
      <c r="G79" s="1" t="n">
        <f aca="false">G102</f>
        <v>249360</v>
      </c>
      <c r="H79" s="1" t="n">
        <f aca="false">H102</f>
        <v>0</v>
      </c>
      <c r="I79" s="1" t="n">
        <f aca="false">I102</f>
        <v>0</v>
      </c>
      <c r="J79" s="1" t="n">
        <f aca="false">J102</f>
        <v>0</v>
      </c>
      <c r="K79" s="1" t="n">
        <f aca="false">K102</f>
        <v>0</v>
      </c>
    </row>
    <row r="80" customFormat="false" ht="13.5" hidden="true" customHeight="false" outlineLevel="1" collapsed="false">
      <c r="A80" s="78" t="s">
        <v>60</v>
      </c>
      <c r="B80" s="97"/>
      <c r="C80" s="98"/>
      <c r="D80" s="80"/>
      <c r="E80" s="81"/>
      <c r="F80" s="81"/>
      <c r="G80" s="78" t="n">
        <f aca="false">G79</f>
        <v>249360</v>
      </c>
      <c r="H80" s="78" t="n">
        <f aca="false">H79</f>
        <v>0</v>
      </c>
      <c r="I80" s="78" t="n">
        <f aca="false">I79</f>
        <v>0</v>
      </c>
      <c r="J80" s="78" t="n">
        <f aca="false">J79</f>
        <v>0</v>
      </c>
      <c r="K80" s="78" t="n">
        <f aca="false">K79</f>
        <v>0</v>
      </c>
    </row>
    <row r="81" customFormat="false" ht="13.5" hidden="true" customHeight="false" outlineLevel="1" collapsed="false">
      <c r="A81" s="20"/>
      <c r="C81" s="37"/>
      <c r="D81" s="67"/>
      <c r="E81" s="68"/>
      <c r="F81" s="68"/>
      <c r="G81" s="20"/>
      <c r="H81" s="20"/>
      <c r="I81" s="20"/>
      <c r="J81" s="20"/>
      <c r="K81" s="20"/>
    </row>
    <row r="82" customFormat="false" ht="13.5" hidden="true" customHeight="false" outlineLevel="1" collapsed="false">
      <c r="A82" s="20" t="s">
        <v>61</v>
      </c>
      <c r="C82" s="37"/>
      <c r="D82" s="76"/>
      <c r="E82" s="19"/>
      <c r="F82" s="19"/>
    </row>
    <row r="83" customFormat="false" ht="13.5" hidden="true" customHeight="false" outlineLevel="1" collapsed="false">
      <c r="A83" s="1" t="s">
        <v>62</v>
      </c>
      <c r="C83" s="37"/>
      <c r="D83" s="76"/>
      <c r="E83" s="19"/>
      <c r="F83" s="19"/>
      <c r="G83" s="1" t="n">
        <v>0</v>
      </c>
      <c r="H83" s="1" t="n">
        <v>0</v>
      </c>
      <c r="I83" s="1" t="n">
        <v>0</v>
      </c>
      <c r="J83" s="1" t="n">
        <v>0</v>
      </c>
      <c r="K83" s="1" t="n">
        <v>0</v>
      </c>
    </row>
    <row r="84" customFormat="false" ht="13.5" hidden="true" customHeight="false" outlineLevel="1" collapsed="false">
      <c r="A84" s="1" t="s">
        <v>63</v>
      </c>
      <c r="C84" s="37"/>
      <c r="D84" s="76"/>
      <c r="E84" s="19"/>
      <c r="F84" s="19"/>
      <c r="G84" s="1" t="n">
        <f aca="false">G29</f>
        <v>0</v>
      </c>
      <c r="H84" s="1" t="n">
        <f aca="false">H29</f>
        <v>0</v>
      </c>
      <c r="I84" s="1" t="n">
        <f aca="false">I29</f>
        <v>0</v>
      </c>
      <c r="J84" s="1" t="n">
        <f aca="false">J29</f>
        <v>0</v>
      </c>
      <c r="K84" s="1" t="n">
        <f aca="false">K29</f>
        <v>0</v>
      </c>
    </row>
    <row r="85" customFormat="false" ht="13.5" hidden="true" customHeight="false" outlineLevel="1" collapsed="false">
      <c r="A85" s="78" t="s">
        <v>64</v>
      </c>
      <c r="B85" s="97"/>
      <c r="C85" s="98"/>
      <c r="D85" s="80"/>
      <c r="E85" s="81"/>
      <c r="F85" s="81"/>
      <c r="G85" s="78" t="n">
        <f aca="false">SUM(G83:G84)</f>
        <v>0</v>
      </c>
      <c r="H85" s="78" t="n">
        <f aca="false">SUM(H83:H84)</f>
        <v>0</v>
      </c>
      <c r="I85" s="78" t="n">
        <f aca="false">SUM(I83:I84)</f>
        <v>0</v>
      </c>
      <c r="J85" s="78" t="n">
        <f aca="false">SUM(J83:J84)</f>
        <v>0</v>
      </c>
      <c r="K85" s="78" t="n">
        <f aca="false">SUM(K83:K84)</f>
        <v>0</v>
      </c>
    </row>
    <row r="86" customFormat="false" ht="13.5" hidden="true" customHeight="false" outlineLevel="1" collapsed="false">
      <c r="A86" s="20"/>
      <c r="C86" s="37"/>
      <c r="D86" s="67"/>
      <c r="E86" s="68"/>
      <c r="F86" s="68"/>
      <c r="G86" s="20"/>
      <c r="H86" s="20"/>
      <c r="I86" s="20"/>
      <c r="J86" s="20"/>
      <c r="K86" s="20"/>
    </row>
    <row r="87" customFormat="false" ht="13.5" hidden="true" customHeight="false" outlineLevel="1" collapsed="false">
      <c r="A87" s="1" t="s">
        <v>65</v>
      </c>
      <c r="C87" s="37"/>
      <c r="D87" s="17"/>
      <c r="E87" s="18"/>
      <c r="F87" s="18"/>
      <c r="G87" s="18" t="n">
        <f aca="false">G76-G80+G85</f>
        <v>-210685.2804</v>
      </c>
      <c r="H87" s="18" t="n">
        <f aca="false">H76-H80+H85</f>
        <v>35633.544</v>
      </c>
      <c r="I87" s="18" t="n">
        <f aca="false">I76-I80+I85</f>
        <v>35005.8767916668</v>
      </c>
      <c r="J87" s="18" t="n">
        <f aca="false">J76-J80+J85</f>
        <v>126908.368844792</v>
      </c>
      <c r="K87" s="18" t="n">
        <f aca="false">K76-K80+K85</f>
        <v>238097.089569245</v>
      </c>
    </row>
    <row r="88" customFormat="false" ht="13.5" hidden="true" customHeight="false" outlineLevel="1" collapsed="false">
      <c r="A88" s="1" t="s">
        <v>66</v>
      </c>
      <c r="C88" s="37"/>
      <c r="D88" s="76"/>
      <c r="E88" s="19"/>
      <c r="F88" s="19"/>
      <c r="G88" s="1" t="n">
        <f aca="false">F89</f>
        <v>0</v>
      </c>
      <c r="H88" s="1" t="n">
        <f aca="false">G89</f>
        <v>-210685.2804</v>
      </c>
      <c r="I88" s="1" t="n">
        <f aca="false">H89</f>
        <v>-175051.7364</v>
      </c>
      <c r="J88" s="1" t="n">
        <f aca="false">I89</f>
        <v>-140045.859608333</v>
      </c>
      <c r="K88" s="1" t="n">
        <f aca="false">J89</f>
        <v>-13137.4907635414</v>
      </c>
    </row>
    <row r="89" customFormat="false" ht="13.5" hidden="true" customHeight="false" outlineLevel="1" collapsed="false">
      <c r="A89" s="78" t="s">
        <v>67</v>
      </c>
      <c r="B89" s="97"/>
      <c r="C89" s="98"/>
      <c r="D89" s="80"/>
      <c r="E89" s="81"/>
      <c r="F89" s="81"/>
      <c r="G89" s="81" t="n">
        <f aca="false">SUM(G87:G88)</f>
        <v>-210685.2804</v>
      </c>
      <c r="H89" s="81" t="n">
        <f aca="false">SUM(H87:H88)</f>
        <v>-175051.7364</v>
      </c>
      <c r="I89" s="81" t="n">
        <f aca="false">SUM(I87:I88)</f>
        <v>-140045.859608333</v>
      </c>
      <c r="J89" s="81" t="n">
        <f aca="false">SUM(J87:J88)</f>
        <v>-13137.4907635414</v>
      </c>
      <c r="K89" s="81" t="n">
        <f aca="false">SUM(K87:K88)</f>
        <v>224959.598805704</v>
      </c>
    </row>
    <row r="90" customFormat="false" ht="13.5" hidden="false" customHeight="false" outlineLevel="0" collapsed="false">
      <c r="C90" s="37"/>
      <c r="D90" s="76"/>
      <c r="E90" s="19"/>
      <c r="F90" s="19"/>
    </row>
    <row r="91" customFormat="false" ht="13.5" hidden="false" customHeight="false" outlineLevel="0" collapsed="false">
      <c r="A91" s="14" t="s">
        <v>68</v>
      </c>
      <c r="B91" s="14"/>
      <c r="C91" s="64"/>
      <c r="D91" s="65"/>
      <c r="E91" s="14"/>
      <c r="F91" s="14"/>
      <c r="G91" s="14"/>
      <c r="H91" s="14"/>
      <c r="I91" s="14"/>
      <c r="J91" s="14"/>
      <c r="K91" s="14"/>
    </row>
    <row r="92" customFormat="false" ht="13.5" hidden="true" customHeight="false" outlineLevel="1" collapsed="false">
      <c r="C92" s="37"/>
      <c r="D92" s="76"/>
      <c r="E92" s="19"/>
      <c r="F92" s="19"/>
    </row>
    <row r="93" customFormat="false" ht="13.5" hidden="true" customHeight="false" outlineLevel="1" collapsed="false">
      <c r="A93" s="20" t="s">
        <v>69</v>
      </c>
      <c r="C93" s="37"/>
      <c r="D93" s="76"/>
      <c r="E93" s="19"/>
      <c r="F93" s="19"/>
    </row>
    <row r="94" customFormat="false" ht="13.5" hidden="true" customHeight="false" outlineLevel="1" collapsed="false">
      <c r="A94" s="1" t="s">
        <v>40</v>
      </c>
      <c r="C94" s="37"/>
      <c r="D94" s="76"/>
      <c r="E94" s="19"/>
      <c r="F94" s="19"/>
      <c r="G94" s="99" t="n">
        <v>0</v>
      </c>
      <c r="H94" s="99" t="n">
        <v>0</v>
      </c>
      <c r="I94" s="99" t="n">
        <v>0</v>
      </c>
      <c r="J94" s="99" t="n">
        <v>0</v>
      </c>
      <c r="K94" s="99" t="n">
        <v>0</v>
      </c>
    </row>
    <row r="95" customFormat="false" ht="13.5" hidden="true" customHeight="false" outlineLevel="1" collapsed="false">
      <c r="A95" s="1" t="s">
        <v>41</v>
      </c>
      <c r="C95" s="37"/>
      <c r="D95" s="76"/>
      <c r="E95" s="19"/>
      <c r="F95" s="19"/>
      <c r="G95" s="99" t="n">
        <v>0</v>
      </c>
      <c r="H95" s="99" t="n">
        <v>0</v>
      </c>
      <c r="I95" s="99" t="n">
        <v>0</v>
      </c>
      <c r="J95" s="99" t="n">
        <v>0</v>
      </c>
      <c r="K95" s="99" t="n">
        <v>0</v>
      </c>
    </row>
    <row r="96" customFormat="false" ht="13.5" hidden="true" customHeight="false" outlineLevel="1" collapsed="false">
      <c r="A96" s="1" t="s">
        <v>45</v>
      </c>
      <c r="C96" s="37"/>
      <c r="D96" s="76"/>
      <c r="E96" s="19"/>
      <c r="F96" s="19"/>
      <c r="G96" s="99" t="n">
        <v>0</v>
      </c>
      <c r="H96" s="99" t="n">
        <v>0</v>
      </c>
      <c r="I96" s="99" t="n">
        <v>0</v>
      </c>
      <c r="J96" s="99" t="n">
        <v>0</v>
      </c>
      <c r="K96" s="99" t="n">
        <v>0</v>
      </c>
    </row>
    <row r="97" customFormat="false" ht="13.5" hidden="true" customHeight="false" outlineLevel="1" collapsed="false">
      <c r="A97" s="97" t="s">
        <v>70</v>
      </c>
      <c r="B97" s="97"/>
      <c r="C97" s="98"/>
      <c r="D97" s="100"/>
      <c r="E97" s="101"/>
      <c r="F97" s="101"/>
      <c r="G97" s="102" t="n">
        <f aca="false">G94+G95-G96</f>
        <v>0</v>
      </c>
      <c r="H97" s="102" t="n">
        <f aca="false">H94+H95-H96</f>
        <v>0</v>
      </c>
      <c r="I97" s="102" t="n">
        <f aca="false">I94+I95-I96</f>
        <v>0</v>
      </c>
      <c r="J97" s="102" t="n">
        <f aca="false">J94+J95-J96</f>
        <v>0</v>
      </c>
      <c r="K97" s="102" t="n">
        <f aca="false">K94+K95-K96</f>
        <v>0</v>
      </c>
    </row>
    <row r="98" customFormat="false" ht="13.5" hidden="true" customHeight="false" outlineLevel="1" collapsed="false">
      <c r="A98" s="1" t="s">
        <v>71</v>
      </c>
      <c r="C98" s="37"/>
      <c r="D98" s="17"/>
      <c r="E98" s="18"/>
      <c r="F98" s="18"/>
      <c r="G98" s="99" t="n">
        <f aca="false">G97-F97</f>
        <v>0</v>
      </c>
      <c r="H98" s="99" t="n">
        <f aca="false">H97-G97</f>
        <v>0</v>
      </c>
      <c r="I98" s="99" t="n">
        <f aca="false">I97-H97</f>
        <v>0</v>
      </c>
      <c r="J98" s="99" t="n">
        <f aca="false">J97-I97</f>
        <v>0</v>
      </c>
      <c r="K98" s="99" t="n">
        <f aca="false">K97-J97</f>
        <v>0</v>
      </c>
    </row>
    <row r="99" customFormat="false" ht="13.5" hidden="true" customHeight="false" outlineLevel="1" collapsed="false">
      <c r="C99" s="37"/>
      <c r="D99" s="76"/>
      <c r="E99" s="19"/>
      <c r="F99" s="19"/>
      <c r="G99" s="99"/>
      <c r="H99" s="99"/>
      <c r="I99" s="99"/>
      <c r="J99" s="99"/>
      <c r="K99" s="99"/>
    </row>
    <row r="100" customFormat="false" ht="13.5" hidden="true" customHeight="false" outlineLevel="1" collapsed="false">
      <c r="A100" s="20" t="s">
        <v>72</v>
      </c>
      <c r="C100" s="37"/>
      <c r="D100" s="76"/>
      <c r="E100" s="19"/>
      <c r="F100" s="19"/>
      <c r="G100" s="99"/>
      <c r="H100" s="99"/>
      <c r="I100" s="99"/>
      <c r="J100" s="99"/>
      <c r="K100" s="99"/>
    </row>
    <row r="101" customFormat="false" ht="13.5" hidden="true" customHeight="false" outlineLevel="1" collapsed="false">
      <c r="A101" s="1" t="s">
        <v>73</v>
      </c>
      <c r="C101" s="37"/>
      <c r="D101" s="76"/>
      <c r="E101" s="19"/>
      <c r="F101" s="19"/>
      <c r="G101" s="99" t="n">
        <f aca="false">F104</f>
        <v>0</v>
      </c>
      <c r="H101" s="99" t="n">
        <f aca="false">G104</f>
        <v>231543.228</v>
      </c>
      <c r="I101" s="99" t="n">
        <f aca="false">H104</f>
        <v>195909.684</v>
      </c>
      <c r="J101" s="99" t="n">
        <f aca="false">I104</f>
        <v>173467.284</v>
      </c>
      <c r="K101" s="99" t="n">
        <f aca="false">J104</f>
        <v>151024.884</v>
      </c>
    </row>
    <row r="102" customFormat="false" ht="13.5" hidden="true" customHeight="false" outlineLevel="1" collapsed="false">
      <c r="A102" s="1" t="s">
        <v>74</v>
      </c>
      <c r="C102" s="37"/>
      <c r="D102" s="76"/>
      <c r="E102" s="19"/>
      <c r="F102" s="19"/>
      <c r="G102" s="99" t="n">
        <f aca="false">G25</f>
        <v>249360</v>
      </c>
      <c r="H102" s="99"/>
      <c r="I102" s="99" t="n">
        <f aca="false">I24</f>
        <v>0</v>
      </c>
      <c r="J102" s="99" t="n">
        <f aca="false">J24</f>
        <v>0</v>
      </c>
      <c r="K102" s="99" t="n">
        <f aca="false">K24</f>
        <v>0</v>
      </c>
    </row>
    <row r="103" customFormat="false" ht="13.5" hidden="true" customHeight="false" outlineLevel="1" collapsed="false">
      <c r="A103" s="1" t="s">
        <v>75</v>
      </c>
      <c r="C103" s="89"/>
      <c r="D103" s="76"/>
      <c r="E103" s="19"/>
      <c r="F103" s="19"/>
      <c r="G103" s="103" t="n">
        <f aca="false">G40</f>
        <v>17816.772</v>
      </c>
      <c r="H103" s="103" t="n">
        <f aca="false">H40</f>
        <v>35633.544</v>
      </c>
      <c r="I103" s="103" t="n">
        <f aca="false">I40</f>
        <v>22442.4</v>
      </c>
      <c r="J103" s="103" t="n">
        <f aca="false">J40</f>
        <v>22442.4</v>
      </c>
      <c r="K103" s="103" t="n">
        <f aca="false">K40</f>
        <v>22442.4</v>
      </c>
    </row>
    <row r="104" customFormat="false" ht="13.5" hidden="true" customHeight="false" outlineLevel="1" collapsed="false">
      <c r="A104" s="97" t="s">
        <v>76</v>
      </c>
      <c r="B104" s="97"/>
      <c r="C104" s="98"/>
      <c r="D104" s="100"/>
      <c r="E104" s="101"/>
      <c r="F104" s="101"/>
      <c r="G104" s="102" t="n">
        <f aca="false">G101+G102-G103</f>
        <v>231543.228</v>
      </c>
      <c r="H104" s="102" t="n">
        <f aca="false">H101+H102-H103</f>
        <v>195909.684</v>
      </c>
      <c r="I104" s="102" t="n">
        <f aca="false">I101+I102-I103</f>
        <v>173467.284</v>
      </c>
      <c r="J104" s="102" t="n">
        <f aca="false">J101+J102-J103</f>
        <v>151024.884</v>
      </c>
      <c r="K104" s="102" t="n">
        <f aca="false">K101+K102-K103</f>
        <v>128582.484</v>
      </c>
    </row>
    <row r="105" customFormat="false" ht="13.5" hidden="true" customHeight="false" outlineLevel="1" collapsed="false">
      <c r="C105" s="37"/>
      <c r="D105" s="76"/>
      <c r="E105" s="19"/>
      <c r="F105" s="19"/>
      <c r="G105" s="99"/>
      <c r="H105" s="99"/>
      <c r="I105" s="99"/>
      <c r="J105" s="99"/>
      <c r="K105" s="99"/>
    </row>
    <row r="106" customFormat="false" ht="13.5" hidden="true" customHeight="false" outlineLevel="1" collapsed="false">
      <c r="A106" s="20" t="s">
        <v>77</v>
      </c>
      <c r="C106" s="37"/>
      <c r="D106" s="76"/>
      <c r="E106" s="19"/>
      <c r="F106" s="19"/>
      <c r="G106" s="99"/>
      <c r="H106" s="99"/>
      <c r="I106" s="99"/>
      <c r="J106" s="99"/>
      <c r="K106" s="99"/>
    </row>
    <row r="107" customFormat="false" ht="13.5" hidden="true" customHeight="false" outlineLevel="1" collapsed="false">
      <c r="A107" s="1" t="s">
        <v>78</v>
      </c>
      <c r="C107" s="37"/>
      <c r="D107" s="76"/>
      <c r="E107" s="19"/>
      <c r="F107" s="19"/>
      <c r="G107" s="99"/>
      <c r="H107" s="99"/>
      <c r="I107" s="99"/>
      <c r="J107" s="99"/>
      <c r="K107" s="99"/>
    </row>
    <row r="108" customFormat="false" ht="13.5" hidden="true" customHeight="false" outlineLevel="1" collapsed="false">
      <c r="A108" s="1" t="s">
        <v>79</v>
      </c>
      <c r="C108" s="37"/>
      <c r="D108" s="76"/>
      <c r="E108" s="19"/>
      <c r="F108" s="19"/>
      <c r="G108" s="104"/>
      <c r="H108" s="104"/>
      <c r="I108" s="104"/>
      <c r="J108" s="104"/>
      <c r="K108" s="104"/>
    </row>
    <row r="109" customFormat="false" ht="13.5" hidden="true" customHeight="false" outlineLevel="1" collapsed="false">
      <c r="A109" s="97" t="s">
        <v>80</v>
      </c>
      <c r="B109" s="97"/>
      <c r="C109" s="98"/>
      <c r="D109" s="100"/>
      <c r="E109" s="101"/>
      <c r="F109" s="101"/>
      <c r="G109" s="105"/>
      <c r="H109" s="105"/>
      <c r="I109" s="105"/>
      <c r="J109" s="105"/>
      <c r="K109" s="105"/>
    </row>
    <row r="110" customFormat="false" ht="13.5" hidden="true" customHeight="false" outlineLevel="1" collapsed="false">
      <c r="A110" s="1" t="s">
        <v>81</v>
      </c>
      <c r="C110" s="89"/>
      <c r="D110" s="76"/>
      <c r="E110" s="19"/>
      <c r="F110" s="19"/>
      <c r="G110" s="99"/>
      <c r="H110" s="99"/>
      <c r="I110" s="99"/>
      <c r="J110" s="99"/>
      <c r="K110" s="99"/>
    </row>
    <row r="111" customFormat="false" ht="13.5" hidden="true" customHeight="false" outlineLevel="1" collapsed="false">
      <c r="C111" s="37"/>
      <c r="D111" s="76"/>
      <c r="E111" s="19"/>
      <c r="F111" s="19"/>
    </row>
    <row r="112" customFormat="false" ht="13.5" hidden="true" customHeight="false" outlineLevel="1" collapsed="false">
      <c r="C112" s="37"/>
      <c r="D112" s="76"/>
      <c r="E112" s="19"/>
      <c r="F112" s="19"/>
    </row>
    <row r="113" customFormat="false" ht="13.5" hidden="false" customHeight="false" outlineLevel="0" collapsed="false">
      <c r="C113" s="37"/>
      <c r="D113" s="76"/>
      <c r="E113" s="19"/>
      <c r="F113" s="19"/>
    </row>
    <row r="114" customFormat="false" ht="13.5" hidden="false" customHeight="false" outlineLevel="0" collapsed="false">
      <c r="A114" s="14" t="s">
        <v>82</v>
      </c>
      <c r="B114" s="14"/>
      <c r="C114" s="64"/>
      <c r="D114" s="65"/>
      <c r="E114" s="14"/>
      <c r="F114" s="14"/>
      <c r="G114" s="14"/>
      <c r="H114" s="14"/>
      <c r="I114" s="14"/>
      <c r="J114" s="14"/>
      <c r="K114" s="14"/>
    </row>
    <row r="115" customFormat="false" ht="13.5" hidden="false" customHeight="false" outlineLevel="1" collapsed="false">
      <c r="A115" s="20"/>
      <c r="B115" s="20"/>
      <c r="C115" s="66"/>
      <c r="E115" s="2"/>
      <c r="F115" s="106"/>
      <c r="G115" s="106"/>
      <c r="H115" s="106"/>
      <c r="I115" s="106"/>
      <c r="J115" s="106"/>
      <c r="K115" s="106"/>
    </row>
    <row r="116" customFormat="false" ht="13.5" hidden="false" customHeight="false" outlineLevel="1" collapsed="false">
      <c r="A116" s="1" t="s">
        <v>83</v>
      </c>
      <c r="C116" s="37"/>
      <c r="E116" s="2"/>
      <c r="F116" s="106"/>
      <c r="G116" s="107" t="n">
        <f aca="false">G42</f>
        <v>29797.068</v>
      </c>
      <c r="H116" s="107" t="n">
        <f aca="false">H42</f>
        <v>-61868.6273333333</v>
      </c>
      <c r="I116" s="107" t="n">
        <f aca="false">I42</f>
        <v>9664.21291666676</v>
      </c>
      <c r="J116" s="107" t="n">
        <f aca="false">J42</f>
        <v>80358.4375729168</v>
      </c>
      <c r="K116" s="107" t="n">
        <f aca="false">K42</f>
        <v>165888.222745573</v>
      </c>
    </row>
    <row r="117" customFormat="false" ht="13.5" hidden="false" customHeight="false" outlineLevel="1" collapsed="false">
      <c r="A117" s="108" t="s">
        <v>84</v>
      </c>
      <c r="B117" s="108"/>
      <c r="C117" s="109"/>
      <c r="D117" s="110"/>
      <c r="E117" s="111"/>
      <c r="F117" s="106"/>
      <c r="G117" s="62" t="n">
        <v>0</v>
      </c>
      <c r="H117" s="62" t="n">
        <v>0</v>
      </c>
      <c r="I117" s="62" t="n">
        <v>0</v>
      </c>
      <c r="J117" s="62" t="n">
        <v>0</v>
      </c>
      <c r="K117" s="62" t="n">
        <v>0</v>
      </c>
    </row>
    <row r="118" customFormat="false" ht="13.5" hidden="false" customHeight="false" outlineLevel="1" collapsed="false">
      <c r="A118" s="1" t="s">
        <v>85</v>
      </c>
      <c r="C118" s="37"/>
      <c r="E118" s="2"/>
      <c r="F118" s="112"/>
      <c r="G118" s="107" t="n">
        <f aca="false">SUM(G116:G117)</f>
        <v>29797.068</v>
      </c>
      <c r="H118" s="107" t="n">
        <f aca="false">SUM(H116:H117)</f>
        <v>-61868.6273333333</v>
      </c>
      <c r="I118" s="107" t="n">
        <f aca="false">SUM(I116:I117)</f>
        <v>9664.21291666676</v>
      </c>
      <c r="J118" s="107" t="n">
        <f aca="false">SUM(J116:J117)</f>
        <v>80358.4375729168</v>
      </c>
      <c r="K118" s="107" t="n">
        <f aca="false">SUM(K116:K117)</f>
        <v>165888.222745573</v>
      </c>
    </row>
    <row r="119" customFormat="false" ht="13.5" hidden="false" customHeight="false" outlineLevel="1" collapsed="false">
      <c r="A119" s="1" t="s">
        <v>86</v>
      </c>
      <c r="C119" s="37"/>
      <c r="E119" s="2"/>
      <c r="F119" s="106"/>
      <c r="G119" s="113" t="n">
        <f aca="false">G118*G23</f>
        <v>0</v>
      </c>
      <c r="H119" s="113" t="n">
        <f aca="false">H118*H23</f>
        <v>-0</v>
      </c>
      <c r="I119" s="113" t="n">
        <f aca="false">I118*I23</f>
        <v>0</v>
      </c>
      <c r="J119" s="113" t="n">
        <f aca="false">J118*J23</f>
        <v>0</v>
      </c>
      <c r="K119" s="113" t="n">
        <f aca="false">K118*K23</f>
        <v>0</v>
      </c>
    </row>
    <row r="120" customFormat="false" ht="13.5" hidden="false" customHeight="false" outlineLevel="1" collapsed="false">
      <c r="A120" s="108" t="s">
        <v>87</v>
      </c>
      <c r="B120" s="108"/>
      <c r="C120" s="109"/>
      <c r="D120" s="110"/>
      <c r="E120" s="111"/>
      <c r="F120" s="106"/>
      <c r="G120" s="113" t="n">
        <f aca="false">G40</f>
        <v>17816.772</v>
      </c>
      <c r="H120" s="113" t="n">
        <f aca="false">H40</f>
        <v>35633.544</v>
      </c>
      <c r="I120" s="113" t="n">
        <f aca="false">I40</f>
        <v>22442.4</v>
      </c>
      <c r="J120" s="113" t="n">
        <f aca="false">J40</f>
        <v>22442.4</v>
      </c>
      <c r="K120" s="113" t="n">
        <f aca="false">K40</f>
        <v>22442.4</v>
      </c>
    </row>
    <row r="121" customFormat="false" ht="13.5" hidden="false" customHeight="false" outlineLevel="1" collapsed="false">
      <c r="A121" s="1" t="s">
        <v>88</v>
      </c>
      <c r="C121" s="37"/>
      <c r="E121" s="2"/>
      <c r="F121" s="112"/>
      <c r="G121" s="107" t="n">
        <f aca="false">G118+G120</f>
        <v>47613.84</v>
      </c>
      <c r="H121" s="107" t="n">
        <f aca="false">H118+H120</f>
        <v>-26235.0833333332</v>
      </c>
      <c r="I121" s="107" t="n">
        <f aca="false">I118+I120</f>
        <v>32106.6129166668</v>
      </c>
      <c r="J121" s="107" t="n">
        <f aca="false">J118+J120</f>
        <v>102800.837572917</v>
      </c>
      <c r="K121" s="107" t="n">
        <f aca="false">K118+K120</f>
        <v>188330.622745573</v>
      </c>
    </row>
    <row r="122" customFormat="false" ht="13.5" hidden="false" customHeight="false" outlineLevel="1" collapsed="false">
      <c r="A122" s="1" t="s">
        <v>89</v>
      </c>
      <c r="C122" s="37"/>
      <c r="E122" s="2"/>
      <c r="F122" s="106"/>
      <c r="G122" s="113" t="n">
        <f aca="false">G25</f>
        <v>249360</v>
      </c>
      <c r="H122" s="113" t="n">
        <f aca="false">H24</f>
        <v>0</v>
      </c>
      <c r="I122" s="113" t="n">
        <f aca="false">I24</f>
        <v>0</v>
      </c>
      <c r="J122" s="113" t="n">
        <f aca="false">J24</f>
        <v>0</v>
      </c>
      <c r="K122" s="113" t="n">
        <f aca="false">K24</f>
        <v>0</v>
      </c>
    </row>
    <row r="123" customFormat="false" ht="13.5" hidden="false" customHeight="false" outlineLevel="1" collapsed="false">
      <c r="A123" s="108" t="s">
        <v>90</v>
      </c>
      <c r="B123" s="108"/>
      <c r="C123" s="109"/>
      <c r="D123" s="110"/>
      <c r="E123" s="111"/>
      <c r="F123" s="106"/>
      <c r="G123" s="114" t="n">
        <v>0</v>
      </c>
      <c r="H123" s="114" t="n">
        <v>0</v>
      </c>
      <c r="I123" s="114" t="n">
        <v>0</v>
      </c>
      <c r="J123" s="114" t="n">
        <v>0</v>
      </c>
      <c r="K123" s="114" t="n">
        <v>0</v>
      </c>
    </row>
    <row r="124" s="20" customFormat="true" ht="13.5" hidden="false" customHeight="false" outlineLevel="1" collapsed="false">
      <c r="A124" s="20" t="s">
        <v>91</v>
      </c>
      <c r="C124" s="66"/>
      <c r="D124" s="115"/>
      <c r="E124" s="21"/>
      <c r="F124" s="116"/>
      <c r="G124" s="77" t="n">
        <f aca="false">G118-G119+G120-G122-G123</f>
        <v>-201746.16</v>
      </c>
      <c r="H124" s="77" t="n">
        <f aca="false">H118-H119+H120-H122-H123</f>
        <v>-26235.0833333332</v>
      </c>
      <c r="I124" s="77" t="n">
        <f aca="false">I118-I119+I120-I122-I123</f>
        <v>32106.6129166668</v>
      </c>
      <c r="J124" s="77" t="n">
        <f aca="false">J118-J119+J120-J122-J123</f>
        <v>102800.837572917</v>
      </c>
      <c r="K124" s="77" t="n">
        <f aca="false">K118-K119+K120-K122-K123</f>
        <v>188330.622745573</v>
      </c>
    </row>
    <row r="125" customFormat="false" ht="13.5" hidden="false" customHeight="false" outlineLevel="1" collapsed="false">
      <c r="C125" s="37"/>
      <c r="E125" s="2"/>
      <c r="F125" s="106"/>
      <c r="G125" s="62"/>
      <c r="H125" s="62"/>
      <c r="I125" s="62"/>
      <c r="J125" s="62"/>
      <c r="K125" s="62"/>
    </row>
    <row r="126" customFormat="false" ht="13.5" hidden="false" customHeight="false" outlineLevel="1" collapsed="false">
      <c r="A126" s="1" t="s">
        <v>92</v>
      </c>
      <c r="C126" s="37"/>
      <c r="E126" s="24" t="n">
        <v>0.085</v>
      </c>
      <c r="F126" s="106"/>
      <c r="G126" s="62"/>
      <c r="H126" s="62"/>
      <c r="I126" s="62"/>
      <c r="J126" s="62"/>
      <c r="K126" s="62"/>
    </row>
    <row r="127" customFormat="false" ht="13.5" hidden="false" customHeight="false" outlineLevel="1" collapsed="false">
      <c r="C127" s="37"/>
      <c r="D127" s="117"/>
      <c r="E127" s="2"/>
      <c r="F127" s="106"/>
      <c r="G127" s="62"/>
      <c r="H127" s="62"/>
      <c r="I127" s="62"/>
      <c r="J127" s="62"/>
      <c r="K127" s="62"/>
    </row>
    <row r="128" customFormat="false" ht="13.5" hidden="false" customHeight="false" outlineLevel="1" collapsed="false">
      <c r="A128" s="20" t="s">
        <v>93</v>
      </c>
      <c r="B128" s="20"/>
      <c r="C128" s="66"/>
      <c r="E128" s="2"/>
      <c r="F128" s="25" t="n">
        <f aca="false">-G25</f>
        <v>-249360</v>
      </c>
      <c r="G128" s="107" t="n">
        <f aca="false">G124</f>
        <v>-201746.16</v>
      </c>
      <c r="H128" s="107" t="n">
        <f aca="false">H124</f>
        <v>-26235.0833333332</v>
      </c>
      <c r="I128" s="107" t="n">
        <f aca="false">I124</f>
        <v>32106.6129166668</v>
      </c>
      <c r="J128" s="107" t="n">
        <f aca="false">J124</f>
        <v>102800.837572917</v>
      </c>
      <c r="K128" s="107" t="n">
        <f aca="false">K124</f>
        <v>188330.622745573</v>
      </c>
    </row>
    <row r="129" customFormat="false" ht="13.5" hidden="false" customHeight="false" outlineLevel="1" collapsed="false">
      <c r="A129" s="1" t="s">
        <v>94</v>
      </c>
      <c r="C129" s="37"/>
      <c r="E129" s="118" t="n">
        <f aca="false">F128+NPV(E126,G128:K128)</f>
        <v>-233023.304745924</v>
      </c>
      <c r="F129" s="1" t="s">
        <v>36</v>
      </c>
      <c r="G129" s="62"/>
      <c r="H129" s="62"/>
      <c r="I129" s="62"/>
      <c r="J129" s="62"/>
      <c r="K129" s="62"/>
      <c r="L129" s="62"/>
    </row>
    <row r="130" customFormat="false" ht="13.5" hidden="false" customHeight="false" outlineLevel="1" collapsed="false">
      <c r="A130" s="1" t="s">
        <v>95</v>
      </c>
      <c r="C130" s="37"/>
      <c r="E130" s="119" t="n">
        <f aca="false">IRR(G128:K128)</f>
        <v>0.109857084315342</v>
      </c>
      <c r="G130" s="62"/>
      <c r="H130" s="62"/>
      <c r="I130" s="62"/>
      <c r="J130" s="62"/>
      <c r="K130" s="62"/>
    </row>
    <row r="131" customFormat="false" ht="13.5" hidden="false" customHeight="false" outlineLevel="1" collapsed="false">
      <c r="A131" s="20" t="s">
        <v>96</v>
      </c>
      <c r="B131" s="20"/>
      <c r="C131" s="20"/>
      <c r="E131" s="120"/>
      <c r="G131" s="62"/>
      <c r="H131" s="62"/>
      <c r="I131" s="62"/>
      <c r="J131" s="62"/>
      <c r="K131" s="62"/>
    </row>
    <row r="132" s="1" customFormat="true" ht="13.5" hidden="false" customHeight="false" outlineLevel="1" collapsed="false">
      <c r="A132" s="1" t="s">
        <v>97</v>
      </c>
      <c r="D132" s="3" t="s">
        <v>97</v>
      </c>
      <c r="E132" s="120"/>
      <c r="F132" s="106"/>
      <c r="G132" s="107" t="n">
        <f aca="false">F132+G124</f>
        <v>-201746.16</v>
      </c>
      <c r="H132" s="107" t="n">
        <f aca="false">G132+H124</f>
        <v>-227981.243333333</v>
      </c>
      <c r="I132" s="107" t="n">
        <f aca="false">H132+I124</f>
        <v>-195874.630416666</v>
      </c>
      <c r="J132" s="107" t="n">
        <f aca="false">I132+J124</f>
        <v>-93073.7928437497</v>
      </c>
      <c r="K132" s="107" t="n">
        <f aca="false">J132+K124</f>
        <v>95256.8299018233</v>
      </c>
    </row>
    <row r="133" s="1" customFormat="true" ht="13.5" hidden="false" customHeight="false" outlineLevel="1" collapsed="false">
      <c r="A133" s="1" t="s">
        <v>98</v>
      </c>
      <c r="D133" s="3" t="s">
        <v>98</v>
      </c>
      <c r="E133" s="121" t="n">
        <f aca="false">MAX(F133:K133)</f>
        <v>4</v>
      </c>
      <c r="F133" s="26"/>
      <c r="G133" s="26" t="n">
        <f aca="false">F133+IF(G132&lt;0,1,0)</f>
        <v>1</v>
      </c>
      <c r="H133" s="26" t="n">
        <f aca="false">G133+IF(H132&lt;0,1,0)</f>
        <v>2</v>
      </c>
      <c r="I133" s="26" t="n">
        <f aca="false">H133+IF(I132&lt;0,1,0)</f>
        <v>3</v>
      </c>
      <c r="J133" s="26" t="n">
        <f aca="false">I133+IF(J132&lt;0,1,0)</f>
        <v>4</v>
      </c>
      <c r="K133" s="26" t="n">
        <f aca="false">J133+IF(K132&lt;0,1,0)</f>
        <v>4</v>
      </c>
      <c r="M133" s="62"/>
    </row>
    <row r="134" customFormat="false" ht="13.5" hidden="false" customHeight="false" outlineLevel="0" collapsed="false">
      <c r="H134" s="26"/>
      <c r="M134" s="58"/>
    </row>
  </sheetData>
  <mergeCells count="1">
    <mergeCell ref="G1:K1"/>
  </mergeCells>
  <conditionalFormatting sqref="D3:K3">
    <cfRule type="containsText" priority="2" operator="containsText" aboveAverage="0" equalAverage="0" bottom="0" percent="0" rank="0" text="OK" dxfId="0">
      <formula>NOT(ISERROR(SEARCH("OK",D3)))</formula>
    </cfRule>
    <cfRule type="containsText" priority="3" operator="containsText" aboveAverage="0" equalAverage="0" bottom="0" percent="0" rank="0" text="ERROR" dxfId="1">
      <formula>NOT(ISERROR(SEARCH("ERROR",D3)))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1" scale="78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5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C25" activeCellId="0" sqref="C25"/>
    </sheetView>
  </sheetViews>
  <sheetFormatPr defaultColWidth="8.8359375" defaultRowHeight="14.25" zeroHeight="false" outlineLevelRow="0" outlineLevelCol="0"/>
  <cols>
    <col collapsed="false" customWidth="true" hidden="false" outlineLevel="0" max="2" min="2" style="0" width="18.37"/>
    <col collapsed="false" customWidth="true" hidden="false" outlineLevel="0" max="3" min="3" style="0" width="19.63"/>
    <col collapsed="false" customWidth="true" hidden="false" outlineLevel="0" max="4" min="4" style="0" width="14.17"/>
    <col collapsed="false" customWidth="true" hidden="false" outlineLevel="0" max="16" min="16" style="0" width="12.63"/>
    <col collapsed="false" customWidth="true" hidden="false" outlineLevel="0" max="17" min="17" style="0" width="45.17"/>
    <col collapsed="false" customWidth="true" hidden="false" outlineLevel="0" max="18" min="18" style="0" width="19.18"/>
    <col collapsed="false" customWidth="true" hidden="false" outlineLevel="0" max="258" min="258" style="0" width="18.37"/>
    <col collapsed="false" customWidth="true" hidden="false" outlineLevel="0" max="259" min="259" style="0" width="19.63"/>
    <col collapsed="false" customWidth="true" hidden="false" outlineLevel="0" max="260" min="260" style="0" width="13.45"/>
    <col collapsed="false" customWidth="true" hidden="false" outlineLevel="0" max="272" min="272" style="0" width="12.63"/>
    <col collapsed="false" customWidth="true" hidden="false" outlineLevel="0" max="273" min="273" style="0" width="45.17"/>
    <col collapsed="false" customWidth="true" hidden="false" outlineLevel="0" max="274" min="274" style="0" width="19.18"/>
    <col collapsed="false" customWidth="true" hidden="false" outlineLevel="0" max="514" min="514" style="0" width="18.37"/>
    <col collapsed="false" customWidth="true" hidden="false" outlineLevel="0" max="515" min="515" style="0" width="19.63"/>
    <col collapsed="false" customWidth="true" hidden="false" outlineLevel="0" max="516" min="516" style="0" width="13.45"/>
    <col collapsed="false" customWidth="true" hidden="false" outlineLevel="0" max="528" min="528" style="0" width="12.63"/>
    <col collapsed="false" customWidth="true" hidden="false" outlineLevel="0" max="529" min="529" style="0" width="45.17"/>
    <col collapsed="false" customWidth="true" hidden="false" outlineLevel="0" max="530" min="530" style="0" width="19.18"/>
    <col collapsed="false" customWidth="true" hidden="false" outlineLevel="0" max="770" min="770" style="0" width="18.37"/>
    <col collapsed="false" customWidth="true" hidden="false" outlineLevel="0" max="771" min="771" style="0" width="19.63"/>
    <col collapsed="false" customWidth="true" hidden="false" outlineLevel="0" max="772" min="772" style="0" width="13.45"/>
    <col collapsed="false" customWidth="true" hidden="false" outlineLevel="0" max="784" min="784" style="0" width="12.63"/>
    <col collapsed="false" customWidth="true" hidden="false" outlineLevel="0" max="785" min="785" style="0" width="45.17"/>
    <col collapsed="false" customWidth="true" hidden="false" outlineLevel="0" max="786" min="786" style="0" width="19.18"/>
  </cols>
  <sheetData>
    <row r="1" customFormat="false" ht="18" hidden="false" customHeight="false" outlineLevel="0" collapsed="false">
      <c r="A1" s="122" t="s">
        <v>99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3"/>
      <c r="R1" s="123"/>
    </row>
    <row r="2" customFormat="false" ht="15" hidden="false" customHeight="true" outlineLevel="0" collapsed="false">
      <c r="A2" s="124" t="s">
        <v>100</v>
      </c>
      <c r="B2" s="124" t="s">
        <v>101</v>
      </c>
      <c r="C2" s="124" t="s">
        <v>102</v>
      </c>
      <c r="D2" s="124" t="s">
        <v>103</v>
      </c>
      <c r="E2" s="124"/>
      <c r="F2" s="124"/>
      <c r="G2" s="124" t="s">
        <v>104</v>
      </c>
      <c r="H2" s="124"/>
      <c r="I2" s="124"/>
      <c r="J2" s="124" t="s">
        <v>105</v>
      </c>
      <c r="K2" s="124"/>
      <c r="L2" s="124"/>
      <c r="M2" s="124" t="s">
        <v>106</v>
      </c>
      <c r="N2" s="124"/>
      <c r="O2" s="124"/>
      <c r="P2" s="125" t="s">
        <v>107</v>
      </c>
      <c r="Q2" s="126"/>
      <c r="R2" s="123"/>
    </row>
    <row r="3" customFormat="false" ht="15" hidden="false" customHeight="false" outlineLevel="0" collapsed="false">
      <c r="A3" s="124"/>
      <c r="B3" s="124"/>
      <c r="C3" s="124"/>
      <c r="D3" s="127" t="n">
        <v>44287</v>
      </c>
      <c r="E3" s="127" t="n">
        <v>44682</v>
      </c>
      <c r="F3" s="127" t="n">
        <v>44713</v>
      </c>
      <c r="G3" s="128" t="n">
        <v>44743</v>
      </c>
      <c r="H3" s="127" t="n">
        <v>44774</v>
      </c>
      <c r="I3" s="127" t="n">
        <v>44805</v>
      </c>
      <c r="J3" s="127" t="n">
        <v>44835</v>
      </c>
      <c r="K3" s="127" t="n">
        <v>44866</v>
      </c>
      <c r="L3" s="127" t="n">
        <v>44896</v>
      </c>
      <c r="M3" s="127" t="n">
        <v>44927</v>
      </c>
      <c r="N3" s="127" t="n">
        <v>44958</v>
      </c>
      <c r="O3" s="127" t="n">
        <v>44986</v>
      </c>
      <c r="P3" s="125"/>
      <c r="Q3" s="129" t="s">
        <v>108</v>
      </c>
      <c r="R3" s="123" t="n">
        <f aca="false">48000/4</f>
        <v>12000</v>
      </c>
    </row>
    <row r="4" customFormat="false" ht="26.25" hidden="false" customHeight="true" outlineLevel="0" collapsed="false">
      <c r="A4" s="124" t="s">
        <v>109</v>
      </c>
      <c r="B4" s="124" t="s">
        <v>110</v>
      </c>
      <c r="C4" s="130" t="s">
        <v>111</v>
      </c>
      <c r="D4" s="131" t="s">
        <v>112</v>
      </c>
      <c r="E4" s="131" t="s">
        <v>112</v>
      </c>
      <c r="F4" s="131" t="s">
        <v>112</v>
      </c>
      <c r="G4" s="131" t="s">
        <v>112</v>
      </c>
      <c r="H4" s="131" t="s">
        <v>112</v>
      </c>
      <c r="I4" s="131" t="s">
        <v>112</v>
      </c>
      <c r="J4" s="131" t="s">
        <v>112</v>
      </c>
      <c r="K4" s="131" t="s">
        <v>112</v>
      </c>
      <c r="L4" s="131" t="s">
        <v>112</v>
      </c>
      <c r="M4" s="131" t="s">
        <v>112</v>
      </c>
      <c r="N4" s="131" t="s">
        <v>112</v>
      </c>
      <c r="O4" s="131" t="s">
        <v>112</v>
      </c>
      <c r="P4" s="132" t="n">
        <v>0</v>
      </c>
      <c r="Q4" s="124"/>
      <c r="R4" s="123"/>
    </row>
    <row r="5" customFormat="false" ht="15" hidden="false" customHeight="false" outlineLevel="0" collapsed="false">
      <c r="A5" s="124"/>
      <c r="B5" s="124"/>
      <c r="C5" s="130" t="s">
        <v>113</v>
      </c>
      <c r="D5" s="131" t="s">
        <v>112</v>
      </c>
      <c r="E5" s="131" t="s">
        <v>112</v>
      </c>
      <c r="F5" s="131" t="s">
        <v>112</v>
      </c>
      <c r="G5" s="131" t="s">
        <v>112</v>
      </c>
      <c r="H5" s="131" t="s">
        <v>112</v>
      </c>
      <c r="I5" s="131" t="s">
        <v>112</v>
      </c>
      <c r="J5" s="131" t="s">
        <v>112</v>
      </c>
      <c r="K5" s="131" t="s">
        <v>112</v>
      </c>
      <c r="L5" s="131" t="s">
        <v>112</v>
      </c>
      <c r="M5" s="131" t="s">
        <v>112</v>
      </c>
      <c r="N5" s="131" t="s">
        <v>112</v>
      </c>
      <c r="O5" s="131" t="s">
        <v>112</v>
      </c>
      <c r="P5" s="132"/>
      <c r="Q5" s="124"/>
      <c r="R5" s="123"/>
    </row>
    <row r="6" customFormat="false" ht="15" hidden="false" customHeight="false" outlineLevel="0" collapsed="false">
      <c r="A6" s="124"/>
      <c r="B6" s="124"/>
      <c r="C6" s="130" t="s">
        <v>114</v>
      </c>
      <c r="D6" s="131"/>
      <c r="E6" s="131" t="s">
        <v>112</v>
      </c>
      <c r="F6" s="131" t="s">
        <v>115</v>
      </c>
      <c r="G6" s="131" t="s">
        <v>115</v>
      </c>
      <c r="H6" s="131" t="s">
        <v>115</v>
      </c>
      <c r="I6" s="131" t="s">
        <v>112</v>
      </c>
      <c r="J6" s="131" t="s">
        <v>115</v>
      </c>
      <c r="K6" s="131" t="s">
        <v>115</v>
      </c>
      <c r="L6" s="131" t="s">
        <v>115</v>
      </c>
      <c r="M6" s="131" t="s">
        <v>115</v>
      </c>
      <c r="N6" s="131" t="s">
        <v>115</v>
      </c>
      <c r="O6" s="131" t="s">
        <v>115</v>
      </c>
      <c r="P6" s="133" t="n">
        <v>0</v>
      </c>
      <c r="Q6" s="129"/>
      <c r="R6" s="123"/>
    </row>
    <row r="7" customFormat="false" ht="26.25" hidden="false" customHeight="false" outlineLevel="0" collapsed="false">
      <c r="A7" s="124"/>
      <c r="B7" s="134" t="s">
        <v>116</v>
      </c>
      <c r="C7" s="124" t="s">
        <v>117</v>
      </c>
      <c r="D7" s="135" t="s">
        <v>118</v>
      </c>
      <c r="E7" s="135" t="s">
        <v>118</v>
      </c>
      <c r="F7" s="135" t="s">
        <v>118</v>
      </c>
      <c r="G7" s="135" t="s">
        <v>118</v>
      </c>
      <c r="H7" s="135" t="s">
        <v>118</v>
      </c>
      <c r="I7" s="135" t="s">
        <v>118</v>
      </c>
      <c r="J7" s="135" t="s">
        <v>118</v>
      </c>
      <c r="K7" s="135" t="s">
        <v>118</v>
      </c>
      <c r="L7" s="135" t="s">
        <v>118</v>
      </c>
      <c r="M7" s="135" t="s">
        <v>118</v>
      </c>
      <c r="N7" s="135" t="s">
        <v>118</v>
      </c>
      <c r="O7" s="135" t="s">
        <v>118</v>
      </c>
      <c r="P7" s="132" t="s">
        <v>119</v>
      </c>
      <c r="Q7" s="129"/>
      <c r="R7" s="136"/>
      <c r="S7" s="137"/>
      <c r="T7" s="137"/>
      <c r="U7" s="137"/>
      <c r="V7" s="137"/>
      <c r="W7" s="137"/>
      <c r="X7" s="137"/>
      <c r="Y7" s="137"/>
      <c r="Z7" s="137"/>
      <c r="AA7" s="137"/>
      <c r="AB7" s="138"/>
    </row>
    <row r="8" customFormat="false" ht="15" hidden="false" customHeight="false" outlineLevel="0" collapsed="false">
      <c r="A8" s="124"/>
      <c r="B8" s="124" t="s">
        <v>120</v>
      </c>
      <c r="C8" s="125" t="s">
        <v>121</v>
      </c>
      <c r="D8" s="135" t="s">
        <v>112</v>
      </c>
      <c r="E8" s="135"/>
      <c r="F8" s="135" t="s">
        <v>112</v>
      </c>
      <c r="G8" s="135"/>
      <c r="H8" s="135" t="s">
        <v>112</v>
      </c>
      <c r="I8" s="135"/>
      <c r="J8" s="135" t="s">
        <v>112</v>
      </c>
      <c r="K8" s="135"/>
      <c r="L8" s="135" t="s">
        <v>112</v>
      </c>
      <c r="M8" s="135"/>
      <c r="N8" s="135" t="s">
        <v>112</v>
      </c>
      <c r="O8" s="135"/>
      <c r="P8" s="132" t="n">
        <v>0</v>
      </c>
      <c r="Q8" s="129"/>
      <c r="R8" s="123"/>
    </row>
    <row r="9" customFormat="false" ht="26.25" hidden="false" customHeight="false" outlineLevel="0" collapsed="false">
      <c r="A9" s="124"/>
      <c r="B9" s="130" t="s">
        <v>122</v>
      </c>
      <c r="C9" s="139" t="s">
        <v>123</v>
      </c>
      <c r="D9" s="135"/>
      <c r="E9" s="135" t="s">
        <v>124</v>
      </c>
      <c r="F9" s="135"/>
      <c r="G9" s="135" t="s">
        <v>124</v>
      </c>
      <c r="H9" s="135"/>
      <c r="I9" s="135" t="s">
        <v>124</v>
      </c>
      <c r="J9" s="135"/>
      <c r="K9" s="135" t="s">
        <v>124</v>
      </c>
      <c r="L9" s="135"/>
      <c r="M9" s="135" t="s">
        <v>124</v>
      </c>
      <c r="N9" s="135"/>
      <c r="O9" s="135" t="s">
        <v>124</v>
      </c>
      <c r="P9" s="132" t="n">
        <v>0</v>
      </c>
      <c r="Q9" s="129"/>
      <c r="R9" s="123"/>
    </row>
    <row r="10" customFormat="false" ht="26.25" hidden="false" customHeight="true" outlineLevel="0" collapsed="false">
      <c r="A10" s="124" t="s">
        <v>125</v>
      </c>
      <c r="B10" s="130" t="s">
        <v>126</v>
      </c>
      <c r="C10" s="124" t="s">
        <v>127</v>
      </c>
      <c r="D10" s="140" t="s">
        <v>128</v>
      </c>
      <c r="E10" s="140" t="s">
        <v>128</v>
      </c>
      <c r="F10" s="140" t="s">
        <v>128</v>
      </c>
      <c r="G10" s="140" t="s">
        <v>128</v>
      </c>
      <c r="H10" s="135" t="s">
        <v>129</v>
      </c>
      <c r="I10" s="135" t="s">
        <v>128</v>
      </c>
      <c r="J10" s="135" t="s">
        <v>128</v>
      </c>
      <c r="K10" s="135" t="s">
        <v>128</v>
      </c>
      <c r="L10" s="135" t="s">
        <v>128</v>
      </c>
      <c r="M10" s="135" t="s">
        <v>128</v>
      </c>
      <c r="N10" s="135" t="s">
        <v>128</v>
      </c>
      <c r="O10" s="135" t="s">
        <v>128</v>
      </c>
      <c r="P10" s="132" t="n">
        <v>0</v>
      </c>
      <c r="Q10" s="124"/>
      <c r="R10" s="141"/>
    </row>
    <row r="11" customFormat="false" ht="52.5" hidden="false" customHeight="false" outlineLevel="0" collapsed="false">
      <c r="A11" s="124"/>
      <c r="B11" s="134" t="s">
        <v>130</v>
      </c>
      <c r="C11" s="142" t="s">
        <v>131</v>
      </c>
      <c r="D11" s="143" t="s">
        <v>132</v>
      </c>
      <c r="E11" s="143" t="s">
        <v>133</v>
      </c>
      <c r="F11" s="143" t="s">
        <v>133</v>
      </c>
      <c r="G11" s="143" t="s">
        <v>133</v>
      </c>
      <c r="H11" s="143" t="s">
        <v>133</v>
      </c>
      <c r="I11" s="143" t="s">
        <v>133</v>
      </c>
      <c r="J11" s="143" t="s">
        <v>133</v>
      </c>
      <c r="K11" s="143" t="s">
        <v>133</v>
      </c>
      <c r="L11" s="143" t="s">
        <v>133</v>
      </c>
      <c r="M11" s="143" t="s">
        <v>133</v>
      </c>
      <c r="N11" s="143" t="s">
        <v>133</v>
      </c>
      <c r="O11" s="143" t="s">
        <v>133</v>
      </c>
      <c r="P11" s="133" t="n">
        <v>0</v>
      </c>
      <c r="Q11" s="144"/>
      <c r="R11" s="123"/>
    </row>
    <row r="12" customFormat="false" ht="15" hidden="false" customHeight="true" outlineLevel="0" collapsed="false">
      <c r="A12" s="124"/>
      <c r="B12" s="124" t="s">
        <v>134</v>
      </c>
      <c r="C12" s="130" t="s">
        <v>135</v>
      </c>
      <c r="D12" s="145"/>
      <c r="E12" s="145"/>
      <c r="F12" s="146"/>
      <c r="G12" s="146"/>
      <c r="H12" s="145"/>
      <c r="I12" s="145"/>
      <c r="J12" s="145"/>
      <c r="K12" s="145"/>
      <c r="L12" s="145"/>
      <c r="M12" s="145"/>
      <c r="N12" s="145"/>
      <c r="O12" s="145"/>
      <c r="P12" s="133" t="n">
        <v>0</v>
      </c>
      <c r="Q12" s="124"/>
      <c r="R12" s="123"/>
    </row>
    <row r="13" customFormat="false" ht="15" hidden="false" customHeight="false" outlineLevel="0" collapsed="false">
      <c r="A13" s="124"/>
      <c r="B13" s="124"/>
      <c r="C13" s="130" t="s">
        <v>136</v>
      </c>
      <c r="D13" s="147" t="s">
        <v>137</v>
      </c>
      <c r="E13" s="147" t="s">
        <v>137</v>
      </c>
      <c r="F13" s="147" t="s">
        <v>137</v>
      </c>
      <c r="G13" s="147" t="s">
        <v>137</v>
      </c>
      <c r="H13" s="147" t="s">
        <v>137</v>
      </c>
      <c r="I13" s="147" t="s">
        <v>137</v>
      </c>
      <c r="J13" s="147" t="s">
        <v>137</v>
      </c>
      <c r="K13" s="147" t="s">
        <v>137</v>
      </c>
      <c r="L13" s="147" t="s">
        <v>137</v>
      </c>
      <c r="M13" s="147" t="s">
        <v>137</v>
      </c>
      <c r="N13" s="147" t="s">
        <v>137</v>
      </c>
      <c r="O13" s="147" t="s">
        <v>137</v>
      </c>
      <c r="P13" s="133" t="n">
        <v>0</v>
      </c>
      <c r="Q13" s="144"/>
      <c r="R13" s="123"/>
    </row>
    <row r="14" customFormat="false" ht="15" hidden="false" customHeight="false" outlineLevel="0" collapsed="false">
      <c r="A14" s="124"/>
      <c r="B14" s="124"/>
      <c r="C14" s="130" t="s">
        <v>138</v>
      </c>
      <c r="D14" s="148"/>
      <c r="E14" s="148"/>
      <c r="F14" s="149"/>
      <c r="G14" s="149"/>
      <c r="H14" s="148"/>
      <c r="I14" s="148"/>
      <c r="J14" s="148"/>
      <c r="K14" s="148"/>
      <c r="L14" s="148"/>
      <c r="M14" s="148"/>
      <c r="N14" s="148"/>
      <c r="O14" s="147"/>
      <c r="P14" s="133" t="n">
        <v>0</v>
      </c>
      <c r="Q14" s="144"/>
      <c r="R14" s="123" t="n">
        <f aca="false">70*600</f>
        <v>42000</v>
      </c>
    </row>
    <row r="15" customFormat="false" ht="15" hidden="false" customHeight="false" outlineLevel="0" collapsed="false">
      <c r="A15" s="150"/>
      <c r="B15" s="151" t="s">
        <v>139</v>
      </c>
      <c r="C15" s="151"/>
      <c r="D15" s="151"/>
      <c r="E15" s="151"/>
      <c r="F15" s="151"/>
      <c r="G15" s="151"/>
      <c r="H15" s="151"/>
      <c r="I15" s="151"/>
      <c r="J15" s="151"/>
      <c r="K15" s="151"/>
      <c r="L15" s="151"/>
      <c r="M15" s="151"/>
      <c r="N15" s="151"/>
      <c r="O15" s="151"/>
      <c r="P15" s="152" t="n">
        <f aca="false">SUM(P4:P14)</f>
        <v>0</v>
      </c>
      <c r="Q15" s="153"/>
    </row>
    <row r="17" customFormat="false" ht="15" hidden="false" customHeight="false" outlineLevel="0" collapsed="false">
      <c r="C17" s="154" t="s">
        <v>140</v>
      </c>
      <c r="D17" s="155" t="n">
        <v>0</v>
      </c>
    </row>
    <row r="18" customFormat="false" ht="15" hidden="false" customHeight="false" outlineLevel="0" collapsed="false">
      <c r="C18" s="154" t="s">
        <v>141</v>
      </c>
      <c r="D18" s="155" t="n">
        <v>0</v>
      </c>
      <c r="P18" s="156" t="n">
        <f aca="false">P15-P10</f>
        <v>0</v>
      </c>
    </row>
    <row r="19" customFormat="false" ht="15" hidden="false" customHeight="false" outlineLevel="0" collapsed="false">
      <c r="C19" s="154" t="s">
        <v>142</v>
      </c>
      <c r="D19" s="155" t="n">
        <v>0</v>
      </c>
      <c r="P19" s="156" t="n">
        <f aca="false">P18-P12</f>
        <v>0</v>
      </c>
    </row>
    <row r="20" customFormat="false" ht="15" hidden="false" customHeight="false" outlineLevel="0" collapsed="false">
      <c r="C20" s="154" t="s">
        <v>143</v>
      </c>
      <c r="D20" s="155" t="n">
        <v>0</v>
      </c>
    </row>
    <row r="21" customFormat="false" ht="15" hidden="false" customHeight="false" outlineLevel="0" collapsed="false">
      <c r="C21" s="154" t="s">
        <v>144</v>
      </c>
      <c r="D21" s="155" t="n">
        <v>0</v>
      </c>
    </row>
    <row r="22" customFormat="false" ht="15" hidden="false" customHeight="false" outlineLevel="0" collapsed="false">
      <c r="C22" s="154" t="s">
        <v>145</v>
      </c>
      <c r="D22" s="155" t="n">
        <v>0</v>
      </c>
    </row>
    <row r="23" customFormat="false" ht="15" hidden="false" customHeight="false" outlineLevel="0" collapsed="false">
      <c r="C23" s="154" t="s">
        <v>146</v>
      </c>
      <c r="D23" s="155" t="n">
        <v>0</v>
      </c>
    </row>
    <row r="24" customFormat="false" ht="15" hidden="false" customHeight="false" outlineLevel="0" collapsed="false">
      <c r="C24" s="154" t="s">
        <v>147</v>
      </c>
      <c r="D24" s="155" t="n">
        <v>0</v>
      </c>
    </row>
    <row r="25" customFormat="false" ht="15" hidden="false" customHeight="false" outlineLevel="0" collapsed="false">
      <c r="C25" s="157"/>
      <c r="D25" s="158" t="n">
        <f aca="false">SUM(D17:D24)</f>
        <v>0</v>
      </c>
    </row>
  </sheetData>
  <mergeCells count="18">
    <mergeCell ref="A1:P1"/>
    <mergeCell ref="A2:A3"/>
    <mergeCell ref="B2:B3"/>
    <mergeCell ref="C2:C3"/>
    <mergeCell ref="D2:F2"/>
    <mergeCell ref="G2:I2"/>
    <mergeCell ref="J2:L2"/>
    <mergeCell ref="M2:O2"/>
    <mergeCell ref="P2:P3"/>
    <mergeCell ref="A4:A9"/>
    <mergeCell ref="B4:B6"/>
    <mergeCell ref="P4:P5"/>
    <mergeCell ref="Q4:Q5"/>
    <mergeCell ref="A10:A14"/>
    <mergeCell ref="B12:B14"/>
    <mergeCell ref="F12:G12"/>
    <mergeCell ref="F14:G14"/>
    <mergeCell ref="B15:O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4" activeCellId="0" sqref="C14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4.17"/>
    <col collapsed="false" customWidth="true" hidden="false" outlineLevel="0" max="4" min="2" style="0" width="12.82"/>
    <col collapsed="false" customWidth="true" hidden="false" outlineLevel="0" max="5" min="5" style="0" width="14.17"/>
    <col collapsed="false" customWidth="true" hidden="false" outlineLevel="0" max="6" min="6" style="0" width="20.63"/>
  </cols>
  <sheetData>
    <row r="1" customFormat="false" ht="15" hidden="false" customHeight="false" outlineLevel="0" collapsed="false"/>
    <row r="2" customFormat="false" ht="18.75" hidden="false" customHeight="false" outlineLevel="0" collapsed="false">
      <c r="A2" s="159" t="s">
        <v>148</v>
      </c>
      <c r="B2" s="159" t="s">
        <v>149</v>
      </c>
      <c r="C2" s="159" t="s">
        <v>150</v>
      </c>
      <c r="D2" s="159" t="s">
        <v>151</v>
      </c>
      <c r="E2" s="159" t="s">
        <v>152</v>
      </c>
      <c r="F2" s="159" t="s">
        <v>153</v>
      </c>
    </row>
    <row r="3" customFormat="false" ht="14.25" hidden="false" customHeight="false" outlineLevel="0" collapsed="false">
      <c r="A3" s="160" t="n">
        <f aca="false">3000*83</f>
        <v>249000</v>
      </c>
      <c r="B3" s="160" t="n">
        <v>0</v>
      </c>
      <c r="C3" s="160" t="n">
        <v>0</v>
      </c>
      <c r="D3" s="160" t="n">
        <v>0</v>
      </c>
      <c r="E3" s="160" t="n">
        <v>0</v>
      </c>
      <c r="F3" s="160" t="n">
        <v>0</v>
      </c>
    </row>
    <row r="4" customFormat="false" ht="14.25" hidden="false" customHeight="false" outlineLevel="0" collapsed="false">
      <c r="A4" s="160" t="n">
        <v>0</v>
      </c>
      <c r="B4" s="160" t="n">
        <v>0</v>
      </c>
      <c r="C4" s="160" t="n">
        <v>0</v>
      </c>
      <c r="D4" s="160" t="n">
        <v>0</v>
      </c>
      <c r="E4" s="160" t="n">
        <v>0</v>
      </c>
      <c r="F4" s="160" t="n">
        <v>0</v>
      </c>
    </row>
    <row r="5" customFormat="false" ht="14.25" hidden="false" customHeight="false" outlineLevel="0" collapsed="false">
      <c r="A5" s="160" t="n">
        <v>0</v>
      </c>
      <c r="B5" s="160" t="n">
        <v>0</v>
      </c>
      <c r="C5" s="160" t="n">
        <v>0</v>
      </c>
      <c r="D5" s="160" t="n">
        <v>0</v>
      </c>
      <c r="E5" s="160" t="n">
        <v>0</v>
      </c>
      <c r="F5" s="160" t="n">
        <v>0</v>
      </c>
    </row>
    <row r="6" customFormat="false" ht="14.25" hidden="false" customHeight="false" outlineLevel="0" collapsed="false">
      <c r="A6" s="160" t="n">
        <v>0</v>
      </c>
      <c r="B6" s="160" t="n">
        <v>0</v>
      </c>
      <c r="C6" s="160" t="n">
        <v>0</v>
      </c>
      <c r="D6" s="160" t="n">
        <v>0</v>
      </c>
      <c r="E6" s="160" t="n">
        <v>0</v>
      </c>
      <c r="F6" s="160" t="n">
        <v>0</v>
      </c>
    </row>
    <row r="7" customFormat="false" ht="14.25" hidden="false" customHeight="false" outlineLevel="0" collapsed="false">
      <c r="A7" s="161" t="n">
        <f aca="false">SUM(A3:A6)</f>
        <v>249000</v>
      </c>
      <c r="B7" s="161" t="n">
        <f aca="false">SUM(B3:B6)</f>
        <v>0</v>
      </c>
      <c r="C7" s="161" t="n">
        <f aca="false">SUM(C3:C6)</f>
        <v>0</v>
      </c>
      <c r="D7" s="161" t="n">
        <f aca="false">SUM(D3:D6)</f>
        <v>0</v>
      </c>
      <c r="E7" s="161" t="n">
        <f aca="false">SUM(E3:E6)</f>
        <v>0</v>
      </c>
      <c r="F7" s="161" t="n">
        <f aca="false">SUM(F3:F6)</f>
        <v>0</v>
      </c>
    </row>
    <row r="10" customFormat="false" ht="14.25" hidden="false" customHeight="false" outlineLevel="0" collapsed="false">
      <c r="A10" s="0" t="n">
        <v>3000</v>
      </c>
      <c r="B10" s="0" t="n">
        <f aca="false">A10*Expenses!B1</f>
        <v>249360</v>
      </c>
    </row>
    <row r="13" customFormat="false" ht="14.25" hidden="false" customHeight="false" outlineLevel="0" collapsed="false">
      <c r="A13" s="0" t="s">
        <v>11</v>
      </c>
      <c r="B13" s="162" t="n">
        <v>0.25</v>
      </c>
      <c r="C13" s="0" t="n">
        <f aca="false">B10*B13</f>
        <v>62340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0" activeCellId="0" sqref="G10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7.92"/>
    <col collapsed="false" customWidth="true" hidden="false" outlineLevel="0" max="3" min="3" style="0" width="15.33"/>
  </cols>
  <sheetData>
    <row r="1" customFormat="false" ht="13.8" hidden="false" customHeight="false" outlineLevel="0" collapsed="false">
      <c r="A1" s="163" t="s">
        <v>154</v>
      </c>
      <c r="B1" s="164" t="s">
        <v>155</v>
      </c>
    </row>
    <row r="2" customFormat="false" ht="13.8" hidden="false" customHeight="false" outlineLevel="0" collapsed="false">
      <c r="A2" s="165" t="s">
        <v>156</v>
      </c>
      <c r="B2" s="165" t="s">
        <v>157</v>
      </c>
      <c r="C2" s="165" t="s">
        <v>158</v>
      </c>
    </row>
    <row r="3" customFormat="false" ht="13.8" hidden="false" customHeight="false" outlineLevel="0" collapsed="false">
      <c r="A3" s="0" t="n">
        <v>1</v>
      </c>
      <c r="B3" s="0" t="s">
        <v>159</v>
      </c>
      <c r="C3" s="0" t="n">
        <v>6775</v>
      </c>
      <c r="E3" s="0" t="n">
        <v>1066364</v>
      </c>
      <c r="F3" s="0" t="n">
        <f aca="false">E3/C3</f>
        <v>157.396900369004</v>
      </c>
    </row>
    <row r="4" customFormat="false" ht="13.8" hidden="false" customHeight="false" outlineLevel="0" collapsed="false">
      <c r="A4" s="0" t="n">
        <v>2</v>
      </c>
      <c r="B4" s="0" t="s">
        <v>160</v>
      </c>
      <c r="C4" s="0" t="n">
        <v>6264</v>
      </c>
      <c r="E4" s="0" t="n">
        <v>1051226</v>
      </c>
      <c r="F4" s="0" t="n">
        <f aca="false">E4/C4</f>
        <v>167.82024265645</v>
      </c>
    </row>
    <row r="5" customFormat="false" ht="13.8" hidden="false" customHeight="false" outlineLevel="0" collapsed="false">
      <c r="A5" s="0" t="n">
        <v>3</v>
      </c>
      <c r="B5" s="0" t="s">
        <v>161</v>
      </c>
      <c r="C5" s="0" t="n">
        <v>5372</v>
      </c>
      <c r="E5" s="0" t="n">
        <v>847068</v>
      </c>
      <c r="F5" s="0" t="n">
        <f aca="false">E5/C5</f>
        <v>157.682055100521</v>
      </c>
    </row>
    <row r="6" customFormat="false" ht="13.8" hidden="false" customHeight="false" outlineLevel="0" collapsed="false">
      <c r="A6" s="0" t="n">
        <v>4</v>
      </c>
      <c r="B6" s="0" t="s">
        <v>162</v>
      </c>
      <c r="C6" s="0" t="n">
        <v>5917</v>
      </c>
      <c r="E6" s="0" t="n">
        <v>949873</v>
      </c>
      <c r="F6" s="0" t="n">
        <f aca="false">E6/C6</f>
        <v>160.532871387527</v>
      </c>
    </row>
    <row r="7" customFormat="false" ht="13.8" hidden="false" customHeight="false" outlineLevel="0" collapsed="false">
      <c r="A7" s="0" t="n">
        <v>5</v>
      </c>
      <c r="B7" s="0" t="s">
        <v>163</v>
      </c>
      <c r="C7" s="0" t="n">
        <v>6177</v>
      </c>
      <c r="E7" s="0" t="n">
        <v>977492</v>
      </c>
      <c r="F7" s="0" t="n">
        <f aca="false">E7/C7</f>
        <v>158.247045491339</v>
      </c>
    </row>
    <row r="8" customFormat="false" ht="13.8" hidden="false" customHeight="false" outlineLevel="0" collapsed="false">
      <c r="A8" s="0" t="n">
        <v>6</v>
      </c>
      <c r="B8" s="0" t="s">
        <v>164</v>
      </c>
      <c r="C8" s="0" t="n">
        <v>6219</v>
      </c>
      <c r="E8" s="0" t="n">
        <v>994987</v>
      </c>
      <c r="F8" s="0" t="n">
        <f aca="false">E8/C8</f>
        <v>159.991477729539</v>
      </c>
      <c r="I8" s="0" t="n">
        <v>3500</v>
      </c>
    </row>
    <row r="9" customFormat="false" ht="13.8" hidden="false" customHeight="false" outlineLevel="0" collapsed="false">
      <c r="A9" s="0" t="n">
        <v>7</v>
      </c>
      <c r="B9" s="0" t="s">
        <v>165</v>
      </c>
      <c r="C9" s="0" t="n">
        <v>6219</v>
      </c>
      <c r="E9" s="0" t="n">
        <v>985080</v>
      </c>
      <c r="F9" s="0" t="n">
        <f aca="false">E9/C9</f>
        <v>158.398456343464</v>
      </c>
      <c r="G9" s="0" t="n">
        <f aca="false">AVERAGE(F3:F9)</f>
        <v>160.009864153978</v>
      </c>
      <c r="I9" s="0" t="n">
        <v>30</v>
      </c>
      <c r="J9" s="0" t="n">
        <f aca="false">I8*I9</f>
        <v>105000</v>
      </c>
    </row>
    <row r="10" customFormat="false" ht="13.8" hidden="false" customHeight="false" outlineLevel="0" collapsed="false">
      <c r="A10" s="0" t="n">
        <v>8</v>
      </c>
      <c r="B10" s="0" t="s">
        <v>166</v>
      </c>
      <c r="C10" s="166" t="n">
        <f aca="false">AVERAGE( $C$3:$C9)</f>
        <v>6134.71428571429</v>
      </c>
      <c r="E10" s="0" t="n">
        <f aca="false">AVERAGE($E$3:$E$9)</f>
        <v>981727.142857143</v>
      </c>
    </row>
    <row r="11" customFormat="false" ht="13.8" hidden="false" customHeight="false" outlineLevel="0" collapsed="false">
      <c r="A11" s="0" t="n">
        <v>9</v>
      </c>
      <c r="B11" s="0" t="s">
        <v>167</v>
      </c>
      <c r="C11" s="166" t="n">
        <f aca="false">AVERAGE( $C$3:$C10)</f>
        <v>6134.71428571429</v>
      </c>
      <c r="E11" s="0" t="n">
        <f aca="false">AVERAGE($E$3:$E$9)</f>
        <v>981727.142857143</v>
      </c>
    </row>
    <row r="12" customFormat="false" ht="13.8" hidden="false" customHeight="false" outlineLevel="0" collapsed="false">
      <c r="A12" s="0" t="n">
        <v>10</v>
      </c>
      <c r="B12" s="0" t="s">
        <v>168</v>
      </c>
      <c r="C12" s="166" t="n">
        <f aca="false">AVERAGE( $C$3:$C11)</f>
        <v>6134.71428571429</v>
      </c>
      <c r="E12" s="0" t="n">
        <f aca="false">AVERAGE($E$3:$E$9)</f>
        <v>981727.142857143</v>
      </c>
    </row>
    <row r="13" customFormat="false" ht="13.8" hidden="false" customHeight="false" outlineLevel="0" collapsed="false">
      <c r="A13" s="0" t="n">
        <v>11</v>
      </c>
      <c r="B13" s="0" t="s">
        <v>169</v>
      </c>
      <c r="C13" s="166" t="n">
        <f aca="false">AVERAGE( $C$3:$C12)</f>
        <v>6134.71428571429</v>
      </c>
      <c r="E13" s="0" t="n">
        <f aca="false">AVERAGE($E$3:$E$9)</f>
        <v>981727.142857143</v>
      </c>
    </row>
    <row r="14" customFormat="false" ht="13.8" hidden="false" customHeight="false" outlineLevel="0" collapsed="false">
      <c r="A14" s="0" t="n">
        <v>12</v>
      </c>
      <c r="B14" s="0" t="s">
        <v>170</v>
      </c>
      <c r="C14" s="166" t="n">
        <f aca="false">AVERAGE( $C$3:$C13)</f>
        <v>6134.71428571429</v>
      </c>
      <c r="E14" s="0" t="n">
        <f aca="false">AVERAGE($E$3:$E$9)</f>
        <v>981727.142857143</v>
      </c>
    </row>
    <row r="16" customFormat="false" ht="13.8" hidden="false" customHeight="false" outlineLevel="0" collapsed="false">
      <c r="C16" s="166" t="n">
        <f aca="false">SUM(C3:C14)</f>
        <v>73616.5714285714</v>
      </c>
      <c r="E16" s="0" t="n">
        <f aca="false">SUM(E3:E14)</f>
        <v>11780725.7142857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8" activeCellId="0" sqref="D18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8.18"/>
    <col collapsed="false" customWidth="true" hidden="false" outlineLevel="0" max="2" min="2" style="167" width="12.93"/>
    <col collapsed="false" customWidth="true" hidden="false" outlineLevel="0" max="4" min="4" style="0" width="11.72"/>
    <col collapsed="false" customWidth="true" hidden="false" outlineLevel="0" max="7" min="7" style="0" width="18.45"/>
    <col collapsed="false" customWidth="true" hidden="false" outlineLevel="0" max="8" min="8" style="0" width="9.45"/>
  </cols>
  <sheetData>
    <row r="1" customFormat="false" ht="14.25" hidden="false" customHeight="false" outlineLevel="0" collapsed="false">
      <c r="A1" s="0" t="s">
        <v>171</v>
      </c>
      <c r="B1" s="168" t="n">
        <v>83.12</v>
      </c>
    </row>
    <row r="2" customFormat="false" ht="14.25" hidden="false" customHeight="false" outlineLevel="0" collapsed="false">
      <c r="A2" s="0" t="s">
        <v>172</v>
      </c>
      <c r="B2" s="167" t="n">
        <f aca="false">22000*B1</f>
        <v>1828640</v>
      </c>
    </row>
    <row r="3" customFormat="false" ht="14.25" hidden="false" customHeight="false" outlineLevel="0" collapsed="false"/>
    <row r="4" customFormat="false" ht="13.8" hidden="false" customHeight="false" outlineLevel="0" collapsed="false">
      <c r="A4" s="169" t="s">
        <v>173</v>
      </c>
      <c r="B4" s="167" t="s">
        <v>11</v>
      </c>
      <c r="G4" s="170" t="s">
        <v>174</v>
      </c>
      <c r="H4" s="169" t="s">
        <v>154</v>
      </c>
      <c r="I4" s="169" t="s">
        <v>175</v>
      </c>
    </row>
    <row r="5" customFormat="false" ht="13.8" hidden="false" customHeight="false" outlineLevel="0" collapsed="false">
      <c r="A5" s="0" t="s">
        <v>176</v>
      </c>
      <c r="B5" s="166" t="n">
        <f aca="false">$B$2/15</f>
        <v>121909.333333333</v>
      </c>
      <c r="G5" s="171" t="s">
        <v>177</v>
      </c>
      <c r="H5" s="172" t="n">
        <v>24820</v>
      </c>
      <c r="I5" s="160" t="n">
        <f aca="false">12*H5</f>
        <v>297840</v>
      </c>
    </row>
    <row r="6" customFormat="false" ht="13.8" hidden="false" customHeight="false" outlineLevel="0" collapsed="false">
      <c r="A6" s="0" t="s">
        <v>178</v>
      </c>
      <c r="B6" s="166" t="n">
        <f aca="false">$B$2/15</f>
        <v>121909.333333333</v>
      </c>
      <c r="G6" s="173" t="s">
        <v>179</v>
      </c>
      <c r="H6" s="174" t="n">
        <f aca="false">0.2*H5</f>
        <v>4964</v>
      </c>
      <c r="I6" s="160" t="n">
        <f aca="false">12*H6</f>
        <v>59568</v>
      </c>
    </row>
    <row r="7" customFormat="false" ht="13.8" hidden="false" customHeight="false" outlineLevel="0" collapsed="false">
      <c r="A7" s="0" t="s">
        <v>180</v>
      </c>
      <c r="B7" s="166" t="n">
        <f aca="false">$B$2/15</f>
        <v>121909.333333333</v>
      </c>
      <c r="G7" s="171" t="s">
        <v>181</v>
      </c>
      <c r="H7" s="172" t="n">
        <f aca="false">0.2*H5</f>
        <v>4964</v>
      </c>
      <c r="I7" s="160" t="n">
        <f aca="false">12*H7</f>
        <v>59568</v>
      </c>
    </row>
    <row r="8" customFormat="false" ht="13.8" hidden="false" customHeight="false" outlineLevel="0" collapsed="false">
      <c r="A8" s="0" t="s">
        <v>182</v>
      </c>
      <c r="B8" s="166" t="n">
        <f aca="false">$B$2/15</f>
        <v>121909.333333333</v>
      </c>
      <c r="G8" s="173" t="s">
        <v>183</v>
      </c>
      <c r="H8" s="174" t="n">
        <f aca="false">0.15*H5</f>
        <v>3723</v>
      </c>
      <c r="I8" s="160" t="n">
        <f aca="false">12*H8</f>
        <v>44676</v>
      </c>
    </row>
    <row r="9" customFormat="false" ht="13.8" hidden="false" customHeight="false" outlineLevel="0" collapsed="false">
      <c r="A9" s="0" t="s">
        <v>184</v>
      </c>
      <c r="B9" s="166" t="n">
        <f aca="false">$B$2/15</f>
        <v>121909.333333333</v>
      </c>
      <c r="G9" s="0" t="s">
        <v>185</v>
      </c>
      <c r="H9" s="174" t="n">
        <f aca="false">0.15*H5</f>
        <v>3723</v>
      </c>
      <c r="I9" s="160" t="n">
        <f aca="false">12*H9</f>
        <v>44676</v>
      </c>
    </row>
    <row r="10" customFormat="false" ht="13.8" hidden="false" customHeight="false" outlineLevel="0" collapsed="false">
      <c r="A10" s="0" t="s">
        <v>186</v>
      </c>
      <c r="B10" s="166" t="n">
        <f aca="false">$B$2/15</f>
        <v>121909.333333333</v>
      </c>
      <c r="I10" s="0" t="n">
        <f aca="false">SUM(I5:I9)</f>
        <v>506328</v>
      </c>
    </row>
    <row r="11" customFormat="false" ht="13.8" hidden="false" customHeight="false" outlineLevel="0" collapsed="false">
      <c r="A11" s="0" t="s">
        <v>187</v>
      </c>
      <c r="B11" s="166" t="n">
        <f aca="false">$B$2/15</f>
        <v>121909.333333333</v>
      </c>
    </row>
    <row r="12" customFormat="false" ht="13.8" hidden="false" customHeight="false" outlineLevel="0" collapsed="false">
      <c r="A12" s="0" t="s">
        <v>188</v>
      </c>
      <c r="B12" s="166" t="n">
        <f aca="false">$B$2/15</f>
        <v>121909.333333333</v>
      </c>
      <c r="G12" s="0" t="s">
        <v>189</v>
      </c>
      <c r="I12" s="0" t="n">
        <f aca="false">I10/4</f>
        <v>126582</v>
      </c>
    </row>
    <row r="13" customFormat="false" ht="13.8" hidden="false" customHeight="false" outlineLevel="0" collapsed="false">
      <c r="A13" s="0" t="s">
        <v>190</v>
      </c>
      <c r="B13" s="166" t="n">
        <f aca="false">$B$2/15</f>
        <v>121909.333333333</v>
      </c>
    </row>
    <row r="14" customFormat="false" ht="13.8" hidden="false" customHeight="false" outlineLevel="0" collapsed="false">
      <c r="A14" s="0" t="s">
        <v>191</v>
      </c>
      <c r="B14" s="166" t="n">
        <f aca="false">$B$2/15</f>
        <v>121909.333333333</v>
      </c>
    </row>
    <row r="15" customFormat="false" ht="13.8" hidden="false" customHeight="false" outlineLevel="0" collapsed="false">
      <c r="A15" s="0" t="s">
        <v>192</v>
      </c>
      <c r="B15" s="166" t="n">
        <f aca="false">$B$2/15</f>
        <v>121909.333333333</v>
      </c>
    </row>
    <row r="16" customFormat="false" ht="13.8" hidden="false" customHeight="false" outlineLevel="0" collapsed="false">
      <c r="A16" s="0" t="s">
        <v>193</v>
      </c>
      <c r="B16" s="166" t="n">
        <f aca="false">$B$2/15</f>
        <v>121909.333333333</v>
      </c>
    </row>
    <row r="17" customFormat="false" ht="13.8" hidden="false" customHeight="false" outlineLevel="0" collapsed="false">
      <c r="A17" s="0" t="s">
        <v>194</v>
      </c>
      <c r="B17" s="166" t="n">
        <f aca="false">$B$2/15</f>
        <v>121909.333333333</v>
      </c>
    </row>
    <row r="18" customFormat="false" ht="13.8" hidden="false" customHeight="false" outlineLevel="0" collapsed="false">
      <c r="A18" s="0" t="s">
        <v>195</v>
      </c>
      <c r="B18" s="166" t="n">
        <f aca="false">$B$2/15</f>
        <v>121909.333333333</v>
      </c>
      <c r="D18" s="175" t="n">
        <f aca="false">B2*0.25</f>
        <v>457160</v>
      </c>
    </row>
    <row r="19" customFormat="false" ht="13.8" hidden="false" customHeight="false" outlineLevel="0" collapsed="false">
      <c r="B19" s="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18.33"/>
  </cols>
  <sheetData>
    <row r="1" customFormat="false" ht="13.8" hidden="false" customHeight="false" outlineLevel="0" collapsed="false">
      <c r="A1" s="166" t="n">
        <v>767.633400000006</v>
      </c>
      <c r="B1" s="166" t="n">
        <v>-28366.3282</v>
      </c>
      <c r="C1" s="166" t="n">
        <v>-8867.62412499998</v>
      </c>
      <c r="D1" s="166" t="n">
        <v>9987.22127187503</v>
      </c>
      <c r="E1" s="166" t="n">
        <v>32822.0948236719</v>
      </c>
    </row>
    <row r="2" customFormat="false" ht="13.8" hidden="false" customHeight="false" outlineLevel="0" collapsed="false">
      <c r="A2" s="166" t="n">
        <v>1791.14460000001</v>
      </c>
      <c r="B2" s="166" t="n">
        <v>-66188.0991333333</v>
      </c>
      <c r="C2" s="166" t="n">
        <v>-20691.1229583333</v>
      </c>
      <c r="D2" s="166" t="n">
        <v>23303.5163010417</v>
      </c>
      <c r="E2" s="166" t="n">
        <v>76584.8879219011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708</TotalTime>
  <Application>LibreOffice/7.3.6.2$Linux_X86_64 LibreOffice_project/30$Build-2</Application>
  <AppVersion>15.0000</AppVersion>
  <Company>BoB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2014-11-08T22:00:02Z</dcterms:created>
  <dc:creator>tt</dc:creator>
  <dc:description/>
  <dc:language>en-US</dc:language>
  <cp:lastModifiedBy/>
  <cp:lastPrinted>2022-05-23T03:27:42Z</cp:lastPrinted>
  <dcterms:modified xsi:type="dcterms:W3CDTF">2022-10-21T10:12:26Z</dcterms:modified>
  <cp:revision>24</cp:revision>
  <dc:subject/>
  <dc:title>Charo financial projections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