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40" windowHeight="11760" activeTab="3"/>
  </bookViews>
  <sheets>
    <sheet name="PP1" sheetId="4" r:id="rId1"/>
    <sheet name="PP2" sheetId="6" r:id="rId2"/>
    <sheet name="PP3" sheetId="7" r:id="rId3"/>
    <sheet name="PP4" sheetId="8" r:id="rId4"/>
  </sheets>
  <calcPr calcId="145621"/>
</workbook>
</file>

<file path=xl/calcChain.xml><?xml version="1.0" encoding="utf-8"?>
<calcChain xmlns="http://schemas.openxmlformats.org/spreadsheetml/2006/main">
  <c r="M19" i="4" l="1"/>
  <c r="M11" i="4"/>
  <c r="C19" i="4"/>
  <c r="C11" i="4"/>
  <c r="L11" i="6"/>
  <c r="L11" i="7"/>
  <c r="M11" i="7" s="1"/>
  <c r="L12" i="6"/>
  <c r="L19" i="6"/>
  <c r="M19" i="6"/>
  <c r="M11" i="6"/>
  <c r="C19" i="6"/>
  <c r="C11" i="6"/>
  <c r="L19" i="7"/>
  <c r="M19" i="7" s="1"/>
  <c r="L12" i="7"/>
  <c r="E3" i="6"/>
  <c r="E3" i="4"/>
  <c r="F44" i="4"/>
  <c r="F33" i="4"/>
  <c r="G89" i="8" l="1"/>
  <c r="Q26" i="8" s="1"/>
  <c r="S26" i="8" s="1"/>
  <c r="V26" i="8" s="1"/>
  <c r="F89" i="8"/>
  <c r="O26" i="8" s="1"/>
  <c r="E89" i="8"/>
  <c r="N26" i="8" s="1"/>
  <c r="G91" i="8"/>
  <c r="Q27" i="8" s="1"/>
  <c r="S27" i="8" s="1"/>
  <c r="V27" i="8" s="1"/>
  <c r="F91" i="8"/>
  <c r="E91" i="8"/>
  <c r="G87" i="8"/>
  <c r="Q25" i="8" s="1"/>
  <c r="S25" i="8" s="1"/>
  <c r="V25" i="8" s="1"/>
  <c r="F87" i="8"/>
  <c r="O25" i="8" s="1"/>
  <c r="E87" i="8"/>
  <c r="G85" i="8"/>
  <c r="F85" i="8"/>
  <c r="O24" i="8" s="1"/>
  <c r="E85" i="8"/>
  <c r="N24" i="8" s="1"/>
  <c r="G83" i="8"/>
  <c r="Q21" i="8" s="1"/>
  <c r="S21" i="8" s="1"/>
  <c r="V21" i="8" s="1"/>
  <c r="F83" i="8"/>
  <c r="O21" i="8" s="1"/>
  <c r="E83" i="8"/>
  <c r="N21" i="8" s="1"/>
  <c r="G81" i="8"/>
  <c r="Q20" i="8" s="1"/>
  <c r="F81" i="8"/>
  <c r="E81" i="8"/>
  <c r="G79" i="8"/>
  <c r="Q19" i="8" s="1"/>
  <c r="S19" i="8" s="1"/>
  <c r="V19" i="8" s="1"/>
  <c r="F79" i="8"/>
  <c r="O19" i="8" s="1"/>
  <c r="E79" i="8"/>
  <c r="G77" i="8"/>
  <c r="Q18" i="8" s="1"/>
  <c r="S18" i="8" s="1"/>
  <c r="V18" i="8" s="1"/>
  <c r="F77" i="8"/>
  <c r="O18" i="8" s="1"/>
  <c r="E77" i="8"/>
  <c r="N18" i="8" s="1"/>
  <c r="G75" i="8"/>
  <c r="F75" i="8"/>
  <c r="O17" i="8" s="1"/>
  <c r="E75" i="8"/>
  <c r="N17" i="8" s="1"/>
  <c r="G73" i="8"/>
  <c r="Q16" i="8" s="1"/>
  <c r="S16" i="8" s="1"/>
  <c r="F73" i="8"/>
  <c r="E73" i="8"/>
  <c r="N16" i="8" s="1"/>
  <c r="G71" i="8"/>
  <c r="Q15" i="8" s="1"/>
  <c r="S15" i="8" s="1"/>
  <c r="V15" i="8" s="1"/>
  <c r="F71" i="8"/>
  <c r="O15" i="8" s="1"/>
  <c r="E71" i="8"/>
  <c r="G69" i="8"/>
  <c r="Q14" i="8" s="1"/>
  <c r="S14" i="8" s="1"/>
  <c r="V14" i="8" s="1"/>
  <c r="F69" i="8"/>
  <c r="O14" i="8" s="1"/>
  <c r="E69" i="8"/>
  <c r="N14" i="8" s="1"/>
  <c r="G67" i="8"/>
  <c r="F67" i="8"/>
  <c r="O13" i="8" s="1"/>
  <c r="E67" i="8"/>
  <c r="N13" i="8" s="1"/>
  <c r="G65" i="8"/>
  <c r="Q12" i="8" s="1"/>
  <c r="F65" i="8"/>
  <c r="E65" i="8"/>
  <c r="N12" i="8" s="1"/>
  <c r="G63" i="8"/>
  <c r="Q11" i="8" s="1"/>
  <c r="S11" i="8" s="1"/>
  <c r="V11" i="8" s="1"/>
  <c r="F63" i="8"/>
  <c r="O11" i="8" s="1"/>
  <c r="E63" i="8"/>
  <c r="G61" i="8"/>
  <c r="F61" i="8"/>
  <c r="O10" i="8" s="1"/>
  <c r="E61" i="8"/>
  <c r="N10" i="8" s="1"/>
  <c r="G59" i="8"/>
  <c r="F59" i="8"/>
  <c r="O23" i="8" s="1"/>
  <c r="E59" i="8"/>
  <c r="N23" i="8" s="1"/>
  <c r="G57" i="8"/>
  <c r="Q22" i="8" s="1"/>
  <c r="S22" i="8" s="1"/>
  <c r="V22" i="8" s="1"/>
  <c r="F57" i="8"/>
  <c r="O22" i="8" s="1"/>
  <c r="E57" i="8"/>
  <c r="N22" i="8" s="1"/>
  <c r="G55" i="8"/>
  <c r="Q9" i="8" s="1"/>
  <c r="S9" i="8" s="1"/>
  <c r="V9" i="8" s="1"/>
  <c r="F55" i="8"/>
  <c r="O9" i="8" s="1"/>
  <c r="E55" i="8"/>
  <c r="G53" i="8"/>
  <c r="F53" i="8"/>
  <c r="E53" i="8"/>
  <c r="G51" i="8"/>
  <c r="F51" i="8"/>
  <c r="O8" i="8" s="1"/>
  <c r="E51" i="8"/>
  <c r="N8" i="8" s="1"/>
  <c r="F44" i="8"/>
  <c r="F43" i="8"/>
  <c r="F42" i="8"/>
  <c r="G41" i="8"/>
  <c r="E41" i="8"/>
  <c r="E36" i="8" s="1"/>
  <c r="D41" i="8"/>
  <c r="F40" i="8"/>
  <c r="B12" i="8" s="1"/>
  <c r="C12" i="8" s="1"/>
  <c r="F39" i="8"/>
  <c r="B19" i="8" s="1"/>
  <c r="C19" i="8" s="1"/>
  <c r="G36" i="8"/>
  <c r="G38" i="8" s="1"/>
  <c r="D36" i="8"/>
  <c r="G35" i="8"/>
  <c r="E35" i="8"/>
  <c r="D35" i="8"/>
  <c r="F34" i="8"/>
  <c r="F33" i="8"/>
  <c r="R29" i="8"/>
  <c r="H29" i="8"/>
  <c r="O27" i="8"/>
  <c r="N27" i="8"/>
  <c r="G27" i="8"/>
  <c r="I27" i="8" s="1"/>
  <c r="E27" i="8"/>
  <c r="D27" i="8"/>
  <c r="G26" i="8"/>
  <c r="I26" i="8" s="1"/>
  <c r="E26" i="8"/>
  <c r="D26" i="8"/>
  <c r="N25" i="8"/>
  <c r="G25" i="8"/>
  <c r="I25" i="8" s="1"/>
  <c r="E25" i="8"/>
  <c r="D25" i="8"/>
  <c r="Q24" i="8"/>
  <c r="S24" i="8" s="1"/>
  <c r="V24" i="8" s="1"/>
  <c r="G24" i="8"/>
  <c r="I24" i="8" s="1"/>
  <c r="E24" i="8"/>
  <c r="D24" i="8"/>
  <c r="Q23" i="8"/>
  <c r="G23" i="8"/>
  <c r="I23" i="8" s="1"/>
  <c r="E23" i="8"/>
  <c r="D23" i="8"/>
  <c r="G22" i="8"/>
  <c r="I22" i="8" s="1"/>
  <c r="E22" i="8"/>
  <c r="D22" i="8"/>
  <c r="G21" i="8"/>
  <c r="E21" i="8"/>
  <c r="D21" i="8"/>
  <c r="O20" i="8"/>
  <c r="N20" i="8"/>
  <c r="G20" i="8"/>
  <c r="I20" i="8" s="1"/>
  <c r="E20" i="8"/>
  <c r="D20" i="8"/>
  <c r="N19" i="8"/>
  <c r="L19" i="8"/>
  <c r="M19" i="8" s="1"/>
  <c r="G19" i="8"/>
  <c r="I19" i="8" s="1"/>
  <c r="E19" i="8"/>
  <c r="D19" i="8"/>
  <c r="G18" i="8"/>
  <c r="I18" i="8" s="1"/>
  <c r="E18" i="8"/>
  <c r="D18" i="8"/>
  <c r="Q17" i="8"/>
  <c r="S17" i="8" s="1"/>
  <c r="V17" i="8" s="1"/>
  <c r="G17" i="8"/>
  <c r="I17" i="8" s="1"/>
  <c r="E17" i="8"/>
  <c r="D17" i="8"/>
  <c r="O16" i="8"/>
  <c r="G16" i="8"/>
  <c r="E16" i="8"/>
  <c r="D16" i="8"/>
  <c r="N15" i="8"/>
  <c r="G15" i="8"/>
  <c r="I15" i="8" s="1"/>
  <c r="E15" i="8"/>
  <c r="D15" i="8"/>
  <c r="G14" i="8"/>
  <c r="I14" i="8" s="1"/>
  <c r="E14" i="8"/>
  <c r="D14" i="8"/>
  <c r="Q13" i="8"/>
  <c r="S13" i="8" s="1"/>
  <c r="V13" i="8" s="1"/>
  <c r="G13" i="8"/>
  <c r="I13" i="8" s="1"/>
  <c r="E13" i="8"/>
  <c r="D13" i="8"/>
  <c r="O12" i="8"/>
  <c r="L12" i="8"/>
  <c r="M12" i="8" s="1"/>
  <c r="G12" i="8"/>
  <c r="I12" i="8" s="1"/>
  <c r="E12" i="8"/>
  <c r="D12" i="8"/>
  <c r="N11" i="8"/>
  <c r="L11" i="8"/>
  <c r="M11" i="8" s="1"/>
  <c r="G11" i="8"/>
  <c r="I11" i="8" s="1"/>
  <c r="E11" i="8"/>
  <c r="D11" i="8"/>
  <c r="B11" i="8"/>
  <c r="C11" i="8" s="1"/>
  <c r="Q10" i="8"/>
  <c r="S10" i="8" s="1"/>
  <c r="V10" i="8" s="1"/>
  <c r="G10" i="8"/>
  <c r="I10" i="8" s="1"/>
  <c r="E10" i="8"/>
  <c r="D10" i="8"/>
  <c r="N9" i="8"/>
  <c r="G9" i="8"/>
  <c r="I9" i="8" s="1"/>
  <c r="E9" i="8"/>
  <c r="D9" i="8"/>
  <c r="Q8" i="8"/>
  <c r="S8" i="8" s="1"/>
  <c r="G8" i="8"/>
  <c r="I8" i="8" s="1"/>
  <c r="E8" i="8"/>
  <c r="D8" i="8"/>
  <c r="M3" i="8"/>
  <c r="K3" i="8"/>
  <c r="K17" i="8" l="1"/>
  <c r="K15" i="8"/>
  <c r="K9" i="8"/>
  <c r="K8" i="8"/>
  <c r="U25" i="8"/>
  <c r="K11" i="8"/>
  <c r="P12" i="8"/>
  <c r="U13" i="8"/>
  <c r="U17" i="8"/>
  <c r="K20" i="8"/>
  <c r="F16" i="8"/>
  <c r="F19" i="8"/>
  <c r="K25" i="8"/>
  <c r="K26" i="8"/>
  <c r="F3" i="8"/>
  <c r="K13" i="8"/>
  <c r="P13" i="8"/>
  <c r="U18" i="8"/>
  <c r="F21" i="8"/>
  <c r="K23" i="8"/>
  <c r="F27" i="8"/>
  <c r="K27" i="8"/>
  <c r="G29" i="8"/>
  <c r="I29" i="8" s="1"/>
  <c r="D29" i="8"/>
  <c r="N29" i="8"/>
  <c r="F11" i="8"/>
  <c r="U12" i="8"/>
  <c r="F13" i="8"/>
  <c r="K14" i="8"/>
  <c r="F15" i="8"/>
  <c r="K16" i="8"/>
  <c r="F18" i="8"/>
  <c r="K19" i="8"/>
  <c r="F23" i="8"/>
  <c r="U9" i="8"/>
  <c r="U11" i="8"/>
  <c r="U19" i="8"/>
  <c r="P24" i="8"/>
  <c r="F9" i="8"/>
  <c r="K10" i="8"/>
  <c r="U14" i="8"/>
  <c r="J19" i="8"/>
  <c r="F20" i="8"/>
  <c r="K21" i="8"/>
  <c r="U24" i="8"/>
  <c r="F25" i="8"/>
  <c r="F26" i="8"/>
  <c r="U10" i="8"/>
  <c r="T11" i="8"/>
  <c r="S20" i="8"/>
  <c r="V20" i="8" s="1"/>
  <c r="P20" i="8"/>
  <c r="U22" i="8"/>
  <c r="P23" i="8"/>
  <c r="P22" i="8"/>
  <c r="U8" i="8"/>
  <c r="P19" i="8"/>
  <c r="P17" i="8"/>
  <c r="S12" i="8"/>
  <c r="V12" i="8" s="1"/>
  <c r="U16" i="8"/>
  <c r="P8" i="8"/>
  <c r="P15" i="8"/>
  <c r="U21" i="8"/>
  <c r="U23" i="8"/>
  <c r="P27" i="8"/>
  <c r="Q29" i="8"/>
  <c r="J11" i="8"/>
  <c r="T12" i="8"/>
  <c r="F41" i="8"/>
  <c r="F36" i="8" s="1"/>
  <c r="J12" i="8"/>
  <c r="D38" i="8"/>
  <c r="F35" i="8"/>
  <c r="T19" i="8"/>
  <c r="F14" i="8"/>
  <c r="P16" i="8"/>
  <c r="P21" i="8"/>
  <c r="E29" i="8"/>
  <c r="F10" i="8"/>
  <c r="P11" i="8"/>
  <c r="K12" i="8"/>
  <c r="P14" i="8"/>
  <c r="I16" i="8"/>
  <c r="F17" i="8"/>
  <c r="P18" i="8"/>
  <c r="I21" i="8"/>
  <c r="K22" i="8"/>
  <c r="S23" i="8"/>
  <c r="V23" i="8" s="1"/>
  <c r="K24" i="8"/>
  <c r="U26" i="8"/>
  <c r="E38" i="8"/>
  <c r="S29" i="8"/>
  <c r="F8" i="8"/>
  <c r="O29" i="8"/>
  <c r="V8" i="8"/>
  <c r="P9" i="8"/>
  <c r="P10" i="8"/>
  <c r="F12" i="8"/>
  <c r="U15" i="8"/>
  <c r="K18" i="8"/>
  <c r="U20" i="8"/>
  <c r="F22" i="8"/>
  <c r="F24" i="8"/>
  <c r="P25" i="8"/>
  <c r="P26" i="8"/>
  <c r="U27" i="8"/>
  <c r="G91" i="7"/>
  <c r="F91" i="7"/>
  <c r="O27" i="7" s="1"/>
  <c r="E91" i="7"/>
  <c r="N27" i="7" s="1"/>
  <c r="G89" i="7"/>
  <c r="F89" i="7"/>
  <c r="E89" i="7"/>
  <c r="N26" i="7" s="1"/>
  <c r="G87" i="7"/>
  <c r="Q25" i="7" s="1"/>
  <c r="S25" i="7" s="1"/>
  <c r="V25" i="7" s="1"/>
  <c r="F87" i="7"/>
  <c r="O25" i="7" s="1"/>
  <c r="E87" i="7"/>
  <c r="G85" i="7"/>
  <c r="Q24" i="7" s="1"/>
  <c r="S24" i="7" s="1"/>
  <c r="F85" i="7"/>
  <c r="E85" i="7"/>
  <c r="N24" i="7" s="1"/>
  <c r="G83" i="7"/>
  <c r="F83" i="7"/>
  <c r="E83" i="7"/>
  <c r="G81" i="7"/>
  <c r="Q20" i="7" s="1"/>
  <c r="F81" i="7"/>
  <c r="E81" i="7"/>
  <c r="N20" i="7" s="1"/>
  <c r="G79" i="7"/>
  <c r="Q19" i="7" s="1"/>
  <c r="S19" i="7" s="1"/>
  <c r="V19" i="7" s="1"/>
  <c r="F79" i="7"/>
  <c r="O19" i="7" s="1"/>
  <c r="E79" i="7"/>
  <c r="G77" i="7"/>
  <c r="Q18" i="7" s="1"/>
  <c r="F77" i="7"/>
  <c r="E77" i="7"/>
  <c r="N18" i="7" s="1"/>
  <c r="G75" i="7"/>
  <c r="Q17" i="7" s="1"/>
  <c r="S17" i="7" s="1"/>
  <c r="V17" i="7" s="1"/>
  <c r="F75" i="7"/>
  <c r="O17" i="7" s="1"/>
  <c r="E75" i="7"/>
  <c r="G73" i="7"/>
  <c r="Q16" i="7" s="1"/>
  <c r="S16" i="7" s="1"/>
  <c r="F73" i="7"/>
  <c r="O16" i="7" s="1"/>
  <c r="E73" i="7"/>
  <c r="N16" i="7" s="1"/>
  <c r="G71" i="7"/>
  <c r="F71" i="7"/>
  <c r="O15" i="7" s="1"/>
  <c r="E71" i="7"/>
  <c r="G69" i="7"/>
  <c r="Q14" i="7" s="1"/>
  <c r="F69" i="7"/>
  <c r="E69" i="7"/>
  <c r="N14" i="7" s="1"/>
  <c r="G67" i="7"/>
  <c r="F67" i="7"/>
  <c r="O13" i="7" s="1"/>
  <c r="E67" i="7"/>
  <c r="G65" i="7"/>
  <c r="F65" i="7"/>
  <c r="E65" i="7"/>
  <c r="N12" i="7" s="1"/>
  <c r="G63" i="7"/>
  <c r="F63" i="7"/>
  <c r="O11" i="7" s="1"/>
  <c r="E63" i="7"/>
  <c r="G61" i="7"/>
  <c r="Q10" i="7" s="1"/>
  <c r="F61" i="7"/>
  <c r="E61" i="7"/>
  <c r="N10" i="7" s="1"/>
  <c r="G59" i="7"/>
  <c r="F59" i="7"/>
  <c r="O23" i="7" s="1"/>
  <c r="E59" i="7"/>
  <c r="N23" i="7" s="1"/>
  <c r="G57" i="7"/>
  <c r="Q22" i="7" s="1"/>
  <c r="F57" i="7"/>
  <c r="O22" i="7" s="1"/>
  <c r="E57" i="7"/>
  <c r="N22" i="7" s="1"/>
  <c r="G55" i="7"/>
  <c r="F55" i="7"/>
  <c r="O9" i="7" s="1"/>
  <c r="E55" i="7"/>
  <c r="G53" i="7"/>
  <c r="F53" i="7"/>
  <c r="E53" i="7"/>
  <c r="G51" i="7"/>
  <c r="F51" i="7"/>
  <c r="O8" i="7" s="1"/>
  <c r="E51" i="7"/>
  <c r="F44" i="7"/>
  <c r="F43" i="7"/>
  <c r="F42" i="7"/>
  <c r="G41" i="7"/>
  <c r="E41" i="7"/>
  <c r="E36" i="7" s="1"/>
  <c r="D41" i="7"/>
  <c r="D36" i="7" s="1"/>
  <c r="F40" i="7"/>
  <c r="B12" i="7" s="1"/>
  <c r="C12" i="7" s="1"/>
  <c r="F39" i="7"/>
  <c r="B19" i="7" s="1"/>
  <c r="C19" i="7" s="1"/>
  <c r="G36" i="7"/>
  <c r="G38" i="7" s="1"/>
  <c r="F3" i="7" s="1"/>
  <c r="G35" i="7"/>
  <c r="E35" i="7"/>
  <c r="D35" i="7"/>
  <c r="F34" i="7"/>
  <c r="F33" i="7"/>
  <c r="R29" i="7"/>
  <c r="H29" i="7"/>
  <c r="Q27" i="7"/>
  <c r="S27" i="7" s="1"/>
  <c r="V27" i="7" s="1"/>
  <c r="G27" i="7"/>
  <c r="I27" i="7" s="1"/>
  <c r="E27" i="7"/>
  <c r="D27" i="7"/>
  <c r="Q26" i="7"/>
  <c r="O26" i="7"/>
  <c r="G26" i="7"/>
  <c r="I26" i="7" s="1"/>
  <c r="E26" i="7"/>
  <c r="D26" i="7"/>
  <c r="N25" i="7"/>
  <c r="G25" i="7"/>
  <c r="I25" i="7" s="1"/>
  <c r="E25" i="7"/>
  <c r="D25" i="7"/>
  <c r="O24" i="7"/>
  <c r="G24" i="7"/>
  <c r="E24" i="7"/>
  <c r="D24" i="7"/>
  <c r="Q23" i="7"/>
  <c r="G23" i="7"/>
  <c r="I23" i="7" s="1"/>
  <c r="E23" i="7"/>
  <c r="D23" i="7"/>
  <c r="G22" i="7"/>
  <c r="I22" i="7" s="1"/>
  <c r="E22" i="7"/>
  <c r="D22" i="7"/>
  <c r="Q21" i="7"/>
  <c r="S21" i="7" s="1"/>
  <c r="V21" i="7" s="1"/>
  <c r="O21" i="7"/>
  <c r="N21" i="7"/>
  <c r="G21" i="7"/>
  <c r="E21" i="7"/>
  <c r="D21" i="7"/>
  <c r="O20" i="7"/>
  <c r="G20" i="7"/>
  <c r="I20" i="7" s="1"/>
  <c r="E20" i="7"/>
  <c r="D20" i="7"/>
  <c r="N19" i="7"/>
  <c r="G19" i="7"/>
  <c r="I19" i="7" s="1"/>
  <c r="E19" i="7"/>
  <c r="D19" i="7"/>
  <c r="O18" i="7"/>
  <c r="G18" i="7"/>
  <c r="I18" i="7" s="1"/>
  <c r="E18" i="7"/>
  <c r="D18" i="7"/>
  <c r="N17" i="7"/>
  <c r="G17" i="7"/>
  <c r="E17" i="7"/>
  <c r="D17" i="7"/>
  <c r="G16" i="7"/>
  <c r="E16" i="7"/>
  <c r="D16" i="7"/>
  <c r="Q15" i="7"/>
  <c r="S15" i="7" s="1"/>
  <c r="V15" i="7" s="1"/>
  <c r="N15" i="7"/>
  <c r="G15" i="7"/>
  <c r="I15" i="7" s="1"/>
  <c r="E15" i="7"/>
  <c r="D15" i="7"/>
  <c r="O14" i="7"/>
  <c r="G14" i="7"/>
  <c r="E14" i="7"/>
  <c r="D14" i="7"/>
  <c r="Q13" i="7"/>
  <c r="S13" i="7" s="1"/>
  <c r="V13" i="7" s="1"/>
  <c r="N13" i="7"/>
  <c r="G13" i="7"/>
  <c r="I13" i="7" s="1"/>
  <c r="E13" i="7"/>
  <c r="D13" i="7"/>
  <c r="O12" i="7"/>
  <c r="M12" i="7"/>
  <c r="G12" i="7"/>
  <c r="E12" i="7"/>
  <c r="D12" i="7"/>
  <c r="Q11" i="7"/>
  <c r="N11" i="7"/>
  <c r="G11" i="7"/>
  <c r="I11" i="7" s="1"/>
  <c r="E11" i="7"/>
  <c r="D11" i="7"/>
  <c r="B11" i="7"/>
  <c r="C11" i="7" s="1"/>
  <c r="O10" i="7"/>
  <c r="G10" i="7"/>
  <c r="E10" i="7"/>
  <c r="D10" i="7"/>
  <c r="Q9" i="7"/>
  <c r="S9" i="7" s="1"/>
  <c r="V9" i="7" s="1"/>
  <c r="N9" i="7"/>
  <c r="G9" i="7"/>
  <c r="I9" i="7" s="1"/>
  <c r="E9" i="7"/>
  <c r="D9" i="7"/>
  <c r="Q8" i="7"/>
  <c r="N8" i="7"/>
  <c r="G8" i="7"/>
  <c r="E8" i="7"/>
  <c r="D8" i="7"/>
  <c r="M3" i="7"/>
  <c r="K3" i="7"/>
  <c r="U18" i="7" l="1"/>
  <c r="K17" i="7"/>
  <c r="F13" i="7"/>
  <c r="T29" i="8"/>
  <c r="V29" i="8"/>
  <c r="K29" i="8"/>
  <c r="E3" i="8"/>
  <c r="F38" i="8"/>
  <c r="D3" i="8" s="1"/>
  <c r="F24" i="7"/>
  <c r="K15" i="7"/>
  <c r="K14" i="7"/>
  <c r="K12" i="7"/>
  <c r="K9" i="7"/>
  <c r="U10" i="7"/>
  <c r="U21" i="7"/>
  <c r="P26" i="7"/>
  <c r="U29" i="8"/>
  <c r="P29" i="8"/>
  <c r="J29" i="8"/>
  <c r="F29" i="8"/>
  <c r="K27" i="7"/>
  <c r="F27" i="7"/>
  <c r="K26" i="7"/>
  <c r="K25" i="7"/>
  <c r="F25" i="7"/>
  <c r="K24" i="7"/>
  <c r="K21" i="7"/>
  <c r="F21" i="7"/>
  <c r="F20" i="7"/>
  <c r="K20" i="7"/>
  <c r="K19" i="7"/>
  <c r="K18" i="7"/>
  <c r="F18" i="7"/>
  <c r="U17" i="7"/>
  <c r="K16" i="7"/>
  <c r="U15" i="7"/>
  <c r="F15" i="7"/>
  <c r="U13" i="7"/>
  <c r="P13" i="7"/>
  <c r="K13" i="7"/>
  <c r="J12" i="7"/>
  <c r="K11" i="7"/>
  <c r="F11" i="7"/>
  <c r="D29" i="7"/>
  <c r="U23" i="7"/>
  <c r="K23" i="7"/>
  <c r="F22" i="7"/>
  <c r="K22" i="7"/>
  <c r="F9" i="7"/>
  <c r="K8" i="7"/>
  <c r="E38" i="7"/>
  <c r="P23" i="7"/>
  <c r="U24" i="7"/>
  <c r="U9" i="7"/>
  <c r="U19" i="7"/>
  <c r="U25" i="7"/>
  <c r="N29" i="7"/>
  <c r="P9" i="7"/>
  <c r="U26" i="7"/>
  <c r="O29" i="7"/>
  <c r="T11" i="7"/>
  <c r="U14" i="7"/>
  <c r="U22" i="7"/>
  <c r="V24" i="7"/>
  <c r="U16" i="7"/>
  <c r="J11" i="7"/>
  <c r="T12" i="7"/>
  <c r="F35" i="7"/>
  <c r="D38" i="7"/>
  <c r="I10" i="7"/>
  <c r="F10" i="7"/>
  <c r="S11" i="7"/>
  <c r="V11" i="7" s="1"/>
  <c r="P11" i="7"/>
  <c r="F8" i="7"/>
  <c r="I8" i="7"/>
  <c r="G29" i="7"/>
  <c r="S8" i="7"/>
  <c r="P8" i="7"/>
  <c r="P14" i="7"/>
  <c r="S14" i="7"/>
  <c r="V14" i="7" s="1"/>
  <c r="P22" i="7"/>
  <c r="S22" i="7"/>
  <c r="V22" i="7" s="1"/>
  <c r="S20" i="7"/>
  <c r="V20" i="7" s="1"/>
  <c r="P20" i="7"/>
  <c r="U8" i="7"/>
  <c r="P10" i="7"/>
  <c r="S10" i="7"/>
  <c r="V10" i="7" s="1"/>
  <c r="U11" i="7"/>
  <c r="F12" i="7"/>
  <c r="I12" i="7"/>
  <c r="I14" i="7"/>
  <c r="F14" i="7"/>
  <c r="F16" i="7"/>
  <c r="I16" i="7"/>
  <c r="P19" i="7"/>
  <c r="U20" i="7"/>
  <c r="P18" i="7"/>
  <c r="S18" i="7"/>
  <c r="V18" i="7" s="1"/>
  <c r="U27" i="7"/>
  <c r="P27" i="7"/>
  <c r="E29" i="7"/>
  <c r="K10" i="7"/>
  <c r="P15" i="7"/>
  <c r="F17" i="7"/>
  <c r="I17" i="7"/>
  <c r="P25" i="7"/>
  <c r="J19" i="7"/>
  <c r="F41" i="7"/>
  <c r="F36" i="7" s="1"/>
  <c r="Q12" i="7"/>
  <c r="Q29" i="7" s="1"/>
  <c r="P16" i="7"/>
  <c r="P17" i="7"/>
  <c r="F19" i="7"/>
  <c r="T19" i="7"/>
  <c r="I21" i="7"/>
  <c r="P21" i="7"/>
  <c r="F23" i="7"/>
  <c r="S23" i="7"/>
  <c r="V23" i="7" s="1"/>
  <c r="I24" i="7"/>
  <c r="P24" i="7"/>
  <c r="F26" i="7"/>
  <c r="S26" i="7"/>
  <c r="V26" i="7" s="1"/>
  <c r="F40" i="6"/>
  <c r="F39" i="6"/>
  <c r="E3" i="7" l="1"/>
  <c r="J29" i="7"/>
  <c r="F38" i="7"/>
  <c r="D3" i="7" s="1"/>
  <c r="T29" i="7"/>
  <c r="K29" i="7"/>
  <c r="S12" i="7"/>
  <c r="V12" i="7" s="1"/>
  <c r="P12" i="7"/>
  <c r="P29" i="7" s="1"/>
  <c r="U12" i="7"/>
  <c r="V8" i="7"/>
  <c r="U29" i="7"/>
  <c r="I29" i="7"/>
  <c r="F29" i="7"/>
  <c r="G41" i="6"/>
  <c r="G36" i="6"/>
  <c r="V29" i="7" l="1"/>
  <c r="S29" i="7"/>
  <c r="G91" i="6"/>
  <c r="F91" i="6"/>
  <c r="E91" i="6"/>
  <c r="N27" i="6" s="1"/>
  <c r="G89" i="6"/>
  <c r="Q26" i="6" s="1"/>
  <c r="S26" i="6" s="1"/>
  <c r="V26" i="6" s="1"/>
  <c r="F89" i="6"/>
  <c r="E89" i="6"/>
  <c r="N26" i="6" s="1"/>
  <c r="G87" i="6"/>
  <c r="Q25" i="6" s="1"/>
  <c r="S25" i="6" s="1"/>
  <c r="V25" i="6" s="1"/>
  <c r="F87" i="6"/>
  <c r="O25" i="6" s="1"/>
  <c r="E87" i="6"/>
  <c r="N25" i="6" s="1"/>
  <c r="G85" i="6"/>
  <c r="Q24" i="6" s="1"/>
  <c r="F85" i="6"/>
  <c r="O24" i="6" s="1"/>
  <c r="E85" i="6"/>
  <c r="N24" i="6" s="1"/>
  <c r="G83" i="6"/>
  <c r="F83" i="6"/>
  <c r="O21" i="6" s="1"/>
  <c r="E83" i="6"/>
  <c r="N21" i="6" s="1"/>
  <c r="G81" i="6"/>
  <c r="Q20" i="6" s="1"/>
  <c r="S20" i="6" s="1"/>
  <c r="V20" i="6" s="1"/>
  <c r="F81" i="6"/>
  <c r="E81" i="6"/>
  <c r="N20" i="6" s="1"/>
  <c r="G79" i="6"/>
  <c r="Q19" i="6" s="1"/>
  <c r="S19" i="6" s="1"/>
  <c r="V19" i="6" s="1"/>
  <c r="F79" i="6"/>
  <c r="O19" i="6" s="1"/>
  <c r="E79" i="6"/>
  <c r="G77" i="6"/>
  <c r="F77" i="6"/>
  <c r="O18" i="6" s="1"/>
  <c r="E77" i="6"/>
  <c r="N18" i="6" s="1"/>
  <c r="G75" i="6"/>
  <c r="Q17" i="6" s="1"/>
  <c r="S17" i="6" s="1"/>
  <c r="F75" i="6"/>
  <c r="O17" i="6" s="1"/>
  <c r="E75" i="6"/>
  <c r="N17" i="6" s="1"/>
  <c r="G73" i="6"/>
  <c r="Q16" i="6" s="1"/>
  <c r="S16" i="6" s="1"/>
  <c r="F73" i="6"/>
  <c r="O16" i="6" s="1"/>
  <c r="E73" i="6"/>
  <c r="N16" i="6" s="1"/>
  <c r="G71" i="6"/>
  <c r="Q15" i="6" s="1"/>
  <c r="S15" i="6" s="1"/>
  <c r="F71" i="6"/>
  <c r="O15" i="6" s="1"/>
  <c r="E71" i="6"/>
  <c r="N15" i="6" s="1"/>
  <c r="G69" i="6"/>
  <c r="F69" i="6"/>
  <c r="O14" i="6" s="1"/>
  <c r="E69" i="6"/>
  <c r="N14" i="6" s="1"/>
  <c r="G67" i="6"/>
  <c r="F67" i="6"/>
  <c r="O13" i="6" s="1"/>
  <c r="E67" i="6"/>
  <c r="N13" i="6" s="1"/>
  <c r="G65" i="6"/>
  <c r="F65" i="6"/>
  <c r="E65" i="6"/>
  <c r="N12" i="6" s="1"/>
  <c r="G63" i="6"/>
  <c r="Q11" i="6" s="1"/>
  <c r="F63" i="6"/>
  <c r="O11" i="6" s="1"/>
  <c r="E63" i="6"/>
  <c r="N11" i="6" s="1"/>
  <c r="G61" i="6"/>
  <c r="F61" i="6"/>
  <c r="O10" i="6" s="1"/>
  <c r="E61" i="6"/>
  <c r="N10" i="6" s="1"/>
  <c r="G59" i="6"/>
  <c r="Q23" i="6" s="1"/>
  <c r="S23" i="6" s="1"/>
  <c r="V23" i="6" s="1"/>
  <c r="F59" i="6"/>
  <c r="O23" i="6" s="1"/>
  <c r="E59" i="6"/>
  <c r="N23" i="6" s="1"/>
  <c r="G57" i="6"/>
  <c r="Q22" i="6" s="1"/>
  <c r="S22" i="6" s="1"/>
  <c r="V22" i="6" s="1"/>
  <c r="F57" i="6"/>
  <c r="O22" i="6" s="1"/>
  <c r="E57" i="6"/>
  <c r="N22" i="6" s="1"/>
  <c r="G55" i="6"/>
  <c r="Q9" i="6" s="1"/>
  <c r="S9" i="6" s="1"/>
  <c r="V9" i="6" s="1"/>
  <c r="F55" i="6"/>
  <c r="O9" i="6" s="1"/>
  <c r="E55" i="6"/>
  <c r="G53" i="6"/>
  <c r="F53" i="6"/>
  <c r="E53" i="6"/>
  <c r="G51" i="6"/>
  <c r="F51" i="6"/>
  <c r="O8" i="6" s="1"/>
  <c r="E51" i="6"/>
  <c r="N8" i="6" s="1"/>
  <c r="F44" i="6"/>
  <c r="F43" i="6"/>
  <c r="F42" i="6"/>
  <c r="E41" i="6"/>
  <c r="E36" i="6" s="1"/>
  <c r="D41" i="6"/>
  <c r="D36" i="6" s="1"/>
  <c r="B19" i="6"/>
  <c r="G38" i="6"/>
  <c r="G35" i="6"/>
  <c r="E35" i="6"/>
  <c r="D35" i="6"/>
  <c r="F34" i="6"/>
  <c r="F33" i="6"/>
  <c r="R29" i="6"/>
  <c r="H29" i="6"/>
  <c r="O27" i="6"/>
  <c r="G27" i="6"/>
  <c r="I27" i="6" s="1"/>
  <c r="E27" i="6"/>
  <c r="D27" i="6"/>
  <c r="O26" i="6"/>
  <c r="G26" i="6"/>
  <c r="E26" i="6"/>
  <c r="D26" i="6"/>
  <c r="G25" i="6"/>
  <c r="I25" i="6" s="1"/>
  <c r="E25" i="6"/>
  <c r="D25" i="6"/>
  <c r="G24" i="6"/>
  <c r="I24" i="6" s="1"/>
  <c r="E24" i="6"/>
  <c r="D24" i="6"/>
  <c r="G23" i="6"/>
  <c r="I23" i="6" s="1"/>
  <c r="E23" i="6"/>
  <c r="D23" i="6"/>
  <c r="G22" i="6"/>
  <c r="I22" i="6" s="1"/>
  <c r="E22" i="6"/>
  <c r="D22" i="6"/>
  <c r="Q21" i="6"/>
  <c r="G21" i="6"/>
  <c r="I21" i="6" s="1"/>
  <c r="E21" i="6"/>
  <c r="D21" i="6"/>
  <c r="O20" i="6"/>
  <c r="G20" i="6"/>
  <c r="I20" i="6" s="1"/>
  <c r="E20" i="6"/>
  <c r="D20" i="6"/>
  <c r="N19" i="6"/>
  <c r="G19" i="6"/>
  <c r="I19" i="6" s="1"/>
  <c r="E19" i="6"/>
  <c r="D19" i="6"/>
  <c r="G18" i="6"/>
  <c r="I18" i="6" s="1"/>
  <c r="E18" i="6"/>
  <c r="D18" i="6"/>
  <c r="G17" i="6"/>
  <c r="I17" i="6" s="1"/>
  <c r="E17" i="6"/>
  <c r="D17" i="6"/>
  <c r="G16" i="6"/>
  <c r="I16" i="6" s="1"/>
  <c r="E16" i="6"/>
  <c r="D16" i="6"/>
  <c r="G15" i="6"/>
  <c r="I15" i="6" s="1"/>
  <c r="E15" i="6"/>
  <c r="D15" i="6"/>
  <c r="G14" i="6"/>
  <c r="E14" i="6"/>
  <c r="D14" i="6"/>
  <c r="Q13" i="6"/>
  <c r="S13" i="6" s="1"/>
  <c r="V13" i="6" s="1"/>
  <c r="G13" i="6"/>
  <c r="I13" i="6" s="1"/>
  <c r="E13" i="6"/>
  <c r="D13" i="6"/>
  <c r="O12" i="6"/>
  <c r="M12" i="6"/>
  <c r="G12" i="6"/>
  <c r="I12" i="6" s="1"/>
  <c r="E12" i="6"/>
  <c r="D12" i="6"/>
  <c r="B12" i="6"/>
  <c r="C12" i="6" s="1"/>
  <c r="G11" i="6"/>
  <c r="I11" i="6" s="1"/>
  <c r="E11" i="6"/>
  <c r="D11" i="6"/>
  <c r="B11" i="6"/>
  <c r="G10" i="6"/>
  <c r="E10" i="6"/>
  <c r="D10" i="6"/>
  <c r="N9" i="6"/>
  <c r="G9" i="6"/>
  <c r="I9" i="6" s="1"/>
  <c r="E9" i="6"/>
  <c r="D9" i="6"/>
  <c r="Q8" i="6"/>
  <c r="G8" i="6"/>
  <c r="E8" i="6"/>
  <c r="D8" i="6"/>
  <c r="M3" i="6"/>
  <c r="K3" i="6"/>
  <c r="K21" i="6" l="1"/>
  <c r="F12" i="6"/>
  <c r="F35" i="6"/>
  <c r="K13" i="6"/>
  <c r="P13" i="6"/>
  <c r="F22" i="6"/>
  <c r="F9" i="6"/>
  <c r="E38" i="6"/>
  <c r="U20" i="6"/>
  <c r="F3" i="6"/>
  <c r="K27" i="6"/>
  <c r="F26" i="6"/>
  <c r="K25" i="6"/>
  <c r="F25" i="6"/>
  <c r="K24" i="6"/>
  <c r="K20" i="6"/>
  <c r="F20" i="6"/>
  <c r="K19" i="6"/>
  <c r="K18" i="6"/>
  <c r="F18" i="6"/>
  <c r="U17" i="6"/>
  <c r="K17" i="6"/>
  <c r="F17" i="6"/>
  <c r="K16" i="6"/>
  <c r="F16" i="6"/>
  <c r="P15" i="6"/>
  <c r="F15" i="6"/>
  <c r="K14" i="6"/>
  <c r="F13" i="6"/>
  <c r="K12" i="6"/>
  <c r="J12" i="6"/>
  <c r="K11" i="6"/>
  <c r="K10" i="6"/>
  <c r="E29" i="6"/>
  <c r="K23" i="6"/>
  <c r="F23" i="6"/>
  <c r="K22" i="6"/>
  <c r="P9" i="6"/>
  <c r="K9" i="6"/>
  <c r="V15" i="6"/>
  <c r="U16" i="6"/>
  <c r="N29" i="6"/>
  <c r="P23" i="6"/>
  <c r="U26" i="6"/>
  <c r="P22" i="6"/>
  <c r="U13" i="6"/>
  <c r="U21" i="6"/>
  <c r="P26" i="6"/>
  <c r="P24" i="6"/>
  <c r="T11" i="6"/>
  <c r="T12" i="6"/>
  <c r="J19" i="6"/>
  <c r="D38" i="6"/>
  <c r="P20" i="6"/>
  <c r="O29" i="6"/>
  <c r="U8" i="6"/>
  <c r="I8" i="6"/>
  <c r="G29" i="6"/>
  <c r="P8" i="6"/>
  <c r="F10" i="6"/>
  <c r="P11" i="6"/>
  <c r="F14" i="6"/>
  <c r="T19" i="6"/>
  <c r="U19" i="6"/>
  <c r="P21" i="6"/>
  <c r="U23" i="6"/>
  <c r="U9" i="6"/>
  <c r="U25" i="6"/>
  <c r="D29" i="6"/>
  <c r="K8" i="6"/>
  <c r="S8" i="6"/>
  <c r="I10" i="6"/>
  <c r="Q10" i="6"/>
  <c r="S11" i="6"/>
  <c r="V11" i="6" s="1"/>
  <c r="I14" i="6"/>
  <c r="Q14" i="6"/>
  <c r="K15" i="6"/>
  <c r="P17" i="6"/>
  <c r="Q18" i="6"/>
  <c r="U18" i="6" s="1"/>
  <c r="P19" i="6"/>
  <c r="S21" i="6"/>
  <c r="V21" i="6" s="1"/>
  <c r="F24" i="6"/>
  <c r="U24" i="6"/>
  <c r="P25" i="6"/>
  <c r="K26" i="6"/>
  <c r="J11" i="6"/>
  <c r="U15" i="6"/>
  <c r="F8" i="6"/>
  <c r="F11" i="6"/>
  <c r="U11" i="6"/>
  <c r="P16" i="6"/>
  <c r="F19" i="6"/>
  <c r="F21" i="6"/>
  <c r="S24" i="6"/>
  <c r="V24" i="6" s="1"/>
  <c r="I26" i="6"/>
  <c r="F27" i="6"/>
  <c r="U22" i="6"/>
  <c r="V17" i="6"/>
  <c r="Q27" i="6"/>
  <c r="F41" i="6"/>
  <c r="F36" i="6" s="1"/>
  <c r="Q12" i="6"/>
  <c r="G53" i="4"/>
  <c r="F53" i="4"/>
  <c r="E53" i="4"/>
  <c r="F38" i="6" l="1"/>
  <c r="D3" i="6" s="1"/>
  <c r="J29" i="6"/>
  <c r="Q29" i="6"/>
  <c r="F29" i="6"/>
  <c r="U12" i="6"/>
  <c r="V8" i="6"/>
  <c r="T29" i="6"/>
  <c r="P27" i="6"/>
  <c r="S27" i="6"/>
  <c r="V27" i="6" s="1"/>
  <c r="P18" i="6"/>
  <c r="S18" i="6"/>
  <c r="V18" i="6" s="1"/>
  <c r="I29" i="6"/>
  <c r="P12" i="6"/>
  <c r="S12" i="6"/>
  <c r="V12" i="6" s="1"/>
  <c r="K29" i="6"/>
  <c r="S10" i="6"/>
  <c r="V10" i="6" s="1"/>
  <c r="U10" i="6"/>
  <c r="P10" i="6"/>
  <c r="S14" i="6"/>
  <c r="V14" i="6" s="1"/>
  <c r="P14" i="6"/>
  <c r="U14" i="6"/>
  <c r="U27" i="6"/>
  <c r="G91" i="4"/>
  <c r="Q27" i="4" s="1"/>
  <c r="S27" i="4" s="1"/>
  <c r="F91" i="4"/>
  <c r="O27" i="4" s="1"/>
  <c r="E91" i="4"/>
  <c r="N27" i="4" s="1"/>
  <c r="G89" i="4"/>
  <c r="Q26" i="4" s="1"/>
  <c r="S26" i="4" s="1"/>
  <c r="F89" i="4"/>
  <c r="O26" i="4" s="1"/>
  <c r="E89" i="4"/>
  <c r="N26" i="4" s="1"/>
  <c r="G87" i="4"/>
  <c r="Q25" i="4" s="1"/>
  <c r="F87" i="4"/>
  <c r="O25" i="4" s="1"/>
  <c r="E87" i="4"/>
  <c r="N25" i="4" s="1"/>
  <c r="G85" i="4"/>
  <c r="Q24" i="4" s="1"/>
  <c r="S24" i="4" s="1"/>
  <c r="V24" i="4" s="1"/>
  <c r="F85" i="4"/>
  <c r="O24" i="4" s="1"/>
  <c r="E85" i="4"/>
  <c r="N24" i="4" s="1"/>
  <c r="G59" i="4"/>
  <c r="Q23" i="4" s="1"/>
  <c r="S23" i="4" s="1"/>
  <c r="V23" i="4" s="1"/>
  <c r="F59" i="4"/>
  <c r="O23" i="4" s="1"/>
  <c r="E59" i="4"/>
  <c r="N23" i="4" s="1"/>
  <c r="G57" i="4"/>
  <c r="Q22" i="4" s="1"/>
  <c r="S22" i="4" s="1"/>
  <c r="V22" i="4" s="1"/>
  <c r="F57" i="4"/>
  <c r="O22" i="4" s="1"/>
  <c r="E57" i="4"/>
  <c r="N22" i="4" s="1"/>
  <c r="G83" i="4"/>
  <c r="Q21" i="4" s="1"/>
  <c r="S21" i="4" s="1"/>
  <c r="F83" i="4"/>
  <c r="O21" i="4" s="1"/>
  <c r="E83" i="4"/>
  <c r="N21" i="4" s="1"/>
  <c r="G81" i="4"/>
  <c r="Q20" i="4" s="1"/>
  <c r="F81" i="4"/>
  <c r="O20" i="4" s="1"/>
  <c r="E81" i="4"/>
  <c r="N20" i="4" s="1"/>
  <c r="G79" i="4"/>
  <c r="Q19" i="4" s="1"/>
  <c r="S19" i="4" s="1"/>
  <c r="V19" i="4" s="1"/>
  <c r="F79" i="4"/>
  <c r="O19" i="4" s="1"/>
  <c r="E79" i="4"/>
  <c r="N19" i="4" s="1"/>
  <c r="G77" i="4"/>
  <c r="Q18" i="4" s="1"/>
  <c r="S18" i="4" s="1"/>
  <c r="F77" i="4"/>
  <c r="O18" i="4" s="1"/>
  <c r="E77" i="4"/>
  <c r="N18" i="4" s="1"/>
  <c r="G75" i="4"/>
  <c r="Q17" i="4" s="1"/>
  <c r="F75" i="4"/>
  <c r="O17" i="4" s="1"/>
  <c r="E75" i="4"/>
  <c r="N17" i="4" s="1"/>
  <c r="G73" i="4"/>
  <c r="Q16" i="4" s="1"/>
  <c r="S16" i="4" s="1"/>
  <c r="F73" i="4"/>
  <c r="O16" i="4" s="1"/>
  <c r="E73" i="4"/>
  <c r="N16" i="4" s="1"/>
  <c r="G71" i="4"/>
  <c r="Q15" i="4" s="1"/>
  <c r="S15" i="4" s="1"/>
  <c r="V15" i="4" s="1"/>
  <c r="F71" i="4"/>
  <c r="O15" i="4" s="1"/>
  <c r="E71" i="4"/>
  <c r="N15" i="4" s="1"/>
  <c r="G69" i="4"/>
  <c r="Q14" i="4" s="1"/>
  <c r="S14" i="4" s="1"/>
  <c r="F69" i="4"/>
  <c r="O14" i="4" s="1"/>
  <c r="E69" i="4"/>
  <c r="N14" i="4" s="1"/>
  <c r="G67" i="4"/>
  <c r="Q13" i="4" s="1"/>
  <c r="F67" i="4"/>
  <c r="O13" i="4" s="1"/>
  <c r="E67" i="4"/>
  <c r="N13" i="4" s="1"/>
  <c r="G65" i="4"/>
  <c r="Q12" i="4" s="1"/>
  <c r="S12" i="4" s="1"/>
  <c r="V12" i="4" s="1"/>
  <c r="F65" i="4"/>
  <c r="O12" i="4" s="1"/>
  <c r="E65" i="4"/>
  <c r="N12" i="4" s="1"/>
  <c r="G63" i="4"/>
  <c r="Q11" i="4" s="1"/>
  <c r="S11" i="4" s="1"/>
  <c r="V11" i="4" s="1"/>
  <c r="F63" i="4"/>
  <c r="O11" i="4" s="1"/>
  <c r="E63" i="4"/>
  <c r="N11" i="4" s="1"/>
  <c r="G61" i="4"/>
  <c r="Q10" i="4" s="1"/>
  <c r="S10" i="4" s="1"/>
  <c r="V10" i="4" s="1"/>
  <c r="F61" i="4"/>
  <c r="O10" i="4" s="1"/>
  <c r="E61" i="4"/>
  <c r="N10" i="4" s="1"/>
  <c r="G55" i="4"/>
  <c r="Q9" i="4" s="1"/>
  <c r="S9" i="4" s="1"/>
  <c r="F55" i="4"/>
  <c r="O9" i="4" s="1"/>
  <c r="E55" i="4"/>
  <c r="N9" i="4" s="1"/>
  <c r="G51" i="4"/>
  <c r="Q8" i="4" s="1"/>
  <c r="S8" i="4" s="1"/>
  <c r="F51" i="4"/>
  <c r="O8" i="4" s="1"/>
  <c r="E51" i="4"/>
  <c r="N8" i="4" s="1"/>
  <c r="B11" i="4"/>
  <c r="F42" i="4"/>
  <c r="G41" i="4"/>
  <c r="F41" i="4"/>
  <c r="F36" i="4" s="1"/>
  <c r="E41" i="4"/>
  <c r="E36" i="4" s="1"/>
  <c r="D41" i="4"/>
  <c r="D36" i="4" s="1"/>
  <c r="G36" i="4"/>
  <c r="G35" i="4"/>
  <c r="G38" i="4" s="1"/>
  <c r="E35" i="4"/>
  <c r="D35" i="4"/>
  <c r="R29" i="4"/>
  <c r="H29" i="4"/>
  <c r="G27" i="4"/>
  <c r="E27" i="4"/>
  <c r="D27" i="4"/>
  <c r="G26" i="4"/>
  <c r="I26" i="4" s="1"/>
  <c r="E26" i="4"/>
  <c r="D26" i="4"/>
  <c r="G25" i="4"/>
  <c r="I25" i="4" s="1"/>
  <c r="E25" i="4"/>
  <c r="D25" i="4"/>
  <c r="G24" i="4"/>
  <c r="I24" i="4" s="1"/>
  <c r="E24" i="4"/>
  <c r="D24" i="4"/>
  <c r="G23" i="4"/>
  <c r="I23" i="4" s="1"/>
  <c r="E23" i="4"/>
  <c r="D23" i="4"/>
  <c r="G22" i="4"/>
  <c r="E22" i="4"/>
  <c r="D22" i="4"/>
  <c r="G21" i="4"/>
  <c r="I21" i="4" s="1"/>
  <c r="E21" i="4"/>
  <c r="D21" i="4"/>
  <c r="G20" i="4"/>
  <c r="I20" i="4" s="1"/>
  <c r="E20" i="4"/>
  <c r="D20" i="4"/>
  <c r="G19" i="4"/>
  <c r="I19" i="4" s="1"/>
  <c r="E19" i="4"/>
  <c r="D19" i="4"/>
  <c r="B19" i="4"/>
  <c r="G18" i="4"/>
  <c r="I18" i="4" s="1"/>
  <c r="E18" i="4"/>
  <c r="D18" i="4"/>
  <c r="G17" i="4"/>
  <c r="I17" i="4" s="1"/>
  <c r="E17" i="4"/>
  <c r="D17" i="4"/>
  <c r="G16" i="4"/>
  <c r="I16" i="4" s="1"/>
  <c r="E16" i="4"/>
  <c r="D16" i="4"/>
  <c r="G15" i="4"/>
  <c r="E15" i="4"/>
  <c r="D15" i="4"/>
  <c r="G14" i="4"/>
  <c r="I14" i="4" s="1"/>
  <c r="E14" i="4"/>
  <c r="D14" i="4"/>
  <c r="G13" i="4"/>
  <c r="I13" i="4" s="1"/>
  <c r="E13" i="4"/>
  <c r="D13" i="4"/>
  <c r="M12" i="4"/>
  <c r="G12" i="4"/>
  <c r="I12" i="4" s="1"/>
  <c r="E12" i="4"/>
  <c r="D12" i="4"/>
  <c r="B12" i="4"/>
  <c r="C12" i="4" s="1"/>
  <c r="G11" i="4"/>
  <c r="I11" i="4" s="1"/>
  <c r="E11" i="4"/>
  <c r="D11" i="4"/>
  <c r="G10" i="4"/>
  <c r="I10" i="4" s="1"/>
  <c r="E10" i="4"/>
  <c r="D10" i="4"/>
  <c r="G9" i="4"/>
  <c r="I9" i="4" s="1"/>
  <c r="E9" i="4"/>
  <c r="D9" i="4"/>
  <c r="G8" i="4"/>
  <c r="E8" i="4"/>
  <c r="D8" i="4"/>
  <c r="M3" i="4"/>
  <c r="K3" i="4"/>
  <c r="U29" i="6" l="1"/>
  <c r="P29" i="6"/>
  <c r="V29" i="6"/>
  <c r="S29" i="6"/>
  <c r="K19" i="4"/>
  <c r="K20" i="4"/>
  <c r="K11" i="4"/>
  <c r="K10" i="4"/>
  <c r="E38" i="4"/>
  <c r="P14" i="4"/>
  <c r="U15" i="4"/>
  <c r="U26" i="4"/>
  <c r="F23" i="4"/>
  <c r="F13" i="4"/>
  <c r="F11" i="4"/>
  <c r="K16" i="4"/>
  <c r="V18" i="4"/>
  <c r="K26" i="4"/>
  <c r="U16" i="4"/>
  <c r="K14" i="4"/>
  <c r="K18" i="4"/>
  <c r="F24" i="4"/>
  <c r="F35" i="4"/>
  <c r="F38" i="4" s="1"/>
  <c r="D38" i="4"/>
  <c r="J11" i="4"/>
  <c r="F16" i="4"/>
  <c r="V21" i="4"/>
  <c r="U14" i="4"/>
  <c r="U21" i="4"/>
  <c r="F3" i="4"/>
  <c r="K22" i="4"/>
  <c r="K27" i="4"/>
  <c r="V26" i="4"/>
  <c r="F26" i="4"/>
  <c r="K25" i="4"/>
  <c r="F25" i="4"/>
  <c r="U24" i="4"/>
  <c r="K24" i="4"/>
  <c r="U23" i="4"/>
  <c r="K23" i="4"/>
  <c r="K21" i="4"/>
  <c r="F20" i="4"/>
  <c r="U19" i="4"/>
  <c r="F19" i="4"/>
  <c r="J19" i="4"/>
  <c r="F18" i="4"/>
  <c r="K17" i="4"/>
  <c r="F17" i="4"/>
  <c r="K13" i="4"/>
  <c r="U12" i="4"/>
  <c r="T11" i="4"/>
  <c r="K12" i="4"/>
  <c r="F12" i="4"/>
  <c r="K9" i="4"/>
  <c r="E29" i="4"/>
  <c r="F9" i="4"/>
  <c r="U18" i="4"/>
  <c r="P18" i="4"/>
  <c r="U11" i="4"/>
  <c r="O29" i="4"/>
  <c r="P10" i="4"/>
  <c r="P26" i="4"/>
  <c r="V27" i="4"/>
  <c r="N29" i="4"/>
  <c r="U9" i="4"/>
  <c r="P12" i="4"/>
  <c r="U13" i="4"/>
  <c r="U27" i="4"/>
  <c r="U22" i="4"/>
  <c r="G29" i="4"/>
  <c r="I8" i="4"/>
  <c r="V8" i="4"/>
  <c r="T12" i="4"/>
  <c r="F14" i="4"/>
  <c r="F15" i="4"/>
  <c r="I15" i="4"/>
  <c r="P16" i="4"/>
  <c r="P17" i="4"/>
  <c r="S17" i="4"/>
  <c r="V17" i="4" s="1"/>
  <c r="P24" i="4"/>
  <c r="P25" i="4"/>
  <c r="S25" i="4"/>
  <c r="V25" i="4" s="1"/>
  <c r="U17" i="4"/>
  <c r="P19" i="4"/>
  <c r="U20" i="4"/>
  <c r="U25" i="4"/>
  <c r="D29" i="4"/>
  <c r="U8" i="4"/>
  <c r="P9" i="4"/>
  <c r="Q29" i="4"/>
  <c r="F10" i="4"/>
  <c r="U10" i="4"/>
  <c r="P11" i="4"/>
  <c r="P13" i="4"/>
  <c r="S13" i="4"/>
  <c r="V14" i="4"/>
  <c r="F21" i="4"/>
  <c r="P21" i="4"/>
  <c r="F22" i="4"/>
  <c r="I22" i="4"/>
  <c r="P23" i="4"/>
  <c r="V9" i="4"/>
  <c r="P15" i="4"/>
  <c r="P22" i="4"/>
  <c r="P27" i="4"/>
  <c r="P20" i="4"/>
  <c r="S20" i="4"/>
  <c r="V20" i="4" s="1"/>
  <c r="F8" i="4"/>
  <c r="P8" i="4"/>
  <c r="J12" i="4"/>
  <c r="K15" i="4"/>
  <c r="T19" i="4"/>
  <c r="F27" i="4"/>
  <c r="I27" i="4"/>
  <c r="K8" i="4"/>
  <c r="J29" i="4" l="1"/>
  <c r="T29" i="4"/>
  <c r="F29" i="4"/>
  <c r="S29" i="4"/>
  <c r="V13" i="4"/>
  <c r="V29" i="4" s="1"/>
  <c r="I29" i="4"/>
  <c r="D3" i="4"/>
  <c r="U29" i="4"/>
  <c r="P29" i="4"/>
  <c r="K29" i="4"/>
</calcChain>
</file>

<file path=xl/sharedStrings.xml><?xml version="1.0" encoding="utf-8"?>
<sst xmlns="http://schemas.openxmlformats.org/spreadsheetml/2006/main" count="584" uniqueCount="83">
  <si>
    <t>Overall Facility Productivity</t>
  </si>
  <si>
    <t>Expected Payroll after Restructuring</t>
  </si>
  <si>
    <t>*areas to be updated annually</t>
  </si>
  <si>
    <t>Current Period</t>
  </si>
  <si>
    <t>YTD Average</t>
  </si>
  <si>
    <t>Budgeted</t>
  </si>
  <si>
    <t>Current Pay Period Actual $</t>
  </si>
  <si>
    <t>*areas to be updated each Pay Period</t>
  </si>
  <si>
    <t>FTE's per Adjusted Occupied Bed</t>
  </si>
  <si>
    <t>Variance</t>
  </si>
  <si>
    <t>Department</t>
  </si>
  <si>
    <t>Volume</t>
  </si>
  <si>
    <t>Target FTEs</t>
  </si>
  <si>
    <t>Worked FTE's</t>
  </si>
  <si>
    <t>Overtime FTE's</t>
  </si>
  <si>
    <t>Non-Prod FTE's</t>
  </si>
  <si>
    <t>Paid FTE's</t>
  </si>
  <si>
    <t>Budgeted FTE's</t>
  </si>
  <si>
    <t>Budgeted FTE Variance</t>
  </si>
  <si>
    <t>Prod Variance</t>
  </si>
  <si>
    <t>OT %</t>
  </si>
  <si>
    <t>Salary/Wage Variance</t>
  </si>
  <si>
    <t>Administrative</t>
  </si>
  <si>
    <t>Business Office</t>
  </si>
  <si>
    <t>Dietary</t>
  </si>
  <si>
    <t>Emergency Room</t>
  </si>
  <si>
    <t>Gerio Psych</t>
  </si>
  <si>
    <t>Housekeeping</t>
  </si>
  <si>
    <t>Laboratory</t>
  </si>
  <si>
    <t>Maintenance</t>
  </si>
  <si>
    <t>Marketing</t>
  </si>
  <si>
    <t>Medical Records</t>
  </si>
  <si>
    <t>Newton Fitness</t>
  </si>
  <si>
    <t>Nursing Hospital</t>
  </si>
  <si>
    <t>Nursing Surgery</t>
  </si>
  <si>
    <t>Outpatient BHU</t>
  </si>
  <si>
    <t>Clinic 1</t>
  </si>
  <si>
    <t>Clinic 2</t>
  </si>
  <si>
    <t>Pharmacy</t>
  </si>
  <si>
    <t>Purchasing</t>
  </si>
  <si>
    <t>Radiology</t>
  </si>
  <si>
    <t>Respiratory</t>
  </si>
  <si>
    <t>Total</t>
  </si>
  <si>
    <t>Pay Period Stats</t>
  </si>
  <si>
    <t>Budgeted Annual Stats</t>
  </si>
  <si>
    <t>Inpatient Revenue</t>
  </si>
  <si>
    <t>Overall Revenue</t>
  </si>
  <si>
    <t>Adjusted PatDay Factor</t>
  </si>
  <si>
    <t>Patient Days</t>
  </si>
  <si>
    <t>YTD Days</t>
  </si>
  <si>
    <t>Adjusted Occupied Beds</t>
  </si>
  <si>
    <t>ADC Acute</t>
  </si>
  <si>
    <t>ADC GPU</t>
  </si>
  <si>
    <t>ADC Total</t>
  </si>
  <si>
    <t>Nursing Home Patient Days</t>
  </si>
  <si>
    <t>ER Visits</t>
  </si>
  <si>
    <t>Clinic Revenue</t>
  </si>
  <si>
    <t>Pay Period #</t>
  </si>
  <si>
    <t>Current Pay Period</t>
  </si>
  <si>
    <t>YTD Totals</t>
  </si>
  <si>
    <t>Worked Hours</t>
  </si>
  <si>
    <t>Overtime Hours</t>
  </si>
  <si>
    <t>Paid Hours</t>
  </si>
  <si>
    <t>Salary/Wage Expense</t>
  </si>
  <si>
    <t>Total Worked Hours</t>
  </si>
  <si>
    <t>Total OT Hours</t>
  </si>
  <si>
    <t>Total Paid Hours</t>
  </si>
  <si>
    <t>Gerio Psych Unit</t>
  </si>
  <si>
    <t>Lab</t>
  </si>
  <si>
    <t>Respiratory Therapy</t>
  </si>
  <si>
    <t>Anesthesia</t>
  </si>
  <si>
    <t>Administration</t>
  </si>
  <si>
    <t>Clinic #1</t>
  </si>
  <si>
    <t>Clinic #2</t>
  </si>
  <si>
    <t>YTD_x000D_
01/04/2015</t>
  </si>
  <si>
    <t>Pay Period 1 Data</t>
  </si>
  <si>
    <t>YTD_x000D_
01/18/2015</t>
  </si>
  <si>
    <t>Pay Period 2 Data</t>
  </si>
  <si>
    <t>YTD_x000D_
02/01/2015</t>
  </si>
  <si>
    <t>Pay Period 3 Data</t>
  </si>
  <si>
    <t>YTD_x000D_
12/21/2014</t>
  </si>
  <si>
    <t>YTD_x000D_
02/15/2015</t>
  </si>
  <si>
    <t>Pay Period 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</si>
</sst>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164" fontId="3" fillId="3" borderId="3" xfId="0" applyNumberFormat="1" applyFont="1" applyFill="1" applyBorder="1" applyProtection="1">
      <protection locked="0"/>
    </xf>
    <xf numFmtId="165" fontId="3" fillId="3" borderId="3" xfId="1" applyNumberFormat="1" applyFont="1" applyFill="1" applyBorder="1"/>
    <xf numFmtId="0" fontId="3" fillId="3" borderId="0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/>
    <xf numFmtId="164" fontId="3" fillId="4" borderId="10" xfId="0" applyNumberFormat="1" applyFont="1" applyFill="1" applyBorder="1" applyProtection="1">
      <protection locked="0"/>
    </xf>
    <xf numFmtId="165" fontId="3" fillId="4" borderId="10" xfId="1" applyNumberFormat="1" applyFont="1" applyFill="1" applyBorder="1"/>
    <xf numFmtId="0" fontId="3" fillId="4" borderId="0" xfId="0" applyFont="1" applyFill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2" fontId="3" fillId="2" borderId="12" xfId="0" applyNumberFormat="1" applyFont="1" applyFill="1" applyBorder="1" applyAlignment="1" applyProtection="1">
      <alignment horizontal="center"/>
    </xf>
    <xf numFmtId="2" fontId="3" fillId="2" borderId="12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164" fontId="3" fillId="0" borderId="13" xfId="0" applyNumberFormat="1" applyFont="1" applyBorder="1"/>
    <xf numFmtId="165" fontId="3" fillId="0" borderId="13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2" fontId="3" fillId="0" borderId="18" xfId="0" applyNumberFormat="1" applyFont="1" applyBorder="1"/>
    <xf numFmtId="2" fontId="3" fillId="0" borderId="0" xfId="0" applyNumberFormat="1" applyFont="1" applyBorder="1"/>
    <xf numFmtId="10" fontId="3" fillId="0" borderId="19" xfId="0" applyNumberFormat="1" applyFont="1" applyBorder="1"/>
    <xf numFmtId="1" fontId="3" fillId="0" borderId="0" xfId="0" applyNumberFormat="1" applyFont="1" applyBorder="1"/>
    <xf numFmtId="10" fontId="3" fillId="0" borderId="0" xfId="0" applyNumberFormat="1" applyFont="1" applyBorder="1"/>
    <xf numFmtId="164" fontId="0" fillId="0" borderId="10" xfId="0" applyNumberFormat="1" applyBorder="1"/>
    <xf numFmtId="2" fontId="0" fillId="0" borderId="0" xfId="0" applyNumberFormat="1"/>
    <xf numFmtId="166" fontId="3" fillId="0" borderId="0" xfId="0" applyNumberFormat="1" applyFont="1" applyBorder="1"/>
    <xf numFmtId="0" fontId="3" fillId="0" borderId="19" xfId="0" applyFont="1" applyBorder="1"/>
    <xf numFmtId="0" fontId="0" fillId="0" borderId="10" xfId="0" applyBorder="1"/>
    <xf numFmtId="2" fontId="3" fillId="0" borderId="20" xfId="0" applyNumberFormat="1" applyFont="1" applyBorder="1"/>
    <xf numFmtId="2" fontId="3" fillId="0" borderId="12" xfId="0" applyNumberFormat="1" applyFont="1" applyBorder="1"/>
    <xf numFmtId="10" fontId="3" fillId="0" borderId="21" xfId="0" applyNumberFormat="1" applyFont="1" applyFill="1" applyBorder="1"/>
    <xf numFmtId="10" fontId="3" fillId="0" borderId="12" xfId="0" applyNumberFormat="1" applyFont="1" applyFill="1" applyBorder="1"/>
    <xf numFmtId="2" fontId="3" fillId="0" borderId="13" xfId="0" applyNumberFormat="1" applyFont="1" applyBorder="1"/>
    <xf numFmtId="14" fontId="3" fillId="0" borderId="4" xfId="0" applyNumberFormat="1" applyFont="1" applyBorder="1"/>
    <xf numFmtId="14" fontId="3" fillId="0" borderId="2" xfId="0" applyNumberFormat="1" applyFont="1" applyBorder="1"/>
    <xf numFmtId="14" fontId="3" fillId="0" borderId="15" xfId="0" applyNumberFormat="1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14" fontId="3" fillId="0" borderId="17" xfId="0" applyNumberFormat="1" applyFont="1" applyFill="1" applyBorder="1" applyAlignment="1">
      <alignment horizontal="center" wrapText="1"/>
    </xf>
    <xf numFmtId="164" fontId="3" fillId="4" borderId="0" xfId="0" applyNumberFormat="1" applyFont="1" applyFill="1" applyBorder="1" applyProtection="1">
      <protection locked="0"/>
    </xf>
    <xf numFmtId="164" fontId="3" fillId="2" borderId="10" xfId="0" applyNumberFormat="1" applyFont="1" applyFill="1" applyBorder="1"/>
    <xf numFmtId="164" fontId="3" fillId="3" borderId="10" xfId="1" applyNumberFormat="1" applyFont="1" applyFill="1" applyBorder="1" applyProtection="1">
      <protection locked="0"/>
    </xf>
    <xf numFmtId="4" fontId="3" fillId="0" borderId="0" xfId="0" applyNumberFormat="1" applyFont="1" applyBorder="1"/>
    <xf numFmtId="2" fontId="3" fillId="0" borderId="10" xfId="0" applyNumberFormat="1" applyFont="1" applyBorder="1"/>
    <xf numFmtId="2" fontId="3" fillId="3" borderId="10" xfId="0" applyNumberFormat="1" applyFont="1" applyFill="1" applyBorder="1" applyProtection="1"/>
    <xf numFmtId="1" fontId="3" fillId="2" borderId="0" xfId="0" applyNumberFormat="1" applyFont="1" applyFill="1" applyBorder="1"/>
    <xf numFmtId="0" fontId="3" fillId="2" borderId="10" xfId="0" applyFont="1" applyFill="1" applyBorder="1"/>
    <xf numFmtId="1" fontId="3" fillId="3" borderId="10" xfId="0" applyNumberFormat="1" applyFont="1" applyFill="1" applyBorder="1" applyProtection="1"/>
    <xf numFmtId="0" fontId="3" fillId="4" borderId="0" xfId="0" applyFont="1" applyFill="1" applyBorder="1" applyProtection="1">
      <protection locked="0"/>
    </xf>
    <xf numFmtId="1" fontId="3" fillId="3" borderId="10" xfId="0" applyNumberFormat="1" applyFont="1" applyFill="1" applyBorder="1" applyProtection="1">
      <protection locked="0"/>
    </xf>
    <xf numFmtId="2" fontId="3" fillId="2" borderId="0" xfId="0" applyNumberFormat="1" applyFont="1" applyFill="1" applyBorder="1"/>
    <xf numFmtId="166" fontId="3" fillId="4" borderId="0" xfId="0" applyNumberFormat="1" applyFont="1" applyFill="1" applyBorder="1" applyProtection="1">
      <protection locked="0"/>
    </xf>
    <xf numFmtId="166" fontId="3" fillId="4" borderId="10" xfId="0" applyNumberFormat="1" applyFont="1" applyFill="1" applyBorder="1" applyProtection="1">
      <protection locked="0"/>
    </xf>
    <xf numFmtId="166" fontId="3" fillId="3" borderId="10" xfId="0" applyNumberFormat="1" applyFont="1" applyFill="1" applyBorder="1" applyProtection="1">
      <protection locked="0"/>
    </xf>
    <xf numFmtId="166" fontId="3" fillId="0" borderId="10" xfId="0" applyNumberFormat="1" applyFont="1" applyBorder="1"/>
    <xf numFmtId="166" fontId="3" fillId="3" borderId="10" xfId="0" applyNumberFormat="1" applyFont="1" applyFill="1" applyBorder="1" applyProtection="1"/>
    <xf numFmtId="1" fontId="3" fillId="4" borderId="0" xfId="0" applyNumberFormat="1" applyFont="1" applyFill="1" applyBorder="1" applyProtection="1">
      <protection locked="0"/>
    </xf>
    <xf numFmtId="166" fontId="3" fillId="2" borderId="10" xfId="0" applyNumberFormat="1" applyFont="1" applyFill="1" applyBorder="1" applyProtection="1">
      <protection locked="0"/>
    </xf>
    <xf numFmtId="1" fontId="3" fillId="0" borderId="10" xfId="0" applyNumberFormat="1" applyFont="1" applyBorder="1" applyProtection="1"/>
    <xf numFmtId="164" fontId="3" fillId="4" borderId="12" xfId="0" applyNumberFormat="1" applyFont="1" applyFill="1" applyBorder="1" applyProtection="1">
      <protection locked="0"/>
    </xf>
    <xf numFmtId="164" fontId="3" fillId="3" borderId="13" xfId="0" applyNumberFormat="1" applyFont="1" applyFill="1" applyBorder="1" applyProtection="1">
      <protection locked="0"/>
    </xf>
    <xf numFmtId="0" fontId="3" fillId="4" borderId="14" xfId="0" applyFont="1" applyFill="1" applyBorder="1" applyProtection="1">
      <protection locked="0"/>
    </xf>
    <xf numFmtId="0" fontId="3" fillId="4" borderId="2" xfId="0" applyFont="1" applyFill="1" applyBorder="1"/>
    <xf numFmtId="0" fontId="3" fillId="0" borderId="22" xfId="0" applyFont="1" applyBorder="1" applyAlignment="1">
      <alignment horizontal="center"/>
    </xf>
    <xf numFmtId="0" fontId="3" fillId="0" borderId="10" xfId="0" applyFont="1" applyBorder="1"/>
    <xf numFmtId="0" fontId="2" fillId="0" borderId="9" xfId="0" applyFont="1" applyBorder="1"/>
    <xf numFmtId="0" fontId="2" fillId="0" borderId="0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0" borderId="24" xfId="0" applyFont="1" applyBorder="1"/>
    <xf numFmtId="0" fontId="3" fillId="0" borderId="25" xfId="0" applyFont="1" applyBorder="1"/>
    <xf numFmtId="2" fontId="3" fillId="4" borderId="25" xfId="0" applyNumberFormat="1" applyFont="1" applyFill="1" applyBorder="1" applyProtection="1">
      <protection locked="0"/>
    </xf>
    <xf numFmtId="164" fontId="3" fillId="4" borderId="26" xfId="0" applyNumberFormat="1" applyFont="1" applyFill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4" borderId="10" xfId="0" applyFont="1" applyFill="1" applyBorder="1" applyProtection="1">
      <protection locked="0"/>
    </xf>
    <xf numFmtId="0" fontId="3" fillId="0" borderId="5" xfId="0" applyFont="1" applyBorder="1"/>
    <xf numFmtId="0" fontId="3" fillId="0" borderId="27" xfId="0" applyFont="1" applyBorder="1"/>
    <xf numFmtId="2" fontId="3" fillId="0" borderId="27" xfId="0" applyNumberFormat="1" applyFont="1" applyBorder="1" applyProtection="1"/>
    <xf numFmtId="0" fontId="3" fillId="0" borderId="5" xfId="0" applyFont="1" applyBorder="1" applyProtection="1"/>
    <xf numFmtId="0" fontId="3" fillId="0" borderId="27" xfId="0" applyFont="1" applyBorder="1" applyProtection="1"/>
    <xf numFmtId="0" fontId="3" fillId="0" borderId="28" xfId="0" applyFont="1" applyBorder="1" applyProtection="1"/>
    <xf numFmtId="0" fontId="4" fillId="0" borderId="5" xfId="0" applyFont="1" applyBorder="1" applyProtection="1"/>
    <xf numFmtId="0" fontId="4" fillId="0" borderId="27" xfId="0" applyFont="1" applyBorder="1" applyProtection="1"/>
    <xf numFmtId="0" fontId="4" fillId="0" borderId="28" xfId="0" applyFont="1" applyBorder="1" applyProtection="1"/>
    <xf numFmtId="2" fontId="3" fillId="0" borderId="12" xfId="0" applyNumberFormat="1" applyFont="1" applyBorder="1" applyProtection="1"/>
    <xf numFmtId="0" fontId="3" fillId="0" borderId="11" xfId="0" applyFont="1" applyBorder="1" applyProtection="1"/>
    <xf numFmtId="0" fontId="3" fillId="0" borderId="12" xfId="0" applyFont="1" applyBorder="1" applyProtection="1"/>
    <xf numFmtId="0" fontId="3" fillId="0" borderId="13" xfId="0" applyFont="1" applyBorder="1" applyProtection="1"/>
    <xf numFmtId="0" fontId="3" fillId="0" borderId="0" xfId="0" applyFont="1" applyProtection="1">
      <protection locked="0"/>
    </xf>
    <xf numFmtId="0" fontId="0" fillId="0" borderId="0" xfId="0" applyBorder="1"/>
    <xf numFmtId="2" fontId="0" fillId="0" borderId="0" xfId="0" applyNumberFormat="1" applyBorder="1"/>
    <xf numFmtId="0" fontId="3" fillId="0" borderId="0" xfId="0" applyFont="1"/>
    <xf numFmtId="0" fontId="3" fillId="4" borderId="0" xfId="0" applyFont="1" applyFill="1" applyBorder="1" applyProtection="1">
      <protection locked="0"/>
    </xf>
    <xf numFmtId="0" fontId="3" fillId="0" borderId="24" xfId="0" applyFont="1" applyBorder="1"/>
    <xf numFmtId="0" fontId="3" fillId="0" borderId="25" xfId="0" applyFont="1" applyBorder="1"/>
    <xf numFmtId="2" fontId="3" fillId="4" borderId="25" xfId="0" applyNumberFormat="1" applyFont="1" applyFill="1" applyBorder="1" applyProtection="1">
      <protection locked="0"/>
    </xf>
    <xf numFmtId="164" fontId="3" fillId="4" borderId="26" xfId="0" applyNumberFormat="1" applyFont="1" applyFill="1" applyBorder="1" applyProtection="1">
      <protection locked="0"/>
    </xf>
    <xf numFmtId="0" fontId="3" fillId="0" borderId="5" xfId="0" applyFont="1" applyBorder="1"/>
    <xf numFmtId="0" fontId="3" fillId="0" borderId="27" xfId="0" applyFont="1" applyBorder="1"/>
    <xf numFmtId="2" fontId="3" fillId="0" borderId="27" xfId="0" applyNumberFormat="1" applyFont="1" applyBorder="1" applyProtection="1"/>
    <xf numFmtId="2" fontId="3" fillId="4" borderId="0" xfId="0" applyNumberFormat="1" applyFont="1" applyFill="1" applyBorder="1" applyProtection="1">
      <protection locked="0"/>
    </xf>
    <xf numFmtId="2" fontId="3" fillId="4" borderId="9" xfId="0" applyNumberFormat="1" applyFont="1" applyFill="1" applyBorder="1" applyProtection="1">
      <protection locked="0"/>
    </xf>
    <xf numFmtId="2" fontId="3" fillId="0" borderId="5" xfId="0" applyNumberFormat="1" applyFont="1" applyFill="1" applyBorder="1" applyProtection="1">
      <protection locked="0"/>
    </xf>
    <xf numFmtId="2" fontId="3" fillId="0" borderId="27" xfId="0" applyNumberFormat="1" applyFont="1" applyFill="1" applyBorder="1" applyProtection="1">
      <protection locked="0"/>
    </xf>
    <xf numFmtId="2" fontId="3" fillId="4" borderId="10" xfId="0" applyNumberFormat="1" applyFont="1" applyFill="1" applyBorder="1" applyProtection="1">
      <protection locked="0"/>
    </xf>
    <xf numFmtId="2" fontId="3" fillId="0" borderId="28" xfId="0" applyNumberFormat="1" applyFont="1" applyFill="1" applyBorder="1" applyProtection="1">
      <protection locked="0"/>
    </xf>
    <xf numFmtId="0" fontId="3" fillId="0" borderId="27" xfId="0" applyFont="1" applyFill="1" applyBorder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zoomScaleNormal="100" workbookViewId="0">
      <selection activeCell="E5" sqref="E5"/>
    </sheetView>
  </sheetViews>
  <sheetFormatPr defaultRowHeight="15" x14ac:dyDescent="0.25"/>
  <cols>
    <col min="1" max="1" width="20.28515625" customWidth="1"/>
    <col min="2" max="2" width="6.85546875" hidden="1" customWidth="1"/>
    <col min="3" max="3" width="9.7109375" hidden="1" customWidth="1"/>
    <col min="4" max="4" width="12" customWidth="1"/>
    <col min="5" max="5" width="11.42578125" customWidth="1"/>
    <col min="6" max="6" width="12.140625" customWidth="1"/>
    <col min="7" max="7" width="15.28515625" bestFit="1" customWidth="1"/>
    <col min="8" max="8" width="8.85546875" customWidth="1"/>
    <col min="9" max="9" width="10.85546875" customWidth="1"/>
    <col min="10" max="10" width="10.28515625" customWidth="1"/>
    <col min="11" max="11" width="9.140625" bestFit="1" customWidth="1"/>
    <col min="12" max="12" width="6.85546875" hidden="1" customWidth="1"/>
    <col min="13" max="13" width="10.85546875" hidden="1" customWidth="1"/>
    <col min="14" max="14" width="11.7109375" customWidth="1"/>
    <col min="15" max="15" width="11.140625" customWidth="1"/>
    <col min="16" max="16" width="9.7109375" customWidth="1"/>
    <col min="17" max="17" width="9.42578125" customWidth="1"/>
    <col min="18" max="18" width="8.85546875" customWidth="1"/>
    <col min="19" max="19" width="9" customWidth="1"/>
    <col min="20" max="20" width="11.7109375" customWidth="1"/>
    <col min="22" max="22" width="11.140625" customWidth="1"/>
  </cols>
  <sheetData>
    <row r="1" spans="1:23" ht="26.25" x14ac:dyDescent="0.25">
      <c r="A1" s="1" t="s">
        <v>0</v>
      </c>
      <c r="B1" s="2"/>
      <c r="C1" s="2"/>
      <c r="D1" s="3"/>
      <c r="E1" s="4"/>
      <c r="F1" s="5"/>
      <c r="G1" s="6"/>
      <c r="H1" s="7" t="s">
        <v>1</v>
      </c>
      <c r="I1" s="4"/>
      <c r="J1" s="4"/>
      <c r="K1" s="8">
        <v>260747</v>
      </c>
      <c r="L1" s="4"/>
      <c r="M1" s="9">
        <v>244806</v>
      </c>
      <c r="N1" s="6"/>
      <c r="O1" s="10"/>
      <c r="P1" s="6" t="s">
        <v>2</v>
      </c>
      <c r="Q1" s="11"/>
      <c r="R1" s="11"/>
      <c r="S1" s="11"/>
    </row>
    <row r="2" spans="1:23" ht="30.75" customHeight="1" x14ac:dyDescent="0.25">
      <c r="A2" s="12"/>
      <c r="B2" s="13"/>
      <c r="C2" s="13"/>
      <c r="D2" s="14" t="s">
        <v>3</v>
      </c>
      <c r="E2" s="15" t="s">
        <v>4</v>
      </c>
      <c r="F2" s="16" t="s">
        <v>5</v>
      </c>
      <c r="G2" s="13"/>
      <c r="H2" s="17" t="s">
        <v>6</v>
      </c>
      <c r="I2" s="6"/>
      <c r="J2" s="6"/>
      <c r="K2" s="18">
        <v>256576</v>
      </c>
      <c r="L2" s="6"/>
      <c r="M2" s="19">
        <v>240561</v>
      </c>
      <c r="N2" s="11"/>
      <c r="O2" s="20"/>
      <c r="P2" s="6" t="s">
        <v>7</v>
      </c>
      <c r="Q2" s="11"/>
      <c r="R2" s="11"/>
      <c r="S2" s="11"/>
    </row>
    <row r="3" spans="1:23" ht="30" customHeight="1" thickBot="1" x14ac:dyDescent="0.3">
      <c r="A3" s="21" t="s">
        <v>8</v>
      </c>
      <c r="B3" s="22"/>
      <c r="C3" s="22"/>
      <c r="D3" s="23">
        <f>+G29/F38</f>
        <v>3.3245712670978644</v>
      </c>
      <c r="E3" s="24">
        <f>+Q29/F38</f>
        <v>3.3245712670978644</v>
      </c>
      <c r="F3" s="25">
        <f>+H29/G38</f>
        <v>2.5326027995190614</v>
      </c>
      <c r="G3" s="6"/>
      <c r="H3" s="26" t="s">
        <v>9</v>
      </c>
      <c r="I3" s="27"/>
      <c r="J3" s="27"/>
      <c r="K3" s="28">
        <f>K1-K2</f>
        <v>4171</v>
      </c>
      <c r="L3" s="27"/>
      <c r="M3" s="29">
        <f>M1-M2</f>
        <v>4245</v>
      </c>
      <c r="N3" s="11"/>
      <c r="O3" s="11"/>
      <c r="P3" s="11"/>
      <c r="Q3" s="11"/>
      <c r="R3" s="11"/>
      <c r="S3" s="11"/>
    </row>
    <row r="4" spans="1:23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23" ht="15.75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23" x14ac:dyDescent="0.25">
      <c r="A6" s="30" t="s">
        <v>10</v>
      </c>
      <c r="B6" s="31"/>
      <c r="C6" s="31"/>
      <c r="D6" s="32"/>
      <c r="E6" s="33"/>
      <c r="F6" s="31" t="s">
        <v>3</v>
      </c>
      <c r="G6" s="33"/>
      <c r="H6" s="34"/>
      <c r="I6" s="34"/>
      <c r="J6" s="34"/>
      <c r="K6" s="33"/>
      <c r="L6" s="33"/>
      <c r="M6" s="33"/>
      <c r="N6" s="32"/>
      <c r="O6" s="31" t="s">
        <v>4</v>
      </c>
      <c r="P6" s="33"/>
      <c r="Q6" s="34"/>
      <c r="R6" s="33"/>
      <c r="S6" s="33"/>
      <c r="T6" s="33"/>
      <c r="U6" s="33"/>
      <c r="V6" s="35"/>
    </row>
    <row r="7" spans="1:23" ht="39" x14ac:dyDescent="0.25">
      <c r="A7" s="17"/>
      <c r="B7" s="13" t="s">
        <v>11</v>
      </c>
      <c r="C7" s="13" t="s">
        <v>12</v>
      </c>
      <c r="D7" s="36" t="s">
        <v>13</v>
      </c>
      <c r="E7" s="37" t="s">
        <v>14</v>
      </c>
      <c r="F7" s="37" t="s">
        <v>15</v>
      </c>
      <c r="G7" s="37" t="s">
        <v>16</v>
      </c>
      <c r="H7" s="37" t="s">
        <v>17</v>
      </c>
      <c r="I7" s="37" t="s">
        <v>18</v>
      </c>
      <c r="J7" s="37" t="s">
        <v>19</v>
      </c>
      <c r="K7" s="38" t="s">
        <v>20</v>
      </c>
      <c r="L7" s="37" t="s">
        <v>11</v>
      </c>
      <c r="M7" s="37" t="s">
        <v>12</v>
      </c>
      <c r="N7" s="37" t="s">
        <v>13</v>
      </c>
      <c r="O7" s="37" t="s">
        <v>14</v>
      </c>
      <c r="P7" s="37" t="s">
        <v>15</v>
      </c>
      <c r="Q7" s="37" t="s">
        <v>16</v>
      </c>
      <c r="R7" s="37" t="s">
        <v>17</v>
      </c>
      <c r="S7" s="37" t="s">
        <v>18</v>
      </c>
      <c r="T7" s="37" t="s">
        <v>19</v>
      </c>
      <c r="U7" s="37" t="s">
        <v>20</v>
      </c>
      <c r="V7" s="39" t="s">
        <v>21</v>
      </c>
    </row>
    <row r="8" spans="1:23" x14ac:dyDescent="0.25">
      <c r="A8" s="17" t="s">
        <v>22</v>
      </c>
      <c r="B8" s="6"/>
      <c r="C8" s="6"/>
      <c r="D8" s="40">
        <f>+E50/80</f>
        <v>1.1125</v>
      </c>
      <c r="E8" s="41">
        <f>+F50/80</f>
        <v>0</v>
      </c>
      <c r="F8" s="41">
        <f t="shared" ref="F8:F27" si="0">+G8-D8-E8</f>
        <v>0.77499999999999991</v>
      </c>
      <c r="G8" s="41">
        <f>+G50/80</f>
        <v>1.8875</v>
      </c>
      <c r="H8" s="41">
        <v>2</v>
      </c>
      <c r="I8" s="41">
        <f t="shared" ref="I8:I27" si="1">SUM(G8-H8)</f>
        <v>-0.11250000000000004</v>
      </c>
      <c r="J8" s="41"/>
      <c r="K8" s="42">
        <f t="shared" ref="K8:K27" si="2">+E8/G8</f>
        <v>0</v>
      </c>
      <c r="L8" s="43"/>
      <c r="M8" s="44"/>
      <c r="N8" s="41">
        <f>+E51/80</f>
        <v>1.1125</v>
      </c>
      <c r="O8" s="41">
        <f>+F51/80</f>
        <v>0</v>
      </c>
      <c r="P8" s="41">
        <f t="shared" ref="P8:P27" si="3">Q8-N8-O8</f>
        <v>0.77499999999999991</v>
      </c>
      <c r="Q8" s="41">
        <f>+G51/80</f>
        <v>1.8875</v>
      </c>
      <c r="R8" s="41">
        <v>2</v>
      </c>
      <c r="S8" s="41">
        <f t="shared" ref="S8:S27" si="4">+Q8-R8</f>
        <v>-0.11250000000000004</v>
      </c>
      <c r="T8" s="41"/>
      <c r="U8" s="44">
        <f t="shared" ref="U8:U27" si="5">+O8/Q8</f>
        <v>0</v>
      </c>
      <c r="V8" s="45">
        <f>+I50/G51*80*S8</f>
        <v>-92.067615894039761</v>
      </c>
      <c r="W8" s="46"/>
    </row>
    <row r="9" spans="1:23" x14ac:dyDescent="0.25">
      <c r="A9" s="17" t="s">
        <v>23</v>
      </c>
      <c r="B9" s="43"/>
      <c r="C9" s="41"/>
      <c r="D9" s="40">
        <f>+E54/80</f>
        <v>6.8093750000000002</v>
      </c>
      <c r="E9" s="41">
        <f>+F54/80</f>
        <v>0</v>
      </c>
      <c r="F9" s="41">
        <f t="shared" si="0"/>
        <v>2.3885416250000011</v>
      </c>
      <c r="G9" s="41">
        <f>+G54/80</f>
        <v>9.1979166250000013</v>
      </c>
      <c r="H9" s="41">
        <v>9</v>
      </c>
      <c r="I9" s="41">
        <f t="shared" si="1"/>
        <v>0.19791662500000129</v>
      </c>
      <c r="J9" s="41"/>
      <c r="K9" s="42">
        <f t="shared" si="2"/>
        <v>0</v>
      </c>
      <c r="L9" s="43"/>
      <c r="M9" s="41"/>
      <c r="N9" s="41">
        <f>+E55/80</f>
        <v>6.8093750000000002</v>
      </c>
      <c r="O9" s="41">
        <f>+F55/80</f>
        <v>0</v>
      </c>
      <c r="P9" s="41">
        <f t="shared" si="3"/>
        <v>2.3885416250000011</v>
      </c>
      <c r="Q9" s="41">
        <f>+G55/80</f>
        <v>9.1979166250000013</v>
      </c>
      <c r="R9" s="41">
        <v>9.15</v>
      </c>
      <c r="S9" s="41">
        <f t="shared" si="4"/>
        <v>4.7916625000000934E-2</v>
      </c>
      <c r="T9" s="41"/>
      <c r="U9" s="44">
        <f t="shared" si="5"/>
        <v>0</v>
      </c>
      <c r="V9" s="45">
        <f>+I54/G55*80*S9</f>
        <v>28.641044307140053</v>
      </c>
      <c r="W9" s="46"/>
    </row>
    <row r="10" spans="1:23" x14ac:dyDescent="0.25">
      <c r="A10" s="17" t="s">
        <v>24</v>
      </c>
      <c r="B10" s="6"/>
      <c r="C10" s="41"/>
      <c r="D10" s="40">
        <f>+E60/80</f>
        <v>7.95</v>
      </c>
      <c r="E10" s="41">
        <f>+F60/80</f>
        <v>0.16250000000000001</v>
      </c>
      <c r="F10" s="41">
        <f t="shared" si="0"/>
        <v>2.2875000000000001</v>
      </c>
      <c r="G10" s="41">
        <f>+G60/80</f>
        <v>10.4</v>
      </c>
      <c r="H10" s="41">
        <v>9</v>
      </c>
      <c r="I10" s="41">
        <f t="shared" si="1"/>
        <v>1.4000000000000004</v>
      </c>
      <c r="J10" s="41"/>
      <c r="K10" s="42">
        <f t="shared" si="2"/>
        <v>1.5625E-2</v>
      </c>
      <c r="L10" s="43"/>
      <c r="M10" s="41"/>
      <c r="N10" s="41">
        <f>+E61/80</f>
        <v>7.95</v>
      </c>
      <c r="O10" s="41">
        <f>+F61/80</f>
        <v>0.16250000000000001</v>
      </c>
      <c r="P10" s="41">
        <f t="shared" si="3"/>
        <v>2.2875000000000001</v>
      </c>
      <c r="Q10" s="41">
        <f>+G61/80</f>
        <v>10.4</v>
      </c>
      <c r="R10" s="41">
        <v>10.11</v>
      </c>
      <c r="S10" s="41">
        <f t="shared" si="4"/>
        <v>0.29000000000000092</v>
      </c>
      <c r="T10" s="41"/>
      <c r="U10" s="44">
        <f t="shared" si="5"/>
        <v>1.5625E-2</v>
      </c>
      <c r="V10" s="45">
        <f>+I60/G61*80*S10</f>
        <v>145.03178846153895</v>
      </c>
      <c r="W10" s="46"/>
    </row>
    <row r="11" spans="1:23" x14ac:dyDescent="0.25">
      <c r="A11" s="17" t="s">
        <v>25</v>
      </c>
      <c r="B11" s="43">
        <f>F43</f>
        <v>235</v>
      </c>
      <c r="C11" s="41">
        <f>+(3.75*B11)/80</f>
        <v>11.015625</v>
      </c>
      <c r="D11" s="40">
        <f>+E62/80</f>
        <v>8.6478750000000009</v>
      </c>
      <c r="E11" s="41">
        <f>+F62/80</f>
        <v>0.36875000000000002</v>
      </c>
      <c r="F11" s="41">
        <f t="shared" si="0"/>
        <v>1.6572916249999996</v>
      </c>
      <c r="G11" s="41">
        <f>+G62/80</f>
        <v>10.673916625</v>
      </c>
      <c r="H11" s="41">
        <v>10</v>
      </c>
      <c r="I11" s="41">
        <f t="shared" si="1"/>
        <v>0.67391662500000038</v>
      </c>
      <c r="J11" s="41">
        <f>+D11+E11-C11</f>
        <v>-1.9989999999999988</v>
      </c>
      <c r="K11" s="42">
        <f t="shared" si="2"/>
        <v>3.4546831585355389E-2</v>
      </c>
      <c r="L11" s="43">
        <v>235</v>
      </c>
      <c r="M11" s="41">
        <f>+(3.75*L11)/80</f>
        <v>11.015625</v>
      </c>
      <c r="N11" s="41">
        <f>+E63/80</f>
        <v>8.6478750000000009</v>
      </c>
      <c r="O11" s="41">
        <f>+F63/80</f>
        <v>0.36875000000000002</v>
      </c>
      <c r="P11" s="41">
        <f t="shared" si="3"/>
        <v>1.6572916249999996</v>
      </c>
      <c r="Q11" s="41">
        <f>+G63/80</f>
        <v>10.673916625</v>
      </c>
      <c r="R11" s="41">
        <v>9.9</v>
      </c>
      <c r="S11" s="41">
        <f t="shared" si="4"/>
        <v>0.77391662500000002</v>
      </c>
      <c r="T11" s="41">
        <f>+N11+O11-M11</f>
        <v>-1.9989999999999988</v>
      </c>
      <c r="U11" s="44">
        <f t="shared" si="5"/>
        <v>3.4546831585355389E-2</v>
      </c>
      <c r="V11" s="45">
        <f>+I62/G63*80*S11</f>
        <v>1420.7114666833932</v>
      </c>
      <c r="W11" s="46"/>
    </row>
    <row r="12" spans="1:23" x14ac:dyDescent="0.25">
      <c r="A12" s="17" t="s">
        <v>26</v>
      </c>
      <c r="B12" s="6">
        <f>F40*F37</f>
        <v>65.94</v>
      </c>
      <c r="C12" s="41">
        <f>+(13.14*B12)/80</f>
        <v>10.830645000000001</v>
      </c>
      <c r="D12" s="40">
        <f>+E64/80</f>
        <v>13.475</v>
      </c>
      <c r="E12" s="41">
        <f>+F64/80</f>
        <v>0.73750000000000004</v>
      </c>
      <c r="F12" s="41">
        <f t="shared" si="0"/>
        <v>1.9500000000000017</v>
      </c>
      <c r="G12" s="41">
        <f>+G64/80</f>
        <v>16.162500000000001</v>
      </c>
      <c r="H12" s="41">
        <v>14</v>
      </c>
      <c r="I12" s="41">
        <f t="shared" si="1"/>
        <v>2.1625000000000014</v>
      </c>
      <c r="J12" s="41">
        <f>+D12+E12-C12</f>
        <v>3.3818549999999998</v>
      </c>
      <c r="K12" s="42">
        <f t="shared" si="2"/>
        <v>4.563031709203403E-2</v>
      </c>
      <c r="L12" s="43">
        <v>66</v>
      </c>
      <c r="M12" s="41">
        <f>+(13.14*L12)/80</f>
        <v>10.8405</v>
      </c>
      <c r="N12" s="41">
        <f>+E65/80</f>
        <v>13.475</v>
      </c>
      <c r="O12" s="41">
        <f>+F65/80</f>
        <v>0.73750000000000004</v>
      </c>
      <c r="P12" s="41">
        <f t="shared" si="3"/>
        <v>1.9500000000000017</v>
      </c>
      <c r="Q12" s="41">
        <f>+G65/80</f>
        <v>16.162500000000001</v>
      </c>
      <c r="R12" s="41">
        <v>15.24</v>
      </c>
      <c r="S12" s="41">
        <f t="shared" si="4"/>
        <v>0.92250000000000121</v>
      </c>
      <c r="T12" s="41">
        <f>+N12+O12-M12</f>
        <v>3.3719999999999999</v>
      </c>
      <c r="U12" s="44">
        <f t="shared" si="5"/>
        <v>4.563031709203403E-2</v>
      </c>
      <c r="V12" s="45">
        <f>+I64/G65*80*S12</f>
        <v>937.13157772621935</v>
      </c>
      <c r="W12" s="46"/>
    </row>
    <row r="13" spans="1:23" x14ac:dyDescent="0.25">
      <c r="A13" s="17" t="s">
        <v>27</v>
      </c>
      <c r="B13" s="43"/>
      <c r="C13" s="41"/>
      <c r="D13" s="40">
        <f>+E66/80</f>
        <v>4.828125</v>
      </c>
      <c r="E13" s="41">
        <f>+F66/80</f>
        <v>3.7499999999999999E-2</v>
      </c>
      <c r="F13" s="41">
        <f t="shared" si="0"/>
        <v>0.46250000000000002</v>
      </c>
      <c r="G13" s="41">
        <f>+G66/80</f>
        <v>5.328125</v>
      </c>
      <c r="H13" s="41">
        <v>5.5</v>
      </c>
      <c r="I13" s="41">
        <f t="shared" si="1"/>
        <v>-0.171875</v>
      </c>
      <c r="J13" s="41"/>
      <c r="K13" s="42">
        <f t="shared" si="2"/>
        <v>7.0381231671554252E-3</v>
      </c>
      <c r="L13" s="43"/>
      <c r="M13" s="41"/>
      <c r="N13" s="41">
        <f>+E67/80</f>
        <v>4.828125</v>
      </c>
      <c r="O13" s="41">
        <f>+F67/80</f>
        <v>3.7499999999999999E-2</v>
      </c>
      <c r="P13" s="41">
        <f t="shared" si="3"/>
        <v>0.46250000000000002</v>
      </c>
      <c r="Q13" s="41">
        <f>+G67/80</f>
        <v>5.328125</v>
      </c>
      <c r="R13" s="41">
        <v>5.78</v>
      </c>
      <c r="S13" s="41">
        <f t="shared" si="4"/>
        <v>-0.45187500000000025</v>
      </c>
      <c r="T13" s="41"/>
      <c r="U13" s="44">
        <f t="shared" si="5"/>
        <v>7.0381231671554252E-3</v>
      </c>
      <c r="V13" s="45">
        <f>+I66/G67*80*S13</f>
        <v>-187.79426744868044</v>
      </c>
      <c r="W13" s="46"/>
    </row>
    <row r="14" spans="1:23" x14ac:dyDescent="0.25">
      <c r="A14" s="17" t="s">
        <v>28</v>
      </c>
      <c r="B14" s="6"/>
      <c r="C14" s="6"/>
      <c r="D14" s="40">
        <f>+E68/80</f>
        <v>5.2312500000000002</v>
      </c>
      <c r="E14" s="41">
        <f>+F68/80</f>
        <v>1.2500000000000001E-2</v>
      </c>
      <c r="F14" s="41">
        <f t="shared" si="0"/>
        <v>1.7995833750000003</v>
      </c>
      <c r="G14" s="41">
        <f>+G68/80</f>
        <v>7.0433333750000005</v>
      </c>
      <c r="H14" s="41">
        <v>5.5</v>
      </c>
      <c r="I14" s="41">
        <f t="shared" si="1"/>
        <v>1.5433333750000005</v>
      </c>
      <c r="J14" s="41"/>
      <c r="K14" s="42">
        <f t="shared" si="2"/>
        <v>1.7747278645602943E-3</v>
      </c>
      <c r="L14" s="43"/>
      <c r="M14" s="44"/>
      <c r="N14" s="41">
        <f>+E69/80</f>
        <v>5.2312500000000002</v>
      </c>
      <c r="O14" s="41">
        <f>+F69/80</f>
        <v>1.2500000000000001E-2</v>
      </c>
      <c r="P14" s="41">
        <f t="shared" si="3"/>
        <v>1.7995833750000003</v>
      </c>
      <c r="Q14" s="41">
        <f>+G69/80</f>
        <v>7.0433333750000005</v>
      </c>
      <c r="R14" s="41">
        <v>6.65</v>
      </c>
      <c r="S14" s="41">
        <f t="shared" si="4"/>
        <v>0.3933333750000001</v>
      </c>
      <c r="T14" s="41"/>
      <c r="U14" s="44">
        <f t="shared" si="5"/>
        <v>1.7747278645602943E-3</v>
      </c>
      <c r="V14" s="45">
        <f>+I68/G69*80*S14</f>
        <v>421.34939377461325</v>
      </c>
      <c r="W14" s="46"/>
    </row>
    <row r="15" spans="1:23" x14ac:dyDescent="0.25">
      <c r="A15" s="17" t="s">
        <v>29</v>
      </c>
      <c r="B15" s="43"/>
      <c r="C15" s="41"/>
      <c r="D15" s="40">
        <f>+E70/80</f>
        <v>1.4624999999999999</v>
      </c>
      <c r="E15" s="41">
        <f>+F70/80</f>
        <v>0</v>
      </c>
      <c r="F15" s="41">
        <f t="shared" si="0"/>
        <v>0.55000000000000027</v>
      </c>
      <c r="G15" s="41">
        <f>+G70/80</f>
        <v>2.0125000000000002</v>
      </c>
      <c r="H15" s="41">
        <v>2</v>
      </c>
      <c r="I15" s="41">
        <f t="shared" si="1"/>
        <v>1.2500000000000178E-2</v>
      </c>
      <c r="J15" s="41"/>
      <c r="K15" s="42">
        <f t="shared" si="2"/>
        <v>0</v>
      </c>
      <c r="L15" s="43"/>
      <c r="M15" s="41"/>
      <c r="N15" s="41">
        <f>+E71/80</f>
        <v>1.4624999999999999</v>
      </c>
      <c r="O15" s="41">
        <f>+F71/80</f>
        <v>0</v>
      </c>
      <c r="P15" s="41">
        <f t="shared" si="3"/>
        <v>0.55000000000000027</v>
      </c>
      <c r="Q15" s="41">
        <f>+G71/80</f>
        <v>2.0125000000000002</v>
      </c>
      <c r="R15" s="41">
        <v>2</v>
      </c>
      <c r="S15" s="41">
        <f t="shared" si="4"/>
        <v>1.2500000000000178E-2</v>
      </c>
      <c r="T15" s="41"/>
      <c r="U15" s="44">
        <f t="shared" si="5"/>
        <v>0</v>
      </c>
      <c r="V15" s="45">
        <f>+I70/G71*80*S15</f>
        <v>15.349440993789038</v>
      </c>
      <c r="W15" s="46"/>
    </row>
    <row r="16" spans="1:23" x14ac:dyDescent="0.25">
      <c r="A16" s="17" t="s">
        <v>30</v>
      </c>
      <c r="B16" s="6"/>
      <c r="C16" s="6"/>
      <c r="D16" s="40">
        <f>+E72/80</f>
        <v>1</v>
      </c>
      <c r="E16" s="41">
        <f>+F72/80</f>
        <v>0</v>
      </c>
      <c r="F16" s="41">
        <f t="shared" si="0"/>
        <v>0</v>
      </c>
      <c r="G16" s="41">
        <f>+G72/80</f>
        <v>1</v>
      </c>
      <c r="H16" s="41">
        <v>1</v>
      </c>
      <c r="I16" s="41">
        <f t="shared" si="1"/>
        <v>0</v>
      </c>
      <c r="J16" s="41"/>
      <c r="K16" s="42">
        <f t="shared" si="2"/>
        <v>0</v>
      </c>
      <c r="L16" s="43"/>
      <c r="M16" s="44"/>
      <c r="N16" s="41">
        <f>+E73/80</f>
        <v>1</v>
      </c>
      <c r="O16" s="41">
        <f>+F73/80</f>
        <v>0</v>
      </c>
      <c r="P16" s="41">
        <f t="shared" si="3"/>
        <v>0</v>
      </c>
      <c r="Q16" s="41">
        <f>+G73/80</f>
        <v>1</v>
      </c>
      <c r="R16" s="41">
        <v>1</v>
      </c>
      <c r="S16" s="41">
        <f t="shared" si="4"/>
        <v>0</v>
      </c>
      <c r="T16" s="41"/>
      <c r="U16" s="44">
        <f t="shared" si="5"/>
        <v>0</v>
      </c>
      <c r="V16" s="45"/>
      <c r="W16" s="46"/>
    </row>
    <row r="17" spans="1:23" x14ac:dyDescent="0.25">
      <c r="A17" s="17" t="s">
        <v>31</v>
      </c>
      <c r="B17" s="43"/>
      <c r="C17" s="41"/>
      <c r="D17" s="40">
        <f>+E74/80</f>
        <v>2.1062500000000002</v>
      </c>
      <c r="E17" s="41">
        <f>+F74/80</f>
        <v>0</v>
      </c>
      <c r="F17" s="41">
        <f t="shared" si="0"/>
        <v>0.89999999999999991</v>
      </c>
      <c r="G17" s="41">
        <f>+G74/80</f>
        <v>3.0062500000000001</v>
      </c>
      <c r="H17" s="41">
        <v>3</v>
      </c>
      <c r="I17" s="41">
        <f t="shared" si="1"/>
        <v>6.2500000000000888E-3</v>
      </c>
      <c r="J17" s="41"/>
      <c r="K17" s="42">
        <f t="shared" si="2"/>
        <v>0</v>
      </c>
      <c r="L17" s="43"/>
      <c r="M17" s="41"/>
      <c r="N17" s="41">
        <f>+E75/80</f>
        <v>2.1062500000000002</v>
      </c>
      <c r="O17" s="41">
        <f>+F75/80</f>
        <v>0</v>
      </c>
      <c r="P17" s="41">
        <f t="shared" si="3"/>
        <v>0.89999999999999991</v>
      </c>
      <c r="Q17" s="41">
        <f>+G75/80</f>
        <v>3.0062500000000001</v>
      </c>
      <c r="R17" s="41">
        <v>3</v>
      </c>
      <c r="S17" s="41">
        <f t="shared" si="4"/>
        <v>6.2500000000000888E-3</v>
      </c>
      <c r="T17" s="41"/>
      <c r="U17" s="44">
        <f t="shared" si="5"/>
        <v>0</v>
      </c>
      <c r="V17" s="45">
        <f>+I74/G75*80*S17</f>
        <v>5.9993555093555946</v>
      </c>
      <c r="W17" s="46"/>
    </row>
    <row r="18" spans="1:23" x14ac:dyDescent="0.25">
      <c r="A18" s="17" t="s">
        <v>32</v>
      </c>
      <c r="B18" s="6"/>
      <c r="C18" s="6"/>
      <c r="D18" s="40">
        <f>+E76/80</f>
        <v>1.1468750000000001</v>
      </c>
      <c r="E18" s="41">
        <f>+F76/80</f>
        <v>0</v>
      </c>
      <c r="F18" s="41">
        <f t="shared" si="0"/>
        <v>0</v>
      </c>
      <c r="G18" s="41">
        <f>+G76/80</f>
        <v>1.1468750000000001</v>
      </c>
      <c r="H18" s="41">
        <v>2</v>
      </c>
      <c r="I18" s="41">
        <f t="shared" si="1"/>
        <v>-0.85312499999999991</v>
      </c>
      <c r="J18" s="41"/>
      <c r="K18" s="42">
        <f t="shared" si="2"/>
        <v>0</v>
      </c>
      <c r="L18" s="43"/>
      <c r="M18" s="44"/>
      <c r="N18" s="41">
        <f>+E77/80</f>
        <v>1.1468750000000001</v>
      </c>
      <c r="O18" s="41">
        <f>+F77/80</f>
        <v>0</v>
      </c>
      <c r="P18" s="41">
        <f t="shared" si="3"/>
        <v>0</v>
      </c>
      <c r="Q18" s="41">
        <f>+G77/80</f>
        <v>1.1468750000000001</v>
      </c>
      <c r="R18" s="41">
        <v>1.92</v>
      </c>
      <c r="S18" s="41">
        <f t="shared" si="4"/>
        <v>-0.77312499999999984</v>
      </c>
      <c r="T18" s="41"/>
      <c r="U18" s="44">
        <f t="shared" si="5"/>
        <v>0</v>
      </c>
      <c r="V18" s="45">
        <f>+I76/G77*80*S18</f>
        <v>-419.77780381471376</v>
      </c>
      <c r="W18" s="46"/>
    </row>
    <row r="19" spans="1:23" x14ac:dyDescent="0.25">
      <c r="A19" s="17" t="s">
        <v>33</v>
      </c>
      <c r="B19" s="6">
        <f>F39*F37</f>
        <v>70</v>
      </c>
      <c r="C19" s="41">
        <f>+(9.25*B19)/80</f>
        <v>8.09375</v>
      </c>
      <c r="D19" s="40">
        <f>+E78/80</f>
        <v>16.15625</v>
      </c>
      <c r="E19" s="41">
        <f>+F78/80</f>
        <v>0.69062500000000004</v>
      </c>
      <c r="F19" s="41">
        <f t="shared" si="0"/>
        <v>4.0000000000000009</v>
      </c>
      <c r="G19" s="41">
        <f>+G78/80</f>
        <v>20.846875000000001</v>
      </c>
      <c r="H19" s="41">
        <v>24</v>
      </c>
      <c r="I19" s="41">
        <f t="shared" si="1"/>
        <v>-3.1531249999999993</v>
      </c>
      <c r="J19" s="41">
        <f>+D19+E19-C19</f>
        <v>8.7531250000000007</v>
      </c>
      <c r="K19" s="42">
        <f t="shared" si="2"/>
        <v>3.3128466496777094E-2</v>
      </c>
      <c r="L19" s="43">
        <v>70</v>
      </c>
      <c r="M19" s="41">
        <f>+(9.25*L19)/80</f>
        <v>8.09375</v>
      </c>
      <c r="N19" s="41">
        <f>+E79/80</f>
        <v>16.15625</v>
      </c>
      <c r="O19" s="41">
        <f>+F79/80</f>
        <v>0.69062500000000004</v>
      </c>
      <c r="P19" s="41">
        <f t="shared" si="3"/>
        <v>4.0000000000000009</v>
      </c>
      <c r="Q19" s="41">
        <f>+G79/80</f>
        <v>20.846875000000001</v>
      </c>
      <c r="R19" s="41">
        <v>23.24</v>
      </c>
      <c r="S19" s="41">
        <f t="shared" si="4"/>
        <v>-2.3931249999999977</v>
      </c>
      <c r="T19" s="41">
        <f>+N19+O19-M19</f>
        <v>8.7531250000000007</v>
      </c>
      <c r="U19" s="44">
        <f t="shared" si="5"/>
        <v>3.3128466496777094E-2</v>
      </c>
      <c r="V19" s="45">
        <f>+I78/G79*80*S19</f>
        <v>-2782.730772298004</v>
      </c>
      <c r="W19" s="46"/>
    </row>
    <row r="20" spans="1:23" x14ac:dyDescent="0.25">
      <c r="A20" s="17" t="s">
        <v>34</v>
      </c>
      <c r="B20" s="6"/>
      <c r="C20" s="6"/>
      <c r="D20" s="40">
        <f>+E80/80</f>
        <v>2.0843750000000001</v>
      </c>
      <c r="E20" s="41">
        <f>+F80/80</f>
        <v>0</v>
      </c>
      <c r="F20" s="41">
        <f t="shared" si="0"/>
        <v>0.75</v>
      </c>
      <c r="G20" s="41">
        <f>+G80/80</f>
        <v>2.8343750000000001</v>
      </c>
      <c r="H20" s="41">
        <v>3</v>
      </c>
      <c r="I20" s="41">
        <f t="shared" si="1"/>
        <v>-0.16562499999999991</v>
      </c>
      <c r="J20" s="41"/>
      <c r="K20" s="42">
        <f t="shared" si="2"/>
        <v>0</v>
      </c>
      <c r="L20" s="43"/>
      <c r="M20" s="44"/>
      <c r="N20" s="41">
        <f>+E81/80</f>
        <v>2.0843750000000001</v>
      </c>
      <c r="O20" s="41">
        <f>+F81/80</f>
        <v>0</v>
      </c>
      <c r="P20" s="41">
        <f t="shared" si="3"/>
        <v>0.75</v>
      </c>
      <c r="Q20" s="41">
        <f>+G81/80</f>
        <v>2.8343750000000001</v>
      </c>
      <c r="R20" s="41">
        <v>3</v>
      </c>
      <c r="S20" s="41">
        <f t="shared" si="4"/>
        <v>-0.16562499999999991</v>
      </c>
      <c r="T20" s="41"/>
      <c r="U20" s="44">
        <f t="shared" si="5"/>
        <v>0</v>
      </c>
      <c r="V20" s="45">
        <f>+I80/G81*80*S20</f>
        <v>-188.66071664829099</v>
      </c>
      <c r="W20" s="46"/>
    </row>
    <row r="21" spans="1:23" x14ac:dyDescent="0.25">
      <c r="A21" s="17" t="s">
        <v>35</v>
      </c>
      <c r="B21" s="6"/>
      <c r="C21" s="6"/>
      <c r="D21" s="40">
        <f>+E82/80</f>
        <v>3.0406249999999999</v>
      </c>
      <c r="E21" s="41">
        <f>+F82/80</f>
        <v>0</v>
      </c>
      <c r="F21" s="41">
        <f t="shared" si="0"/>
        <v>0.95000000000000018</v>
      </c>
      <c r="G21" s="41">
        <f>+G82/80</f>
        <v>3.9906250000000001</v>
      </c>
      <c r="H21" s="41">
        <v>2</v>
      </c>
      <c r="I21" s="41">
        <f t="shared" si="1"/>
        <v>1.9906250000000001</v>
      </c>
      <c r="J21" s="41"/>
      <c r="K21" s="42">
        <f t="shared" si="2"/>
        <v>0</v>
      </c>
      <c r="L21" s="43"/>
      <c r="M21" s="44"/>
      <c r="N21" s="41">
        <f>+E83/80</f>
        <v>3.0406249999999999</v>
      </c>
      <c r="O21" s="41">
        <f>+F83/80</f>
        <v>0</v>
      </c>
      <c r="P21" s="41">
        <f t="shared" si="3"/>
        <v>0.95000000000000018</v>
      </c>
      <c r="Q21" s="41">
        <f>+G83/80</f>
        <v>3.9906250000000001</v>
      </c>
      <c r="R21" s="41">
        <v>3</v>
      </c>
      <c r="S21" s="41">
        <f t="shared" si="4"/>
        <v>0.99062500000000009</v>
      </c>
      <c r="T21" s="41"/>
      <c r="U21" s="44">
        <f t="shared" si="5"/>
        <v>0</v>
      </c>
      <c r="V21" s="45">
        <f>+I82/G83*80*S21</f>
        <v>804.35584964761176</v>
      </c>
      <c r="W21" s="46"/>
    </row>
    <row r="22" spans="1:23" x14ac:dyDescent="0.25">
      <c r="A22" s="17" t="s">
        <v>36</v>
      </c>
      <c r="B22" s="6"/>
      <c r="C22" s="6"/>
      <c r="D22" s="40">
        <f>+E56/80</f>
        <v>6.09375</v>
      </c>
      <c r="E22" s="41">
        <f>+F56/80</f>
        <v>0</v>
      </c>
      <c r="F22" s="41">
        <f t="shared" si="0"/>
        <v>4.0875000000000004</v>
      </c>
      <c r="G22" s="41">
        <f>+G56/80</f>
        <v>10.18125</v>
      </c>
      <c r="H22" s="41">
        <v>12.5</v>
      </c>
      <c r="I22" s="41">
        <f t="shared" si="1"/>
        <v>-2.3187499999999996</v>
      </c>
      <c r="J22" s="41"/>
      <c r="K22" s="42">
        <f t="shared" si="2"/>
        <v>0</v>
      </c>
      <c r="L22" s="43"/>
      <c r="M22" s="44"/>
      <c r="N22" s="41">
        <f>+E57/80</f>
        <v>6.09375</v>
      </c>
      <c r="O22" s="41">
        <f>+F57/80</f>
        <v>0</v>
      </c>
      <c r="P22" s="41">
        <f t="shared" si="3"/>
        <v>4.0875000000000004</v>
      </c>
      <c r="Q22" s="41">
        <f>+G57/80</f>
        <v>10.18125</v>
      </c>
      <c r="R22" s="41">
        <v>12.89</v>
      </c>
      <c r="S22" s="41">
        <f t="shared" si="4"/>
        <v>-2.7087500000000002</v>
      </c>
      <c r="T22" s="41"/>
      <c r="U22" s="44">
        <f t="shared" si="5"/>
        <v>0</v>
      </c>
      <c r="V22" s="45">
        <f>+I56/G57*80*S22</f>
        <v>-8752.0939668508308</v>
      </c>
      <c r="W22" s="46"/>
    </row>
    <row r="23" spans="1:23" x14ac:dyDescent="0.25">
      <c r="A23" s="17" t="s">
        <v>37</v>
      </c>
      <c r="B23" s="6"/>
      <c r="C23" s="6"/>
      <c r="D23" s="40">
        <f>+E58/80</f>
        <v>8.890625</v>
      </c>
      <c r="E23" s="41">
        <f>+F58/80</f>
        <v>0</v>
      </c>
      <c r="F23" s="41">
        <f t="shared" si="0"/>
        <v>4.3125</v>
      </c>
      <c r="G23" s="41">
        <f>+G58/80</f>
        <v>13.203125</v>
      </c>
      <c r="H23" s="41">
        <v>11</v>
      </c>
      <c r="I23" s="41">
        <f t="shared" si="1"/>
        <v>2.203125</v>
      </c>
      <c r="J23" s="41"/>
      <c r="K23" s="42">
        <f t="shared" si="2"/>
        <v>0</v>
      </c>
      <c r="L23" s="43"/>
      <c r="M23" s="44"/>
      <c r="N23" s="41">
        <f>+E59/80</f>
        <v>8.890625</v>
      </c>
      <c r="O23" s="41">
        <f>+F59/80</f>
        <v>0</v>
      </c>
      <c r="P23" s="41">
        <f t="shared" si="3"/>
        <v>4.3125</v>
      </c>
      <c r="Q23" s="41">
        <f>+G59/80</f>
        <v>13.203125</v>
      </c>
      <c r="R23" s="41">
        <v>10.15</v>
      </c>
      <c r="S23" s="41">
        <f t="shared" si="4"/>
        <v>3.0531249999999996</v>
      </c>
      <c r="T23" s="41"/>
      <c r="U23" s="44">
        <f t="shared" si="5"/>
        <v>0</v>
      </c>
      <c r="V23" s="45">
        <f>+I58/G59*80*S23</f>
        <v>6482.0492923076918</v>
      </c>
      <c r="W23" s="46"/>
    </row>
    <row r="24" spans="1:23" x14ac:dyDescent="0.25">
      <c r="A24" s="17" t="s">
        <v>38</v>
      </c>
      <c r="B24" s="43"/>
      <c r="C24" s="41"/>
      <c r="D24" s="40">
        <f>+E84/80</f>
        <v>1.1000000000000001</v>
      </c>
      <c r="E24" s="41">
        <f>+F84/80</f>
        <v>0</v>
      </c>
      <c r="F24" s="41">
        <f t="shared" si="0"/>
        <v>0.28749999999999987</v>
      </c>
      <c r="G24" s="41">
        <f>+G84/80</f>
        <v>1.3875</v>
      </c>
      <c r="H24" s="41">
        <v>1.4</v>
      </c>
      <c r="I24" s="41">
        <f t="shared" si="1"/>
        <v>-1.2499999999999956E-2</v>
      </c>
      <c r="J24" s="41"/>
      <c r="K24" s="42">
        <f t="shared" si="2"/>
        <v>0</v>
      </c>
      <c r="L24" s="43"/>
      <c r="M24" s="41"/>
      <c r="N24" s="41">
        <f>+E85/80</f>
        <v>1.1000000000000001</v>
      </c>
      <c r="O24" s="41">
        <f>+F85/80</f>
        <v>0</v>
      </c>
      <c r="P24" s="41">
        <f t="shared" si="3"/>
        <v>0.28749999999999987</v>
      </c>
      <c r="Q24" s="41">
        <f>+G85/80</f>
        <v>1.3875</v>
      </c>
      <c r="R24" s="41">
        <v>1.44</v>
      </c>
      <c r="S24" s="41">
        <f t="shared" si="4"/>
        <v>-5.2499999999999991E-2</v>
      </c>
      <c r="T24" s="41"/>
      <c r="U24" s="44">
        <f t="shared" si="5"/>
        <v>0</v>
      </c>
      <c r="V24" s="45">
        <f>+I84/G85*80*S24</f>
        <v>-107.12686486486486</v>
      </c>
      <c r="W24" s="46"/>
    </row>
    <row r="25" spans="1:23" x14ac:dyDescent="0.25">
      <c r="A25" s="17" t="s">
        <v>39</v>
      </c>
      <c r="B25" s="6"/>
      <c r="C25" s="6"/>
      <c r="D25" s="40">
        <f>+E86/80</f>
        <v>0.45</v>
      </c>
      <c r="E25" s="41">
        <f>+F86/80</f>
        <v>0</v>
      </c>
      <c r="F25" s="41">
        <f t="shared" si="0"/>
        <v>0.55000000000000004</v>
      </c>
      <c r="G25" s="41">
        <f>+G86/80</f>
        <v>1</v>
      </c>
      <c r="H25" s="41">
        <v>1</v>
      </c>
      <c r="I25" s="41">
        <f t="shared" si="1"/>
        <v>0</v>
      </c>
      <c r="J25" s="41"/>
      <c r="K25" s="42">
        <f t="shared" si="2"/>
        <v>0</v>
      </c>
      <c r="L25" s="43"/>
      <c r="M25" s="44"/>
      <c r="N25" s="41">
        <f>+E87/80</f>
        <v>0.45</v>
      </c>
      <c r="O25" s="41">
        <f>+F87/80</f>
        <v>0</v>
      </c>
      <c r="P25" s="41">
        <f t="shared" si="3"/>
        <v>0.55000000000000004</v>
      </c>
      <c r="Q25" s="41">
        <f>+G87/80</f>
        <v>1</v>
      </c>
      <c r="R25" s="41">
        <v>1</v>
      </c>
      <c r="S25" s="41">
        <f t="shared" si="4"/>
        <v>0</v>
      </c>
      <c r="T25" s="41"/>
      <c r="U25" s="44">
        <f t="shared" si="5"/>
        <v>0</v>
      </c>
      <c r="V25" s="45">
        <f>+I86/G87*80*S25</f>
        <v>0</v>
      </c>
      <c r="W25" s="46"/>
    </row>
    <row r="26" spans="1:23" x14ac:dyDescent="0.25">
      <c r="A26" s="17" t="s">
        <v>40</v>
      </c>
      <c r="B26" s="6"/>
      <c r="C26" s="41"/>
      <c r="D26" s="40">
        <f>+E88/80</f>
        <v>4.7593750000000004</v>
      </c>
      <c r="E26" s="41">
        <f>+F88/80</f>
        <v>0.37812499999999999</v>
      </c>
      <c r="F26" s="41">
        <f t="shared" si="0"/>
        <v>1.0125</v>
      </c>
      <c r="G26" s="41">
        <f>+G88/80</f>
        <v>6.15</v>
      </c>
      <c r="H26" s="41">
        <v>5.6</v>
      </c>
      <c r="I26" s="41">
        <f t="shared" si="1"/>
        <v>0.55000000000000071</v>
      </c>
      <c r="J26" s="41"/>
      <c r="K26" s="42">
        <f t="shared" si="2"/>
        <v>6.1483739837398368E-2</v>
      </c>
      <c r="L26" s="43"/>
      <c r="M26" s="44"/>
      <c r="N26" s="41">
        <f>+E89/80</f>
        <v>4.7593750000000004</v>
      </c>
      <c r="O26" s="41">
        <f>+F89/80</f>
        <v>0.37812499999999999</v>
      </c>
      <c r="P26" s="41">
        <f t="shared" si="3"/>
        <v>1.0125</v>
      </c>
      <c r="Q26" s="41">
        <f>+G89/80</f>
        <v>6.15</v>
      </c>
      <c r="R26" s="41">
        <v>5.83</v>
      </c>
      <c r="S26" s="41">
        <f t="shared" si="4"/>
        <v>0.32000000000000028</v>
      </c>
      <c r="T26" s="41"/>
      <c r="U26" s="44">
        <f t="shared" si="5"/>
        <v>6.1483739837398368E-2</v>
      </c>
      <c r="V26" s="45">
        <f>+I88/G89*80*S26</f>
        <v>348.84734959349629</v>
      </c>
      <c r="W26" s="46"/>
    </row>
    <row r="27" spans="1:23" x14ac:dyDescent="0.25">
      <c r="A27" s="17" t="s">
        <v>41</v>
      </c>
      <c r="B27" s="6"/>
      <c r="C27" s="6"/>
      <c r="D27" s="40">
        <f>+E90/80</f>
        <v>5.625</v>
      </c>
      <c r="E27" s="41">
        <f>+F90/80</f>
        <v>0.13125000000000001</v>
      </c>
      <c r="F27" s="41">
        <f t="shared" si="0"/>
        <v>1.4250000000000003</v>
      </c>
      <c r="G27" s="41">
        <f>+G90/80</f>
        <v>7.1812500000000004</v>
      </c>
      <c r="H27" s="41">
        <v>5.63</v>
      </c>
      <c r="I27" s="41">
        <f t="shared" si="1"/>
        <v>1.5512500000000005</v>
      </c>
      <c r="J27" s="41"/>
      <c r="K27" s="42">
        <f t="shared" si="2"/>
        <v>1.8276762402088774E-2</v>
      </c>
      <c r="L27" s="43"/>
      <c r="M27" s="44"/>
      <c r="N27" s="41">
        <f>+E91/80</f>
        <v>5.625</v>
      </c>
      <c r="O27" s="41">
        <f>+F91/80</f>
        <v>0.13125000000000001</v>
      </c>
      <c r="P27" s="41">
        <f t="shared" si="3"/>
        <v>1.4250000000000003</v>
      </c>
      <c r="Q27" s="41">
        <f>+G91/80</f>
        <v>7.1812500000000004</v>
      </c>
      <c r="R27" s="41">
        <v>5.89</v>
      </c>
      <c r="S27" s="41">
        <f t="shared" si="4"/>
        <v>1.2912500000000007</v>
      </c>
      <c r="T27" s="41"/>
      <c r="U27" s="44">
        <f t="shared" si="5"/>
        <v>1.8276762402088774E-2</v>
      </c>
      <c r="V27" s="45">
        <f>+I90/G91*80*S27</f>
        <v>1192.0945865970416</v>
      </c>
      <c r="W27" s="46"/>
    </row>
    <row r="28" spans="1:23" x14ac:dyDescent="0.25">
      <c r="A28" s="17"/>
      <c r="B28" s="6"/>
      <c r="C28" s="6"/>
      <c r="D28" s="40"/>
      <c r="E28" s="6"/>
      <c r="F28" s="6"/>
      <c r="G28" s="6"/>
      <c r="H28" s="41"/>
      <c r="I28" s="6"/>
      <c r="J28" s="41"/>
      <c r="K28" s="48"/>
      <c r="L28" s="6"/>
      <c r="M28" s="6"/>
      <c r="N28" s="6"/>
      <c r="O28" s="6"/>
      <c r="P28" s="6"/>
      <c r="Q28" s="6"/>
      <c r="R28" s="6"/>
      <c r="S28" s="6"/>
      <c r="T28" s="41"/>
      <c r="U28" s="44"/>
      <c r="V28" s="49"/>
    </row>
    <row r="29" spans="1:23" ht="15.75" thickBot="1" x14ac:dyDescent="0.3">
      <c r="A29" s="26" t="s">
        <v>42</v>
      </c>
      <c r="B29" s="27"/>
      <c r="C29" s="27"/>
      <c r="D29" s="50">
        <f>SUM(D8:D27)</f>
        <v>101.96975000000002</v>
      </c>
      <c r="E29" s="51">
        <f>SUM(E8:E27)</f>
        <v>2.5187500000000003</v>
      </c>
      <c r="F29" s="51">
        <f>SUM(F8:F27)</f>
        <v>30.145416625000006</v>
      </c>
      <c r="G29" s="51">
        <f>SUM(G8:G27)</f>
        <v>134.63391662500001</v>
      </c>
      <c r="H29" s="51">
        <f>SUM(H8:H27)</f>
        <v>129.13</v>
      </c>
      <c r="I29" s="51">
        <f>+G29-H29</f>
        <v>5.5039166250000164</v>
      </c>
      <c r="J29" s="51">
        <f>SUM(J9:J28)</f>
        <v>10.135980000000002</v>
      </c>
      <c r="K29" s="52">
        <f>+E29/G29</f>
        <v>1.8708138804396163E-2</v>
      </c>
      <c r="L29" s="53"/>
      <c r="M29" s="53"/>
      <c r="N29" s="51">
        <f t="shared" ref="N29:S29" si="6">SUM(N8:N27)</f>
        <v>101.96975000000002</v>
      </c>
      <c r="O29" s="51">
        <f t="shared" si="6"/>
        <v>2.5187500000000003</v>
      </c>
      <c r="P29" s="51">
        <f t="shared" si="6"/>
        <v>30.145416625000006</v>
      </c>
      <c r="Q29" s="51">
        <f t="shared" si="6"/>
        <v>134.63391662500001</v>
      </c>
      <c r="R29" s="51">
        <f t="shared" si="6"/>
        <v>133.19</v>
      </c>
      <c r="S29" s="51">
        <f t="shared" si="6"/>
        <v>1.4439166250000064</v>
      </c>
      <c r="T29" s="51">
        <f>SUM(T9:T28)</f>
        <v>10.126125000000002</v>
      </c>
      <c r="U29" s="53">
        <f>+O29/Q29</f>
        <v>1.8708138804396163E-2</v>
      </c>
      <c r="V29" s="54">
        <f>SUM(V8:V27)</f>
        <v>-728.69086221753287</v>
      </c>
    </row>
    <row r="30" spans="1:2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11"/>
      <c r="O30" s="11"/>
      <c r="P30" s="11"/>
      <c r="Q30" s="11"/>
      <c r="R30" s="11"/>
      <c r="S30" s="11"/>
    </row>
    <row r="31" spans="1:23" ht="15.75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11"/>
      <c r="O31" s="11"/>
      <c r="P31" s="11"/>
      <c r="Q31" s="11"/>
      <c r="R31" s="11"/>
      <c r="S31" s="11"/>
    </row>
    <row r="32" spans="1:23" ht="26.25" x14ac:dyDescent="0.25">
      <c r="A32" s="55"/>
      <c r="B32" s="56"/>
      <c r="C32" s="56"/>
      <c r="D32" s="57" t="s">
        <v>80</v>
      </c>
      <c r="E32" s="57" t="s">
        <v>74</v>
      </c>
      <c r="F32" s="58" t="s">
        <v>43</v>
      </c>
      <c r="G32" s="59" t="s">
        <v>44</v>
      </c>
      <c r="H32" s="6"/>
      <c r="I32" s="6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17" t="s">
        <v>45</v>
      </c>
      <c r="B33" s="6"/>
      <c r="C33" s="6"/>
      <c r="D33" s="60"/>
      <c r="E33" s="60">
        <v>39282</v>
      </c>
      <c r="F33" s="61">
        <f>88404+41495+4168+57684</f>
        <v>191751</v>
      </c>
      <c r="G33" s="62">
        <v>12072646</v>
      </c>
      <c r="H33" s="6"/>
      <c r="I33" s="6"/>
      <c r="J33" s="11"/>
      <c r="K33" s="11"/>
      <c r="L33" s="11"/>
      <c r="M33" s="6"/>
      <c r="N33" s="11"/>
      <c r="O33" s="11"/>
      <c r="P33" s="11"/>
      <c r="Q33" s="11"/>
      <c r="R33" s="11"/>
      <c r="S33" s="11"/>
    </row>
    <row r="34" spans="1:19" x14ac:dyDescent="0.25">
      <c r="A34" s="17" t="s">
        <v>46</v>
      </c>
      <c r="B34" s="6"/>
      <c r="C34" s="6"/>
      <c r="D34" s="60"/>
      <c r="E34" s="60">
        <v>140028</v>
      </c>
      <c r="F34" s="61">
        <v>799718.68</v>
      </c>
      <c r="G34" s="62">
        <v>32568723</v>
      </c>
      <c r="H34" s="6"/>
      <c r="I34" s="6"/>
      <c r="J34" s="11"/>
      <c r="K34" s="11"/>
      <c r="L34" s="11"/>
      <c r="M34" s="6"/>
      <c r="N34" s="11"/>
      <c r="O34" s="11"/>
      <c r="P34" s="11"/>
      <c r="Q34" s="11"/>
      <c r="R34" s="11"/>
      <c r="S34" s="11"/>
    </row>
    <row r="35" spans="1:19" x14ac:dyDescent="0.25">
      <c r="A35" s="17" t="s">
        <v>47</v>
      </c>
      <c r="B35" s="6"/>
      <c r="C35" s="6"/>
      <c r="D35" s="63" t="e">
        <f>+D34/D33</f>
        <v>#DIV/0!</v>
      </c>
      <c r="E35" s="63">
        <f>+E34/E33</f>
        <v>3.564686115778219</v>
      </c>
      <c r="F35" s="64">
        <f>+F34/F33</f>
        <v>4.170610218460399</v>
      </c>
      <c r="G35" s="65">
        <f>+G34/G33</f>
        <v>2.6977286503720892</v>
      </c>
      <c r="H35" s="6"/>
      <c r="I35" s="6"/>
      <c r="J35" s="11"/>
      <c r="K35" s="11"/>
      <c r="L35" s="11"/>
      <c r="M35" s="6"/>
      <c r="N35" s="11"/>
      <c r="O35" s="11"/>
      <c r="P35" s="11"/>
      <c r="Q35" s="11"/>
      <c r="R35" s="11"/>
      <c r="S35" s="11"/>
    </row>
    <row r="36" spans="1:19" x14ac:dyDescent="0.25">
      <c r="A36" s="17" t="s">
        <v>48</v>
      </c>
      <c r="B36" s="6"/>
      <c r="C36" s="6"/>
      <c r="D36" s="66">
        <f>(D41*D37)</f>
        <v>0</v>
      </c>
      <c r="E36" s="66">
        <f t="shared" ref="E36" si="7">(E41*E37)</f>
        <v>120.39999999999999</v>
      </c>
      <c r="F36" s="67">
        <f>(F41*F37)</f>
        <v>135.94</v>
      </c>
      <c r="G36" s="68">
        <f>18.9*365</f>
        <v>6898.4999999999991</v>
      </c>
      <c r="H36" s="6"/>
      <c r="I36" s="6"/>
      <c r="J36" s="11"/>
      <c r="K36" s="11"/>
      <c r="L36" s="11"/>
      <c r="M36" s="6"/>
      <c r="N36" s="11"/>
      <c r="O36" s="11"/>
      <c r="P36" s="11"/>
      <c r="Q36" s="11"/>
      <c r="R36" s="11"/>
      <c r="S36" s="11"/>
    </row>
    <row r="37" spans="1:19" x14ac:dyDescent="0.25">
      <c r="A37" s="17" t="s">
        <v>49</v>
      </c>
      <c r="B37" s="6"/>
      <c r="C37" s="6"/>
      <c r="D37" s="69"/>
      <c r="E37" s="69">
        <v>14</v>
      </c>
      <c r="F37" s="67">
        <v>14</v>
      </c>
      <c r="G37" s="70">
        <v>365</v>
      </c>
      <c r="H37" s="6"/>
      <c r="I37" s="6"/>
      <c r="J37" s="11"/>
      <c r="K37" s="11"/>
      <c r="L37" s="11"/>
      <c r="M37" s="6"/>
      <c r="N37" s="11"/>
      <c r="O37" s="11"/>
      <c r="P37" s="11"/>
      <c r="Q37" s="11"/>
      <c r="R37" s="11"/>
      <c r="S37" s="11"/>
    </row>
    <row r="38" spans="1:19" x14ac:dyDescent="0.25">
      <c r="A38" s="17" t="s">
        <v>50</v>
      </c>
      <c r="B38" s="6"/>
      <c r="C38" s="6"/>
      <c r="D38" s="71" t="e">
        <f>+(D36/D37)*D35</f>
        <v>#DIV/0!</v>
      </c>
      <c r="E38" s="71">
        <f>+(E36/E37)*E35</f>
        <v>30.656300595692681</v>
      </c>
      <c r="F38" s="64">
        <f>+(F36/F37)*F35</f>
        <v>40.496625221250468</v>
      </c>
      <c r="G38" s="65">
        <f>+G36/365*G35</f>
        <v>50.987071492032484</v>
      </c>
      <c r="H38" s="6"/>
      <c r="I38" s="6"/>
      <c r="J38" s="11"/>
      <c r="K38" s="11"/>
      <c r="L38" s="11"/>
      <c r="M38" s="6"/>
      <c r="N38" s="11"/>
      <c r="O38" s="11"/>
      <c r="P38" s="11"/>
      <c r="Q38" s="11"/>
      <c r="R38" s="11"/>
      <c r="S38" s="11"/>
    </row>
    <row r="39" spans="1:19" x14ac:dyDescent="0.25">
      <c r="A39" s="17" t="s">
        <v>51</v>
      </c>
      <c r="B39" s="6"/>
      <c r="C39" s="6"/>
      <c r="D39" s="72"/>
      <c r="E39" s="72">
        <v>4.3</v>
      </c>
      <c r="F39" s="73">
        <v>5</v>
      </c>
      <c r="G39" s="74">
        <v>12</v>
      </c>
      <c r="H39" s="6"/>
      <c r="I39" s="6"/>
      <c r="J39" s="11"/>
      <c r="K39" s="11"/>
      <c r="L39" s="11"/>
      <c r="M39" s="6"/>
      <c r="N39" s="11"/>
      <c r="O39" s="11"/>
      <c r="P39" s="11"/>
      <c r="Q39" s="11"/>
      <c r="R39" s="11"/>
      <c r="S39" s="11"/>
    </row>
    <row r="40" spans="1:19" x14ac:dyDescent="0.25">
      <c r="A40" s="17" t="s">
        <v>52</v>
      </c>
      <c r="B40" s="6"/>
      <c r="C40" s="6"/>
      <c r="D40" s="72"/>
      <c r="E40" s="72">
        <v>4.3</v>
      </c>
      <c r="F40" s="73">
        <v>4.71</v>
      </c>
      <c r="G40" s="74">
        <v>5.7</v>
      </c>
      <c r="H40" s="6"/>
      <c r="I40" s="6"/>
      <c r="J40" s="11"/>
      <c r="K40" s="11"/>
      <c r="L40" s="11"/>
      <c r="M40" s="6"/>
      <c r="N40" s="11"/>
      <c r="O40" s="11"/>
      <c r="P40" s="11"/>
      <c r="Q40" s="11"/>
      <c r="R40" s="11"/>
      <c r="S40" s="11"/>
    </row>
    <row r="41" spans="1:19" x14ac:dyDescent="0.25">
      <c r="A41" s="17" t="s">
        <v>53</v>
      </c>
      <c r="B41" s="6"/>
      <c r="C41" s="6"/>
      <c r="D41" s="47">
        <f>SUM(D39:D40)</f>
        <v>0</v>
      </c>
      <c r="E41" s="47">
        <f>SUM(E39:E40)</f>
        <v>8.6</v>
      </c>
      <c r="F41" s="75">
        <f>SUM(F39:F40)</f>
        <v>9.7100000000000009</v>
      </c>
      <c r="G41" s="76">
        <f>SUM(G39:G40)</f>
        <v>17.7</v>
      </c>
      <c r="H41" s="6"/>
      <c r="I41" s="6"/>
      <c r="J41" s="11"/>
      <c r="K41" s="11"/>
      <c r="L41" s="11"/>
      <c r="M41" s="6"/>
      <c r="N41" s="11"/>
      <c r="O41" s="11"/>
      <c r="P41" s="11"/>
      <c r="Q41" s="11"/>
      <c r="R41" s="11"/>
      <c r="S41" s="11"/>
    </row>
    <row r="42" spans="1:19" x14ac:dyDescent="0.25">
      <c r="A42" s="17" t="s">
        <v>54</v>
      </c>
      <c r="B42" s="6"/>
      <c r="C42" s="6"/>
      <c r="D42" s="72"/>
      <c r="E42" s="77"/>
      <c r="F42" s="78">
        <f>D42-E42</f>
        <v>0</v>
      </c>
      <c r="G42" s="76"/>
      <c r="H42" s="6"/>
      <c r="I42" s="6"/>
      <c r="J42" s="11"/>
      <c r="K42" s="11"/>
      <c r="L42" s="11"/>
      <c r="M42" s="6"/>
      <c r="N42" s="11"/>
      <c r="O42" s="11"/>
      <c r="P42" s="11"/>
      <c r="Q42" s="11"/>
      <c r="R42" s="11"/>
      <c r="S42" s="11"/>
    </row>
    <row r="43" spans="1:19" x14ac:dyDescent="0.25">
      <c r="A43" s="17" t="s">
        <v>55</v>
      </c>
      <c r="B43" s="6"/>
      <c r="C43" s="6"/>
      <c r="D43" s="77"/>
      <c r="E43" s="77">
        <v>62</v>
      </c>
      <c r="F43" s="79">
        <v>235</v>
      </c>
      <c r="G43" s="70">
        <v>6872</v>
      </c>
      <c r="H43" s="6"/>
      <c r="I43" s="6"/>
      <c r="J43" s="11"/>
      <c r="K43" s="11"/>
      <c r="L43" s="11"/>
      <c r="M43" s="6"/>
      <c r="N43" s="11"/>
      <c r="O43" s="11"/>
      <c r="P43" s="11"/>
      <c r="Q43" s="11"/>
      <c r="R43" s="11"/>
      <c r="S43" s="11"/>
    </row>
    <row r="44" spans="1:19" ht="15.75" thickBot="1" x14ac:dyDescent="0.3">
      <c r="A44" s="26" t="s">
        <v>56</v>
      </c>
      <c r="B44" s="27"/>
      <c r="C44" s="27"/>
      <c r="D44" s="80"/>
      <c r="E44" s="80">
        <v>6933</v>
      </c>
      <c r="F44" s="61">
        <f>36145+51963</f>
        <v>88108</v>
      </c>
      <c r="G44" s="81">
        <v>2403591</v>
      </c>
      <c r="H44" s="6"/>
      <c r="I44" s="6"/>
      <c r="J44" s="11"/>
      <c r="K44" s="11"/>
      <c r="L44" s="11"/>
      <c r="M44" s="6"/>
      <c r="N44" s="11"/>
      <c r="O44" s="11"/>
      <c r="P44" s="11"/>
      <c r="Q44" s="11"/>
      <c r="R44" s="11"/>
      <c r="S44" s="11"/>
    </row>
    <row r="45" spans="1:19" x14ac:dyDescent="0.25">
      <c r="A45" s="6" t="s">
        <v>57</v>
      </c>
      <c r="B45" s="6"/>
      <c r="C45" s="6"/>
      <c r="D45" s="69">
        <v>1</v>
      </c>
      <c r="E45" s="41"/>
      <c r="F45" s="41"/>
      <c r="G45" s="11"/>
      <c r="H45" s="11"/>
      <c r="I45" s="11"/>
      <c r="J45" s="11"/>
      <c r="K45" s="11"/>
      <c r="L45" s="11"/>
      <c r="M45" s="6"/>
      <c r="N45" s="11"/>
      <c r="O45" s="11"/>
      <c r="P45" s="11"/>
      <c r="Q45" s="11"/>
      <c r="R45" s="11"/>
      <c r="S45" s="11"/>
    </row>
    <row r="46" spans="1:19" ht="15.75" thickBo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11"/>
      <c r="O46" s="11"/>
      <c r="P46" s="11"/>
      <c r="Q46" s="11"/>
      <c r="R46" s="11"/>
      <c r="S46" s="11"/>
    </row>
    <row r="47" spans="1:19" x14ac:dyDescent="0.25">
      <c r="A47" s="82" t="s">
        <v>75</v>
      </c>
      <c r="B47" s="83"/>
      <c r="C47" s="83"/>
      <c r="D47" s="4"/>
      <c r="E47" s="4"/>
      <c r="F47" s="4"/>
      <c r="G47" s="4"/>
      <c r="H47" s="4"/>
      <c r="I47" s="5"/>
      <c r="J47" s="7"/>
      <c r="K47" s="4"/>
      <c r="L47" s="4"/>
      <c r="M47" s="4"/>
      <c r="N47" s="5"/>
      <c r="O47" s="11"/>
      <c r="P47" s="11"/>
      <c r="Q47" s="11"/>
      <c r="R47" s="11"/>
      <c r="S47" s="11"/>
    </row>
    <row r="48" spans="1:19" x14ac:dyDescent="0.25">
      <c r="A48" s="17"/>
      <c r="B48" s="6"/>
      <c r="C48" s="6"/>
      <c r="D48" s="6"/>
      <c r="E48" s="6"/>
      <c r="F48" s="6"/>
      <c r="G48" s="84" t="s">
        <v>58</v>
      </c>
      <c r="H48" s="6"/>
      <c r="I48" s="85"/>
      <c r="J48" s="17"/>
      <c r="K48" s="84" t="s">
        <v>59</v>
      </c>
      <c r="L48" s="6"/>
      <c r="M48" s="6"/>
      <c r="N48" s="85"/>
      <c r="O48" s="11"/>
      <c r="P48" s="11"/>
      <c r="Q48" s="11"/>
      <c r="R48" s="11"/>
      <c r="S48" s="11"/>
    </row>
    <row r="49" spans="1:19" ht="39" x14ac:dyDescent="0.25">
      <c r="A49" s="86" t="s">
        <v>10</v>
      </c>
      <c r="B49" s="87"/>
      <c r="C49" s="87"/>
      <c r="D49" s="6"/>
      <c r="E49" s="88" t="s">
        <v>60</v>
      </c>
      <c r="F49" s="89" t="s">
        <v>61</v>
      </c>
      <c r="G49" s="89" t="s">
        <v>62</v>
      </c>
      <c r="H49" s="89"/>
      <c r="I49" s="90" t="s">
        <v>63</v>
      </c>
      <c r="J49" s="91" t="s">
        <v>64</v>
      </c>
      <c r="K49" s="92" t="s">
        <v>65</v>
      </c>
      <c r="L49" s="92"/>
      <c r="M49" s="92"/>
      <c r="N49" s="93" t="s">
        <v>66</v>
      </c>
      <c r="O49" s="11"/>
      <c r="P49" s="11"/>
      <c r="Q49" s="11"/>
      <c r="R49" s="11"/>
      <c r="S49" s="11"/>
    </row>
    <row r="50" spans="1:19" x14ac:dyDescent="0.25">
      <c r="A50" s="94" t="s">
        <v>71</v>
      </c>
      <c r="B50" s="95"/>
      <c r="C50" s="95"/>
      <c r="D50" s="95" t="s">
        <v>3</v>
      </c>
      <c r="E50" s="96">
        <v>89</v>
      </c>
      <c r="F50" s="96">
        <v>0</v>
      </c>
      <c r="G50" s="96">
        <v>151</v>
      </c>
      <c r="H50" s="96"/>
      <c r="I50" s="97">
        <v>1544.69</v>
      </c>
      <c r="J50" s="98">
        <v>89</v>
      </c>
      <c r="K50" s="69">
        <v>0</v>
      </c>
      <c r="L50" s="69"/>
      <c r="M50" s="69"/>
      <c r="N50" s="99">
        <v>151</v>
      </c>
      <c r="O50" s="11"/>
      <c r="P50" s="11"/>
      <c r="Q50" s="11"/>
      <c r="R50" s="11"/>
      <c r="S50" s="11"/>
    </row>
    <row r="51" spans="1:19" x14ac:dyDescent="0.25">
      <c r="A51" s="100"/>
      <c r="B51" s="101"/>
      <c r="C51" s="101"/>
      <c r="D51" s="101" t="s">
        <v>4</v>
      </c>
      <c r="E51" s="102">
        <f>J50/D45</f>
        <v>89</v>
      </c>
      <c r="F51" s="102">
        <f>K50/D45</f>
        <v>0</v>
      </c>
      <c r="G51" s="102">
        <f>N50/D45</f>
        <v>151</v>
      </c>
      <c r="H51" s="102"/>
      <c r="I51" s="102"/>
      <c r="J51" s="103"/>
      <c r="K51" s="104"/>
      <c r="L51" s="104"/>
      <c r="M51" s="104"/>
      <c r="N51" s="105"/>
      <c r="O51" s="11"/>
      <c r="P51" s="11"/>
      <c r="Q51" s="11"/>
      <c r="R51" s="11"/>
      <c r="S51" s="11"/>
    </row>
    <row r="52" spans="1:19" x14ac:dyDescent="0.25">
      <c r="A52" s="118" t="s">
        <v>70</v>
      </c>
      <c r="B52" s="119"/>
      <c r="C52" s="119"/>
      <c r="D52" s="119" t="s">
        <v>3</v>
      </c>
      <c r="E52" s="120">
        <v>160</v>
      </c>
      <c r="F52" s="120">
        <v>0</v>
      </c>
      <c r="G52" s="120">
        <v>160</v>
      </c>
      <c r="H52" s="120"/>
      <c r="I52" s="121">
        <v>4239.41</v>
      </c>
      <c r="J52" s="126">
        <v>160</v>
      </c>
      <c r="K52" s="125">
        <v>0</v>
      </c>
      <c r="L52" s="117"/>
      <c r="M52" s="117"/>
      <c r="N52" s="129">
        <v>160</v>
      </c>
      <c r="O52" s="116"/>
      <c r="P52" s="116"/>
      <c r="Q52" s="116"/>
      <c r="R52" s="116"/>
      <c r="S52" s="116"/>
    </row>
    <row r="53" spans="1:19" x14ac:dyDescent="0.25">
      <c r="A53" s="122"/>
      <c r="B53" s="123"/>
      <c r="C53" s="123"/>
      <c r="D53" s="123" t="s">
        <v>4</v>
      </c>
      <c r="E53" s="124">
        <f>J52/D45</f>
        <v>160</v>
      </c>
      <c r="F53" s="124">
        <f>K52/D45</f>
        <v>0</v>
      </c>
      <c r="G53" s="124">
        <f>K52/D45</f>
        <v>0</v>
      </c>
      <c r="H53" s="124"/>
      <c r="I53" s="124"/>
      <c r="J53" s="127"/>
      <c r="K53" s="128"/>
      <c r="L53" s="131"/>
      <c r="M53" s="131"/>
      <c r="N53" s="130"/>
      <c r="O53" s="116"/>
      <c r="P53" s="116"/>
      <c r="Q53" s="116"/>
      <c r="R53" s="116"/>
      <c r="S53" s="116"/>
    </row>
    <row r="54" spans="1:19" x14ac:dyDescent="0.25">
      <c r="A54" s="94" t="s">
        <v>23</v>
      </c>
      <c r="B54" s="95"/>
      <c r="C54" s="95"/>
      <c r="D54" s="95" t="s">
        <v>3</v>
      </c>
      <c r="E54" s="96">
        <v>544.75</v>
      </c>
      <c r="F54" s="96">
        <v>0</v>
      </c>
      <c r="G54" s="96">
        <v>735.83333000000005</v>
      </c>
      <c r="H54" s="96"/>
      <c r="I54" s="97">
        <v>5497.84</v>
      </c>
      <c r="J54" s="98">
        <v>544.75</v>
      </c>
      <c r="K54" s="69">
        <v>0</v>
      </c>
      <c r="L54" s="69"/>
      <c r="M54" s="69"/>
      <c r="N54" s="99">
        <v>735.83333000000005</v>
      </c>
      <c r="O54" s="11"/>
      <c r="P54" s="11"/>
      <c r="Q54" s="11"/>
      <c r="R54" s="11"/>
      <c r="S54" s="11"/>
    </row>
    <row r="55" spans="1:19" x14ac:dyDescent="0.25">
      <c r="A55" s="100"/>
      <c r="B55" s="101"/>
      <c r="C55" s="101"/>
      <c r="D55" s="101" t="s">
        <v>4</v>
      </c>
      <c r="E55" s="102">
        <f>J54/D45</f>
        <v>544.75</v>
      </c>
      <c r="F55" s="102">
        <f>K54/D45</f>
        <v>0</v>
      </c>
      <c r="G55" s="102">
        <f>N54/D45</f>
        <v>735.83333000000005</v>
      </c>
      <c r="H55" s="102"/>
      <c r="I55" s="102"/>
      <c r="J55" s="103"/>
      <c r="K55" s="104"/>
      <c r="L55" s="104"/>
      <c r="M55" s="104"/>
      <c r="N55" s="105"/>
      <c r="O55" s="11"/>
      <c r="P55" s="11"/>
      <c r="Q55" s="11"/>
      <c r="R55" s="11"/>
      <c r="S55" s="11"/>
    </row>
    <row r="56" spans="1:19" x14ac:dyDescent="0.25">
      <c r="A56" s="94" t="s">
        <v>72</v>
      </c>
      <c r="B56" s="95"/>
      <c r="C56" s="95"/>
      <c r="D56" s="95" t="s">
        <v>3</v>
      </c>
      <c r="E56" s="96">
        <v>487.5</v>
      </c>
      <c r="F56" s="96">
        <v>0</v>
      </c>
      <c r="G56" s="96">
        <v>814.5</v>
      </c>
      <c r="H56" s="96"/>
      <c r="I56" s="97">
        <v>32896.080000000002</v>
      </c>
      <c r="J56" s="98">
        <v>487.5</v>
      </c>
      <c r="K56" s="69">
        <v>0</v>
      </c>
      <c r="L56" s="69"/>
      <c r="M56" s="69"/>
      <c r="N56" s="99">
        <v>814.5</v>
      </c>
      <c r="O56" s="11"/>
      <c r="P56" s="11"/>
      <c r="Q56" s="11"/>
      <c r="R56" s="11"/>
      <c r="S56" s="11"/>
    </row>
    <row r="57" spans="1:19" x14ac:dyDescent="0.25">
      <c r="A57" s="100"/>
      <c r="B57" s="101"/>
      <c r="C57" s="101"/>
      <c r="D57" s="101" t="s">
        <v>4</v>
      </c>
      <c r="E57" s="102">
        <f>J56/D45</f>
        <v>487.5</v>
      </c>
      <c r="F57" s="102">
        <f>K56/D45</f>
        <v>0</v>
      </c>
      <c r="G57" s="102">
        <f>N56/D45</f>
        <v>814.5</v>
      </c>
      <c r="H57" s="102"/>
      <c r="I57" s="102"/>
      <c r="J57" s="103"/>
      <c r="K57" s="104"/>
      <c r="L57" s="104"/>
      <c r="M57" s="104"/>
      <c r="N57" s="105"/>
      <c r="O57" s="11"/>
      <c r="P57" s="11"/>
      <c r="Q57" s="11"/>
      <c r="R57" s="11"/>
      <c r="S57" s="11"/>
    </row>
    <row r="58" spans="1:19" x14ac:dyDescent="0.25">
      <c r="A58" s="94" t="s">
        <v>73</v>
      </c>
      <c r="B58" s="95"/>
      <c r="C58" s="95"/>
      <c r="D58" s="95" t="s">
        <v>3</v>
      </c>
      <c r="E58" s="96">
        <v>711.25</v>
      </c>
      <c r="F58" s="96">
        <v>0</v>
      </c>
      <c r="G58" s="96">
        <v>1056.25</v>
      </c>
      <c r="H58" s="96"/>
      <c r="I58" s="97">
        <v>28031.38</v>
      </c>
      <c r="J58" s="98">
        <v>711.25</v>
      </c>
      <c r="K58" s="69">
        <v>0</v>
      </c>
      <c r="L58" s="69"/>
      <c r="M58" s="69"/>
      <c r="N58" s="99">
        <v>1056.25</v>
      </c>
      <c r="O58" s="11"/>
      <c r="P58" s="11"/>
      <c r="Q58" s="11"/>
      <c r="R58" s="11"/>
      <c r="S58" s="11"/>
    </row>
    <row r="59" spans="1:19" x14ac:dyDescent="0.25">
      <c r="A59" s="100"/>
      <c r="B59" s="101"/>
      <c r="C59" s="101"/>
      <c r="D59" s="101" t="s">
        <v>4</v>
      </c>
      <c r="E59" s="102">
        <f>J58/D45</f>
        <v>711.25</v>
      </c>
      <c r="F59" s="102">
        <f>K58/D45</f>
        <v>0</v>
      </c>
      <c r="G59" s="102">
        <f>N58/D45</f>
        <v>1056.25</v>
      </c>
      <c r="H59" s="102"/>
      <c r="I59" s="102"/>
      <c r="J59" s="103"/>
      <c r="K59" s="104"/>
      <c r="L59" s="104"/>
      <c r="M59" s="104"/>
      <c r="N59" s="105"/>
      <c r="O59" s="11"/>
      <c r="P59" s="11"/>
      <c r="Q59" s="11"/>
      <c r="R59" s="11"/>
      <c r="S59" s="11"/>
    </row>
    <row r="60" spans="1:19" x14ac:dyDescent="0.25">
      <c r="A60" s="94" t="s">
        <v>24</v>
      </c>
      <c r="B60" s="95"/>
      <c r="C60" s="95"/>
      <c r="D60" s="95" t="s">
        <v>3</v>
      </c>
      <c r="E60" s="96">
        <v>636</v>
      </c>
      <c r="F60" s="96">
        <v>13</v>
      </c>
      <c r="G60" s="96">
        <v>832</v>
      </c>
      <c r="H60" s="96"/>
      <c r="I60" s="97">
        <v>5201.1400000000003</v>
      </c>
      <c r="J60" s="98">
        <v>636</v>
      </c>
      <c r="K60" s="69">
        <v>13</v>
      </c>
      <c r="L60" s="69"/>
      <c r="M60" s="69"/>
      <c r="N60" s="99">
        <v>832</v>
      </c>
      <c r="O60" s="11"/>
      <c r="P60" s="11"/>
      <c r="Q60" s="11"/>
      <c r="R60" s="11"/>
      <c r="S60" s="11"/>
    </row>
    <row r="61" spans="1:19" x14ac:dyDescent="0.25">
      <c r="A61" s="100"/>
      <c r="B61" s="101"/>
      <c r="C61" s="101"/>
      <c r="D61" s="101" t="s">
        <v>4</v>
      </c>
      <c r="E61" s="102">
        <f>J60/D45</f>
        <v>636</v>
      </c>
      <c r="F61" s="102">
        <f>K60/D45</f>
        <v>13</v>
      </c>
      <c r="G61" s="102">
        <f>N60/D45</f>
        <v>832</v>
      </c>
      <c r="H61" s="102"/>
      <c r="I61" s="102"/>
      <c r="J61" s="103"/>
      <c r="K61" s="104"/>
      <c r="L61" s="104"/>
      <c r="M61" s="104"/>
      <c r="N61" s="105"/>
      <c r="O61" s="11"/>
      <c r="P61" s="11"/>
      <c r="Q61" s="11"/>
      <c r="R61" s="11"/>
      <c r="S61" s="11"/>
    </row>
    <row r="62" spans="1:19" x14ac:dyDescent="0.25">
      <c r="A62" s="94" t="s">
        <v>25</v>
      </c>
      <c r="B62" s="95"/>
      <c r="C62" s="95"/>
      <c r="D62" s="95" t="s">
        <v>3</v>
      </c>
      <c r="E62" s="96">
        <v>691.83</v>
      </c>
      <c r="F62" s="96">
        <v>29.5</v>
      </c>
      <c r="G62" s="96">
        <v>853.91332999999997</v>
      </c>
      <c r="H62" s="96"/>
      <c r="I62" s="97">
        <v>19594.560000000001</v>
      </c>
      <c r="J62" s="98">
        <v>691.83</v>
      </c>
      <c r="K62" s="69">
        <v>29.5</v>
      </c>
      <c r="L62" s="69"/>
      <c r="M62" s="69"/>
      <c r="N62" s="99">
        <v>853.91332999999997</v>
      </c>
      <c r="O62" s="11"/>
      <c r="P62" s="11"/>
      <c r="Q62" s="11"/>
      <c r="R62" s="11"/>
      <c r="S62" s="11"/>
    </row>
    <row r="63" spans="1:19" x14ac:dyDescent="0.25">
      <c r="A63" s="100"/>
      <c r="B63" s="101"/>
      <c r="C63" s="101"/>
      <c r="D63" s="101" t="s">
        <v>4</v>
      </c>
      <c r="E63" s="102">
        <f>J62/D45</f>
        <v>691.83</v>
      </c>
      <c r="F63" s="102">
        <f>K62/D45</f>
        <v>29.5</v>
      </c>
      <c r="G63" s="102">
        <f>N62/D45</f>
        <v>853.91332999999997</v>
      </c>
      <c r="H63" s="102"/>
      <c r="I63" s="102"/>
      <c r="J63" s="103"/>
      <c r="K63" s="104"/>
      <c r="L63" s="104"/>
      <c r="M63" s="104"/>
      <c r="N63" s="105"/>
      <c r="O63" s="11"/>
      <c r="P63" s="11"/>
      <c r="Q63" s="11"/>
      <c r="R63" s="11"/>
      <c r="S63" s="11"/>
    </row>
    <row r="64" spans="1:19" x14ac:dyDescent="0.25">
      <c r="A64" s="94" t="s">
        <v>67</v>
      </c>
      <c r="B64" s="95"/>
      <c r="C64" s="95"/>
      <c r="D64" s="95" t="s">
        <v>3</v>
      </c>
      <c r="E64" s="96">
        <v>1078</v>
      </c>
      <c r="F64" s="96">
        <v>59</v>
      </c>
      <c r="G64" s="96">
        <v>1293</v>
      </c>
      <c r="H64" s="96"/>
      <c r="I64" s="97">
        <v>16418.849999999999</v>
      </c>
      <c r="J64" s="98">
        <v>1078</v>
      </c>
      <c r="K64" s="69">
        <v>59</v>
      </c>
      <c r="L64" s="69"/>
      <c r="M64" s="69"/>
      <c r="N64" s="99">
        <v>1293</v>
      </c>
      <c r="O64" s="11"/>
      <c r="P64" s="11"/>
      <c r="Q64" s="11"/>
      <c r="R64" s="11"/>
      <c r="S64" s="11"/>
    </row>
    <row r="65" spans="1:19" x14ac:dyDescent="0.25">
      <c r="A65" s="100"/>
      <c r="B65" s="101"/>
      <c r="C65" s="101"/>
      <c r="D65" s="101" t="s">
        <v>4</v>
      </c>
      <c r="E65" s="102">
        <f>J64/D45</f>
        <v>1078</v>
      </c>
      <c r="F65" s="102">
        <f>K64/D45</f>
        <v>59</v>
      </c>
      <c r="G65" s="102">
        <f>N64/D45</f>
        <v>1293</v>
      </c>
      <c r="H65" s="102"/>
      <c r="I65" s="102"/>
      <c r="J65" s="106"/>
      <c r="K65" s="107"/>
      <c r="L65" s="107"/>
      <c r="M65" s="107"/>
      <c r="N65" s="108"/>
      <c r="O65" s="11"/>
      <c r="P65" s="11"/>
      <c r="Q65" s="11"/>
      <c r="R65" s="11"/>
      <c r="S65" s="11"/>
    </row>
    <row r="66" spans="1:19" x14ac:dyDescent="0.25">
      <c r="A66" s="94" t="s">
        <v>27</v>
      </c>
      <c r="B66" s="95"/>
      <c r="C66" s="95"/>
      <c r="D66" s="95" t="s">
        <v>3</v>
      </c>
      <c r="E66" s="96">
        <v>386.25</v>
      </c>
      <c r="F66" s="96">
        <v>3</v>
      </c>
      <c r="G66" s="96">
        <v>426.25</v>
      </c>
      <c r="H66" s="96"/>
      <c r="I66" s="97">
        <v>2214.31</v>
      </c>
      <c r="J66" s="98">
        <v>386.25</v>
      </c>
      <c r="K66" s="69">
        <v>3</v>
      </c>
      <c r="L66" s="69"/>
      <c r="M66" s="69"/>
      <c r="N66" s="99">
        <v>426.25</v>
      </c>
      <c r="O66" s="11"/>
      <c r="P66" s="11"/>
      <c r="Q66" s="11"/>
      <c r="R66" s="11"/>
      <c r="S66" s="11"/>
    </row>
    <row r="67" spans="1:19" x14ac:dyDescent="0.25">
      <c r="A67" s="100"/>
      <c r="B67" s="101"/>
      <c r="C67" s="101"/>
      <c r="D67" s="101" t="s">
        <v>4</v>
      </c>
      <c r="E67" s="102">
        <f>J66/D45</f>
        <v>386.25</v>
      </c>
      <c r="F67" s="102">
        <f>K66/D45</f>
        <v>3</v>
      </c>
      <c r="G67" s="102">
        <f>N66/D45</f>
        <v>426.25</v>
      </c>
      <c r="H67" s="102"/>
      <c r="I67" s="102"/>
      <c r="J67" s="103"/>
      <c r="K67" s="104"/>
      <c r="L67" s="104"/>
      <c r="M67" s="104"/>
      <c r="N67" s="105"/>
      <c r="O67" s="11"/>
      <c r="P67" s="11"/>
      <c r="Q67" s="11"/>
      <c r="R67" s="11"/>
      <c r="S67" s="11"/>
    </row>
    <row r="68" spans="1:19" x14ac:dyDescent="0.25">
      <c r="A68" s="94" t="s">
        <v>68</v>
      </c>
      <c r="B68" s="95"/>
      <c r="C68" s="95"/>
      <c r="D68" s="95" t="s">
        <v>3</v>
      </c>
      <c r="E68" s="96">
        <v>418.5</v>
      </c>
      <c r="F68" s="96">
        <v>1</v>
      </c>
      <c r="G68" s="96">
        <v>563.46667000000002</v>
      </c>
      <c r="H68" s="96"/>
      <c r="I68" s="97">
        <v>7545.01</v>
      </c>
      <c r="J68" s="98">
        <v>418.5</v>
      </c>
      <c r="K68" s="69">
        <v>1</v>
      </c>
      <c r="L68" s="69"/>
      <c r="M68" s="69"/>
      <c r="N68" s="99">
        <v>563.46667000000002</v>
      </c>
      <c r="O68" s="11"/>
      <c r="P68" s="11"/>
      <c r="Q68" s="11"/>
      <c r="R68" s="11"/>
      <c r="S68" s="11"/>
    </row>
    <row r="69" spans="1:19" x14ac:dyDescent="0.25">
      <c r="A69" s="100"/>
      <c r="B69" s="101"/>
      <c r="C69" s="101"/>
      <c r="D69" s="101" t="s">
        <v>4</v>
      </c>
      <c r="E69" s="102">
        <f>J68/D45</f>
        <v>418.5</v>
      </c>
      <c r="F69" s="102">
        <f>K68/D45</f>
        <v>1</v>
      </c>
      <c r="G69" s="102">
        <f>N68/D45</f>
        <v>563.46667000000002</v>
      </c>
      <c r="H69" s="102"/>
      <c r="I69" s="102"/>
      <c r="J69" s="103"/>
      <c r="K69" s="104"/>
      <c r="L69" s="104"/>
      <c r="M69" s="104"/>
      <c r="N69" s="105"/>
      <c r="O69" s="11"/>
      <c r="P69" s="11"/>
      <c r="Q69" s="11"/>
      <c r="R69" s="11"/>
      <c r="S69" s="11"/>
    </row>
    <row r="70" spans="1:19" x14ac:dyDescent="0.25">
      <c r="A70" s="94" t="s">
        <v>29</v>
      </c>
      <c r="B70" s="95"/>
      <c r="C70" s="95"/>
      <c r="D70" s="95" t="s">
        <v>3</v>
      </c>
      <c r="E70" s="96">
        <v>117</v>
      </c>
      <c r="F70" s="96">
        <v>0</v>
      </c>
      <c r="G70" s="96">
        <v>161</v>
      </c>
      <c r="H70" s="96"/>
      <c r="I70" s="97">
        <v>2471.2600000000002</v>
      </c>
      <c r="J70" s="98">
        <v>117</v>
      </c>
      <c r="K70" s="69">
        <v>0</v>
      </c>
      <c r="L70" s="69"/>
      <c r="M70" s="69"/>
      <c r="N70" s="99">
        <v>161</v>
      </c>
      <c r="O70" s="11"/>
      <c r="P70" s="11"/>
      <c r="Q70" s="11"/>
      <c r="R70" s="11"/>
      <c r="S70" s="11"/>
    </row>
    <row r="71" spans="1:19" x14ac:dyDescent="0.25">
      <c r="A71" s="100"/>
      <c r="B71" s="101"/>
      <c r="C71" s="101"/>
      <c r="D71" s="101" t="s">
        <v>4</v>
      </c>
      <c r="E71" s="102">
        <f>J70/D45</f>
        <v>117</v>
      </c>
      <c r="F71" s="102">
        <f>K70/D45</f>
        <v>0</v>
      </c>
      <c r="G71" s="102">
        <f>N70/D45</f>
        <v>161</v>
      </c>
      <c r="H71" s="102"/>
      <c r="I71" s="102"/>
      <c r="J71" s="103"/>
      <c r="K71" s="104"/>
      <c r="L71" s="104"/>
      <c r="M71" s="104"/>
      <c r="N71" s="105"/>
      <c r="O71" s="11"/>
      <c r="P71" s="11"/>
      <c r="Q71" s="11"/>
      <c r="R71" s="11"/>
      <c r="S71" s="11"/>
    </row>
    <row r="72" spans="1:19" x14ac:dyDescent="0.25">
      <c r="A72" s="94" t="s">
        <v>30</v>
      </c>
      <c r="B72" s="95"/>
      <c r="C72" s="95"/>
      <c r="D72" s="95" t="s">
        <v>3</v>
      </c>
      <c r="E72" s="96">
        <v>80</v>
      </c>
      <c r="F72" s="96">
        <v>0</v>
      </c>
      <c r="G72" s="96">
        <v>80</v>
      </c>
      <c r="H72" s="96"/>
      <c r="I72" s="97">
        <v>1013.73</v>
      </c>
      <c r="J72" s="98">
        <v>80</v>
      </c>
      <c r="K72" s="69">
        <v>0</v>
      </c>
      <c r="L72" s="69"/>
      <c r="M72" s="69"/>
      <c r="N72" s="99">
        <v>80</v>
      </c>
      <c r="O72" s="11"/>
      <c r="P72" s="11"/>
      <c r="Q72" s="11"/>
      <c r="R72" s="11"/>
      <c r="S72" s="11"/>
    </row>
    <row r="73" spans="1:19" x14ac:dyDescent="0.25">
      <c r="A73" s="100"/>
      <c r="B73" s="101"/>
      <c r="C73" s="101"/>
      <c r="D73" s="101" t="s">
        <v>4</v>
      </c>
      <c r="E73" s="102">
        <f>J72/D45</f>
        <v>80</v>
      </c>
      <c r="F73" s="102">
        <f>K72/D45</f>
        <v>0</v>
      </c>
      <c r="G73" s="102">
        <f>N72/D45</f>
        <v>80</v>
      </c>
      <c r="H73" s="102"/>
      <c r="I73" s="102"/>
      <c r="J73" s="103"/>
      <c r="K73" s="104"/>
      <c r="L73" s="104"/>
      <c r="M73" s="104"/>
      <c r="N73" s="105"/>
      <c r="O73" s="11"/>
      <c r="P73" s="11"/>
      <c r="Q73" s="11"/>
      <c r="R73" s="11"/>
      <c r="S73" s="11"/>
    </row>
    <row r="74" spans="1:19" x14ac:dyDescent="0.25">
      <c r="A74" s="94" t="s">
        <v>31</v>
      </c>
      <c r="B74" s="95"/>
      <c r="C74" s="95"/>
      <c r="D74" s="95" t="s">
        <v>3</v>
      </c>
      <c r="E74" s="96">
        <v>168.5</v>
      </c>
      <c r="F74" s="96">
        <v>0</v>
      </c>
      <c r="G74" s="96">
        <v>240.5</v>
      </c>
      <c r="H74" s="96"/>
      <c r="I74" s="97">
        <v>2885.69</v>
      </c>
      <c r="J74" s="98">
        <v>168.5</v>
      </c>
      <c r="K74" s="69">
        <v>0</v>
      </c>
      <c r="L74" s="69"/>
      <c r="M74" s="69"/>
      <c r="N74" s="99">
        <v>240.5</v>
      </c>
      <c r="O74" s="11"/>
      <c r="P74" s="11"/>
      <c r="Q74" s="11"/>
      <c r="R74" s="11"/>
      <c r="S74" s="11"/>
    </row>
    <row r="75" spans="1:19" x14ac:dyDescent="0.25">
      <c r="A75" s="100"/>
      <c r="B75" s="101"/>
      <c r="C75" s="101"/>
      <c r="D75" s="101" t="s">
        <v>4</v>
      </c>
      <c r="E75" s="102">
        <f>J74/D45</f>
        <v>168.5</v>
      </c>
      <c r="F75" s="102">
        <f>K74/D45</f>
        <v>0</v>
      </c>
      <c r="G75" s="102">
        <f>N74/D45</f>
        <v>240.5</v>
      </c>
      <c r="H75" s="102"/>
      <c r="I75" s="102"/>
      <c r="J75" s="103"/>
      <c r="K75" s="104"/>
      <c r="L75" s="104"/>
      <c r="M75" s="104"/>
      <c r="N75" s="105"/>
      <c r="O75" s="11"/>
      <c r="P75" s="11"/>
      <c r="Q75" s="11"/>
      <c r="R75" s="11"/>
      <c r="S75" s="11"/>
    </row>
    <row r="76" spans="1:19" x14ac:dyDescent="0.25">
      <c r="A76" s="94" t="s">
        <v>32</v>
      </c>
      <c r="B76" s="95"/>
      <c r="C76" s="95"/>
      <c r="D76" s="95" t="s">
        <v>3</v>
      </c>
      <c r="E76" s="96">
        <v>91.75</v>
      </c>
      <c r="F76" s="96">
        <v>0</v>
      </c>
      <c r="G76" s="96">
        <v>91.75</v>
      </c>
      <c r="H76" s="96"/>
      <c r="I76" s="97">
        <v>622.71</v>
      </c>
      <c r="J76" s="98">
        <v>91.75</v>
      </c>
      <c r="K76" s="69">
        <v>0</v>
      </c>
      <c r="L76" s="69"/>
      <c r="M76" s="69"/>
      <c r="N76" s="99">
        <v>91.75</v>
      </c>
      <c r="O76" s="11"/>
      <c r="P76" s="11"/>
      <c r="Q76" s="11"/>
      <c r="R76" s="11"/>
      <c r="S76" s="11"/>
    </row>
    <row r="77" spans="1:19" x14ac:dyDescent="0.25">
      <c r="A77" s="100"/>
      <c r="B77" s="101"/>
      <c r="C77" s="101"/>
      <c r="D77" s="101" t="s">
        <v>4</v>
      </c>
      <c r="E77" s="102">
        <f>J76/D45</f>
        <v>91.75</v>
      </c>
      <c r="F77" s="102">
        <f>K76/D45</f>
        <v>0</v>
      </c>
      <c r="G77" s="102">
        <f>N76/D45</f>
        <v>91.75</v>
      </c>
      <c r="H77" s="102"/>
      <c r="I77" s="102"/>
      <c r="J77" s="103"/>
      <c r="K77" s="104"/>
      <c r="L77" s="104"/>
      <c r="M77" s="104"/>
      <c r="N77" s="105"/>
      <c r="O77" s="11"/>
      <c r="P77" s="11"/>
      <c r="Q77" s="11"/>
      <c r="R77" s="11"/>
      <c r="S77" s="11"/>
    </row>
    <row r="78" spans="1:19" x14ac:dyDescent="0.25">
      <c r="A78" s="94" t="s">
        <v>33</v>
      </c>
      <c r="B78" s="95"/>
      <c r="C78" s="95"/>
      <c r="D78" s="95" t="s">
        <v>3</v>
      </c>
      <c r="E78" s="96">
        <v>1292.5</v>
      </c>
      <c r="F78" s="96">
        <v>55.25</v>
      </c>
      <c r="G78" s="96">
        <v>1667.75</v>
      </c>
      <c r="H78" s="96"/>
      <c r="I78" s="97">
        <v>24240.79</v>
      </c>
      <c r="J78" s="98">
        <v>1292.5</v>
      </c>
      <c r="K78" s="69">
        <v>55.25</v>
      </c>
      <c r="L78" s="69"/>
      <c r="M78" s="69"/>
      <c r="N78" s="99">
        <v>1667.75</v>
      </c>
      <c r="O78" s="11"/>
      <c r="P78" s="11"/>
      <c r="Q78" s="11"/>
      <c r="R78" s="11"/>
      <c r="S78" s="11"/>
    </row>
    <row r="79" spans="1:19" x14ac:dyDescent="0.25">
      <c r="A79" s="100"/>
      <c r="B79" s="101"/>
      <c r="C79" s="101"/>
      <c r="D79" s="101" t="s">
        <v>4</v>
      </c>
      <c r="E79" s="102">
        <f>J78/D45</f>
        <v>1292.5</v>
      </c>
      <c r="F79" s="102">
        <f>K78/D45</f>
        <v>55.25</v>
      </c>
      <c r="G79" s="102">
        <f>N78/D45</f>
        <v>1667.75</v>
      </c>
      <c r="H79" s="102"/>
      <c r="I79" s="102"/>
      <c r="J79" s="103"/>
      <c r="K79" s="104"/>
      <c r="L79" s="104"/>
      <c r="M79" s="104"/>
      <c r="N79" s="105"/>
      <c r="O79" s="11"/>
      <c r="P79" s="11"/>
      <c r="Q79" s="11"/>
      <c r="R79" s="11"/>
      <c r="S79" s="11"/>
    </row>
    <row r="80" spans="1:19" x14ac:dyDescent="0.25">
      <c r="A80" s="94" t="s">
        <v>34</v>
      </c>
      <c r="B80" s="95"/>
      <c r="C80" s="95"/>
      <c r="D80" s="95" t="s">
        <v>3</v>
      </c>
      <c r="E80" s="96">
        <v>166.75</v>
      </c>
      <c r="F80" s="96">
        <v>0</v>
      </c>
      <c r="G80" s="96">
        <v>226.75</v>
      </c>
      <c r="H80" s="96"/>
      <c r="I80" s="97">
        <v>3228.59</v>
      </c>
      <c r="J80" s="98">
        <v>166.75</v>
      </c>
      <c r="K80" s="69">
        <v>0</v>
      </c>
      <c r="L80" s="69"/>
      <c r="M80" s="69"/>
      <c r="N80" s="99">
        <v>226.75</v>
      </c>
      <c r="O80" s="11"/>
      <c r="P80" s="11"/>
      <c r="Q80" s="11"/>
      <c r="R80" s="11"/>
      <c r="S80" s="11"/>
    </row>
    <row r="81" spans="1:19" x14ac:dyDescent="0.25">
      <c r="A81" s="100"/>
      <c r="B81" s="101"/>
      <c r="C81" s="101"/>
      <c r="D81" s="101" t="s">
        <v>4</v>
      </c>
      <c r="E81" s="102">
        <f>J80/D45</f>
        <v>166.75</v>
      </c>
      <c r="F81" s="102">
        <f>K80/D45</f>
        <v>0</v>
      </c>
      <c r="G81" s="102">
        <f>N80/D45</f>
        <v>226.75</v>
      </c>
      <c r="H81" s="102"/>
      <c r="I81" s="102"/>
      <c r="J81" s="103"/>
      <c r="K81" s="104"/>
      <c r="L81" s="104"/>
      <c r="M81" s="104"/>
      <c r="N81" s="105"/>
      <c r="O81" s="11"/>
      <c r="P81" s="11"/>
      <c r="Q81" s="11"/>
      <c r="R81" s="11"/>
      <c r="S81" s="11"/>
    </row>
    <row r="82" spans="1:19" x14ac:dyDescent="0.25">
      <c r="A82" s="94" t="s">
        <v>35</v>
      </c>
      <c r="B82" s="95"/>
      <c r="C82" s="95"/>
      <c r="D82" s="95" t="s">
        <v>3</v>
      </c>
      <c r="E82" s="96">
        <v>243.25</v>
      </c>
      <c r="F82" s="96">
        <v>0</v>
      </c>
      <c r="G82" s="96">
        <v>319.25</v>
      </c>
      <c r="H82" s="96"/>
      <c r="I82" s="97">
        <v>3240.26</v>
      </c>
      <c r="J82" s="98">
        <v>243.25</v>
      </c>
      <c r="K82" s="69">
        <v>0</v>
      </c>
      <c r="L82" s="69"/>
      <c r="M82" s="69"/>
      <c r="N82" s="99">
        <v>319.25</v>
      </c>
      <c r="O82" s="11"/>
      <c r="P82" s="11"/>
      <c r="Q82" s="11"/>
      <c r="R82" s="11"/>
      <c r="S82" s="11"/>
    </row>
    <row r="83" spans="1:19" x14ac:dyDescent="0.25">
      <c r="A83" s="100"/>
      <c r="B83" s="101"/>
      <c r="C83" s="101"/>
      <c r="D83" s="101" t="s">
        <v>4</v>
      </c>
      <c r="E83" s="102">
        <f>J82/D45</f>
        <v>243.25</v>
      </c>
      <c r="F83" s="102">
        <f>K82/D45</f>
        <v>0</v>
      </c>
      <c r="G83" s="102">
        <f>N82/D45</f>
        <v>319.25</v>
      </c>
      <c r="H83" s="102"/>
      <c r="I83" s="102"/>
      <c r="J83" s="103"/>
      <c r="K83" s="104"/>
      <c r="L83" s="104"/>
      <c r="M83" s="104"/>
      <c r="N83" s="105"/>
      <c r="O83" s="11"/>
      <c r="P83" s="11"/>
      <c r="Q83" s="11"/>
      <c r="R83" s="11"/>
      <c r="S83" s="11"/>
    </row>
    <row r="84" spans="1:19" x14ac:dyDescent="0.25">
      <c r="A84" s="94" t="s">
        <v>38</v>
      </c>
      <c r="B84" s="95"/>
      <c r="C84" s="95"/>
      <c r="D84" s="95" t="s">
        <v>3</v>
      </c>
      <c r="E84" s="96">
        <v>88</v>
      </c>
      <c r="F84" s="96">
        <v>0</v>
      </c>
      <c r="G84" s="96">
        <v>111</v>
      </c>
      <c r="H84" s="96"/>
      <c r="I84" s="97">
        <v>2831.21</v>
      </c>
      <c r="J84" s="98">
        <v>88</v>
      </c>
      <c r="K84" s="69">
        <v>0</v>
      </c>
      <c r="L84" s="69"/>
      <c r="M84" s="69"/>
      <c r="N84" s="99">
        <v>111</v>
      </c>
      <c r="O84" s="11"/>
      <c r="P84" s="11"/>
      <c r="Q84" s="11"/>
      <c r="R84" s="11"/>
      <c r="S84" s="11"/>
    </row>
    <row r="85" spans="1:19" x14ac:dyDescent="0.25">
      <c r="A85" s="100"/>
      <c r="B85" s="101"/>
      <c r="C85" s="101"/>
      <c r="D85" s="101" t="s">
        <v>4</v>
      </c>
      <c r="E85" s="102">
        <f>J84/D45</f>
        <v>88</v>
      </c>
      <c r="F85" s="102">
        <f>K84/D45</f>
        <v>0</v>
      </c>
      <c r="G85" s="102">
        <f>N84/D45</f>
        <v>111</v>
      </c>
      <c r="H85" s="102"/>
      <c r="I85" s="102"/>
      <c r="J85" s="103"/>
      <c r="K85" s="104"/>
      <c r="L85" s="104"/>
      <c r="M85" s="104"/>
      <c r="N85" s="105"/>
      <c r="O85" s="11"/>
      <c r="P85" s="11"/>
      <c r="Q85" s="11"/>
      <c r="R85" s="11"/>
      <c r="S85" s="11"/>
    </row>
    <row r="86" spans="1:19" x14ac:dyDescent="0.25">
      <c r="A86" s="94" t="s">
        <v>39</v>
      </c>
      <c r="B86" s="95"/>
      <c r="C86" s="95"/>
      <c r="D86" s="95" t="s">
        <v>3</v>
      </c>
      <c r="E86" s="96">
        <v>36</v>
      </c>
      <c r="F86" s="96">
        <v>0</v>
      </c>
      <c r="G86" s="96">
        <v>80</v>
      </c>
      <c r="H86" s="96"/>
      <c r="I86" s="97">
        <v>512.95000000000005</v>
      </c>
      <c r="J86" s="98">
        <v>36</v>
      </c>
      <c r="K86" s="69">
        <v>0</v>
      </c>
      <c r="L86" s="69"/>
      <c r="M86" s="69"/>
      <c r="N86" s="99">
        <v>80</v>
      </c>
      <c r="O86" s="11"/>
      <c r="P86" s="11"/>
      <c r="Q86" s="11"/>
      <c r="R86" s="11"/>
      <c r="S86" s="11"/>
    </row>
    <row r="87" spans="1:19" x14ac:dyDescent="0.25">
      <c r="A87" s="100"/>
      <c r="B87" s="101"/>
      <c r="C87" s="101"/>
      <c r="D87" s="101" t="s">
        <v>4</v>
      </c>
      <c r="E87" s="102">
        <f>J86/D45</f>
        <v>36</v>
      </c>
      <c r="F87" s="102">
        <f>K86/D45</f>
        <v>0</v>
      </c>
      <c r="G87" s="102">
        <f>N86/D45</f>
        <v>80</v>
      </c>
      <c r="H87" s="102"/>
      <c r="I87" s="102"/>
      <c r="J87" s="103"/>
      <c r="K87" s="104"/>
      <c r="L87" s="104"/>
      <c r="M87" s="104"/>
      <c r="N87" s="105"/>
      <c r="O87" s="11"/>
      <c r="P87" s="11"/>
      <c r="Q87" s="11"/>
      <c r="R87" s="11"/>
      <c r="S87" s="11"/>
    </row>
    <row r="88" spans="1:19" x14ac:dyDescent="0.25">
      <c r="A88" s="94" t="s">
        <v>40</v>
      </c>
      <c r="B88" s="95"/>
      <c r="C88" s="95"/>
      <c r="D88" s="95" t="s">
        <v>3</v>
      </c>
      <c r="E88" s="96">
        <v>380.75</v>
      </c>
      <c r="F88" s="96">
        <v>30.25</v>
      </c>
      <c r="G88" s="96">
        <v>492</v>
      </c>
      <c r="H88" s="96"/>
      <c r="I88" s="97">
        <v>6704.41</v>
      </c>
      <c r="J88" s="98">
        <v>380.75</v>
      </c>
      <c r="K88" s="69">
        <v>30.25</v>
      </c>
      <c r="L88" s="69"/>
      <c r="M88" s="69"/>
      <c r="N88" s="99">
        <v>492</v>
      </c>
      <c r="O88" s="11"/>
      <c r="P88" s="11"/>
      <c r="Q88" s="11"/>
      <c r="R88" s="11"/>
      <c r="S88" s="11"/>
    </row>
    <row r="89" spans="1:19" x14ac:dyDescent="0.25">
      <c r="A89" s="100"/>
      <c r="B89" s="101"/>
      <c r="C89" s="101"/>
      <c r="D89" s="101" t="s">
        <v>4</v>
      </c>
      <c r="E89" s="102">
        <f>J88/D45</f>
        <v>380.75</v>
      </c>
      <c r="F89" s="102">
        <f>K88/D45</f>
        <v>30.25</v>
      </c>
      <c r="G89" s="102">
        <f>N88/D45</f>
        <v>492</v>
      </c>
      <c r="H89" s="102"/>
      <c r="I89" s="102"/>
      <c r="J89" s="103"/>
      <c r="K89" s="104"/>
      <c r="L89" s="104"/>
      <c r="M89" s="104"/>
      <c r="N89" s="105"/>
      <c r="O89" s="11"/>
      <c r="P89" s="11"/>
      <c r="Q89" s="11"/>
      <c r="R89" s="11"/>
      <c r="S89" s="11"/>
    </row>
    <row r="90" spans="1:19" x14ac:dyDescent="0.25">
      <c r="A90" s="94" t="s">
        <v>69</v>
      </c>
      <c r="B90" s="95"/>
      <c r="C90" s="95"/>
      <c r="D90" s="95" t="s">
        <v>3</v>
      </c>
      <c r="E90" s="96">
        <v>450</v>
      </c>
      <c r="F90" s="96">
        <v>10.5</v>
      </c>
      <c r="G90" s="96">
        <v>574.5</v>
      </c>
      <c r="H90" s="96"/>
      <c r="I90" s="97">
        <v>6629.8</v>
      </c>
      <c r="J90" s="98">
        <v>450</v>
      </c>
      <c r="K90" s="69">
        <v>10.5</v>
      </c>
      <c r="L90" s="69"/>
      <c r="M90" s="69"/>
      <c r="N90" s="99">
        <v>574.5</v>
      </c>
      <c r="O90" s="11"/>
      <c r="P90" s="11"/>
      <c r="Q90" s="11"/>
      <c r="R90" s="11"/>
      <c r="S90" s="11"/>
    </row>
    <row r="91" spans="1:19" ht="15.75" thickBot="1" x14ac:dyDescent="0.3">
      <c r="A91" s="26"/>
      <c r="B91" s="27"/>
      <c r="C91" s="27"/>
      <c r="D91" s="27" t="s">
        <v>4</v>
      </c>
      <c r="E91" s="109">
        <f>J90/D45</f>
        <v>450</v>
      </c>
      <c r="F91" s="109">
        <f>K90/D45</f>
        <v>10.5</v>
      </c>
      <c r="G91" s="109">
        <f>N90/D45</f>
        <v>574.5</v>
      </c>
      <c r="H91" s="109"/>
      <c r="I91" s="109"/>
      <c r="J91" s="110"/>
      <c r="K91" s="111"/>
      <c r="L91" s="111"/>
      <c r="M91" s="111"/>
      <c r="N91" s="112"/>
      <c r="O91" s="11"/>
      <c r="P91" s="113"/>
      <c r="Q91" s="11"/>
      <c r="R91" s="11"/>
      <c r="S91" s="11"/>
    </row>
    <row r="92" spans="1:19" x14ac:dyDescent="0.25">
      <c r="A92" s="114"/>
      <c r="B92" s="114"/>
      <c r="C92" s="114"/>
      <c r="D92" s="114"/>
      <c r="E92" s="115"/>
      <c r="F92" s="115"/>
      <c r="G92" s="115"/>
    </row>
    <row r="93" spans="1:19" x14ac:dyDescent="0.25">
      <c r="A93" s="114"/>
      <c r="B93" s="114"/>
      <c r="C93" s="114"/>
      <c r="D93" s="114"/>
      <c r="E93" s="115"/>
      <c r="F93" s="115"/>
      <c r="G93" s="115"/>
    </row>
    <row r="94" spans="1:19" x14ac:dyDescent="0.25">
      <c r="A94" s="114"/>
      <c r="B94" s="114"/>
      <c r="C94" s="114"/>
      <c r="D94" s="114"/>
      <c r="E94" s="115"/>
      <c r="F94" s="115"/>
      <c r="G94" s="115"/>
    </row>
  </sheetData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workbookViewId="0">
      <selection activeCell="K3" sqref="K3"/>
    </sheetView>
  </sheetViews>
  <sheetFormatPr defaultRowHeight="15" x14ac:dyDescent="0.25"/>
  <cols>
    <col min="1" max="1" width="20.28515625" customWidth="1"/>
    <col min="2" max="2" width="6.85546875" hidden="1" customWidth="1"/>
    <col min="3" max="3" width="9.7109375" hidden="1" customWidth="1"/>
    <col min="4" max="4" width="12" customWidth="1"/>
    <col min="5" max="5" width="11.42578125" customWidth="1"/>
    <col min="6" max="6" width="12.140625" customWidth="1"/>
    <col min="7" max="7" width="15.28515625" bestFit="1" customWidth="1"/>
    <col min="8" max="8" width="8.85546875" customWidth="1"/>
    <col min="9" max="9" width="10.85546875" customWidth="1"/>
    <col min="10" max="10" width="10.28515625" customWidth="1"/>
    <col min="11" max="11" width="9.140625" bestFit="1" customWidth="1"/>
    <col min="12" max="12" width="6.85546875" hidden="1" customWidth="1"/>
    <col min="13" max="13" width="10.85546875" hidden="1" customWidth="1"/>
    <col min="14" max="14" width="11.7109375" customWidth="1"/>
    <col min="15" max="15" width="11.140625" customWidth="1"/>
    <col min="16" max="16" width="9.7109375" customWidth="1"/>
    <col min="17" max="17" width="9.42578125" customWidth="1"/>
    <col min="18" max="18" width="8.85546875" customWidth="1"/>
    <col min="19" max="19" width="9" customWidth="1"/>
    <col min="20" max="20" width="11.7109375" customWidth="1"/>
    <col min="22" max="22" width="11.140625" customWidth="1"/>
  </cols>
  <sheetData>
    <row r="1" spans="1:23" ht="26.25" x14ac:dyDescent="0.25">
      <c r="A1" s="1" t="s">
        <v>0</v>
      </c>
      <c r="B1" s="2"/>
      <c r="C1" s="2"/>
      <c r="D1" s="3"/>
      <c r="E1" s="4"/>
      <c r="F1" s="5"/>
      <c r="G1" s="6"/>
      <c r="H1" s="7" t="s">
        <v>1</v>
      </c>
      <c r="I1" s="4"/>
      <c r="J1" s="4"/>
      <c r="K1" s="8">
        <v>260747</v>
      </c>
      <c r="L1" s="4"/>
      <c r="M1" s="9">
        <v>244806</v>
      </c>
      <c r="N1" s="6"/>
      <c r="O1" s="10"/>
      <c r="P1" s="6" t="s">
        <v>2</v>
      </c>
      <c r="Q1" s="116"/>
      <c r="R1" s="116"/>
      <c r="S1" s="116"/>
    </row>
    <row r="2" spans="1:23" ht="30.75" customHeight="1" x14ac:dyDescent="0.25">
      <c r="A2" s="12"/>
      <c r="B2" s="13"/>
      <c r="C2" s="13"/>
      <c r="D2" s="14" t="s">
        <v>3</v>
      </c>
      <c r="E2" s="15" t="s">
        <v>4</v>
      </c>
      <c r="F2" s="16" t="s">
        <v>5</v>
      </c>
      <c r="G2" s="13"/>
      <c r="H2" s="17" t="s">
        <v>6</v>
      </c>
      <c r="I2" s="6"/>
      <c r="J2" s="6"/>
      <c r="K2" s="18">
        <v>250242</v>
      </c>
      <c r="L2" s="6"/>
      <c r="M2" s="19">
        <v>240561</v>
      </c>
      <c r="N2" s="116"/>
      <c r="O2" s="20"/>
      <c r="P2" s="6" t="s">
        <v>7</v>
      </c>
      <c r="Q2" s="116"/>
      <c r="R2" s="116"/>
      <c r="S2" s="116"/>
    </row>
    <row r="3" spans="1:23" ht="30" customHeight="1" thickBot="1" x14ac:dyDescent="0.3">
      <c r="A3" s="21" t="s">
        <v>8</v>
      </c>
      <c r="B3" s="22"/>
      <c r="C3" s="22"/>
      <c r="D3" s="23">
        <f>+G29/F38</f>
        <v>2.7914022928113664</v>
      </c>
      <c r="E3" s="24">
        <f>+Q29/E38</f>
        <v>2.9945364242185697</v>
      </c>
      <c r="F3" s="25">
        <f>+H29/G38</f>
        <v>2.5673424746981297</v>
      </c>
      <c r="G3" s="6"/>
      <c r="H3" s="26" t="s">
        <v>9</v>
      </c>
      <c r="I3" s="27"/>
      <c r="J3" s="27"/>
      <c r="K3" s="28">
        <f>K1-K2</f>
        <v>10505</v>
      </c>
      <c r="L3" s="27"/>
      <c r="M3" s="29">
        <f>M1-M2</f>
        <v>4245</v>
      </c>
      <c r="N3" s="116"/>
      <c r="O3" s="116"/>
      <c r="P3" s="116"/>
      <c r="Q3" s="116"/>
      <c r="R3" s="116"/>
      <c r="S3" s="116"/>
    </row>
    <row r="4" spans="1:23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</row>
    <row r="5" spans="1:23" ht="15.75" thickBot="1" x14ac:dyDescent="0.3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</row>
    <row r="6" spans="1:23" x14ac:dyDescent="0.25">
      <c r="A6" s="30" t="s">
        <v>10</v>
      </c>
      <c r="B6" s="31"/>
      <c r="C6" s="31"/>
      <c r="D6" s="32"/>
      <c r="E6" s="33"/>
      <c r="F6" s="31" t="s">
        <v>3</v>
      </c>
      <c r="G6" s="33"/>
      <c r="H6" s="34"/>
      <c r="I6" s="34"/>
      <c r="J6" s="34"/>
      <c r="K6" s="33"/>
      <c r="L6" s="33"/>
      <c r="M6" s="33"/>
      <c r="N6" s="32"/>
      <c r="O6" s="31" t="s">
        <v>4</v>
      </c>
      <c r="P6" s="33"/>
      <c r="Q6" s="34"/>
      <c r="R6" s="33"/>
      <c r="S6" s="33"/>
      <c r="T6" s="33"/>
      <c r="U6" s="33"/>
      <c r="V6" s="35"/>
    </row>
    <row r="7" spans="1:23" ht="39" x14ac:dyDescent="0.25">
      <c r="A7" s="17"/>
      <c r="B7" s="13" t="s">
        <v>11</v>
      </c>
      <c r="C7" s="13" t="s">
        <v>12</v>
      </c>
      <c r="D7" s="36" t="s">
        <v>13</v>
      </c>
      <c r="E7" s="37" t="s">
        <v>14</v>
      </c>
      <c r="F7" s="37" t="s">
        <v>15</v>
      </c>
      <c r="G7" s="37" t="s">
        <v>16</v>
      </c>
      <c r="H7" s="37" t="s">
        <v>17</v>
      </c>
      <c r="I7" s="37" t="s">
        <v>18</v>
      </c>
      <c r="J7" s="37" t="s">
        <v>19</v>
      </c>
      <c r="K7" s="38" t="s">
        <v>20</v>
      </c>
      <c r="L7" s="37" t="s">
        <v>11</v>
      </c>
      <c r="M7" s="37" t="s">
        <v>12</v>
      </c>
      <c r="N7" s="37" t="s">
        <v>13</v>
      </c>
      <c r="O7" s="37" t="s">
        <v>14</v>
      </c>
      <c r="P7" s="37" t="s">
        <v>15</v>
      </c>
      <c r="Q7" s="37" t="s">
        <v>16</v>
      </c>
      <c r="R7" s="37" t="s">
        <v>17</v>
      </c>
      <c r="S7" s="37" t="s">
        <v>18</v>
      </c>
      <c r="T7" s="37" t="s">
        <v>19</v>
      </c>
      <c r="U7" s="37" t="s">
        <v>20</v>
      </c>
      <c r="V7" s="39" t="s">
        <v>21</v>
      </c>
    </row>
    <row r="8" spans="1:23" x14ac:dyDescent="0.25">
      <c r="A8" s="17" t="s">
        <v>22</v>
      </c>
      <c r="B8" s="6"/>
      <c r="C8" s="6"/>
      <c r="D8" s="40">
        <f>+E50/80</f>
        <v>1.9468749999999999</v>
      </c>
      <c r="E8" s="41">
        <f>+F50/80</f>
        <v>0.11874999999999999</v>
      </c>
      <c r="F8" s="41">
        <f t="shared" ref="F8:F27" si="0">+G8-D8-E8</f>
        <v>7.5000000000000094E-2</v>
      </c>
      <c r="G8" s="41">
        <f>+G50/80</f>
        <v>2.140625</v>
      </c>
      <c r="H8" s="41">
        <v>2</v>
      </c>
      <c r="I8" s="41">
        <f t="shared" ref="I8:I27" si="1">SUM(G8-H8)</f>
        <v>0.140625</v>
      </c>
      <c r="J8" s="41"/>
      <c r="K8" s="42">
        <f t="shared" ref="K8:K27" si="2">+E8/G8</f>
        <v>5.5474452554744522E-2</v>
      </c>
      <c r="L8" s="43"/>
      <c r="M8" s="44"/>
      <c r="N8" s="41">
        <f>+E51/80</f>
        <v>1.5296875000000001</v>
      </c>
      <c r="O8" s="41">
        <f>+F51/80</f>
        <v>5.9374999999999997E-2</v>
      </c>
      <c r="P8" s="41">
        <f t="shared" ref="P8:P27" si="3">Q8-N8-O8</f>
        <v>0.42499999999999999</v>
      </c>
      <c r="Q8" s="41">
        <f>+G51/80</f>
        <v>2.0140625000000001</v>
      </c>
      <c r="R8" s="41">
        <v>2</v>
      </c>
      <c r="S8" s="41">
        <f t="shared" ref="S8:S27" si="4">+Q8-R8</f>
        <v>1.4062500000000089E-2</v>
      </c>
      <c r="T8" s="41"/>
      <c r="U8" s="44">
        <f t="shared" ref="U8:U27" si="5">+O8/Q8</f>
        <v>2.9480217222653218E-2</v>
      </c>
      <c r="V8" s="45">
        <f>+I50/G51*80*S8</f>
        <v>12.628766485647867</v>
      </c>
      <c r="W8" s="46"/>
    </row>
    <row r="9" spans="1:23" x14ac:dyDescent="0.25">
      <c r="A9" s="17" t="s">
        <v>23</v>
      </c>
      <c r="B9" s="43"/>
      <c r="C9" s="41"/>
      <c r="D9" s="40">
        <f>+E54/80</f>
        <v>7.7281250000000004</v>
      </c>
      <c r="E9" s="41">
        <f>+F54/80</f>
        <v>0.11874999999999999</v>
      </c>
      <c r="F9" s="41">
        <f t="shared" si="0"/>
        <v>0.3895833749999994</v>
      </c>
      <c r="G9" s="41">
        <f>+G54/80</f>
        <v>8.2364583749999998</v>
      </c>
      <c r="H9" s="41">
        <v>9.15</v>
      </c>
      <c r="I9" s="41">
        <f t="shared" si="1"/>
        <v>-0.91354162500000058</v>
      </c>
      <c r="J9" s="41"/>
      <c r="K9" s="42">
        <f t="shared" si="2"/>
        <v>1.4417604581168055E-2</v>
      </c>
      <c r="L9" s="43"/>
      <c r="M9" s="41"/>
      <c r="N9" s="41">
        <f>+E55/80</f>
        <v>7.2687499999999998</v>
      </c>
      <c r="O9" s="41">
        <f>+F55/80</f>
        <v>5.9374999999999997E-2</v>
      </c>
      <c r="P9" s="41">
        <f t="shared" si="3"/>
        <v>1.3890624999999999</v>
      </c>
      <c r="Q9" s="41">
        <f>+G55/80</f>
        <v>8.7171874999999996</v>
      </c>
      <c r="R9" s="41">
        <v>9.15</v>
      </c>
      <c r="S9" s="41">
        <f t="shared" si="4"/>
        <v>-0.43281250000000071</v>
      </c>
      <c r="T9" s="41"/>
      <c r="U9" s="44">
        <f t="shared" si="5"/>
        <v>6.8112564975802113E-3</v>
      </c>
      <c r="V9" s="45">
        <f>+I54/G55*80*S9</f>
        <v>-271.0985445420331</v>
      </c>
      <c r="W9" s="46"/>
    </row>
    <row r="10" spans="1:23" x14ac:dyDescent="0.25">
      <c r="A10" s="17" t="s">
        <v>24</v>
      </c>
      <c r="B10" s="6"/>
      <c r="C10" s="41"/>
      <c r="D10" s="40">
        <f>+E60/80</f>
        <v>9.0656250000000007</v>
      </c>
      <c r="E10" s="41">
        <f>+F60/80</f>
        <v>0.14687500000000001</v>
      </c>
      <c r="F10" s="41">
        <f t="shared" si="0"/>
        <v>0.7999999999999986</v>
      </c>
      <c r="G10" s="41">
        <f>+G60/80</f>
        <v>10.012499999999999</v>
      </c>
      <c r="H10" s="41">
        <v>10.11</v>
      </c>
      <c r="I10" s="41">
        <f t="shared" si="1"/>
        <v>-9.7500000000000142E-2</v>
      </c>
      <c r="J10" s="41"/>
      <c r="K10" s="42">
        <f t="shared" si="2"/>
        <v>1.4669163545568041E-2</v>
      </c>
      <c r="L10" s="43"/>
      <c r="M10" s="41"/>
      <c r="N10" s="41">
        <f>+E61/80</f>
        <v>8.5078125</v>
      </c>
      <c r="O10" s="41">
        <f>+F61/80</f>
        <v>0.15468750000000001</v>
      </c>
      <c r="P10" s="41">
        <f t="shared" si="3"/>
        <v>1.5437500000000006</v>
      </c>
      <c r="Q10" s="41">
        <f>+G61/80</f>
        <v>10.206250000000001</v>
      </c>
      <c r="R10" s="41">
        <v>10.11</v>
      </c>
      <c r="S10" s="41">
        <f t="shared" si="4"/>
        <v>9.6250000000001279E-2</v>
      </c>
      <c r="T10" s="41"/>
      <c r="U10" s="44">
        <f t="shared" si="5"/>
        <v>1.5156154317207593E-2</v>
      </c>
      <c r="V10" s="45">
        <f>+I60/G61*80*S10</f>
        <v>46.808927127985925</v>
      </c>
      <c r="W10" s="46"/>
    </row>
    <row r="11" spans="1:23" x14ac:dyDescent="0.25">
      <c r="A11" s="17" t="s">
        <v>25</v>
      </c>
      <c r="B11" s="43">
        <f>F43</f>
        <v>186</v>
      </c>
      <c r="C11" s="41">
        <f>+(3.75*B11)/80</f>
        <v>8.71875</v>
      </c>
      <c r="D11" s="40">
        <f>+E62/80</f>
        <v>8.7447499999999998</v>
      </c>
      <c r="E11" s="41">
        <f>+F62/80</f>
        <v>0.16875000000000001</v>
      </c>
      <c r="F11" s="41">
        <f t="shared" si="0"/>
        <v>0.25000000000000105</v>
      </c>
      <c r="G11" s="41">
        <f>+G62/80</f>
        <v>9.1635000000000009</v>
      </c>
      <c r="H11" s="41">
        <v>9.9</v>
      </c>
      <c r="I11" s="41">
        <f t="shared" si="1"/>
        <v>-0.73649999999999949</v>
      </c>
      <c r="J11" s="41">
        <f>+D11+E11-C11</f>
        <v>0.19474999999999909</v>
      </c>
      <c r="K11" s="42">
        <f t="shared" si="2"/>
        <v>1.8415452610901946E-2</v>
      </c>
      <c r="L11" s="43">
        <f>+E43/17*14</f>
        <v>204.23529411764704</v>
      </c>
      <c r="M11" s="41">
        <f>+(3.75*L11)/80</f>
        <v>9.5735294117647065</v>
      </c>
      <c r="N11" s="41">
        <f>+E63/80</f>
        <v>8.6963125000000012</v>
      </c>
      <c r="O11" s="41">
        <f>+F63/80</f>
        <v>0.26874999999999999</v>
      </c>
      <c r="P11" s="41">
        <f t="shared" si="3"/>
        <v>0.95364581249999847</v>
      </c>
      <c r="Q11" s="41">
        <f>+G63/80</f>
        <v>9.9187083124999997</v>
      </c>
      <c r="R11" s="41">
        <v>9.9</v>
      </c>
      <c r="S11" s="41">
        <f t="shared" si="4"/>
        <v>1.870831249999938E-2</v>
      </c>
      <c r="T11" s="41">
        <f>+N11+O11-M11</f>
        <v>-0.60846691176470458</v>
      </c>
      <c r="U11" s="44">
        <f t="shared" si="5"/>
        <v>2.7095261956772056E-2</v>
      </c>
      <c r="V11" s="45">
        <f>+I62/G63*80*S11</f>
        <v>30.901971122335077</v>
      </c>
      <c r="W11" s="46"/>
    </row>
    <row r="12" spans="1:23" x14ac:dyDescent="0.25">
      <c r="A12" s="17" t="s">
        <v>26</v>
      </c>
      <c r="B12" s="6">
        <f>F40*F37</f>
        <v>95.9</v>
      </c>
      <c r="C12" s="41">
        <f>+(13.14*B12)/80</f>
        <v>15.751575000000003</v>
      </c>
      <c r="D12" s="40">
        <f>+E64/80</f>
        <v>15.378125000000001</v>
      </c>
      <c r="E12" s="41">
        <f>+F64/80</f>
        <v>0.42499999999999999</v>
      </c>
      <c r="F12" s="41">
        <f t="shared" si="0"/>
        <v>0.54999999999999782</v>
      </c>
      <c r="G12" s="41">
        <f>+G64/80</f>
        <v>16.353124999999999</v>
      </c>
      <c r="H12" s="41">
        <v>15.24</v>
      </c>
      <c r="I12" s="41">
        <f t="shared" si="1"/>
        <v>1.1131249999999984</v>
      </c>
      <c r="J12" s="41">
        <f>+D12+E12-C12</f>
        <v>5.1549999999998875E-2</v>
      </c>
      <c r="K12" s="42">
        <f t="shared" si="2"/>
        <v>2.5988916491496275E-2</v>
      </c>
      <c r="L12" s="43">
        <f>E40*14</f>
        <v>89.600000000000009</v>
      </c>
      <c r="M12" s="41">
        <f>+(13.14*L12)/80</f>
        <v>14.716800000000001</v>
      </c>
      <c r="N12" s="41">
        <f>+E65/80</f>
        <v>14.426562499999999</v>
      </c>
      <c r="O12" s="41">
        <f>+F65/80</f>
        <v>0.58125000000000004</v>
      </c>
      <c r="P12" s="41">
        <f t="shared" si="3"/>
        <v>1.2500000000000007</v>
      </c>
      <c r="Q12" s="41">
        <f>+G65/80</f>
        <v>16.2578125</v>
      </c>
      <c r="R12" s="41">
        <v>15.24</v>
      </c>
      <c r="S12" s="41">
        <f t="shared" si="4"/>
        <v>1.0178124999999998</v>
      </c>
      <c r="T12" s="41">
        <f>+N12+O12-M12</f>
        <v>0.29101249999999901</v>
      </c>
      <c r="U12" s="44">
        <f t="shared" si="5"/>
        <v>3.5752042287361847E-2</v>
      </c>
      <c r="V12" s="45">
        <f>+I64/G65*80*S12</f>
        <v>1039.7589829889473</v>
      </c>
      <c r="W12" s="46"/>
    </row>
    <row r="13" spans="1:23" x14ac:dyDescent="0.25">
      <c r="A13" s="17" t="s">
        <v>27</v>
      </c>
      <c r="B13" s="43"/>
      <c r="C13" s="41"/>
      <c r="D13" s="40">
        <f>+E66/80</f>
        <v>4.9281249999999996</v>
      </c>
      <c r="E13" s="41">
        <f>+F66/80</f>
        <v>0.27812500000000001</v>
      </c>
      <c r="F13" s="41">
        <f t="shared" si="0"/>
        <v>4.9999999999999989E-2</v>
      </c>
      <c r="G13" s="41">
        <f>+G66/80</f>
        <v>5.2562499999999996</v>
      </c>
      <c r="H13" s="41">
        <v>5.78</v>
      </c>
      <c r="I13" s="41">
        <f t="shared" si="1"/>
        <v>-0.5237500000000006</v>
      </c>
      <c r="J13" s="41"/>
      <c r="K13" s="42">
        <f t="shared" si="2"/>
        <v>5.2913198573127235E-2</v>
      </c>
      <c r="L13" s="43"/>
      <c r="M13" s="41"/>
      <c r="N13" s="41">
        <f>+E67/80</f>
        <v>4.8781249999999998</v>
      </c>
      <c r="O13" s="41">
        <f>+F67/80</f>
        <v>0.15781249999999999</v>
      </c>
      <c r="P13" s="41">
        <f t="shared" si="3"/>
        <v>0.25624999999999998</v>
      </c>
      <c r="Q13" s="41">
        <f>+G67/80</f>
        <v>5.2921874999999998</v>
      </c>
      <c r="R13" s="41">
        <v>5.78</v>
      </c>
      <c r="S13" s="41">
        <f t="shared" si="4"/>
        <v>-0.48781250000000043</v>
      </c>
      <c r="T13" s="41"/>
      <c r="U13" s="44">
        <f t="shared" si="5"/>
        <v>2.9819899616179511E-2</v>
      </c>
      <c r="V13" s="45">
        <f>+I66/G67*80*S13</f>
        <v>-217.61178801299104</v>
      </c>
      <c r="W13" s="46"/>
    </row>
    <row r="14" spans="1:23" x14ac:dyDescent="0.25">
      <c r="A14" s="17" t="s">
        <v>28</v>
      </c>
      <c r="B14" s="6"/>
      <c r="C14" s="6"/>
      <c r="D14" s="40">
        <f>+E68/80</f>
        <v>5.890625</v>
      </c>
      <c r="E14" s="41">
        <f>+F68/80</f>
        <v>0.11541662500000001</v>
      </c>
      <c r="F14" s="41">
        <f t="shared" si="0"/>
        <v>0.20000000000000012</v>
      </c>
      <c r="G14" s="41">
        <f>+G68/80</f>
        <v>6.2060416250000001</v>
      </c>
      <c r="H14" s="41">
        <v>6.65</v>
      </c>
      <c r="I14" s="41">
        <f t="shared" si="1"/>
        <v>-0.44395837500000024</v>
      </c>
      <c r="J14" s="41"/>
      <c r="K14" s="42">
        <f t="shared" si="2"/>
        <v>1.8597462275319495E-2</v>
      </c>
      <c r="L14" s="43"/>
      <c r="M14" s="44"/>
      <c r="N14" s="41">
        <f>+E69/80</f>
        <v>5.5609374999999996</v>
      </c>
      <c r="O14" s="41">
        <f>+F69/80</f>
        <v>6.3958312500000003E-2</v>
      </c>
      <c r="P14" s="41">
        <f t="shared" si="3"/>
        <v>0.99979168750000058</v>
      </c>
      <c r="Q14" s="41">
        <f>+G69/80</f>
        <v>6.6246875000000003</v>
      </c>
      <c r="R14" s="41">
        <v>6.65</v>
      </c>
      <c r="S14" s="41">
        <f t="shared" si="4"/>
        <v>-2.5312500000000071E-2</v>
      </c>
      <c r="T14" s="41"/>
      <c r="U14" s="44">
        <f t="shared" si="5"/>
        <v>9.6545403085051187E-3</v>
      </c>
      <c r="V14" s="45">
        <f>+I68/G69*80*S14</f>
        <v>-25.627965941789778</v>
      </c>
      <c r="W14" s="46"/>
    </row>
    <row r="15" spans="1:23" x14ac:dyDescent="0.25">
      <c r="A15" s="17" t="s">
        <v>29</v>
      </c>
      <c r="B15" s="43"/>
      <c r="C15" s="41"/>
      <c r="D15" s="40">
        <f>+E70/80</f>
        <v>1.95</v>
      </c>
      <c r="E15" s="41">
        <f>+F70/80</f>
        <v>3.1250000000000002E-3</v>
      </c>
      <c r="F15" s="41">
        <f t="shared" si="0"/>
        <v>4.9999999999999864E-2</v>
      </c>
      <c r="G15" s="41">
        <f>+G70/80</f>
        <v>2.0031249999999998</v>
      </c>
      <c r="H15" s="41">
        <v>2</v>
      </c>
      <c r="I15" s="41">
        <f t="shared" si="1"/>
        <v>3.1249999999998224E-3</v>
      </c>
      <c r="J15" s="41"/>
      <c r="K15" s="42">
        <f t="shared" si="2"/>
        <v>1.5600624024961001E-3</v>
      </c>
      <c r="L15" s="43"/>
      <c r="M15" s="41"/>
      <c r="N15" s="41">
        <f>+E71/80</f>
        <v>1.70625</v>
      </c>
      <c r="O15" s="41">
        <f>+F71/80</f>
        <v>1.5625000000000001E-3</v>
      </c>
      <c r="P15" s="41">
        <f t="shared" si="3"/>
        <v>0.29999999999999993</v>
      </c>
      <c r="Q15" s="41">
        <f>+G71/80</f>
        <v>2.0078125</v>
      </c>
      <c r="R15" s="41">
        <v>2</v>
      </c>
      <c r="S15" s="41">
        <f t="shared" si="4"/>
        <v>7.8125E-3</v>
      </c>
      <c r="T15" s="41"/>
      <c r="U15" s="44">
        <f t="shared" si="5"/>
        <v>7.7821011673151756E-4</v>
      </c>
      <c r="V15" s="45">
        <f>+I70/G71*80*S15</f>
        <v>7.0772373540856028</v>
      </c>
      <c r="W15" s="46"/>
    </row>
    <row r="16" spans="1:23" x14ac:dyDescent="0.25">
      <c r="A16" s="17" t="s">
        <v>30</v>
      </c>
      <c r="B16" s="6"/>
      <c r="C16" s="6"/>
      <c r="D16" s="40">
        <f>+E72/80</f>
        <v>1</v>
      </c>
      <c r="E16" s="41">
        <f>+F72/80</f>
        <v>0</v>
      </c>
      <c r="F16" s="41">
        <f t="shared" si="0"/>
        <v>0</v>
      </c>
      <c r="G16" s="41">
        <f>+G72/80</f>
        <v>1</v>
      </c>
      <c r="H16" s="41">
        <v>1</v>
      </c>
      <c r="I16" s="41">
        <f t="shared" si="1"/>
        <v>0</v>
      </c>
      <c r="J16" s="41"/>
      <c r="K16" s="42">
        <f t="shared" si="2"/>
        <v>0</v>
      </c>
      <c r="L16" s="43"/>
      <c r="M16" s="44"/>
      <c r="N16" s="41">
        <f>+E73/80</f>
        <v>1</v>
      </c>
      <c r="O16" s="41">
        <f>+F73/80</f>
        <v>0</v>
      </c>
      <c r="P16" s="41">
        <f t="shared" si="3"/>
        <v>0</v>
      </c>
      <c r="Q16" s="41">
        <f>+G73/80</f>
        <v>1</v>
      </c>
      <c r="R16" s="41">
        <v>1</v>
      </c>
      <c r="S16" s="41">
        <f t="shared" si="4"/>
        <v>0</v>
      </c>
      <c r="T16" s="41"/>
      <c r="U16" s="44">
        <f t="shared" si="5"/>
        <v>0</v>
      </c>
      <c r="V16" s="45"/>
      <c r="W16" s="46"/>
    </row>
    <row r="17" spans="1:23" x14ac:dyDescent="0.25">
      <c r="A17" s="17" t="s">
        <v>31</v>
      </c>
      <c r="B17" s="43"/>
      <c r="C17" s="41"/>
      <c r="D17" s="40">
        <f>+E74/80</f>
        <v>2.9624999999999999</v>
      </c>
      <c r="E17" s="41">
        <f>+F74/80</f>
        <v>9.3749999999999997E-3</v>
      </c>
      <c r="F17" s="41">
        <f t="shared" si="0"/>
        <v>2.5000000000000265E-2</v>
      </c>
      <c r="G17" s="41">
        <f>+G74/80</f>
        <v>2.9968750000000002</v>
      </c>
      <c r="H17" s="41">
        <v>3</v>
      </c>
      <c r="I17" s="41">
        <f t="shared" si="1"/>
        <v>-3.1249999999998224E-3</v>
      </c>
      <c r="J17" s="41"/>
      <c r="K17" s="42">
        <f t="shared" si="2"/>
        <v>3.1282586027111571E-3</v>
      </c>
      <c r="L17" s="43"/>
      <c r="M17" s="41"/>
      <c r="N17" s="41">
        <f>+E75/80</f>
        <v>2.5343749999999998</v>
      </c>
      <c r="O17" s="41">
        <f>+F75/80</f>
        <v>4.6874999999999998E-3</v>
      </c>
      <c r="P17" s="41">
        <f t="shared" si="3"/>
        <v>0.46250000000000008</v>
      </c>
      <c r="Q17" s="41">
        <f>+G75/80</f>
        <v>3.0015624999999999</v>
      </c>
      <c r="R17" s="41">
        <v>3</v>
      </c>
      <c r="S17" s="41">
        <f t="shared" si="4"/>
        <v>1.5624999999999112E-3</v>
      </c>
      <c r="T17" s="41"/>
      <c r="U17" s="44">
        <f t="shared" si="5"/>
        <v>1.5616866215512754E-3</v>
      </c>
      <c r="V17" s="45">
        <f>+I74/G75*80*S17</f>
        <v>1.5002186361269318</v>
      </c>
      <c r="W17" s="46"/>
    </row>
    <row r="18" spans="1:23" x14ac:dyDescent="0.25">
      <c r="A18" s="17" t="s">
        <v>32</v>
      </c>
      <c r="B18" s="6"/>
      <c r="C18" s="6"/>
      <c r="D18" s="40">
        <f>+E76/80</f>
        <v>1.95</v>
      </c>
      <c r="E18" s="41">
        <f>+F76/80</f>
        <v>0</v>
      </c>
      <c r="F18" s="41">
        <f t="shared" si="0"/>
        <v>0</v>
      </c>
      <c r="G18" s="41">
        <f>+G76/80</f>
        <v>1.95</v>
      </c>
      <c r="H18" s="41">
        <v>1.92</v>
      </c>
      <c r="I18" s="41">
        <f t="shared" si="1"/>
        <v>3.0000000000000027E-2</v>
      </c>
      <c r="J18" s="41"/>
      <c r="K18" s="42">
        <f t="shared" si="2"/>
        <v>0</v>
      </c>
      <c r="L18" s="43"/>
      <c r="M18" s="44"/>
      <c r="N18" s="41">
        <f>+E77/80</f>
        <v>1.5484374999999999</v>
      </c>
      <c r="O18" s="41">
        <f>+F77/80</f>
        <v>0</v>
      </c>
      <c r="P18" s="41">
        <f t="shared" si="3"/>
        <v>0</v>
      </c>
      <c r="Q18" s="41">
        <f>+G77/80</f>
        <v>1.5484374999999999</v>
      </c>
      <c r="R18" s="41">
        <v>1.92</v>
      </c>
      <c r="S18" s="41">
        <f t="shared" si="4"/>
        <v>-0.37156250000000002</v>
      </c>
      <c r="T18" s="41"/>
      <c r="U18" s="44">
        <f t="shared" si="5"/>
        <v>0</v>
      </c>
      <c r="V18" s="45">
        <f>+I76/G77*80*S18</f>
        <v>-251.72725731584259</v>
      </c>
      <c r="W18" s="46"/>
    </row>
    <row r="19" spans="1:23" x14ac:dyDescent="0.25">
      <c r="A19" s="17" t="s">
        <v>33</v>
      </c>
      <c r="B19" s="6">
        <f>F39*F37</f>
        <v>157.1</v>
      </c>
      <c r="C19" s="41">
        <f>+(9.25*B19)/80</f>
        <v>18.164687499999999</v>
      </c>
      <c r="D19" s="40">
        <f>+E78/80</f>
        <v>20.128125000000001</v>
      </c>
      <c r="E19" s="41">
        <f>+F78/80</f>
        <v>0.96875</v>
      </c>
      <c r="F19" s="41">
        <f t="shared" si="0"/>
        <v>1.3625000000000007</v>
      </c>
      <c r="G19" s="41">
        <f>+G78/80</f>
        <v>22.459375000000001</v>
      </c>
      <c r="H19" s="41">
        <v>23.24</v>
      </c>
      <c r="I19" s="41">
        <f t="shared" si="1"/>
        <v>-0.78062499999999702</v>
      </c>
      <c r="J19" s="41">
        <f>+D19+E19-C19</f>
        <v>2.9321875000000013</v>
      </c>
      <c r="K19" s="42">
        <f t="shared" si="2"/>
        <v>4.3133435369417002E-2</v>
      </c>
      <c r="L19" s="43">
        <f>E39*14</f>
        <v>140</v>
      </c>
      <c r="M19" s="41">
        <f>+(9.25*L19)/80</f>
        <v>16.1875</v>
      </c>
      <c r="N19" s="41">
        <f>+E79/80</f>
        <v>18.142187499999999</v>
      </c>
      <c r="O19" s="41">
        <f>+F79/80</f>
        <v>0.82968750000000002</v>
      </c>
      <c r="P19" s="41">
        <f t="shared" si="3"/>
        <v>2.6812500000000008</v>
      </c>
      <c r="Q19" s="41">
        <f>+G79/80</f>
        <v>21.653124999999999</v>
      </c>
      <c r="R19" s="41">
        <v>23.24</v>
      </c>
      <c r="S19" s="41">
        <f t="shared" si="4"/>
        <v>-1.5868749999999991</v>
      </c>
      <c r="T19" s="41">
        <f>+N19+O19-M19</f>
        <v>2.7843749999999972</v>
      </c>
      <c r="U19" s="44">
        <f t="shared" si="5"/>
        <v>3.8317217491701548E-2</v>
      </c>
      <c r="V19" s="45">
        <f>+I78/G79*80*S19</f>
        <v>-1874.8109380863027</v>
      </c>
      <c r="W19" s="46"/>
    </row>
    <row r="20" spans="1:23" x14ac:dyDescent="0.25">
      <c r="A20" s="17" t="s">
        <v>34</v>
      </c>
      <c r="B20" s="6"/>
      <c r="C20" s="6"/>
      <c r="D20" s="40">
        <f>+E80/80</f>
        <v>2.6687500000000002</v>
      </c>
      <c r="E20" s="41">
        <f>+F80/80</f>
        <v>0</v>
      </c>
      <c r="F20" s="41">
        <f t="shared" si="0"/>
        <v>0.16249999999999964</v>
      </c>
      <c r="G20" s="41">
        <f>+G80/80</f>
        <v>2.8312499999999998</v>
      </c>
      <c r="H20" s="41">
        <v>3</v>
      </c>
      <c r="I20" s="41">
        <f t="shared" si="1"/>
        <v>-0.16875000000000018</v>
      </c>
      <c r="J20" s="41"/>
      <c r="K20" s="42">
        <f t="shared" si="2"/>
        <v>0</v>
      </c>
      <c r="L20" s="43"/>
      <c r="M20" s="44"/>
      <c r="N20" s="41">
        <f>+E81/80</f>
        <v>2.3765624999999999</v>
      </c>
      <c r="O20" s="41">
        <f>+F81/80</f>
        <v>0</v>
      </c>
      <c r="P20" s="41">
        <f t="shared" si="3"/>
        <v>0.45625000000000027</v>
      </c>
      <c r="Q20" s="41">
        <f>+G81/80</f>
        <v>2.8328125000000002</v>
      </c>
      <c r="R20" s="41">
        <v>3</v>
      </c>
      <c r="S20" s="41">
        <f t="shared" si="4"/>
        <v>-0.16718749999999982</v>
      </c>
      <c r="T20" s="41"/>
      <c r="U20" s="44">
        <f t="shared" si="5"/>
        <v>0</v>
      </c>
      <c r="V20" s="45">
        <f>+I80/G81*80*S20</f>
        <v>-191.05667402095952</v>
      </c>
      <c r="W20" s="46"/>
    </row>
    <row r="21" spans="1:23" x14ac:dyDescent="0.25">
      <c r="A21" s="17" t="s">
        <v>35</v>
      </c>
      <c r="B21" s="6"/>
      <c r="C21" s="6"/>
      <c r="D21" s="40">
        <f>+E82/80</f>
        <v>3.6187499999999999</v>
      </c>
      <c r="E21" s="41">
        <f>+F82/80</f>
        <v>6.2500000000000003E-3</v>
      </c>
      <c r="F21" s="41">
        <f t="shared" si="0"/>
        <v>0.32500000000000029</v>
      </c>
      <c r="G21" s="41">
        <f>+G82/80</f>
        <v>3.95</v>
      </c>
      <c r="H21" s="41">
        <v>3</v>
      </c>
      <c r="I21" s="41">
        <f t="shared" si="1"/>
        <v>0.95000000000000018</v>
      </c>
      <c r="J21" s="41"/>
      <c r="K21" s="42">
        <f t="shared" si="2"/>
        <v>1.5822784810126582E-3</v>
      </c>
      <c r="L21" s="43"/>
      <c r="M21" s="44"/>
      <c r="N21" s="41">
        <f>+E83/80</f>
        <v>3.3296874999999999</v>
      </c>
      <c r="O21" s="41">
        <f>+F83/80</f>
        <v>3.1250000000000002E-3</v>
      </c>
      <c r="P21" s="41">
        <f t="shared" si="3"/>
        <v>0.63749999999999996</v>
      </c>
      <c r="Q21" s="41">
        <f>+G83/80</f>
        <v>3.9703124999999999</v>
      </c>
      <c r="R21" s="41">
        <v>3</v>
      </c>
      <c r="S21" s="41">
        <f t="shared" si="4"/>
        <v>0.97031249999999991</v>
      </c>
      <c r="T21" s="41"/>
      <c r="U21" s="44">
        <f t="shared" si="5"/>
        <v>7.8709169618260534E-4</v>
      </c>
      <c r="V21" s="45">
        <f>+I82/G83*80*S21</f>
        <v>786.94703659976381</v>
      </c>
      <c r="W21" s="46"/>
    </row>
    <row r="22" spans="1:23" x14ac:dyDescent="0.25">
      <c r="A22" s="17" t="s">
        <v>36</v>
      </c>
      <c r="B22" s="6"/>
      <c r="C22" s="6"/>
      <c r="D22" s="40">
        <f>+E56/80</f>
        <v>10.378125000000001</v>
      </c>
      <c r="E22" s="41">
        <f>+F56/80</f>
        <v>0.15625</v>
      </c>
      <c r="F22" s="41">
        <f t="shared" si="0"/>
        <v>0.1875</v>
      </c>
      <c r="G22" s="41">
        <f>+G56/80</f>
        <v>10.721875000000001</v>
      </c>
      <c r="H22" s="41">
        <v>12.89</v>
      </c>
      <c r="I22" s="41">
        <f t="shared" si="1"/>
        <v>-2.1681249999999999</v>
      </c>
      <c r="J22" s="41"/>
      <c r="K22" s="42">
        <f t="shared" si="2"/>
        <v>1.4573010784027979E-2</v>
      </c>
      <c r="L22" s="43"/>
      <c r="M22" s="44"/>
      <c r="N22" s="41">
        <f>+E57/80</f>
        <v>8.2359375000000004</v>
      </c>
      <c r="O22" s="41">
        <f>+F57/80</f>
        <v>7.8125E-2</v>
      </c>
      <c r="P22" s="41">
        <f t="shared" si="3"/>
        <v>2.1374999999999993</v>
      </c>
      <c r="Q22" s="41">
        <f>+G57/80</f>
        <v>10.4515625</v>
      </c>
      <c r="R22" s="41">
        <v>12.89</v>
      </c>
      <c r="S22" s="41">
        <f t="shared" si="4"/>
        <v>-2.4384375000000009</v>
      </c>
      <c r="T22" s="41"/>
      <c r="U22" s="44">
        <f t="shared" si="5"/>
        <v>7.4749588877261177E-3</v>
      </c>
      <c r="V22" s="45">
        <f>+I56/G57*80*S22</f>
        <v>-8193.3903076693114</v>
      </c>
      <c r="W22" s="46"/>
    </row>
    <row r="23" spans="1:23" x14ac:dyDescent="0.25">
      <c r="A23" s="17" t="s">
        <v>37</v>
      </c>
      <c r="B23" s="6"/>
      <c r="C23" s="6"/>
      <c r="D23" s="40">
        <f>+E58/80</f>
        <v>15.13125</v>
      </c>
      <c r="E23" s="41">
        <f>+F58/80</f>
        <v>0.121875</v>
      </c>
      <c r="F23" s="41">
        <f t="shared" si="0"/>
        <v>-1.2749999999999992</v>
      </c>
      <c r="G23" s="41">
        <f>+G58/80</f>
        <v>13.978125</v>
      </c>
      <c r="H23" s="41">
        <v>10.15</v>
      </c>
      <c r="I23" s="41">
        <f t="shared" si="1"/>
        <v>3.828125</v>
      </c>
      <c r="J23" s="41"/>
      <c r="K23" s="42">
        <f t="shared" si="2"/>
        <v>8.7189805499664659E-3</v>
      </c>
      <c r="L23" s="43"/>
      <c r="M23" s="44"/>
      <c r="N23" s="41">
        <f>+E59/80</f>
        <v>12.010937500000001</v>
      </c>
      <c r="O23" s="41">
        <f>+F59/80</f>
        <v>6.0937499999999999E-2</v>
      </c>
      <c r="P23" s="41">
        <f t="shared" si="3"/>
        <v>1.5187499999999985</v>
      </c>
      <c r="Q23" s="41">
        <f>+G59/80</f>
        <v>13.590624999999999</v>
      </c>
      <c r="R23" s="41">
        <v>10.15</v>
      </c>
      <c r="S23" s="41">
        <f t="shared" si="4"/>
        <v>3.4406249999999989</v>
      </c>
      <c r="T23" s="41"/>
      <c r="U23" s="44">
        <f t="shared" si="5"/>
        <v>4.483789376868246E-3</v>
      </c>
      <c r="V23" s="45">
        <f>+I58/G59*80*S23</f>
        <v>9539.4346286502605</v>
      </c>
      <c r="W23" s="46"/>
    </row>
    <row r="24" spans="1:23" x14ac:dyDescent="0.25">
      <c r="A24" s="17" t="s">
        <v>38</v>
      </c>
      <c r="B24" s="43"/>
      <c r="C24" s="41"/>
      <c r="D24" s="40">
        <f>+E84/80</f>
        <v>1.3968750000000001</v>
      </c>
      <c r="E24" s="41">
        <f>+F84/80</f>
        <v>3.4375000000000003E-2</v>
      </c>
      <c r="F24" s="41">
        <f t="shared" si="0"/>
        <v>-1.8041124150158794E-16</v>
      </c>
      <c r="G24" s="41">
        <f>+G84/80</f>
        <v>1.4312499999999999</v>
      </c>
      <c r="H24" s="41">
        <v>1.44</v>
      </c>
      <c r="I24" s="41">
        <f t="shared" si="1"/>
        <v>-8.7500000000000355E-3</v>
      </c>
      <c r="J24" s="41"/>
      <c r="K24" s="42">
        <f t="shared" si="2"/>
        <v>2.4017467248908301E-2</v>
      </c>
      <c r="L24" s="43"/>
      <c r="M24" s="41"/>
      <c r="N24" s="41">
        <f>+E85/80</f>
        <v>1.2484375000000001</v>
      </c>
      <c r="O24" s="41">
        <f>+F85/80</f>
        <v>1.7187500000000001E-2</v>
      </c>
      <c r="P24" s="41">
        <f t="shared" si="3"/>
        <v>0.14374999999999996</v>
      </c>
      <c r="Q24" s="41">
        <f>+G85/80</f>
        <v>1.409375</v>
      </c>
      <c r="R24" s="41">
        <v>1.44</v>
      </c>
      <c r="S24" s="41">
        <f t="shared" si="4"/>
        <v>-3.0624999999999902E-2</v>
      </c>
      <c r="T24" s="41"/>
      <c r="U24" s="44">
        <f t="shared" si="5"/>
        <v>1.2195121951219513E-2</v>
      </c>
      <c r="V24" s="45">
        <f>+I84/G85*80*S24</f>
        <v>-63.79495787139669</v>
      </c>
      <c r="W24" s="46"/>
    </row>
    <row r="25" spans="1:23" x14ac:dyDescent="0.25">
      <c r="A25" s="17" t="s">
        <v>39</v>
      </c>
      <c r="B25" s="6"/>
      <c r="C25" s="6"/>
      <c r="D25" s="40">
        <f>+E86/80</f>
        <v>1</v>
      </c>
      <c r="E25" s="41">
        <f>+F86/80</f>
        <v>5.3124999999999999E-2</v>
      </c>
      <c r="F25" s="41">
        <f t="shared" si="0"/>
        <v>9.0205620750793969E-17</v>
      </c>
      <c r="G25" s="41">
        <f>+G86/80</f>
        <v>1.0531250000000001</v>
      </c>
      <c r="H25" s="41">
        <v>1</v>
      </c>
      <c r="I25" s="41">
        <f t="shared" si="1"/>
        <v>5.3125000000000089E-2</v>
      </c>
      <c r="J25" s="41"/>
      <c r="K25" s="42">
        <f t="shared" si="2"/>
        <v>5.0445103857566759E-2</v>
      </c>
      <c r="L25" s="43"/>
      <c r="M25" s="44"/>
      <c r="N25" s="41">
        <f>+E87/80</f>
        <v>0.72499999999999998</v>
      </c>
      <c r="O25" s="41">
        <f>+F87/80</f>
        <v>2.6562499999999999E-2</v>
      </c>
      <c r="P25" s="41">
        <f t="shared" si="3"/>
        <v>0.27500000000000008</v>
      </c>
      <c r="Q25" s="41">
        <f>+G87/80</f>
        <v>1.0265625</v>
      </c>
      <c r="R25" s="41">
        <v>1</v>
      </c>
      <c r="S25" s="41">
        <f t="shared" si="4"/>
        <v>2.6562500000000044E-2</v>
      </c>
      <c r="T25" s="41"/>
      <c r="U25" s="44">
        <f t="shared" si="5"/>
        <v>2.5875190258751901E-2</v>
      </c>
      <c r="V25" s="45">
        <f>+I86/G87*80*S25</f>
        <v>15.031156773211592</v>
      </c>
      <c r="W25" s="46"/>
    </row>
    <row r="26" spans="1:23" x14ac:dyDescent="0.25">
      <c r="A26" s="17" t="s">
        <v>40</v>
      </c>
      <c r="B26" s="6"/>
      <c r="C26" s="41"/>
      <c r="D26" s="40">
        <f>+E88/80</f>
        <v>5.6062500000000002</v>
      </c>
      <c r="E26" s="41">
        <f>+F88/80</f>
        <v>0</v>
      </c>
      <c r="F26" s="41">
        <f t="shared" si="0"/>
        <v>0.14999999999999947</v>
      </c>
      <c r="G26" s="41">
        <f>+G88/80</f>
        <v>5.7562499999999996</v>
      </c>
      <c r="H26" s="41">
        <v>5.83</v>
      </c>
      <c r="I26" s="41">
        <f t="shared" si="1"/>
        <v>-7.3750000000000426E-2</v>
      </c>
      <c r="J26" s="41"/>
      <c r="K26" s="42">
        <f t="shared" si="2"/>
        <v>0</v>
      </c>
      <c r="L26" s="43"/>
      <c r="M26" s="44"/>
      <c r="N26" s="41">
        <f>+E89/80</f>
        <v>5.1828124999999998</v>
      </c>
      <c r="O26" s="41">
        <f>+F89/80</f>
        <v>0.18906249999999999</v>
      </c>
      <c r="P26" s="41">
        <f t="shared" si="3"/>
        <v>0.58125000000000016</v>
      </c>
      <c r="Q26" s="41">
        <f>+G89/80</f>
        <v>5.953125</v>
      </c>
      <c r="R26" s="41">
        <v>5.83</v>
      </c>
      <c r="S26" s="41">
        <f t="shared" si="4"/>
        <v>0.12312499999999993</v>
      </c>
      <c r="T26" s="41"/>
      <c r="U26" s="44">
        <f t="shared" si="5"/>
        <v>3.1758530183727034E-2</v>
      </c>
      <c r="V26" s="45">
        <f>+I88/G89*80*S26</f>
        <v>130.1354078740157</v>
      </c>
      <c r="W26" s="46"/>
    </row>
    <row r="27" spans="1:23" x14ac:dyDescent="0.25">
      <c r="A27" s="17" t="s">
        <v>41</v>
      </c>
      <c r="B27" s="6"/>
      <c r="C27" s="6"/>
      <c r="D27" s="40">
        <f>+E90/80</f>
        <v>6.0593750000000002</v>
      </c>
      <c r="E27" s="41">
        <f>+F90/80</f>
        <v>0.3125</v>
      </c>
      <c r="F27" s="41">
        <f t="shared" si="0"/>
        <v>0.29999999999999982</v>
      </c>
      <c r="G27" s="41">
        <f>+G90/80</f>
        <v>6.671875</v>
      </c>
      <c r="H27" s="41">
        <v>5.89</v>
      </c>
      <c r="I27" s="41">
        <f t="shared" si="1"/>
        <v>0.78187500000000032</v>
      </c>
      <c r="J27" s="41"/>
      <c r="K27" s="42">
        <f t="shared" si="2"/>
        <v>4.6838407494145202E-2</v>
      </c>
      <c r="L27" s="43"/>
      <c r="M27" s="44"/>
      <c r="N27" s="41">
        <f>+E91/80</f>
        <v>5.8421874999999996</v>
      </c>
      <c r="O27" s="41">
        <f>+F91/80</f>
        <v>0.22187499999999999</v>
      </c>
      <c r="P27" s="41">
        <f t="shared" si="3"/>
        <v>0.86250000000000049</v>
      </c>
      <c r="Q27" s="41">
        <f>+G91/80</f>
        <v>6.9265625000000002</v>
      </c>
      <c r="R27" s="41">
        <v>5.89</v>
      </c>
      <c r="S27" s="41">
        <f t="shared" si="4"/>
        <v>1.0365625000000005</v>
      </c>
      <c r="T27" s="41"/>
      <c r="U27" s="44">
        <f t="shared" si="5"/>
        <v>3.2032483645386869E-2</v>
      </c>
      <c r="V27" s="45">
        <f>+I90/G91*80*S27</f>
        <v>879.34096503496551</v>
      </c>
      <c r="W27" s="46"/>
    </row>
    <row r="28" spans="1:23" x14ac:dyDescent="0.25">
      <c r="A28" s="17"/>
      <c r="B28" s="6"/>
      <c r="C28" s="6"/>
      <c r="D28" s="40"/>
      <c r="E28" s="6"/>
      <c r="F28" s="6"/>
      <c r="G28" s="6"/>
      <c r="H28" s="41"/>
      <c r="I28" s="6"/>
      <c r="J28" s="41"/>
      <c r="K28" s="48"/>
      <c r="L28" s="6"/>
      <c r="M28" s="6"/>
      <c r="N28" s="6"/>
      <c r="O28" s="6"/>
      <c r="P28" s="6"/>
      <c r="Q28" s="6"/>
      <c r="R28" s="6"/>
      <c r="S28" s="6"/>
      <c r="T28" s="41"/>
      <c r="U28" s="44"/>
      <c r="V28" s="49"/>
    </row>
    <row r="29" spans="1:23" ht="15.75" thickBot="1" x14ac:dyDescent="0.3">
      <c r="A29" s="26" t="s">
        <v>42</v>
      </c>
      <c r="B29" s="27"/>
      <c r="C29" s="27"/>
      <c r="D29" s="50">
        <f>SUM(D8:D27)</f>
        <v>127.53225</v>
      </c>
      <c r="E29" s="51">
        <f>SUM(E8:E27)</f>
        <v>3.0372916249999999</v>
      </c>
      <c r="F29" s="51">
        <f>SUM(F8:F27)</f>
        <v>3.6020833749999976</v>
      </c>
      <c r="G29" s="51">
        <f>SUM(G8:G27)</f>
        <v>134.17162500000001</v>
      </c>
      <c r="H29" s="51">
        <f>SUM(H8:H27)</f>
        <v>133.19</v>
      </c>
      <c r="I29" s="51">
        <f>+G29-H29</f>
        <v>0.98162500000000819</v>
      </c>
      <c r="J29" s="51">
        <f>SUM(J9:J28)</f>
        <v>3.1784874999999992</v>
      </c>
      <c r="K29" s="52">
        <f>+E29/G29</f>
        <v>2.2637361849049676E-2</v>
      </c>
      <c r="L29" s="53"/>
      <c r="M29" s="53"/>
      <c r="N29" s="51">
        <f t="shared" ref="N29:S29" si="6">SUM(N8:N27)</f>
        <v>114.75099999999998</v>
      </c>
      <c r="O29" s="51">
        <f t="shared" si="6"/>
        <v>2.7780208124999994</v>
      </c>
      <c r="P29" s="51">
        <f t="shared" si="6"/>
        <v>16.873750000000001</v>
      </c>
      <c r="Q29" s="51">
        <f t="shared" si="6"/>
        <v>134.40277081249999</v>
      </c>
      <c r="R29" s="51">
        <f t="shared" si="6"/>
        <v>133.19</v>
      </c>
      <c r="S29" s="51">
        <f t="shared" si="6"/>
        <v>1.2127708124999987</v>
      </c>
      <c r="T29" s="51">
        <f>SUM(T9:T28)</f>
        <v>2.4669205882352916</v>
      </c>
      <c r="U29" s="53">
        <f>+O29/Q29</f>
        <v>2.0669371588890133E-2</v>
      </c>
      <c r="V29" s="54">
        <f>SUM(V8:V27)</f>
        <v>1400.4468651867187</v>
      </c>
    </row>
    <row r="30" spans="1:23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6"/>
      <c r="N30" s="116"/>
      <c r="O30" s="116"/>
      <c r="P30" s="116"/>
      <c r="Q30" s="116"/>
      <c r="R30" s="116"/>
      <c r="S30" s="116"/>
    </row>
    <row r="31" spans="1:23" ht="15.75" thickBot="1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6"/>
      <c r="N31" s="116"/>
      <c r="O31" s="116"/>
      <c r="P31" s="116"/>
      <c r="Q31" s="116"/>
      <c r="R31" s="116"/>
      <c r="S31" s="116"/>
    </row>
    <row r="32" spans="1:23" ht="26.25" x14ac:dyDescent="0.25">
      <c r="A32" s="55"/>
      <c r="B32" s="56"/>
      <c r="C32" s="56"/>
      <c r="D32" s="57" t="s">
        <v>74</v>
      </c>
      <c r="E32" s="57" t="s">
        <v>76</v>
      </c>
      <c r="F32" s="58" t="s">
        <v>43</v>
      </c>
      <c r="G32" s="59" t="s">
        <v>44</v>
      </c>
      <c r="H32" s="6"/>
      <c r="I32" s="6"/>
      <c r="J32" s="116"/>
      <c r="K32" s="116"/>
      <c r="L32" s="116"/>
      <c r="M32" s="116"/>
      <c r="N32" s="116"/>
      <c r="O32" s="116"/>
      <c r="P32" s="116"/>
      <c r="Q32" s="116"/>
      <c r="R32" s="116"/>
      <c r="S32" s="116"/>
    </row>
    <row r="33" spans="1:19" x14ac:dyDescent="0.25">
      <c r="A33" s="17" t="s">
        <v>45</v>
      </c>
      <c r="B33" s="6"/>
      <c r="C33" s="6"/>
      <c r="D33" s="60">
        <v>39282</v>
      </c>
      <c r="E33" s="60">
        <v>461838</v>
      </c>
      <c r="F33" s="61">
        <f>+E33-D33</f>
        <v>422556</v>
      </c>
      <c r="G33" s="62">
        <v>11066662</v>
      </c>
      <c r="H33" s="6"/>
      <c r="I33" s="6"/>
      <c r="J33" s="116"/>
      <c r="K33" s="116"/>
      <c r="L33" s="116"/>
      <c r="M33" s="6"/>
      <c r="N33" s="116"/>
      <c r="O33" s="116"/>
      <c r="P33" s="116"/>
      <c r="Q33" s="116"/>
      <c r="R33" s="116"/>
      <c r="S33" s="116"/>
    </row>
    <row r="34" spans="1:19" x14ac:dyDescent="0.25">
      <c r="A34" s="17" t="s">
        <v>46</v>
      </c>
      <c r="B34" s="6"/>
      <c r="C34" s="6"/>
      <c r="D34" s="60">
        <v>140028</v>
      </c>
      <c r="E34" s="60">
        <v>1263934.1200000001</v>
      </c>
      <c r="F34" s="61">
        <f>+E34-D34</f>
        <v>1123906.1200000001</v>
      </c>
      <c r="G34" s="62">
        <v>31123520</v>
      </c>
      <c r="H34" s="6"/>
      <c r="I34" s="6"/>
      <c r="J34" s="116"/>
      <c r="K34" s="116"/>
      <c r="L34" s="116"/>
      <c r="M34" s="6"/>
      <c r="N34" s="116"/>
      <c r="O34" s="116"/>
      <c r="P34" s="116"/>
      <c r="Q34" s="116"/>
      <c r="R34" s="116"/>
      <c r="S34" s="116"/>
    </row>
    <row r="35" spans="1:19" x14ac:dyDescent="0.25">
      <c r="A35" s="17" t="s">
        <v>47</v>
      </c>
      <c r="B35" s="6"/>
      <c r="C35" s="6"/>
      <c r="D35" s="63">
        <f>+D34/D33</f>
        <v>3.564686115778219</v>
      </c>
      <c r="E35" s="63">
        <f>+E34/E33</f>
        <v>2.7367477773591609</v>
      </c>
      <c r="F35" s="64">
        <f>+F34/F33</f>
        <v>2.6597802894764246</v>
      </c>
      <c r="G35" s="65">
        <f>+G34/G33</f>
        <v>2.8123674509983227</v>
      </c>
      <c r="H35" s="6"/>
      <c r="I35" s="6"/>
      <c r="J35" s="116"/>
      <c r="K35" s="116"/>
      <c r="L35" s="116"/>
      <c r="M35" s="6"/>
      <c r="N35" s="116"/>
      <c r="O35" s="116"/>
      <c r="P35" s="116"/>
      <c r="Q35" s="116"/>
      <c r="R35" s="116"/>
      <c r="S35" s="116"/>
    </row>
    <row r="36" spans="1:19" x14ac:dyDescent="0.25">
      <c r="A36" s="17" t="s">
        <v>48</v>
      </c>
      <c r="B36" s="6"/>
      <c r="C36" s="6"/>
      <c r="D36" s="66">
        <f>(D41*D37)</f>
        <v>25.799999999999997</v>
      </c>
      <c r="E36" s="66">
        <f t="shared" ref="E36" si="7">(E41*E37)</f>
        <v>278.79999999999995</v>
      </c>
      <c r="F36" s="67">
        <f>(F41*F37)</f>
        <v>253.00000000000003</v>
      </c>
      <c r="G36" s="68">
        <f>4722+2011</f>
        <v>6733</v>
      </c>
      <c r="H36" s="6"/>
      <c r="I36" s="6"/>
      <c r="J36" s="116"/>
      <c r="K36" s="116"/>
      <c r="L36" s="116"/>
      <c r="M36" s="6"/>
      <c r="N36" s="116"/>
      <c r="O36" s="116"/>
      <c r="P36" s="116"/>
      <c r="Q36" s="116"/>
      <c r="R36" s="116"/>
      <c r="S36" s="116"/>
    </row>
    <row r="37" spans="1:19" x14ac:dyDescent="0.25">
      <c r="A37" s="17" t="s">
        <v>49</v>
      </c>
      <c r="B37" s="6"/>
      <c r="C37" s="6"/>
      <c r="D37" s="117">
        <v>3</v>
      </c>
      <c r="E37" s="117">
        <v>17</v>
      </c>
      <c r="F37" s="67">
        <v>14</v>
      </c>
      <c r="G37" s="70">
        <v>365</v>
      </c>
      <c r="H37" s="6"/>
      <c r="I37" s="6"/>
      <c r="J37" s="116"/>
      <c r="K37" s="116"/>
      <c r="L37" s="116"/>
      <c r="M37" s="6"/>
      <c r="N37" s="116"/>
      <c r="O37" s="116"/>
      <c r="P37" s="116"/>
      <c r="Q37" s="116"/>
      <c r="R37" s="116"/>
      <c r="S37" s="116"/>
    </row>
    <row r="38" spans="1:19" x14ac:dyDescent="0.25">
      <c r="A38" s="17" t="s">
        <v>50</v>
      </c>
      <c r="B38" s="6"/>
      <c r="C38" s="6"/>
      <c r="D38" s="71">
        <f>+(D36/D37)*D35</f>
        <v>30.656300595692681</v>
      </c>
      <c r="E38" s="71">
        <f>+(E36/E37)*E35</f>
        <v>44.882663548690232</v>
      </c>
      <c r="F38" s="64">
        <f>+(F36/F37)*F35</f>
        <v>48.066029516966822</v>
      </c>
      <c r="G38" s="65">
        <f>+G36/365*G35</f>
        <v>51.878548075538923</v>
      </c>
      <c r="H38" s="6"/>
      <c r="I38" s="6"/>
      <c r="J38" s="116"/>
      <c r="K38" s="116"/>
      <c r="L38" s="116"/>
      <c r="M38" s="6"/>
      <c r="N38" s="116"/>
      <c r="O38" s="116"/>
      <c r="P38" s="116"/>
      <c r="Q38" s="116"/>
      <c r="R38" s="116"/>
      <c r="S38" s="116"/>
    </row>
    <row r="39" spans="1:19" x14ac:dyDescent="0.25">
      <c r="A39" s="17" t="s">
        <v>51</v>
      </c>
      <c r="B39" s="6"/>
      <c r="C39" s="6"/>
      <c r="D39" s="72">
        <v>4.3</v>
      </c>
      <c r="E39" s="72">
        <v>10</v>
      </c>
      <c r="F39" s="73">
        <f>+((E39*E37)-(D39*D37))/14</f>
        <v>11.221428571428572</v>
      </c>
      <c r="G39" s="74">
        <v>12.9</v>
      </c>
      <c r="H39" s="6"/>
      <c r="I39" s="6"/>
      <c r="J39" s="116"/>
      <c r="K39" s="116"/>
      <c r="L39" s="116"/>
      <c r="M39" s="6"/>
      <c r="N39" s="116"/>
      <c r="O39" s="116"/>
      <c r="P39" s="116"/>
      <c r="Q39" s="116"/>
      <c r="R39" s="116"/>
      <c r="S39" s="116"/>
    </row>
    <row r="40" spans="1:19" x14ac:dyDescent="0.25">
      <c r="A40" s="17" t="s">
        <v>52</v>
      </c>
      <c r="B40" s="6"/>
      <c r="C40" s="6"/>
      <c r="D40" s="72">
        <v>4.3</v>
      </c>
      <c r="E40" s="72">
        <v>6.4</v>
      </c>
      <c r="F40" s="73">
        <f>+((E40*E37)-(D40*D37))/14</f>
        <v>6.8500000000000005</v>
      </c>
      <c r="G40" s="74">
        <v>5.5</v>
      </c>
      <c r="H40" s="6"/>
      <c r="I40" s="6"/>
      <c r="J40" s="116"/>
      <c r="K40" s="116"/>
      <c r="L40" s="116"/>
      <c r="M40" s="6"/>
      <c r="N40" s="116"/>
      <c r="O40" s="116"/>
      <c r="P40" s="116"/>
      <c r="Q40" s="116"/>
      <c r="R40" s="116"/>
      <c r="S40" s="116"/>
    </row>
    <row r="41" spans="1:19" x14ac:dyDescent="0.25">
      <c r="A41" s="17" t="s">
        <v>53</v>
      </c>
      <c r="B41" s="6"/>
      <c r="C41" s="6"/>
      <c r="D41" s="47">
        <f>SUM(D39:D40)</f>
        <v>8.6</v>
      </c>
      <c r="E41" s="47">
        <f>SUM(E39:E40)</f>
        <v>16.399999999999999</v>
      </c>
      <c r="F41" s="75">
        <f>SUM(F39:F40)</f>
        <v>18.071428571428573</v>
      </c>
      <c r="G41" s="76">
        <f>+G39+G40</f>
        <v>18.399999999999999</v>
      </c>
      <c r="H41" s="6"/>
      <c r="I41" s="6"/>
      <c r="J41" s="116"/>
      <c r="K41" s="116"/>
      <c r="L41" s="116"/>
      <c r="M41" s="6"/>
      <c r="N41" s="116"/>
      <c r="O41" s="116"/>
      <c r="P41" s="116"/>
      <c r="Q41" s="116"/>
      <c r="R41" s="116"/>
      <c r="S41" s="116"/>
    </row>
    <row r="42" spans="1:19" x14ac:dyDescent="0.25">
      <c r="A42" s="17" t="s">
        <v>54</v>
      </c>
      <c r="B42" s="6"/>
      <c r="C42" s="6"/>
      <c r="D42" s="72"/>
      <c r="E42" s="77"/>
      <c r="F42" s="78">
        <f>D42-E42</f>
        <v>0</v>
      </c>
      <c r="G42" s="76">
        <v>0</v>
      </c>
      <c r="H42" s="6"/>
      <c r="I42" s="6"/>
      <c r="J42" s="116"/>
      <c r="K42" s="116"/>
      <c r="L42" s="116"/>
      <c r="M42" s="6"/>
      <c r="N42" s="116"/>
      <c r="O42" s="116"/>
      <c r="P42" s="116"/>
      <c r="Q42" s="116"/>
      <c r="R42" s="116"/>
      <c r="S42" s="116"/>
    </row>
    <row r="43" spans="1:19" x14ac:dyDescent="0.25">
      <c r="A43" s="17" t="s">
        <v>55</v>
      </c>
      <c r="B43" s="6"/>
      <c r="C43" s="6"/>
      <c r="D43" s="77">
        <v>62</v>
      </c>
      <c r="E43" s="77">
        <v>248</v>
      </c>
      <c r="F43" s="79">
        <f>+E43-D43</f>
        <v>186</v>
      </c>
      <c r="G43" s="70">
        <v>5794</v>
      </c>
      <c r="H43" s="6"/>
      <c r="I43" s="6"/>
      <c r="J43" s="116"/>
      <c r="K43" s="116"/>
      <c r="L43" s="116"/>
      <c r="M43" s="6"/>
      <c r="N43" s="116"/>
      <c r="O43" s="116"/>
      <c r="P43" s="116"/>
      <c r="Q43" s="116"/>
      <c r="R43" s="116"/>
      <c r="S43" s="116"/>
    </row>
    <row r="44" spans="1:19" ht="15.75" thickBot="1" x14ac:dyDescent="0.3">
      <c r="A44" s="26" t="s">
        <v>56</v>
      </c>
      <c r="B44" s="27"/>
      <c r="C44" s="27"/>
      <c r="D44" s="80">
        <v>6933</v>
      </c>
      <c r="E44" s="80">
        <v>116070</v>
      </c>
      <c r="F44" s="61">
        <f>+E44-D44</f>
        <v>109137</v>
      </c>
      <c r="G44" s="81">
        <v>2749073</v>
      </c>
      <c r="H44" s="6"/>
      <c r="I44" s="6"/>
      <c r="J44" s="116"/>
      <c r="K44" s="116"/>
      <c r="L44" s="116"/>
      <c r="M44" s="6"/>
      <c r="N44" s="116"/>
      <c r="O44" s="116"/>
      <c r="P44" s="116"/>
      <c r="Q44" s="116"/>
      <c r="R44" s="116"/>
      <c r="S44" s="116"/>
    </row>
    <row r="45" spans="1:19" x14ac:dyDescent="0.25">
      <c r="A45" s="6" t="s">
        <v>57</v>
      </c>
      <c r="B45" s="6"/>
      <c r="C45" s="6"/>
      <c r="D45" s="117">
        <v>2</v>
      </c>
      <c r="E45" s="41"/>
      <c r="F45" s="41"/>
      <c r="G45" s="116"/>
      <c r="H45" s="116"/>
      <c r="I45" s="116"/>
      <c r="J45" s="116"/>
      <c r="K45" s="116"/>
      <c r="L45" s="116"/>
      <c r="M45" s="6"/>
      <c r="N45" s="116"/>
      <c r="O45" s="116"/>
      <c r="P45" s="116"/>
      <c r="Q45" s="116"/>
      <c r="R45" s="116"/>
      <c r="S45" s="116"/>
    </row>
    <row r="46" spans="1:19" ht="15.75" thickBot="1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6"/>
      <c r="N46" s="116"/>
      <c r="O46" s="116"/>
      <c r="P46" s="116"/>
      <c r="Q46" s="116"/>
      <c r="R46" s="116"/>
      <c r="S46" s="116"/>
    </row>
    <row r="47" spans="1:19" x14ac:dyDescent="0.25">
      <c r="A47" s="82" t="s">
        <v>77</v>
      </c>
      <c r="B47" s="83"/>
      <c r="C47" s="83"/>
      <c r="D47" s="4"/>
      <c r="E47" s="4"/>
      <c r="F47" s="4"/>
      <c r="G47" s="4"/>
      <c r="H47" s="4"/>
      <c r="I47" s="5"/>
      <c r="J47" s="7"/>
      <c r="K47" s="4"/>
      <c r="L47" s="4"/>
      <c r="M47" s="4"/>
      <c r="N47" s="5"/>
      <c r="O47" s="116"/>
      <c r="P47" s="116"/>
      <c r="Q47" s="116"/>
      <c r="R47" s="116"/>
      <c r="S47" s="116"/>
    </row>
    <row r="48" spans="1:19" x14ac:dyDescent="0.25">
      <c r="A48" s="17"/>
      <c r="B48" s="6"/>
      <c r="C48" s="6"/>
      <c r="D48" s="6"/>
      <c r="E48" s="6"/>
      <c r="F48" s="6"/>
      <c r="G48" s="84" t="s">
        <v>58</v>
      </c>
      <c r="H48" s="6"/>
      <c r="I48" s="85"/>
      <c r="J48" s="17"/>
      <c r="K48" s="84" t="s">
        <v>59</v>
      </c>
      <c r="L48" s="6"/>
      <c r="M48" s="6"/>
      <c r="N48" s="85"/>
      <c r="O48" s="116"/>
      <c r="P48" s="116"/>
      <c r="Q48" s="116"/>
      <c r="R48" s="116"/>
      <c r="S48" s="116"/>
    </row>
    <row r="49" spans="1:19" ht="39" x14ac:dyDescent="0.25">
      <c r="A49" s="86" t="s">
        <v>10</v>
      </c>
      <c r="B49" s="87"/>
      <c r="C49" s="87"/>
      <c r="D49" s="6"/>
      <c r="E49" s="88" t="s">
        <v>60</v>
      </c>
      <c r="F49" s="89" t="s">
        <v>61</v>
      </c>
      <c r="G49" s="89" t="s">
        <v>62</v>
      </c>
      <c r="H49" s="89"/>
      <c r="I49" s="90" t="s">
        <v>63</v>
      </c>
      <c r="J49" s="91" t="s">
        <v>64</v>
      </c>
      <c r="K49" s="92" t="s">
        <v>65</v>
      </c>
      <c r="L49" s="92"/>
      <c r="M49" s="92"/>
      <c r="N49" s="93" t="s">
        <v>66</v>
      </c>
      <c r="O49" s="116"/>
      <c r="P49" s="116"/>
      <c r="Q49" s="116"/>
      <c r="R49" s="116"/>
      <c r="S49" s="116"/>
    </row>
    <row r="50" spans="1:19" x14ac:dyDescent="0.25">
      <c r="A50" s="118" t="s">
        <v>71</v>
      </c>
      <c r="B50" s="119"/>
      <c r="C50" s="119"/>
      <c r="D50" s="119" t="s">
        <v>3</v>
      </c>
      <c r="E50" s="120">
        <v>155.75</v>
      </c>
      <c r="F50" s="120">
        <v>9.5</v>
      </c>
      <c r="G50" s="120">
        <v>171.25</v>
      </c>
      <c r="H50" s="120"/>
      <c r="I50" s="121">
        <v>1808.72</v>
      </c>
      <c r="J50" s="98">
        <v>244.75</v>
      </c>
      <c r="K50" s="117">
        <v>9.5</v>
      </c>
      <c r="L50" s="117"/>
      <c r="M50" s="117"/>
      <c r="N50" s="99">
        <v>322.25</v>
      </c>
      <c r="O50" s="116"/>
      <c r="P50" s="116"/>
      <c r="Q50" s="116"/>
      <c r="R50" s="116"/>
      <c r="S50" s="116"/>
    </row>
    <row r="51" spans="1:19" x14ac:dyDescent="0.25">
      <c r="A51" s="122"/>
      <c r="B51" s="123"/>
      <c r="C51" s="123"/>
      <c r="D51" s="123" t="s">
        <v>4</v>
      </c>
      <c r="E51" s="124">
        <f>J50/D45</f>
        <v>122.375</v>
      </c>
      <c r="F51" s="124">
        <f>K50/D45</f>
        <v>4.75</v>
      </c>
      <c r="G51" s="124">
        <f>N50/D45</f>
        <v>161.125</v>
      </c>
      <c r="H51" s="124"/>
      <c r="I51" s="124"/>
      <c r="J51" s="103"/>
      <c r="K51" s="104"/>
      <c r="L51" s="104"/>
      <c r="M51" s="104"/>
      <c r="N51" s="105"/>
      <c r="O51" s="116"/>
      <c r="P51" s="116"/>
      <c r="Q51" s="116"/>
      <c r="R51" s="116"/>
      <c r="S51" s="116"/>
    </row>
    <row r="52" spans="1:19" x14ac:dyDescent="0.25">
      <c r="A52" s="118" t="s">
        <v>70</v>
      </c>
      <c r="B52" s="119"/>
      <c r="C52" s="119"/>
      <c r="D52" s="119" t="s">
        <v>3</v>
      </c>
      <c r="E52" s="120">
        <v>160</v>
      </c>
      <c r="F52" s="120">
        <v>0</v>
      </c>
      <c r="G52" s="120">
        <v>160</v>
      </c>
      <c r="H52" s="120"/>
      <c r="I52" s="121">
        <v>4239.41</v>
      </c>
      <c r="J52" s="126">
        <v>320</v>
      </c>
      <c r="K52" s="125">
        <v>0</v>
      </c>
      <c r="L52" s="117"/>
      <c r="M52" s="117"/>
      <c r="N52" s="129">
        <v>320</v>
      </c>
      <c r="O52" s="116"/>
      <c r="P52" s="116"/>
      <c r="Q52" s="116"/>
      <c r="R52" s="116"/>
      <c r="S52" s="116"/>
    </row>
    <row r="53" spans="1:19" x14ac:dyDescent="0.25">
      <c r="A53" s="122"/>
      <c r="B53" s="123"/>
      <c r="C53" s="123"/>
      <c r="D53" s="123" t="s">
        <v>4</v>
      </c>
      <c r="E53" s="124">
        <f>J52/D45</f>
        <v>160</v>
      </c>
      <c r="F53" s="124">
        <f>K52/D45</f>
        <v>0</v>
      </c>
      <c r="G53" s="124">
        <f>K52/D45</f>
        <v>0</v>
      </c>
      <c r="H53" s="124"/>
      <c r="I53" s="124"/>
      <c r="J53" s="127"/>
      <c r="K53" s="128"/>
      <c r="L53" s="131"/>
      <c r="M53" s="131"/>
      <c r="N53" s="130"/>
      <c r="O53" s="116"/>
      <c r="P53" s="116"/>
      <c r="Q53" s="116"/>
      <c r="R53" s="116"/>
      <c r="S53" s="116"/>
    </row>
    <row r="54" spans="1:19" x14ac:dyDescent="0.25">
      <c r="A54" s="118" t="s">
        <v>23</v>
      </c>
      <c r="B54" s="119"/>
      <c r="C54" s="119"/>
      <c r="D54" s="119" t="s">
        <v>3</v>
      </c>
      <c r="E54" s="120">
        <v>618.25</v>
      </c>
      <c r="F54" s="120">
        <v>9.5</v>
      </c>
      <c r="G54" s="120">
        <v>658.91666999999995</v>
      </c>
      <c r="H54" s="120"/>
      <c r="I54" s="121">
        <v>5460.14</v>
      </c>
      <c r="J54" s="98">
        <v>1163</v>
      </c>
      <c r="K54" s="117">
        <v>9.5</v>
      </c>
      <c r="L54" s="117"/>
      <c r="M54" s="117"/>
      <c r="N54" s="99">
        <v>1394.75</v>
      </c>
      <c r="O54" s="116"/>
      <c r="P54" s="116"/>
      <c r="Q54" s="116"/>
      <c r="R54" s="116"/>
      <c r="S54" s="116"/>
    </row>
    <row r="55" spans="1:19" x14ac:dyDescent="0.25">
      <c r="A55" s="122"/>
      <c r="B55" s="123"/>
      <c r="C55" s="123"/>
      <c r="D55" s="123" t="s">
        <v>4</v>
      </c>
      <c r="E55" s="124">
        <f>J54/D45</f>
        <v>581.5</v>
      </c>
      <c r="F55" s="124">
        <f>K54/D45</f>
        <v>4.75</v>
      </c>
      <c r="G55" s="124">
        <f>N54/D45</f>
        <v>697.375</v>
      </c>
      <c r="H55" s="124"/>
      <c r="I55" s="124"/>
      <c r="J55" s="103"/>
      <c r="K55" s="104"/>
      <c r="L55" s="104"/>
      <c r="M55" s="104"/>
      <c r="N55" s="105"/>
      <c r="O55" s="116"/>
      <c r="P55" s="116"/>
      <c r="Q55" s="116"/>
      <c r="R55" s="116"/>
      <c r="S55" s="116"/>
    </row>
    <row r="56" spans="1:19" x14ac:dyDescent="0.25">
      <c r="A56" s="118" t="s">
        <v>72</v>
      </c>
      <c r="B56" s="119"/>
      <c r="C56" s="119"/>
      <c r="D56" s="119" t="s">
        <v>3</v>
      </c>
      <c r="E56" s="120">
        <v>830.25</v>
      </c>
      <c r="F56" s="120">
        <v>12.5</v>
      </c>
      <c r="G56" s="120">
        <v>857.75</v>
      </c>
      <c r="H56" s="120"/>
      <c r="I56" s="121">
        <v>35118.28</v>
      </c>
      <c r="J56" s="98">
        <v>1317.75</v>
      </c>
      <c r="K56" s="117">
        <v>12.5</v>
      </c>
      <c r="L56" s="117"/>
      <c r="M56" s="117"/>
      <c r="N56" s="99">
        <v>1672.25</v>
      </c>
      <c r="O56" s="116"/>
      <c r="P56" s="116"/>
      <c r="Q56" s="116"/>
      <c r="R56" s="116"/>
      <c r="S56" s="116"/>
    </row>
    <row r="57" spans="1:19" x14ac:dyDescent="0.25">
      <c r="A57" s="122"/>
      <c r="B57" s="123"/>
      <c r="C57" s="123"/>
      <c r="D57" s="123" t="s">
        <v>4</v>
      </c>
      <c r="E57" s="124">
        <f>J56/D45</f>
        <v>658.875</v>
      </c>
      <c r="F57" s="124">
        <f>K56/D45</f>
        <v>6.25</v>
      </c>
      <c r="G57" s="124">
        <f>N56/D45</f>
        <v>836.125</v>
      </c>
      <c r="H57" s="124"/>
      <c r="I57" s="124"/>
      <c r="J57" s="103"/>
      <c r="K57" s="104"/>
      <c r="L57" s="104"/>
      <c r="M57" s="104"/>
      <c r="N57" s="105"/>
      <c r="O57" s="116"/>
      <c r="P57" s="116"/>
      <c r="Q57" s="116"/>
      <c r="R57" s="116"/>
      <c r="S57" s="116"/>
    </row>
    <row r="58" spans="1:19" x14ac:dyDescent="0.25">
      <c r="A58" s="118" t="s">
        <v>73</v>
      </c>
      <c r="B58" s="119"/>
      <c r="C58" s="119"/>
      <c r="D58" s="119" t="s">
        <v>3</v>
      </c>
      <c r="E58" s="120">
        <v>1210.5</v>
      </c>
      <c r="F58" s="120">
        <v>9.75</v>
      </c>
      <c r="G58" s="120">
        <v>1118.25</v>
      </c>
      <c r="H58" s="120"/>
      <c r="I58" s="121">
        <v>37681.199999999997</v>
      </c>
      <c r="J58" s="98">
        <v>1921.75</v>
      </c>
      <c r="K58" s="117">
        <v>9.75</v>
      </c>
      <c r="L58" s="117"/>
      <c r="M58" s="117"/>
      <c r="N58" s="99">
        <v>2174.5</v>
      </c>
      <c r="O58" s="116"/>
      <c r="P58" s="116"/>
      <c r="Q58" s="116"/>
      <c r="R58" s="116"/>
      <c r="S58" s="116"/>
    </row>
    <row r="59" spans="1:19" x14ac:dyDescent="0.25">
      <c r="A59" s="122"/>
      <c r="B59" s="123"/>
      <c r="C59" s="123"/>
      <c r="D59" s="123" t="s">
        <v>4</v>
      </c>
      <c r="E59" s="124">
        <f>J58/D45</f>
        <v>960.875</v>
      </c>
      <c r="F59" s="124">
        <f>K58/D45</f>
        <v>4.875</v>
      </c>
      <c r="G59" s="124">
        <f>N58/D45</f>
        <v>1087.25</v>
      </c>
      <c r="H59" s="124"/>
      <c r="I59" s="124"/>
      <c r="J59" s="103"/>
      <c r="K59" s="104"/>
      <c r="L59" s="104"/>
      <c r="M59" s="104"/>
      <c r="N59" s="105"/>
      <c r="O59" s="116"/>
      <c r="P59" s="116"/>
      <c r="Q59" s="116"/>
      <c r="R59" s="116"/>
      <c r="S59" s="116"/>
    </row>
    <row r="60" spans="1:19" x14ac:dyDescent="0.25">
      <c r="A60" s="118" t="s">
        <v>24</v>
      </c>
      <c r="B60" s="119"/>
      <c r="C60" s="119"/>
      <c r="D60" s="119" t="s">
        <v>3</v>
      </c>
      <c r="E60" s="120">
        <v>725.25</v>
      </c>
      <c r="F60" s="120">
        <v>11.75</v>
      </c>
      <c r="G60" s="120">
        <v>801</v>
      </c>
      <c r="H60" s="120"/>
      <c r="I60" s="121">
        <v>4963.57</v>
      </c>
      <c r="J60" s="98">
        <v>1361.25</v>
      </c>
      <c r="K60" s="117">
        <v>24.75</v>
      </c>
      <c r="L60" s="117"/>
      <c r="M60" s="117"/>
      <c r="N60" s="99">
        <v>1633</v>
      </c>
      <c r="O60" s="116"/>
      <c r="P60" s="116"/>
      <c r="Q60" s="116"/>
      <c r="R60" s="116"/>
      <c r="S60" s="116"/>
    </row>
    <row r="61" spans="1:19" x14ac:dyDescent="0.25">
      <c r="A61" s="122"/>
      <c r="B61" s="123"/>
      <c r="C61" s="123"/>
      <c r="D61" s="123" t="s">
        <v>4</v>
      </c>
      <c r="E61" s="124">
        <f>J60/D45</f>
        <v>680.625</v>
      </c>
      <c r="F61" s="124">
        <f>K60/D45</f>
        <v>12.375</v>
      </c>
      <c r="G61" s="124">
        <f>N60/D45</f>
        <v>816.5</v>
      </c>
      <c r="H61" s="124"/>
      <c r="I61" s="124"/>
      <c r="J61" s="103"/>
      <c r="K61" s="104"/>
      <c r="L61" s="104"/>
      <c r="M61" s="104"/>
      <c r="N61" s="105"/>
      <c r="O61" s="116"/>
      <c r="P61" s="116"/>
      <c r="Q61" s="116"/>
      <c r="R61" s="116"/>
      <c r="S61" s="116"/>
    </row>
    <row r="62" spans="1:19" x14ac:dyDescent="0.25">
      <c r="A62" s="118" t="s">
        <v>25</v>
      </c>
      <c r="B62" s="119"/>
      <c r="C62" s="119"/>
      <c r="D62" s="119" t="s">
        <v>3</v>
      </c>
      <c r="E62" s="120">
        <v>699.58</v>
      </c>
      <c r="F62" s="120">
        <v>13.5</v>
      </c>
      <c r="G62" s="120">
        <v>733.08</v>
      </c>
      <c r="H62" s="120"/>
      <c r="I62" s="121">
        <v>16383.5</v>
      </c>
      <c r="J62" s="98">
        <v>1391.41</v>
      </c>
      <c r="K62" s="117">
        <v>43</v>
      </c>
      <c r="L62" s="117"/>
      <c r="M62" s="117"/>
      <c r="N62" s="99">
        <v>1586.99333</v>
      </c>
      <c r="O62" s="116"/>
      <c r="P62" s="116"/>
      <c r="Q62" s="116"/>
      <c r="R62" s="116"/>
      <c r="S62" s="116"/>
    </row>
    <row r="63" spans="1:19" x14ac:dyDescent="0.25">
      <c r="A63" s="122"/>
      <c r="B63" s="123"/>
      <c r="C63" s="123"/>
      <c r="D63" s="123" t="s">
        <v>4</v>
      </c>
      <c r="E63" s="124">
        <f>J62/D45</f>
        <v>695.70500000000004</v>
      </c>
      <c r="F63" s="124">
        <f>K62/D45</f>
        <v>21.5</v>
      </c>
      <c r="G63" s="124">
        <f>N62/D45</f>
        <v>793.49666500000001</v>
      </c>
      <c r="H63" s="124"/>
      <c r="I63" s="124"/>
      <c r="J63" s="103"/>
      <c r="K63" s="104"/>
      <c r="L63" s="104"/>
      <c r="M63" s="104"/>
      <c r="N63" s="105"/>
      <c r="O63" s="116"/>
      <c r="P63" s="116"/>
      <c r="Q63" s="116"/>
      <c r="R63" s="116"/>
      <c r="S63" s="116"/>
    </row>
    <row r="64" spans="1:19" x14ac:dyDescent="0.25">
      <c r="A64" s="118" t="s">
        <v>67</v>
      </c>
      <c r="B64" s="119"/>
      <c r="C64" s="119"/>
      <c r="D64" s="119" t="s">
        <v>3</v>
      </c>
      <c r="E64" s="120">
        <v>1230.25</v>
      </c>
      <c r="F64" s="120">
        <v>34</v>
      </c>
      <c r="G64" s="120">
        <v>1308.25</v>
      </c>
      <c r="H64" s="120"/>
      <c r="I64" s="121">
        <v>16608.37</v>
      </c>
      <c r="J64" s="98">
        <v>2308.25</v>
      </c>
      <c r="K64" s="117">
        <v>93</v>
      </c>
      <c r="L64" s="117"/>
      <c r="M64" s="117"/>
      <c r="N64" s="99">
        <v>2601.25</v>
      </c>
      <c r="O64" s="116"/>
      <c r="P64" s="116"/>
      <c r="Q64" s="116"/>
      <c r="R64" s="116"/>
      <c r="S64" s="116"/>
    </row>
    <row r="65" spans="1:19" x14ac:dyDescent="0.25">
      <c r="A65" s="122"/>
      <c r="B65" s="123"/>
      <c r="C65" s="123"/>
      <c r="D65" s="123" t="s">
        <v>4</v>
      </c>
      <c r="E65" s="124">
        <f>J64/D45</f>
        <v>1154.125</v>
      </c>
      <c r="F65" s="124">
        <f>K64/D45</f>
        <v>46.5</v>
      </c>
      <c r="G65" s="124">
        <f>N64/D45</f>
        <v>1300.625</v>
      </c>
      <c r="H65" s="124"/>
      <c r="I65" s="124"/>
      <c r="J65" s="106"/>
      <c r="K65" s="107"/>
      <c r="L65" s="107"/>
      <c r="M65" s="107"/>
      <c r="N65" s="108"/>
      <c r="O65" s="116"/>
      <c r="P65" s="116"/>
      <c r="Q65" s="116"/>
      <c r="R65" s="116"/>
      <c r="S65" s="116"/>
    </row>
    <row r="66" spans="1:19" x14ac:dyDescent="0.25">
      <c r="A66" s="118" t="s">
        <v>27</v>
      </c>
      <c r="B66" s="119"/>
      <c r="C66" s="119"/>
      <c r="D66" s="119" t="s">
        <v>3</v>
      </c>
      <c r="E66" s="120">
        <v>394.25</v>
      </c>
      <c r="F66" s="120">
        <v>22.25</v>
      </c>
      <c r="G66" s="120">
        <v>420.5</v>
      </c>
      <c r="H66" s="120"/>
      <c r="I66" s="121">
        <v>2360.83</v>
      </c>
      <c r="J66" s="98">
        <v>780.5</v>
      </c>
      <c r="K66" s="117">
        <v>25.25</v>
      </c>
      <c r="L66" s="117"/>
      <c r="M66" s="117"/>
      <c r="N66" s="99">
        <v>846.75</v>
      </c>
      <c r="O66" s="116"/>
      <c r="P66" s="116"/>
      <c r="Q66" s="116"/>
      <c r="R66" s="116"/>
      <c r="S66" s="116"/>
    </row>
    <row r="67" spans="1:19" x14ac:dyDescent="0.25">
      <c r="A67" s="122"/>
      <c r="B67" s="123"/>
      <c r="C67" s="123"/>
      <c r="D67" s="123" t="s">
        <v>4</v>
      </c>
      <c r="E67" s="124">
        <f>J66/D45</f>
        <v>390.25</v>
      </c>
      <c r="F67" s="124">
        <f>K66/D45</f>
        <v>12.625</v>
      </c>
      <c r="G67" s="124">
        <f>N66/D45</f>
        <v>423.375</v>
      </c>
      <c r="H67" s="124"/>
      <c r="I67" s="124"/>
      <c r="J67" s="103"/>
      <c r="K67" s="104"/>
      <c r="L67" s="104"/>
      <c r="M67" s="104"/>
      <c r="N67" s="105"/>
      <c r="O67" s="116"/>
      <c r="P67" s="116"/>
      <c r="Q67" s="116"/>
      <c r="R67" s="116"/>
      <c r="S67" s="116"/>
    </row>
    <row r="68" spans="1:19" x14ac:dyDescent="0.25">
      <c r="A68" s="118" t="s">
        <v>68</v>
      </c>
      <c r="B68" s="119"/>
      <c r="C68" s="119"/>
      <c r="D68" s="119" t="s">
        <v>3</v>
      </c>
      <c r="E68" s="120">
        <v>471.25</v>
      </c>
      <c r="F68" s="120">
        <v>9.2333300000000005</v>
      </c>
      <c r="G68" s="120">
        <v>496.48333000000002</v>
      </c>
      <c r="H68" s="120"/>
      <c r="I68" s="121">
        <v>6707.25</v>
      </c>
      <c r="J68" s="98">
        <v>889.75</v>
      </c>
      <c r="K68" s="117">
        <v>10.23333</v>
      </c>
      <c r="L68" s="117"/>
      <c r="M68" s="117"/>
      <c r="N68" s="99">
        <v>1059.95</v>
      </c>
      <c r="O68" s="116"/>
      <c r="P68" s="116"/>
      <c r="Q68" s="116"/>
      <c r="R68" s="116"/>
      <c r="S68" s="116"/>
    </row>
    <row r="69" spans="1:19" x14ac:dyDescent="0.25">
      <c r="A69" s="122"/>
      <c r="B69" s="123"/>
      <c r="C69" s="123"/>
      <c r="D69" s="123" t="s">
        <v>4</v>
      </c>
      <c r="E69" s="124">
        <f>J68/D45</f>
        <v>444.875</v>
      </c>
      <c r="F69" s="124">
        <f>K68/D45</f>
        <v>5.1166650000000002</v>
      </c>
      <c r="G69" s="124">
        <f>N68/D45</f>
        <v>529.97500000000002</v>
      </c>
      <c r="H69" s="124"/>
      <c r="I69" s="124"/>
      <c r="J69" s="103"/>
      <c r="K69" s="104"/>
      <c r="L69" s="104"/>
      <c r="M69" s="104"/>
      <c r="N69" s="105"/>
      <c r="O69" s="116"/>
      <c r="P69" s="116"/>
      <c r="Q69" s="116"/>
      <c r="R69" s="116"/>
      <c r="S69" s="116"/>
    </row>
    <row r="70" spans="1:19" x14ac:dyDescent="0.25">
      <c r="A70" s="118" t="s">
        <v>29</v>
      </c>
      <c r="B70" s="119"/>
      <c r="C70" s="119"/>
      <c r="D70" s="119" t="s">
        <v>3</v>
      </c>
      <c r="E70" s="120">
        <v>156</v>
      </c>
      <c r="F70" s="120">
        <v>0.25</v>
      </c>
      <c r="G70" s="120">
        <v>160.25</v>
      </c>
      <c r="H70" s="120"/>
      <c r="I70" s="121">
        <v>1818.85</v>
      </c>
      <c r="J70" s="98">
        <v>273</v>
      </c>
      <c r="K70" s="117">
        <v>0.25</v>
      </c>
      <c r="L70" s="117"/>
      <c r="M70" s="117"/>
      <c r="N70" s="99">
        <v>321.25</v>
      </c>
      <c r="O70" s="116"/>
      <c r="P70" s="116"/>
      <c r="Q70" s="116"/>
      <c r="R70" s="116"/>
      <c r="S70" s="116"/>
    </row>
    <row r="71" spans="1:19" x14ac:dyDescent="0.25">
      <c r="A71" s="122"/>
      <c r="B71" s="123"/>
      <c r="C71" s="123"/>
      <c r="D71" s="123" t="s">
        <v>4</v>
      </c>
      <c r="E71" s="124">
        <f>J70/D45</f>
        <v>136.5</v>
      </c>
      <c r="F71" s="124">
        <f>K70/D45</f>
        <v>0.125</v>
      </c>
      <c r="G71" s="124">
        <f>N70/D45</f>
        <v>160.625</v>
      </c>
      <c r="H71" s="124"/>
      <c r="I71" s="124"/>
      <c r="J71" s="103"/>
      <c r="K71" s="104"/>
      <c r="L71" s="104"/>
      <c r="M71" s="104"/>
      <c r="N71" s="105"/>
      <c r="O71" s="116"/>
      <c r="P71" s="116"/>
      <c r="Q71" s="116"/>
      <c r="R71" s="116"/>
      <c r="S71" s="116"/>
    </row>
    <row r="72" spans="1:19" x14ac:dyDescent="0.25">
      <c r="A72" s="118" t="s">
        <v>30</v>
      </c>
      <c r="B72" s="119"/>
      <c r="C72" s="119"/>
      <c r="D72" s="119" t="s">
        <v>3</v>
      </c>
      <c r="E72" s="120">
        <v>80</v>
      </c>
      <c r="F72" s="120">
        <v>0</v>
      </c>
      <c r="G72" s="120">
        <v>80</v>
      </c>
      <c r="H72" s="120"/>
      <c r="I72" s="121">
        <v>1013.74</v>
      </c>
      <c r="J72" s="98">
        <v>160</v>
      </c>
      <c r="K72" s="117">
        <v>0</v>
      </c>
      <c r="L72" s="117"/>
      <c r="M72" s="117"/>
      <c r="N72" s="99">
        <v>160</v>
      </c>
      <c r="O72" s="116"/>
      <c r="P72" s="116"/>
      <c r="Q72" s="116"/>
      <c r="R72" s="116"/>
      <c r="S72" s="116"/>
    </row>
    <row r="73" spans="1:19" x14ac:dyDescent="0.25">
      <c r="A73" s="122"/>
      <c r="B73" s="123"/>
      <c r="C73" s="123"/>
      <c r="D73" s="123" t="s">
        <v>4</v>
      </c>
      <c r="E73" s="124">
        <f>J72/D45</f>
        <v>80</v>
      </c>
      <c r="F73" s="124">
        <f>K72/D45</f>
        <v>0</v>
      </c>
      <c r="G73" s="124">
        <f>N72/D45</f>
        <v>80</v>
      </c>
      <c r="H73" s="124"/>
      <c r="I73" s="124"/>
      <c r="J73" s="103"/>
      <c r="K73" s="104"/>
      <c r="L73" s="104"/>
      <c r="M73" s="104"/>
      <c r="N73" s="105"/>
      <c r="O73" s="116"/>
      <c r="P73" s="116"/>
      <c r="Q73" s="116"/>
      <c r="R73" s="116"/>
      <c r="S73" s="116"/>
    </row>
    <row r="74" spans="1:19" x14ac:dyDescent="0.25">
      <c r="A74" s="118" t="s">
        <v>31</v>
      </c>
      <c r="B74" s="119"/>
      <c r="C74" s="119"/>
      <c r="D74" s="119" t="s">
        <v>3</v>
      </c>
      <c r="E74" s="120">
        <v>237</v>
      </c>
      <c r="F74" s="120">
        <v>0.75</v>
      </c>
      <c r="G74" s="120">
        <v>239.75</v>
      </c>
      <c r="H74" s="120"/>
      <c r="I74" s="121">
        <v>2881.92</v>
      </c>
      <c r="J74" s="98">
        <v>405.5</v>
      </c>
      <c r="K74" s="117">
        <v>0.75</v>
      </c>
      <c r="L74" s="117"/>
      <c r="M74" s="117"/>
      <c r="N74" s="99">
        <v>480.25</v>
      </c>
      <c r="O74" s="116"/>
      <c r="P74" s="116"/>
      <c r="Q74" s="116"/>
      <c r="R74" s="116"/>
      <c r="S74" s="116"/>
    </row>
    <row r="75" spans="1:19" x14ac:dyDescent="0.25">
      <c r="A75" s="122"/>
      <c r="B75" s="123"/>
      <c r="C75" s="123"/>
      <c r="D75" s="123" t="s">
        <v>4</v>
      </c>
      <c r="E75" s="124">
        <f>J74/D45</f>
        <v>202.75</v>
      </c>
      <c r="F75" s="124">
        <f>K74/D45</f>
        <v>0.375</v>
      </c>
      <c r="G75" s="124">
        <f>N74/D45</f>
        <v>240.125</v>
      </c>
      <c r="H75" s="124"/>
      <c r="I75" s="124"/>
      <c r="J75" s="103"/>
      <c r="K75" s="104"/>
      <c r="L75" s="104"/>
      <c r="M75" s="104"/>
      <c r="N75" s="105"/>
      <c r="O75" s="116"/>
      <c r="P75" s="116"/>
      <c r="Q75" s="116"/>
      <c r="R75" s="116"/>
      <c r="S75" s="116"/>
    </row>
    <row r="76" spans="1:19" x14ac:dyDescent="0.25">
      <c r="A76" s="118" t="s">
        <v>32</v>
      </c>
      <c r="B76" s="119"/>
      <c r="C76" s="119"/>
      <c r="D76" s="119" t="s">
        <v>3</v>
      </c>
      <c r="E76" s="120">
        <v>156</v>
      </c>
      <c r="F76" s="120">
        <v>0</v>
      </c>
      <c r="G76" s="120">
        <v>156</v>
      </c>
      <c r="H76" s="120"/>
      <c r="I76" s="121">
        <v>1049.04</v>
      </c>
      <c r="J76" s="98">
        <v>247.75</v>
      </c>
      <c r="K76" s="117">
        <v>0</v>
      </c>
      <c r="L76" s="117"/>
      <c r="M76" s="117"/>
      <c r="N76" s="99">
        <v>247.75</v>
      </c>
      <c r="O76" s="116"/>
      <c r="P76" s="116"/>
      <c r="Q76" s="116"/>
      <c r="R76" s="116"/>
      <c r="S76" s="116"/>
    </row>
    <row r="77" spans="1:19" x14ac:dyDescent="0.25">
      <c r="A77" s="122"/>
      <c r="B77" s="123"/>
      <c r="C77" s="123"/>
      <c r="D77" s="123" t="s">
        <v>4</v>
      </c>
      <c r="E77" s="124">
        <f>J76/D45</f>
        <v>123.875</v>
      </c>
      <c r="F77" s="124">
        <f>K76/D45</f>
        <v>0</v>
      </c>
      <c r="G77" s="124">
        <f>N76/D45</f>
        <v>123.875</v>
      </c>
      <c r="H77" s="124"/>
      <c r="I77" s="124"/>
      <c r="J77" s="103"/>
      <c r="K77" s="104"/>
      <c r="L77" s="104"/>
      <c r="M77" s="104"/>
      <c r="N77" s="105"/>
      <c r="O77" s="116"/>
      <c r="P77" s="116"/>
      <c r="Q77" s="116"/>
      <c r="R77" s="116"/>
      <c r="S77" s="116"/>
    </row>
    <row r="78" spans="1:19" x14ac:dyDescent="0.25">
      <c r="A78" s="118" t="s">
        <v>33</v>
      </c>
      <c r="B78" s="119"/>
      <c r="C78" s="119"/>
      <c r="D78" s="119" t="s">
        <v>3</v>
      </c>
      <c r="E78" s="120">
        <v>1610.25</v>
      </c>
      <c r="F78" s="120">
        <v>77.5</v>
      </c>
      <c r="G78" s="120">
        <v>1796.75</v>
      </c>
      <c r="H78" s="120"/>
      <c r="I78" s="121">
        <v>25582.05</v>
      </c>
      <c r="J78" s="98">
        <v>2902.75</v>
      </c>
      <c r="K78" s="117">
        <v>132.75</v>
      </c>
      <c r="L78" s="117"/>
      <c r="M78" s="117"/>
      <c r="N78" s="99">
        <v>3464.5</v>
      </c>
      <c r="O78" s="116"/>
      <c r="P78" s="116"/>
      <c r="Q78" s="116"/>
      <c r="R78" s="116"/>
      <c r="S78" s="116"/>
    </row>
    <row r="79" spans="1:19" x14ac:dyDescent="0.25">
      <c r="A79" s="122"/>
      <c r="B79" s="123"/>
      <c r="C79" s="123"/>
      <c r="D79" s="123" t="s">
        <v>4</v>
      </c>
      <c r="E79" s="124">
        <f>J78/D45</f>
        <v>1451.375</v>
      </c>
      <c r="F79" s="124">
        <f>K78/D45</f>
        <v>66.375</v>
      </c>
      <c r="G79" s="124">
        <f>N78/D45</f>
        <v>1732.25</v>
      </c>
      <c r="H79" s="124"/>
      <c r="I79" s="124"/>
      <c r="J79" s="103"/>
      <c r="K79" s="104"/>
      <c r="L79" s="104"/>
      <c r="M79" s="104"/>
      <c r="N79" s="105"/>
      <c r="O79" s="116"/>
      <c r="P79" s="116"/>
      <c r="Q79" s="116"/>
      <c r="R79" s="116"/>
      <c r="S79" s="116"/>
    </row>
    <row r="80" spans="1:19" x14ac:dyDescent="0.25">
      <c r="A80" s="118" t="s">
        <v>34</v>
      </c>
      <c r="B80" s="119"/>
      <c r="C80" s="119"/>
      <c r="D80" s="119" t="s">
        <v>3</v>
      </c>
      <c r="E80" s="120">
        <v>213.5</v>
      </c>
      <c r="F80" s="120">
        <v>0</v>
      </c>
      <c r="G80" s="120">
        <v>226.5</v>
      </c>
      <c r="H80" s="120"/>
      <c r="I80" s="121">
        <v>3237.25</v>
      </c>
      <c r="J80" s="98">
        <v>380.25</v>
      </c>
      <c r="K80" s="117">
        <v>0</v>
      </c>
      <c r="L80" s="117"/>
      <c r="M80" s="117"/>
      <c r="N80" s="99">
        <v>453.25</v>
      </c>
      <c r="O80" s="116"/>
      <c r="P80" s="116"/>
      <c r="Q80" s="116"/>
      <c r="R80" s="116"/>
      <c r="S80" s="116"/>
    </row>
    <row r="81" spans="1:19" x14ac:dyDescent="0.25">
      <c r="A81" s="122"/>
      <c r="B81" s="123"/>
      <c r="C81" s="123"/>
      <c r="D81" s="123" t="s">
        <v>4</v>
      </c>
      <c r="E81" s="124">
        <f>J80/D45</f>
        <v>190.125</v>
      </c>
      <c r="F81" s="124">
        <f>K80/D45</f>
        <v>0</v>
      </c>
      <c r="G81" s="124">
        <f>N80/D45</f>
        <v>226.625</v>
      </c>
      <c r="H81" s="124"/>
      <c r="I81" s="124"/>
      <c r="J81" s="103"/>
      <c r="K81" s="104"/>
      <c r="L81" s="104"/>
      <c r="M81" s="104"/>
      <c r="N81" s="105"/>
      <c r="O81" s="116"/>
      <c r="P81" s="116"/>
      <c r="Q81" s="116"/>
      <c r="R81" s="116"/>
      <c r="S81" s="116"/>
    </row>
    <row r="82" spans="1:19" x14ac:dyDescent="0.25">
      <c r="A82" s="118" t="s">
        <v>35</v>
      </c>
      <c r="B82" s="119"/>
      <c r="C82" s="119"/>
      <c r="D82" s="119" t="s">
        <v>3</v>
      </c>
      <c r="E82" s="120">
        <v>289.5</v>
      </c>
      <c r="F82" s="120">
        <v>0.5</v>
      </c>
      <c r="G82" s="120">
        <v>316</v>
      </c>
      <c r="H82" s="120"/>
      <c r="I82" s="121">
        <v>3220.02</v>
      </c>
      <c r="J82" s="98">
        <v>532.75</v>
      </c>
      <c r="K82" s="117">
        <v>0.5</v>
      </c>
      <c r="L82" s="117"/>
      <c r="M82" s="117"/>
      <c r="N82" s="99">
        <v>635.25</v>
      </c>
      <c r="O82" s="116"/>
      <c r="P82" s="116"/>
      <c r="Q82" s="116"/>
      <c r="R82" s="116"/>
      <c r="S82" s="116"/>
    </row>
    <row r="83" spans="1:19" x14ac:dyDescent="0.25">
      <c r="A83" s="122"/>
      <c r="B83" s="123"/>
      <c r="C83" s="123"/>
      <c r="D83" s="123" t="s">
        <v>4</v>
      </c>
      <c r="E83" s="124">
        <f>J82/D45</f>
        <v>266.375</v>
      </c>
      <c r="F83" s="124">
        <f>K82/D45</f>
        <v>0.25</v>
      </c>
      <c r="G83" s="124">
        <f>N82/D45</f>
        <v>317.625</v>
      </c>
      <c r="H83" s="124"/>
      <c r="I83" s="124"/>
      <c r="J83" s="103"/>
      <c r="K83" s="104"/>
      <c r="L83" s="104"/>
      <c r="M83" s="104"/>
      <c r="N83" s="105"/>
      <c r="O83" s="116"/>
      <c r="P83" s="116"/>
      <c r="Q83" s="116"/>
      <c r="R83" s="116"/>
      <c r="S83" s="116"/>
    </row>
    <row r="84" spans="1:19" x14ac:dyDescent="0.25">
      <c r="A84" s="118" t="s">
        <v>38</v>
      </c>
      <c r="B84" s="119"/>
      <c r="C84" s="119"/>
      <c r="D84" s="119" t="s">
        <v>3</v>
      </c>
      <c r="E84" s="120">
        <v>111.75</v>
      </c>
      <c r="F84" s="120">
        <v>2.75</v>
      </c>
      <c r="G84" s="120">
        <v>114.5</v>
      </c>
      <c r="H84" s="120"/>
      <c r="I84" s="121">
        <v>2935.87</v>
      </c>
      <c r="J84" s="98">
        <v>199.75</v>
      </c>
      <c r="K84" s="117">
        <v>2.75</v>
      </c>
      <c r="L84" s="117"/>
      <c r="M84" s="117"/>
      <c r="N84" s="99">
        <v>225.5</v>
      </c>
      <c r="O84" s="116"/>
      <c r="P84" s="116"/>
      <c r="Q84" s="116"/>
      <c r="R84" s="116"/>
      <c r="S84" s="116"/>
    </row>
    <row r="85" spans="1:19" x14ac:dyDescent="0.25">
      <c r="A85" s="122"/>
      <c r="B85" s="123"/>
      <c r="C85" s="123"/>
      <c r="D85" s="123" t="s">
        <v>4</v>
      </c>
      <c r="E85" s="124">
        <f>J84/D45</f>
        <v>99.875</v>
      </c>
      <c r="F85" s="124">
        <f>K84/D45</f>
        <v>1.375</v>
      </c>
      <c r="G85" s="124">
        <f>N84/D45</f>
        <v>112.75</v>
      </c>
      <c r="H85" s="124"/>
      <c r="I85" s="124"/>
      <c r="J85" s="103"/>
      <c r="K85" s="104"/>
      <c r="L85" s="104"/>
      <c r="M85" s="104"/>
      <c r="N85" s="105"/>
      <c r="O85" s="116"/>
      <c r="P85" s="116"/>
      <c r="Q85" s="116"/>
      <c r="R85" s="116"/>
      <c r="S85" s="116"/>
    </row>
    <row r="86" spans="1:19" x14ac:dyDescent="0.25">
      <c r="A86" s="118" t="s">
        <v>39</v>
      </c>
      <c r="B86" s="119"/>
      <c r="C86" s="119"/>
      <c r="D86" s="119" t="s">
        <v>3</v>
      </c>
      <c r="E86" s="120">
        <v>80</v>
      </c>
      <c r="F86" s="120">
        <v>4.25</v>
      </c>
      <c r="G86" s="120">
        <v>84.25</v>
      </c>
      <c r="H86" s="120"/>
      <c r="I86" s="121">
        <v>580.91</v>
      </c>
      <c r="J86" s="98">
        <v>116</v>
      </c>
      <c r="K86" s="117">
        <v>4.25</v>
      </c>
      <c r="L86" s="117"/>
      <c r="M86" s="117"/>
      <c r="N86" s="99">
        <v>164.25</v>
      </c>
      <c r="O86" s="116"/>
      <c r="P86" s="116"/>
      <c r="Q86" s="116"/>
      <c r="R86" s="116"/>
      <c r="S86" s="116"/>
    </row>
    <row r="87" spans="1:19" x14ac:dyDescent="0.25">
      <c r="A87" s="122"/>
      <c r="B87" s="123"/>
      <c r="C87" s="123"/>
      <c r="D87" s="123" t="s">
        <v>4</v>
      </c>
      <c r="E87" s="124">
        <f>J86/D45</f>
        <v>58</v>
      </c>
      <c r="F87" s="124">
        <f>K86/D45</f>
        <v>2.125</v>
      </c>
      <c r="G87" s="124">
        <f>N86/D45</f>
        <v>82.125</v>
      </c>
      <c r="H87" s="124"/>
      <c r="I87" s="124"/>
      <c r="J87" s="103"/>
      <c r="K87" s="104"/>
      <c r="L87" s="104"/>
      <c r="M87" s="104"/>
      <c r="N87" s="105"/>
      <c r="O87" s="116"/>
      <c r="P87" s="116"/>
      <c r="Q87" s="116"/>
      <c r="R87" s="116"/>
      <c r="S87" s="116"/>
    </row>
    <row r="88" spans="1:19" x14ac:dyDescent="0.25">
      <c r="A88" s="118" t="s">
        <v>40</v>
      </c>
      <c r="B88" s="119"/>
      <c r="C88" s="119"/>
      <c r="D88" s="119" t="s">
        <v>3</v>
      </c>
      <c r="E88" s="120">
        <v>448.5</v>
      </c>
      <c r="F88" s="120">
        <v>0</v>
      </c>
      <c r="G88" s="120">
        <v>460.5</v>
      </c>
      <c r="H88" s="120"/>
      <c r="I88" s="121">
        <v>6292.08</v>
      </c>
      <c r="J88" s="98">
        <v>829.25</v>
      </c>
      <c r="K88" s="117">
        <v>30.25</v>
      </c>
      <c r="L88" s="117"/>
      <c r="M88" s="117"/>
      <c r="N88" s="99">
        <v>952.5</v>
      </c>
      <c r="O88" s="116"/>
      <c r="P88" s="116"/>
      <c r="Q88" s="116"/>
      <c r="R88" s="116"/>
      <c r="S88" s="116"/>
    </row>
    <row r="89" spans="1:19" x14ac:dyDescent="0.25">
      <c r="A89" s="122"/>
      <c r="B89" s="123"/>
      <c r="C89" s="123"/>
      <c r="D89" s="123" t="s">
        <v>4</v>
      </c>
      <c r="E89" s="124">
        <f>J88/D45</f>
        <v>414.625</v>
      </c>
      <c r="F89" s="124">
        <f>K88/D45</f>
        <v>15.125</v>
      </c>
      <c r="G89" s="124">
        <f>N88/D45</f>
        <v>476.25</v>
      </c>
      <c r="H89" s="124"/>
      <c r="I89" s="124"/>
      <c r="J89" s="103"/>
      <c r="K89" s="104"/>
      <c r="L89" s="104"/>
      <c r="M89" s="104"/>
      <c r="N89" s="105"/>
      <c r="O89" s="116"/>
      <c r="P89" s="116"/>
      <c r="Q89" s="116"/>
      <c r="R89" s="116"/>
      <c r="S89" s="116"/>
    </row>
    <row r="90" spans="1:19" x14ac:dyDescent="0.25">
      <c r="A90" s="118" t="s">
        <v>69</v>
      </c>
      <c r="B90" s="119"/>
      <c r="C90" s="119"/>
      <c r="D90" s="119" t="s">
        <v>3</v>
      </c>
      <c r="E90" s="120">
        <v>484.75</v>
      </c>
      <c r="F90" s="120">
        <v>25</v>
      </c>
      <c r="G90" s="120">
        <v>533.75</v>
      </c>
      <c r="H90" s="120"/>
      <c r="I90" s="121">
        <v>5875.97</v>
      </c>
      <c r="J90" s="98">
        <v>934.75</v>
      </c>
      <c r="K90" s="117">
        <v>35.5</v>
      </c>
      <c r="L90" s="117"/>
      <c r="M90" s="117"/>
      <c r="N90" s="99">
        <v>1108.25</v>
      </c>
      <c r="O90" s="116"/>
      <c r="P90" s="116"/>
      <c r="Q90" s="116"/>
      <c r="R90" s="116"/>
      <c r="S90" s="116"/>
    </row>
    <row r="91" spans="1:19" ht="15.75" thickBot="1" x14ac:dyDescent="0.3">
      <c r="A91" s="26"/>
      <c r="B91" s="27"/>
      <c r="C91" s="27"/>
      <c r="D91" s="27" t="s">
        <v>4</v>
      </c>
      <c r="E91" s="109">
        <f>J90/D45</f>
        <v>467.375</v>
      </c>
      <c r="F91" s="109">
        <f>K90/D45</f>
        <v>17.75</v>
      </c>
      <c r="G91" s="109">
        <f>N90/D45</f>
        <v>554.125</v>
      </c>
      <c r="H91" s="109"/>
      <c r="I91" s="109"/>
      <c r="J91" s="110"/>
      <c r="K91" s="111"/>
      <c r="L91" s="111"/>
      <c r="M91" s="111"/>
      <c r="N91" s="112"/>
      <c r="O91" s="116"/>
      <c r="P91" s="113"/>
      <c r="Q91" s="116"/>
      <c r="R91" s="116"/>
      <c r="S91" s="116"/>
    </row>
    <row r="92" spans="1:19" x14ac:dyDescent="0.25">
      <c r="A92" s="114"/>
      <c r="B92" s="114"/>
      <c r="C92" s="114"/>
      <c r="D92" s="114"/>
      <c r="E92" s="115"/>
      <c r="F92" s="115"/>
      <c r="G92" s="115"/>
    </row>
    <row r="93" spans="1:19" x14ac:dyDescent="0.25">
      <c r="A93" s="114"/>
      <c r="B93" s="114"/>
      <c r="C93" s="114"/>
      <c r="D93" s="114"/>
      <c r="E93" s="115"/>
      <c r="F93" s="115"/>
      <c r="G93" s="115"/>
    </row>
    <row r="94" spans="1:19" x14ac:dyDescent="0.25">
      <c r="A94" s="114"/>
      <c r="B94" s="114"/>
      <c r="C94" s="114"/>
      <c r="D94" s="114"/>
      <c r="E94" s="115"/>
      <c r="F94" s="115"/>
      <c r="G94" s="115"/>
    </row>
  </sheetData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workbookViewId="0">
      <selection activeCell="K3" sqref="K3"/>
    </sheetView>
  </sheetViews>
  <sheetFormatPr defaultRowHeight="15" x14ac:dyDescent="0.25"/>
  <cols>
    <col min="1" max="1" width="20.28515625" customWidth="1"/>
    <col min="2" max="2" width="6.85546875" hidden="1" customWidth="1"/>
    <col min="3" max="3" width="9.7109375" hidden="1" customWidth="1"/>
    <col min="4" max="4" width="12" customWidth="1"/>
    <col min="5" max="5" width="11.42578125" customWidth="1"/>
    <col min="6" max="6" width="12.140625" customWidth="1"/>
    <col min="7" max="7" width="15.28515625" bestFit="1" customWidth="1"/>
    <col min="8" max="8" width="8.85546875" customWidth="1"/>
    <col min="9" max="9" width="10.85546875" customWidth="1"/>
    <col min="10" max="10" width="10.28515625" customWidth="1"/>
    <col min="11" max="11" width="9.140625" bestFit="1" customWidth="1"/>
    <col min="12" max="12" width="6.85546875" hidden="1" customWidth="1"/>
    <col min="13" max="13" width="10.85546875" hidden="1" customWidth="1"/>
    <col min="14" max="14" width="11.7109375" customWidth="1"/>
    <col min="15" max="15" width="11.140625" customWidth="1"/>
    <col min="16" max="16" width="9.7109375" customWidth="1"/>
    <col min="17" max="17" width="9.42578125" customWidth="1"/>
    <col min="18" max="18" width="8.85546875" customWidth="1"/>
    <col min="19" max="19" width="9" customWidth="1"/>
    <col min="20" max="20" width="11.7109375" customWidth="1"/>
    <col min="22" max="22" width="11.140625" customWidth="1"/>
  </cols>
  <sheetData>
    <row r="1" spans="1:23" ht="26.25" x14ac:dyDescent="0.25">
      <c r="A1" s="1" t="s">
        <v>0</v>
      </c>
      <c r="B1" s="2"/>
      <c r="C1" s="2"/>
      <c r="D1" s="3"/>
      <c r="E1" s="4"/>
      <c r="F1" s="5"/>
      <c r="G1" s="6"/>
      <c r="H1" s="7" t="s">
        <v>1</v>
      </c>
      <c r="I1" s="4"/>
      <c r="J1" s="4"/>
      <c r="K1" s="8">
        <v>260747</v>
      </c>
      <c r="L1" s="4"/>
      <c r="M1" s="9">
        <v>244806</v>
      </c>
      <c r="N1" s="6"/>
      <c r="O1" s="10"/>
      <c r="P1" s="6" t="s">
        <v>2</v>
      </c>
      <c r="Q1" s="116"/>
      <c r="R1" s="116"/>
      <c r="S1" s="116"/>
    </row>
    <row r="2" spans="1:23" ht="30.75" customHeight="1" x14ac:dyDescent="0.25">
      <c r="A2" s="12"/>
      <c r="B2" s="13"/>
      <c r="C2" s="13"/>
      <c r="D2" s="14" t="s">
        <v>3</v>
      </c>
      <c r="E2" s="15" t="s">
        <v>4</v>
      </c>
      <c r="F2" s="16" t="s">
        <v>5</v>
      </c>
      <c r="G2" s="13"/>
      <c r="H2" s="17" t="s">
        <v>6</v>
      </c>
      <c r="I2" s="6"/>
      <c r="J2" s="6"/>
      <c r="K2" s="18">
        <v>255565</v>
      </c>
      <c r="L2" s="6"/>
      <c r="M2" s="19">
        <v>240561</v>
      </c>
      <c r="N2" s="116"/>
      <c r="O2" s="20"/>
      <c r="P2" s="6" t="s">
        <v>7</v>
      </c>
      <c r="Q2" s="116"/>
      <c r="R2" s="116"/>
      <c r="S2" s="116"/>
    </row>
    <row r="3" spans="1:23" ht="30" customHeight="1" thickBot="1" x14ac:dyDescent="0.3">
      <c r="A3" s="21" t="s">
        <v>8</v>
      </c>
      <c r="B3" s="22"/>
      <c r="C3" s="22"/>
      <c r="D3" s="23">
        <f>+G29/F38</f>
        <v>2.4624841163882318</v>
      </c>
      <c r="E3" s="24">
        <f>+Q29/E38</f>
        <v>2.7411650590521153</v>
      </c>
      <c r="F3" s="25">
        <f>+H29/G38</f>
        <v>2.5673424746981297</v>
      </c>
      <c r="G3" s="6"/>
      <c r="H3" s="26" t="s">
        <v>9</v>
      </c>
      <c r="I3" s="27"/>
      <c r="J3" s="27"/>
      <c r="K3" s="28">
        <f>K1-K2</f>
        <v>5182</v>
      </c>
      <c r="L3" s="27"/>
      <c r="M3" s="29">
        <f>M1-M2</f>
        <v>4245</v>
      </c>
      <c r="N3" s="116"/>
      <c r="O3" s="116"/>
      <c r="P3" s="116"/>
      <c r="Q3" s="116"/>
      <c r="R3" s="116"/>
      <c r="S3" s="116"/>
    </row>
    <row r="4" spans="1:23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</row>
    <row r="5" spans="1:23" ht="15.75" thickBot="1" x14ac:dyDescent="0.3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</row>
    <row r="6" spans="1:23" x14ac:dyDescent="0.25">
      <c r="A6" s="30" t="s">
        <v>10</v>
      </c>
      <c r="B6" s="31"/>
      <c r="C6" s="31"/>
      <c r="D6" s="32"/>
      <c r="E6" s="33"/>
      <c r="F6" s="31" t="s">
        <v>3</v>
      </c>
      <c r="G6" s="33"/>
      <c r="H6" s="34"/>
      <c r="I6" s="34"/>
      <c r="J6" s="34"/>
      <c r="K6" s="33"/>
      <c r="L6" s="33"/>
      <c r="M6" s="33"/>
      <c r="N6" s="32"/>
      <c r="O6" s="31" t="s">
        <v>4</v>
      </c>
      <c r="P6" s="33"/>
      <c r="Q6" s="34"/>
      <c r="R6" s="33"/>
      <c r="S6" s="33"/>
      <c r="T6" s="33"/>
      <c r="U6" s="33"/>
      <c r="V6" s="35"/>
    </row>
    <row r="7" spans="1:23" ht="39" x14ac:dyDescent="0.25">
      <c r="A7" s="17"/>
      <c r="B7" s="13" t="s">
        <v>11</v>
      </c>
      <c r="C7" s="13" t="s">
        <v>12</v>
      </c>
      <c r="D7" s="36" t="s">
        <v>13</v>
      </c>
      <c r="E7" s="37" t="s">
        <v>14</v>
      </c>
      <c r="F7" s="37" t="s">
        <v>15</v>
      </c>
      <c r="G7" s="37" t="s">
        <v>16</v>
      </c>
      <c r="H7" s="37" t="s">
        <v>17</v>
      </c>
      <c r="I7" s="37" t="s">
        <v>18</v>
      </c>
      <c r="J7" s="37" t="s">
        <v>19</v>
      </c>
      <c r="K7" s="38" t="s">
        <v>20</v>
      </c>
      <c r="L7" s="37" t="s">
        <v>11</v>
      </c>
      <c r="M7" s="37" t="s">
        <v>12</v>
      </c>
      <c r="N7" s="37" t="s">
        <v>13</v>
      </c>
      <c r="O7" s="37" t="s">
        <v>14</v>
      </c>
      <c r="P7" s="37" t="s">
        <v>15</v>
      </c>
      <c r="Q7" s="37" t="s">
        <v>16</v>
      </c>
      <c r="R7" s="37" t="s">
        <v>17</v>
      </c>
      <c r="S7" s="37" t="s">
        <v>18</v>
      </c>
      <c r="T7" s="37" t="s">
        <v>19</v>
      </c>
      <c r="U7" s="37" t="s">
        <v>20</v>
      </c>
      <c r="V7" s="39" t="s">
        <v>21</v>
      </c>
    </row>
    <row r="8" spans="1:23" x14ac:dyDescent="0.25">
      <c r="A8" s="17" t="s">
        <v>22</v>
      </c>
      <c r="B8" s="6"/>
      <c r="C8" s="6"/>
      <c r="D8" s="40">
        <f>+E50/80</f>
        <v>1.984375</v>
      </c>
      <c r="E8" s="41">
        <f>+F50/80</f>
        <v>0.109375</v>
      </c>
      <c r="F8" s="41">
        <f t="shared" ref="F8:F27" si="0">+G8-D8-E8</f>
        <v>1.2500000000000178E-2</v>
      </c>
      <c r="G8" s="41">
        <f>+G50/80</f>
        <v>2.1062500000000002</v>
      </c>
      <c r="H8" s="41">
        <v>2</v>
      </c>
      <c r="I8" s="41">
        <f t="shared" ref="I8:I27" si="1">SUM(G8-H8)</f>
        <v>0.10625000000000018</v>
      </c>
      <c r="J8" s="41"/>
      <c r="K8" s="42">
        <f t="shared" ref="K8:K27" si="2">+E8/G8</f>
        <v>5.1928783382789313E-2</v>
      </c>
      <c r="L8" s="43"/>
      <c r="M8" s="44"/>
      <c r="N8" s="41">
        <f>+E51/80</f>
        <v>1.6812499999999999</v>
      </c>
      <c r="O8" s="41">
        <f>+F51/80</f>
        <v>7.604166666666666E-2</v>
      </c>
      <c r="P8" s="41">
        <f t="shared" ref="P8:P27" si="3">Q8-N8-O8</f>
        <v>0.2875000000000002</v>
      </c>
      <c r="Q8" s="41">
        <f>+G51/80</f>
        <v>2.0447916666666668</v>
      </c>
      <c r="R8" s="41">
        <v>2</v>
      </c>
      <c r="S8" s="41">
        <f t="shared" ref="S8:S27" si="4">+Q8-R8</f>
        <v>4.4791666666666785E-2</v>
      </c>
      <c r="T8" s="41"/>
      <c r="U8" s="44">
        <f t="shared" ref="U8:U27" si="5">+O8/Q8</f>
        <v>3.7187977585328574E-2</v>
      </c>
      <c r="V8" s="45">
        <f>+I50/G51*80*S8</f>
        <v>38.912261844116252</v>
      </c>
      <c r="W8" s="46"/>
    </row>
    <row r="9" spans="1:23" x14ac:dyDescent="0.25">
      <c r="A9" s="17" t="s">
        <v>23</v>
      </c>
      <c r="B9" s="43"/>
      <c r="C9" s="41"/>
      <c r="D9" s="40">
        <f>+E54/80</f>
        <v>8.4562500000000007</v>
      </c>
      <c r="E9" s="41">
        <f>+F54/80</f>
        <v>6.25E-2</v>
      </c>
      <c r="F9" s="41">
        <f t="shared" si="0"/>
        <v>0.19999999999999929</v>
      </c>
      <c r="G9" s="41">
        <f>+G54/80</f>
        <v>8.71875</v>
      </c>
      <c r="H9" s="41">
        <v>9.15</v>
      </c>
      <c r="I9" s="41">
        <f t="shared" si="1"/>
        <v>-0.43125000000000036</v>
      </c>
      <c r="J9" s="41"/>
      <c r="K9" s="42">
        <f t="shared" si="2"/>
        <v>7.1684587813620072E-3</v>
      </c>
      <c r="L9" s="43"/>
      <c r="M9" s="41"/>
      <c r="N9" s="41">
        <f>+E55/80</f>
        <v>7.6645833333333329</v>
      </c>
      <c r="O9" s="41">
        <f>+F55/80</f>
        <v>6.041666666666666E-2</v>
      </c>
      <c r="P9" s="41">
        <f t="shared" si="3"/>
        <v>0.99270833333333297</v>
      </c>
      <c r="Q9" s="41">
        <f>+G55/80</f>
        <v>8.7177083333333325</v>
      </c>
      <c r="R9" s="41">
        <v>9.15</v>
      </c>
      <c r="S9" s="41">
        <f t="shared" si="4"/>
        <v>-0.43229166666666785</v>
      </c>
      <c r="T9" s="41"/>
      <c r="U9" s="44">
        <f t="shared" si="5"/>
        <v>6.9303381527064164E-3</v>
      </c>
      <c r="V9" s="45">
        <f>+I54/G55*80*S9</f>
        <v>-262.97184848847007</v>
      </c>
      <c r="W9" s="46"/>
    </row>
    <row r="10" spans="1:23" x14ac:dyDescent="0.25">
      <c r="A10" s="17" t="s">
        <v>24</v>
      </c>
      <c r="B10" s="6"/>
      <c r="C10" s="41"/>
      <c r="D10" s="40">
        <f>+E60/80</f>
        <v>9.6160416249999994</v>
      </c>
      <c r="E10" s="41">
        <f>+F60/80</f>
        <v>0.26624999999999999</v>
      </c>
      <c r="F10" s="41">
        <f t="shared" si="0"/>
        <v>0.86250000000000193</v>
      </c>
      <c r="G10" s="41">
        <f>+G60/80</f>
        <v>10.744791625000001</v>
      </c>
      <c r="H10" s="41">
        <v>10.11</v>
      </c>
      <c r="I10" s="41">
        <f t="shared" si="1"/>
        <v>0.63479162500000186</v>
      </c>
      <c r="J10" s="41"/>
      <c r="K10" s="42">
        <f t="shared" si="2"/>
        <v>2.4779447502780209E-2</v>
      </c>
      <c r="L10" s="43"/>
      <c r="M10" s="41"/>
      <c r="N10" s="41">
        <f>+E61/80</f>
        <v>8.8772222083333343</v>
      </c>
      <c r="O10" s="41">
        <f>+F61/80</f>
        <v>0.19187499999999999</v>
      </c>
      <c r="P10" s="41">
        <f t="shared" si="3"/>
        <v>1.3166666666666642</v>
      </c>
      <c r="Q10" s="41">
        <f>+G61/80</f>
        <v>10.385763874999999</v>
      </c>
      <c r="R10" s="41">
        <v>10.11</v>
      </c>
      <c r="S10" s="41">
        <f t="shared" si="4"/>
        <v>0.2757638749999991</v>
      </c>
      <c r="T10" s="41"/>
      <c r="U10" s="44">
        <f t="shared" si="5"/>
        <v>1.847480862354961E-2</v>
      </c>
      <c r="V10" s="45">
        <f>+I60/G61*80*S10</f>
        <v>142.4321199935566</v>
      </c>
      <c r="W10" s="46"/>
    </row>
    <row r="11" spans="1:23" x14ac:dyDescent="0.25">
      <c r="A11" s="17" t="s">
        <v>25</v>
      </c>
      <c r="B11" s="43">
        <f>F43</f>
        <v>211</v>
      </c>
      <c r="C11" s="41">
        <f>+(3.75*B11)/80</f>
        <v>9.890625</v>
      </c>
      <c r="D11" s="40">
        <f>+E62/80</f>
        <v>8.5822500000000002</v>
      </c>
      <c r="E11" s="41">
        <f>+F62/80</f>
        <v>0.46562500000000001</v>
      </c>
      <c r="F11" s="41">
        <f t="shared" si="0"/>
        <v>0.23083337499999884</v>
      </c>
      <c r="G11" s="41">
        <f>+G62/80</f>
        <v>9.278708374999999</v>
      </c>
      <c r="H11" s="41">
        <v>9.9</v>
      </c>
      <c r="I11" s="41">
        <f t="shared" si="1"/>
        <v>-0.62129162500000135</v>
      </c>
      <c r="J11" s="41">
        <f>+D11+E11-C11</f>
        <v>-0.84275000000000055</v>
      </c>
      <c r="K11" s="42">
        <f t="shared" si="2"/>
        <v>5.0182092289326859E-2</v>
      </c>
      <c r="L11" s="43">
        <f>+E43/E37*14</f>
        <v>207.29032258064515</v>
      </c>
      <c r="M11" s="41">
        <f>+(3.75*L11)/80</f>
        <v>9.7167338709677402</v>
      </c>
      <c r="N11" s="41">
        <f>+E63/80</f>
        <v>8.6582916666666669</v>
      </c>
      <c r="O11" s="41">
        <f>+F63/80</f>
        <v>0.33437499999999998</v>
      </c>
      <c r="P11" s="41">
        <f t="shared" si="3"/>
        <v>0.71270833333333317</v>
      </c>
      <c r="Q11" s="41">
        <f>+G63/80</f>
        <v>9.7053750000000001</v>
      </c>
      <c r="R11" s="41">
        <v>9.9</v>
      </c>
      <c r="S11" s="41">
        <f t="shared" si="4"/>
        <v>-0.19462500000000027</v>
      </c>
      <c r="T11" s="41">
        <f>+N11+O11-M11</f>
        <v>-0.72406720430107363</v>
      </c>
      <c r="U11" s="44">
        <f t="shared" si="5"/>
        <v>3.4452558504952151E-2</v>
      </c>
      <c r="V11" s="45">
        <f>+I62/G63*80*S11</f>
        <v>-329.82860090413868</v>
      </c>
      <c r="W11" s="46"/>
    </row>
    <row r="12" spans="1:23" x14ac:dyDescent="0.25">
      <c r="A12" s="17" t="s">
        <v>26</v>
      </c>
      <c r="B12" s="6">
        <f>F40*F37</f>
        <v>117.49999999999997</v>
      </c>
      <c r="C12" s="41">
        <f>+(13.14*B12)/80</f>
        <v>19.299374999999994</v>
      </c>
      <c r="D12" s="40">
        <f>+E64/80</f>
        <v>14.856249999999999</v>
      </c>
      <c r="E12" s="41">
        <f>+F64/80</f>
        <v>0.42812499999999998</v>
      </c>
      <c r="F12" s="41">
        <f t="shared" si="0"/>
        <v>0.80000000000000215</v>
      </c>
      <c r="G12" s="41">
        <f>+G64/80</f>
        <v>16.084375000000001</v>
      </c>
      <c r="H12" s="41">
        <v>15.24</v>
      </c>
      <c r="I12" s="41">
        <f t="shared" si="1"/>
        <v>0.84437500000000121</v>
      </c>
      <c r="J12" s="41">
        <f>+D12+E12-C12</f>
        <v>-4.0149999999999952</v>
      </c>
      <c r="K12" s="42">
        <f t="shared" si="2"/>
        <v>2.6617447056537784E-2</v>
      </c>
      <c r="L12" s="43">
        <f>E40*14</f>
        <v>102.2</v>
      </c>
      <c r="M12" s="41">
        <f>+(13.14*L12)/80</f>
        <v>16.786350000000002</v>
      </c>
      <c r="N12" s="41">
        <f>+E65/80</f>
        <v>14.569791666666665</v>
      </c>
      <c r="O12" s="41">
        <f>+F65/80</f>
        <v>0.53020833333333328</v>
      </c>
      <c r="P12" s="41">
        <f t="shared" si="3"/>
        <v>1.1000000000000005</v>
      </c>
      <c r="Q12" s="41">
        <f>+G65/80</f>
        <v>16.2</v>
      </c>
      <c r="R12" s="41">
        <v>15.24</v>
      </c>
      <c r="S12" s="41">
        <f t="shared" si="4"/>
        <v>0.95999999999999908</v>
      </c>
      <c r="T12" s="41">
        <f>+N12+O12-M12</f>
        <v>-1.6863500000000045</v>
      </c>
      <c r="U12" s="44">
        <f t="shared" si="5"/>
        <v>3.2728909465020571E-2</v>
      </c>
      <c r="V12" s="45">
        <f>+I64/G65*80*S12</f>
        <v>1069.5265185185174</v>
      </c>
      <c r="W12" s="46"/>
    </row>
    <row r="13" spans="1:23" x14ac:dyDescent="0.25">
      <c r="A13" s="17" t="s">
        <v>27</v>
      </c>
      <c r="B13" s="43"/>
      <c r="C13" s="41"/>
      <c r="D13" s="40">
        <f>+E66/80</f>
        <v>4.6656250000000004</v>
      </c>
      <c r="E13" s="41">
        <f>+F66/80</f>
        <v>1.2500000000000001E-2</v>
      </c>
      <c r="F13" s="41">
        <f t="shared" si="0"/>
        <v>0.69999999999999951</v>
      </c>
      <c r="G13" s="41">
        <f>+G66/80</f>
        <v>5.3781249999999998</v>
      </c>
      <c r="H13" s="41">
        <v>5.78</v>
      </c>
      <c r="I13" s="41">
        <f t="shared" si="1"/>
        <v>-0.40187500000000043</v>
      </c>
      <c r="J13" s="41"/>
      <c r="K13" s="42">
        <f t="shared" si="2"/>
        <v>2.3242300987797795E-3</v>
      </c>
      <c r="L13" s="43"/>
      <c r="M13" s="41"/>
      <c r="N13" s="41">
        <f>+E67/80</f>
        <v>4.8072916666666661</v>
      </c>
      <c r="O13" s="41">
        <f>+F67/80</f>
        <v>0.109375</v>
      </c>
      <c r="P13" s="41">
        <f t="shared" si="3"/>
        <v>0.40416666666666767</v>
      </c>
      <c r="Q13" s="41">
        <f>+G67/80</f>
        <v>5.3208333333333337</v>
      </c>
      <c r="R13" s="41">
        <v>5.78</v>
      </c>
      <c r="S13" s="41">
        <f t="shared" si="4"/>
        <v>-0.4591666666666665</v>
      </c>
      <c r="T13" s="41"/>
      <c r="U13" s="44">
        <f t="shared" si="5"/>
        <v>2.0555990602975721E-2</v>
      </c>
      <c r="V13" s="45">
        <f>+I66/G67*80*S13</f>
        <v>-192.62476742364908</v>
      </c>
      <c r="W13" s="46"/>
    </row>
    <row r="14" spans="1:23" x14ac:dyDescent="0.25">
      <c r="A14" s="17" t="s">
        <v>28</v>
      </c>
      <c r="B14" s="6"/>
      <c r="C14" s="6"/>
      <c r="D14" s="40">
        <f>+E68/80</f>
        <v>5.6375000000000002</v>
      </c>
      <c r="E14" s="41">
        <f>+F68/80</f>
        <v>3.7499999999999999E-2</v>
      </c>
      <c r="F14" s="41">
        <f t="shared" si="0"/>
        <v>0.65</v>
      </c>
      <c r="G14" s="41">
        <f>+G68/80</f>
        <v>6.3250000000000002</v>
      </c>
      <c r="H14" s="41">
        <v>6.65</v>
      </c>
      <c r="I14" s="41">
        <f t="shared" si="1"/>
        <v>-0.32500000000000018</v>
      </c>
      <c r="J14" s="41"/>
      <c r="K14" s="42">
        <f t="shared" si="2"/>
        <v>5.9288537549407111E-3</v>
      </c>
      <c r="L14" s="43"/>
      <c r="M14" s="44"/>
      <c r="N14" s="41">
        <f>+E69/80</f>
        <v>5.5864583333333337</v>
      </c>
      <c r="O14" s="41">
        <f>+F69/80</f>
        <v>5.5138874999999997E-2</v>
      </c>
      <c r="P14" s="41">
        <f t="shared" si="3"/>
        <v>0.88319445833333343</v>
      </c>
      <c r="Q14" s="41">
        <f>+G69/80</f>
        <v>6.5247916666666672</v>
      </c>
      <c r="R14" s="41">
        <v>6.65</v>
      </c>
      <c r="S14" s="41">
        <f t="shared" si="4"/>
        <v>-0.12520833333333314</v>
      </c>
      <c r="T14" s="41"/>
      <c r="U14" s="44">
        <f t="shared" si="5"/>
        <v>8.4506721159679412E-3</v>
      </c>
      <c r="V14" s="45">
        <f>+I68/G69*80*S14</f>
        <v>-130.20719978287917</v>
      </c>
      <c r="W14" s="46"/>
    </row>
    <row r="15" spans="1:23" x14ac:dyDescent="0.25">
      <c r="A15" s="17" t="s">
        <v>29</v>
      </c>
      <c r="B15" s="43"/>
      <c r="C15" s="41"/>
      <c r="D15" s="40">
        <f>+E70/80</f>
        <v>1.98125</v>
      </c>
      <c r="E15" s="41">
        <f>+F70/80</f>
        <v>3.1250000000000002E-3</v>
      </c>
      <c r="F15" s="41">
        <f t="shared" si="0"/>
        <v>2.4999999999999956E-2</v>
      </c>
      <c r="G15" s="41">
        <f>+G70/80</f>
        <v>2.0093749999999999</v>
      </c>
      <c r="H15" s="41">
        <v>2</v>
      </c>
      <c r="I15" s="41">
        <f t="shared" si="1"/>
        <v>9.3749999999999112E-3</v>
      </c>
      <c r="J15" s="41"/>
      <c r="K15" s="42">
        <f t="shared" si="2"/>
        <v>1.5552099533437016E-3</v>
      </c>
      <c r="L15" s="43"/>
      <c r="M15" s="41"/>
      <c r="N15" s="41">
        <f>+E71/80</f>
        <v>1.7979166666666668</v>
      </c>
      <c r="O15" s="41">
        <f>+F71/80</f>
        <v>2.0833333333333333E-3</v>
      </c>
      <c r="P15" s="41">
        <f t="shared" si="3"/>
        <v>0.20833333333333315</v>
      </c>
      <c r="Q15" s="41">
        <f>+G71/80</f>
        <v>2.0083333333333333</v>
      </c>
      <c r="R15" s="41">
        <v>2</v>
      </c>
      <c r="S15" s="41">
        <f t="shared" si="4"/>
        <v>8.3333333333333037E-3</v>
      </c>
      <c r="T15" s="41"/>
      <c r="U15" s="44">
        <f t="shared" si="5"/>
        <v>1.037344398340249E-3</v>
      </c>
      <c r="V15" s="45">
        <f>+I70/G71*80*S15</f>
        <v>7.567593360995823</v>
      </c>
      <c r="W15" s="46"/>
    </row>
    <row r="16" spans="1:23" x14ac:dyDescent="0.25">
      <c r="A16" s="17" t="s">
        <v>30</v>
      </c>
      <c r="B16" s="6"/>
      <c r="C16" s="6"/>
      <c r="D16" s="40">
        <f>+E72/80</f>
        <v>1</v>
      </c>
      <c r="E16" s="41">
        <f>+F72/80</f>
        <v>0</v>
      </c>
      <c r="F16" s="41">
        <f t="shared" si="0"/>
        <v>0</v>
      </c>
      <c r="G16" s="41">
        <f>+G72/80</f>
        <v>1</v>
      </c>
      <c r="H16" s="41">
        <v>1</v>
      </c>
      <c r="I16" s="41">
        <f t="shared" si="1"/>
        <v>0</v>
      </c>
      <c r="J16" s="41"/>
      <c r="K16" s="42">
        <f t="shared" si="2"/>
        <v>0</v>
      </c>
      <c r="L16" s="43"/>
      <c r="M16" s="44"/>
      <c r="N16" s="41">
        <f>+E73/80</f>
        <v>1</v>
      </c>
      <c r="O16" s="41">
        <f>+F73/80</f>
        <v>0</v>
      </c>
      <c r="P16" s="41">
        <f t="shared" si="3"/>
        <v>0</v>
      </c>
      <c r="Q16" s="41">
        <f>+G73/80</f>
        <v>1</v>
      </c>
      <c r="R16" s="41">
        <v>1</v>
      </c>
      <c r="S16" s="41">
        <f t="shared" si="4"/>
        <v>0</v>
      </c>
      <c r="T16" s="41"/>
      <c r="U16" s="44">
        <f t="shared" si="5"/>
        <v>0</v>
      </c>
      <c r="V16" s="45"/>
      <c r="W16" s="46"/>
    </row>
    <row r="17" spans="1:23" x14ac:dyDescent="0.25">
      <c r="A17" s="17" t="s">
        <v>31</v>
      </c>
      <c r="B17" s="43"/>
      <c r="C17" s="41"/>
      <c r="D17" s="40">
        <f>+E74/80</f>
        <v>2.7</v>
      </c>
      <c r="E17" s="41">
        <f>+F74/80</f>
        <v>4.6875E-2</v>
      </c>
      <c r="F17" s="41">
        <f t="shared" si="0"/>
        <v>0</v>
      </c>
      <c r="G17" s="41">
        <f>+G74/80</f>
        <v>2.7468750000000002</v>
      </c>
      <c r="H17" s="41">
        <v>3</v>
      </c>
      <c r="I17" s="41">
        <f t="shared" si="1"/>
        <v>-0.25312499999999982</v>
      </c>
      <c r="J17" s="41"/>
      <c r="K17" s="42">
        <f t="shared" si="2"/>
        <v>1.7064846416382253E-2</v>
      </c>
      <c r="L17" s="43"/>
      <c r="M17" s="41"/>
      <c r="N17" s="41">
        <f>+E75/80</f>
        <v>2.5895833333333331</v>
      </c>
      <c r="O17" s="41">
        <f>+F75/80</f>
        <v>1.8749999999999999E-2</v>
      </c>
      <c r="P17" s="41">
        <f t="shared" si="3"/>
        <v>0.30833333333333385</v>
      </c>
      <c r="Q17" s="41">
        <f>+G75/80</f>
        <v>2.916666666666667</v>
      </c>
      <c r="R17" s="41">
        <v>3</v>
      </c>
      <c r="S17" s="41">
        <f t="shared" si="4"/>
        <v>-8.3333333333333037E-2</v>
      </c>
      <c r="T17" s="41"/>
      <c r="U17" s="44">
        <f t="shared" si="5"/>
        <v>6.4285714285714276E-3</v>
      </c>
      <c r="V17" s="45">
        <f>+I74/G75*80*S17</f>
        <v>-83.691999999999695</v>
      </c>
      <c r="W17" s="46"/>
    </row>
    <row r="18" spans="1:23" x14ac:dyDescent="0.25">
      <c r="A18" s="17" t="s">
        <v>32</v>
      </c>
      <c r="B18" s="6"/>
      <c r="C18" s="6"/>
      <c r="D18" s="40">
        <f>+E76/80</f>
        <v>1.6625000000000001</v>
      </c>
      <c r="E18" s="41">
        <f>+F76/80</f>
        <v>0</v>
      </c>
      <c r="F18" s="41">
        <f t="shared" si="0"/>
        <v>0</v>
      </c>
      <c r="G18" s="41">
        <f>+G76/80</f>
        <v>1.6625000000000001</v>
      </c>
      <c r="H18" s="41">
        <v>1.92</v>
      </c>
      <c r="I18" s="41">
        <f t="shared" si="1"/>
        <v>-0.25749999999999984</v>
      </c>
      <c r="J18" s="41"/>
      <c r="K18" s="42">
        <f t="shared" si="2"/>
        <v>0</v>
      </c>
      <c r="L18" s="43"/>
      <c r="M18" s="44"/>
      <c r="N18" s="41">
        <f>+E77/80</f>
        <v>1.5864583333333333</v>
      </c>
      <c r="O18" s="41">
        <f>+F77/80</f>
        <v>0</v>
      </c>
      <c r="P18" s="41">
        <f t="shared" si="3"/>
        <v>0</v>
      </c>
      <c r="Q18" s="41">
        <f>+G77/80</f>
        <v>1.5864583333333333</v>
      </c>
      <c r="R18" s="41">
        <v>1.92</v>
      </c>
      <c r="S18" s="41">
        <f t="shared" si="4"/>
        <v>-0.33354166666666663</v>
      </c>
      <c r="T18" s="41"/>
      <c r="U18" s="44">
        <f t="shared" si="5"/>
        <v>0</v>
      </c>
      <c r="V18" s="45">
        <f>+I76/G77*80*S18</f>
        <v>-189.8451713722915</v>
      </c>
      <c r="W18" s="46"/>
    </row>
    <row r="19" spans="1:23" x14ac:dyDescent="0.25">
      <c r="A19" s="17" t="s">
        <v>33</v>
      </c>
      <c r="B19" s="6">
        <f>F39*F37</f>
        <v>177.2</v>
      </c>
      <c r="C19" s="41">
        <f>+(9.25*B19)/80</f>
        <v>20.48875</v>
      </c>
      <c r="D19" s="40">
        <f>+E78/80</f>
        <v>20.265625</v>
      </c>
      <c r="E19" s="41">
        <f>+F78/80</f>
        <v>0.85</v>
      </c>
      <c r="F19" s="41">
        <f t="shared" si="0"/>
        <v>0.56250000000000144</v>
      </c>
      <c r="G19" s="41">
        <f>+G78/80</f>
        <v>21.678125000000001</v>
      </c>
      <c r="H19" s="41">
        <v>23.24</v>
      </c>
      <c r="I19" s="41">
        <f t="shared" si="1"/>
        <v>-1.561874999999997</v>
      </c>
      <c r="J19" s="41">
        <f>+D19+E19-C19</f>
        <v>0.62687500000000185</v>
      </c>
      <c r="K19" s="42">
        <f t="shared" si="2"/>
        <v>3.9210033155542737E-2</v>
      </c>
      <c r="L19" s="43">
        <f>E39*14</f>
        <v>156.79999999999998</v>
      </c>
      <c r="M19" s="41">
        <f>+(9.25*L19)/80</f>
        <v>18.13</v>
      </c>
      <c r="N19" s="41">
        <f>+E79/80</f>
        <v>18.850000000000001</v>
      </c>
      <c r="O19" s="41">
        <f>+F79/80</f>
        <v>0.83645833333333341</v>
      </c>
      <c r="P19" s="41">
        <f t="shared" si="3"/>
        <v>1.975000000000001</v>
      </c>
      <c r="Q19" s="41">
        <f>+G79/80</f>
        <v>21.661458333333336</v>
      </c>
      <c r="R19" s="41">
        <v>23.24</v>
      </c>
      <c r="S19" s="41">
        <f t="shared" si="4"/>
        <v>-1.5785416666666627</v>
      </c>
      <c r="T19" s="41">
        <f>+N19+O19-M19</f>
        <v>1.5564583333333353</v>
      </c>
      <c r="U19" s="44">
        <f t="shared" si="5"/>
        <v>3.8615051695119015E-2</v>
      </c>
      <c r="V19" s="45">
        <f>+I78/G79*80*S19</f>
        <v>-1755.5794224573172</v>
      </c>
      <c r="W19" s="46"/>
    </row>
    <row r="20" spans="1:23" x14ac:dyDescent="0.25">
      <c r="A20" s="17" t="s">
        <v>34</v>
      </c>
      <c r="B20" s="6"/>
      <c r="C20" s="6"/>
      <c r="D20" s="40">
        <f>+E80/80</f>
        <v>2.5375000000000001</v>
      </c>
      <c r="E20" s="41">
        <f>+F80/80</f>
        <v>0</v>
      </c>
      <c r="F20" s="41">
        <f t="shared" si="0"/>
        <v>0.32499999999999973</v>
      </c>
      <c r="G20" s="41">
        <f>+G80/80</f>
        <v>2.8624999999999998</v>
      </c>
      <c r="H20" s="41">
        <v>3</v>
      </c>
      <c r="I20" s="41">
        <f t="shared" si="1"/>
        <v>-0.13750000000000018</v>
      </c>
      <c r="J20" s="41"/>
      <c r="K20" s="42">
        <f t="shared" si="2"/>
        <v>0</v>
      </c>
      <c r="L20" s="43"/>
      <c r="M20" s="44"/>
      <c r="N20" s="41">
        <f>+E81/80</f>
        <v>2.4302083333333333</v>
      </c>
      <c r="O20" s="41">
        <f>+F81/80</f>
        <v>0</v>
      </c>
      <c r="P20" s="41">
        <f t="shared" si="3"/>
        <v>0.41250000000000009</v>
      </c>
      <c r="Q20" s="41">
        <f>+G81/80</f>
        <v>2.8427083333333334</v>
      </c>
      <c r="R20" s="41">
        <v>3</v>
      </c>
      <c r="S20" s="41">
        <f t="shared" si="4"/>
        <v>-0.15729166666666661</v>
      </c>
      <c r="T20" s="41"/>
      <c r="U20" s="44">
        <f t="shared" si="5"/>
        <v>0</v>
      </c>
      <c r="V20" s="45">
        <f>+I80/G81*80*S20</f>
        <v>-182.18545621106625</v>
      </c>
      <c r="W20" s="46"/>
    </row>
    <row r="21" spans="1:23" x14ac:dyDescent="0.25">
      <c r="A21" s="17" t="s">
        <v>35</v>
      </c>
      <c r="B21" s="6"/>
      <c r="C21" s="6"/>
      <c r="D21" s="40">
        <f>+E82/80</f>
        <v>3.2875000000000001</v>
      </c>
      <c r="E21" s="41">
        <f>+F82/80</f>
        <v>0</v>
      </c>
      <c r="F21" s="41">
        <f t="shared" si="0"/>
        <v>0.19999999999999973</v>
      </c>
      <c r="G21" s="41">
        <f>+G82/80</f>
        <v>3.4874999999999998</v>
      </c>
      <c r="H21" s="41">
        <v>3</v>
      </c>
      <c r="I21" s="41">
        <f t="shared" si="1"/>
        <v>0.48749999999999982</v>
      </c>
      <c r="J21" s="41"/>
      <c r="K21" s="42">
        <f t="shared" si="2"/>
        <v>0</v>
      </c>
      <c r="L21" s="43"/>
      <c r="M21" s="44"/>
      <c r="N21" s="41">
        <f>+E83/80</f>
        <v>3.3156249999999998</v>
      </c>
      <c r="O21" s="41">
        <f>+F83/80</f>
        <v>2.0833333333333333E-3</v>
      </c>
      <c r="P21" s="41">
        <f t="shared" si="3"/>
        <v>0.49166666666666703</v>
      </c>
      <c r="Q21" s="41">
        <f>+G83/80</f>
        <v>3.8093750000000002</v>
      </c>
      <c r="R21" s="41">
        <v>3</v>
      </c>
      <c r="S21" s="41">
        <f t="shared" si="4"/>
        <v>0.80937500000000018</v>
      </c>
      <c r="T21" s="41"/>
      <c r="U21" s="44">
        <f t="shared" si="5"/>
        <v>5.4689636313918512E-4</v>
      </c>
      <c r="V21" s="45">
        <f>+I82/G83*80*S21</f>
        <v>747.62187858900757</v>
      </c>
      <c r="W21" s="46"/>
    </row>
    <row r="22" spans="1:23" x14ac:dyDescent="0.25">
      <c r="A22" s="17" t="s">
        <v>36</v>
      </c>
      <c r="B22" s="6"/>
      <c r="C22" s="6"/>
      <c r="D22" s="40">
        <f>+E56/80</f>
        <v>9.9906249999999996</v>
      </c>
      <c r="E22" s="41">
        <f>+F56/80</f>
        <v>0.15937499999999999</v>
      </c>
      <c r="F22" s="41">
        <f t="shared" si="0"/>
        <v>0.29999999999999966</v>
      </c>
      <c r="G22" s="41">
        <f>+G56/80</f>
        <v>10.45</v>
      </c>
      <c r="H22" s="41">
        <v>12.89</v>
      </c>
      <c r="I22" s="41">
        <f t="shared" si="1"/>
        <v>-2.4400000000000013</v>
      </c>
      <c r="J22" s="41"/>
      <c r="K22" s="42">
        <f t="shared" si="2"/>
        <v>1.5251196172248804E-2</v>
      </c>
      <c r="L22" s="43"/>
      <c r="M22" s="44"/>
      <c r="N22" s="41">
        <f>+E57/80</f>
        <v>8.8208333333333329</v>
      </c>
      <c r="O22" s="41">
        <f>+F57/80</f>
        <v>0.10520833333333332</v>
      </c>
      <c r="P22" s="41">
        <f t="shared" si="3"/>
        <v>1.5250000000000006</v>
      </c>
      <c r="Q22" s="41">
        <f>+G57/80</f>
        <v>10.451041666666667</v>
      </c>
      <c r="R22" s="41">
        <v>12.89</v>
      </c>
      <c r="S22" s="41">
        <f t="shared" si="4"/>
        <v>-2.4389583333333338</v>
      </c>
      <c r="T22" s="41"/>
      <c r="U22" s="44">
        <f t="shared" si="5"/>
        <v>1.0066779627230139E-2</v>
      </c>
      <c r="V22" s="45">
        <f>+I56/G57*80*S22</f>
        <v>-7842.210434964617</v>
      </c>
      <c r="W22" s="46"/>
    </row>
    <row r="23" spans="1:23" x14ac:dyDescent="0.25">
      <c r="A23" s="17" t="s">
        <v>37</v>
      </c>
      <c r="B23" s="6"/>
      <c r="C23" s="6"/>
      <c r="D23" s="40">
        <f>+E58/80</f>
        <v>11.846875000000001</v>
      </c>
      <c r="E23" s="41">
        <f>+F58/80</f>
        <v>6.8750000000000006E-2</v>
      </c>
      <c r="F23" s="41">
        <f t="shared" si="0"/>
        <v>0.4874999999999986</v>
      </c>
      <c r="G23" s="41">
        <f>+G58/80</f>
        <v>12.403124999999999</v>
      </c>
      <c r="H23" s="41">
        <v>10.15</v>
      </c>
      <c r="I23" s="41">
        <f t="shared" si="1"/>
        <v>2.2531249999999989</v>
      </c>
      <c r="J23" s="41"/>
      <c r="K23" s="42">
        <f t="shared" si="2"/>
        <v>5.5429579239103053E-3</v>
      </c>
      <c r="L23" s="43"/>
      <c r="M23" s="44"/>
      <c r="N23" s="41">
        <f>+E59/80</f>
        <v>11.956250000000001</v>
      </c>
      <c r="O23" s="41">
        <f>+F59/80</f>
        <v>6.3541666666666663E-2</v>
      </c>
      <c r="P23" s="41">
        <f t="shared" si="3"/>
        <v>1.174999999999998</v>
      </c>
      <c r="Q23" s="41">
        <f>+G59/80</f>
        <v>13.194791666666665</v>
      </c>
      <c r="R23" s="41">
        <v>10.15</v>
      </c>
      <c r="S23" s="41">
        <f t="shared" si="4"/>
        <v>3.044791666666665</v>
      </c>
      <c r="T23" s="41"/>
      <c r="U23" s="44">
        <f t="shared" si="5"/>
        <v>4.8156627457172181E-3</v>
      </c>
      <c r="V23" s="45">
        <f>+I58/G59*80*S23</f>
        <v>6565.8928791347562</v>
      </c>
      <c r="W23" s="46"/>
    </row>
    <row r="24" spans="1:23" x14ac:dyDescent="0.25">
      <c r="A24" s="17" t="s">
        <v>38</v>
      </c>
      <c r="B24" s="43"/>
      <c r="C24" s="41"/>
      <c r="D24" s="40">
        <f>+E84/80</f>
        <v>1.284375</v>
      </c>
      <c r="E24" s="41">
        <f>+F84/80</f>
        <v>4.0625000000000001E-2</v>
      </c>
      <c r="F24" s="41">
        <f t="shared" si="0"/>
        <v>0.13749999999999987</v>
      </c>
      <c r="G24" s="41">
        <f>+G84/80</f>
        <v>1.4624999999999999</v>
      </c>
      <c r="H24" s="41">
        <v>1.44</v>
      </c>
      <c r="I24" s="41">
        <f t="shared" si="1"/>
        <v>2.2499999999999964E-2</v>
      </c>
      <c r="J24" s="41"/>
      <c r="K24" s="42">
        <f t="shared" si="2"/>
        <v>2.777777777777778E-2</v>
      </c>
      <c r="L24" s="43"/>
      <c r="M24" s="41"/>
      <c r="N24" s="41">
        <f>+E85/80</f>
        <v>1.2604166666666665</v>
      </c>
      <c r="O24" s="41">
        <f>+F85/80</f>
        <v>2.5000000000000001E-2</v>
      </c>
      <c r="P24" s="41">
        <f t="shared" si="3"/>
        <v>0.14166666666666697</v>
      </c>
      <c r="Q24" s="41">
        <f>+G85/80</f>
        <v>1.4270833333333335</v>
      </c>
      <c r="R24" s="41">
        <v>1.44</v>
      </c>
      <c r="S24" s="41">
        <f t="shared" si="4"/>
        <v>-1.2916666666666465E-2</v>
      </c>
      <c r="T24" s="41"/>
      <c r="U24" s="44">
        <f t="shared" si="5"/>
        <v>1.751824817518248E-2</v>
      </c>
      <c r="V24" s="45">
        <f>+I84/G85*80*S24</f>
        <v>-27.383272992700302</v>
      </c>
      <c r="W24" s="46"/>
    </row>
    <row r="25" spans="1:23" x14ac:dyDescent="0.25">
      <c r="A25" s="17" t="s">
        <v>39</v>
      </c>
      <c r="B25" s="6"/>
      <c r="C25" s="6"/>
      <c r="D25" s="40">
        <f>+E86/80</f>
        <v>1</v>
      </c>
      <c r="E25" s="41">
        <f>+F86/80</f>
        <v>3.4375000000000003E-2</v>
      </c>
      <c r="F25" s="41">
        <f t="shared" si="0"/>
        <v>0</v>
      </c>
      <c r="G25" s="41">
        <f>+G86/80</f>
        <v>1.034375</v>
      </c>
      <c r="H25" s="41">
        <v>1</v>
      </c>
      <c r="I25" s="41">
        <f t="shared" si="1"/>
        <v>3.4375000000000044E-2</v>
      </c>
      <c r="J25" s="41"/>
      <c r="K25" s="42">
        <f t="shared" si="2"/>
        <v>3.3232628398791542E-2</v>
      </c>
      <c r="L25" s="43"/>
      <c r="M25" s="44"/>
      <c r="N25" s="41">
        <f>+E87/80</f>
        <v>0.81666666666666665</v>
      </c>
      <c r="O25" s="41">
        <f>+F87/80</f>
        <v>2.9166666666666667E-2</v>
      </c>
      <c r="P25" s="41">
        <f t="shared" si="3"/>
        <v>0.18333333333333324</v>
      </c>
      <c r="Q25" s="41">
        <f>+G87/80</f>
        <v>1.0291666666666666</v>
      </c>
      <c r="R25" s="41">
        <v>1</v>
      </c>
      <c r="S25" s="41">
        <f t="shared" si="4"/>
        <v>2.9166666666666563E-2</v>
      </c>
      <c r="T25" s="41"/>
      <c r="U25" s="44">
        <f t="shared" si="5"/>
        <v>2.8340080971659923E-2</v>
      </c>
      <c r="V25" s="45">
        <f>+I86/G87*80*S25</f>
        <v>15.803279352226665</v>
      </c>
      <c r="W25" s="46"/>
    </row>
    <row r="26" spans="1:23" x14ac:dyDescent="0.25">
      <c r="A26" s="17" t="s">
        <v>40</v>
      </c>
      <c r="B26" s="6"/>
      <c r="C26" s="41"/>
      <c r="D26" s="40">
        <f>+E88/80</f>
        <v>5.3312499999999998</v>
      </c>
      <c r="E26" s="41">
        <f>+F88/80</f>
        <v>0.13645837499999999</v>
      </c>
      <c r="F26" s="41">
        <f t="shared" si="0"/>
        <v>0.37500000000000011</v>
      </c>
      <c r="G26" s="41">
        <f>+G88/80</f>
        <v>5.842708375</v>
      </c>
      <c r="H26" s="41">
        <v>5.83</v>
      </c>
      <c r="I26" s="41">
        <f t="shared" si="1"/>
        <v>1.2708374999999883E-2</v>
      </c>
      <c r="J26" s="41"/>
      <c r="K26" s="42">
        <f t="shared" si="2"/>
        <v>2.3355328769083052E-2</v>
      </c>
      <c r="L26" s="43"/>
      <c r="M26" s="44"/>
      <c r="N26" s="41">
        <f>+E89/80</f>
        <v>5.2322916666666668</v>
      </c>
      <c r="O26" s="41">
        <f>+F89/80</f>
        <v>0.17152779166666665</v>
      </c>
      <c r="P26" s="41">
        <f t="shared" si="3"/>
        <v>0.51250000000000018</v>
      </c>
      <c r="Q26" s="41">
        <f>+G89/80</f>
        <v>5.9163194583333336</v>
      </c>
      <c r="R26" s="41">
        <v>5.83</v>
      </c>
      <c r="S26" s="41">
        <f t="shared" si="4"/>
        <v>8.6319458333333543E-2</v>
      </c>
      <c r="T26" s="41"/>
      <c r="U26" s="44">
        <f t="shared" si="5"/>
        <v>2.899231403487924E-2</v>
      </c>
      <c r="V26" s="45">
        <f>+I88/G89*80*S26</f>
        <v>93.063575762653954</v>
      </c>
      <c r="W26" s="46"/>
    </row>
    <row r="27" spans="1:23" x14ac:dyDescent="0.25">
      <c r="A27" s="17" t="s">
        <v>41</v>
      </c>
      <c r="B27" s="6"/>
      <c r="C27" s="6"/>
      <c r="D27" s="40">
        <f>+E90/80</f>
        <v>5.0093750000000004</v>
      </c>
      <c r="E27" s="41">
        <f>+F90/80</f>
        <v>0.109375</v>
      </c>
      <c r="F27" s="41">
        <f t="shared" si="0"/>
        <v>0.46249999999999947</v>
      </c>
      <c r="G27" s="41">
        <f>+G90/80</f>
        <v>5.5812499999999998</v>
      </c>
      <c r="H27" s="41">
        <v>5.89</v>
      </c>
      <c r="I27" s="41">
        <f t="shared" si="1"/>
        <v>-0.30874999999999986</v>
      </c>
      <c r="J27" s="41"/>
      <c r="K27" s="42">
        <f t="shared" si="2"/>
        <v>1.9596864501679731E-2</v>
      </c>
      <c r="L27" s="43"/>
      <c r="M27" s="44"/>
      <c r="N27" s="41">
        <f>+E91/80</f>
        <v>5.5645833333333332</v>
      </c>
      <c r="O27" s="41">
        <f>+F91/80</f>
        <v>0.18437500000000001</v>
      </c>
      <c r="P27" s="41">
        <f t="shared" si="3"/>
        <v>0.72916666666666718</v>
      </c>
      <c r="Q27" s="41">
        <f>+G91/80</f>
        <v>6.4781250000000004</v>
      </c>
      <c r="R27" s="41">
        <v>5.89</v>
      </c>
      <c r="S27" s="41">
        <f t="shared" si="4"/>
        <v>0.58812500000000068</v>
      </c>
      <c r="T27" s="41"/>
      <c r="U27" s="44">
        <f t="shared" si="5"/>
        <v>2.8461167390255667E-2</v>
      </c>
      <c r="V27" s="45">
        <f>+I90/G91*80*S27</f>
        <v>547.69922238302036</v>
      </c>
      <c r="W27" s="46"/>
    </row>
    <row r="28" spans="1:23" x14ac:dyDescent="0.25">
      <c r="A28" s="17"/>
      <c r="B28" s="6"/>
      <c r="C28" s="6"/>
      <c r="D28" s="40"/>
      <c r="E28" s="6"/>
      <c r="F28" s="6"/>
      <c r="G28" s="6"/>
      <c r="H28" s="41"/>
      <c r="I28" s="6"/>
      <c r="J28" s="41"/>
      <c r="K28" s="48"/>
      <c r="L28" s="6"/>
      <c r="M28" s="6"/>
      <c r="N28" s="6"/>
      <c r="O28" s="6"/>
      <c r="P28" s="6"/>
      <c r="Q28" s="6"/>
      <c r="R28" s="6"/>
      <c r="S28" s="6"/>
      <c r="T28" s="41"/>
      <c r="U28" s="44"/>
      <c r="V28" s="49"/>
    </row>
    <row r="29" spans="1:23" ht="15.75" thickBot="1" x14ac:dyDescent="0.3">
      <c r="A29" s="26" t="s">
        <v>42</v>
      </c>
      <c r="B29" s="27"/>
      <c r="C29" s="27"/>
      <c r="D29" s="50">
        <f>SUM(D8:D27)</f>
        <v>121.69516662499998</v>
      </c>
      <c r="E29" s="51">
        <f>SUM(E8:E27)</f>
        <v>2.8308333750000001</v>
      </c>
      <c r="F29" s="51">
        <f>SUM(F8:F27)</f>
        <v>6.3308333750000019</v>
      </c>
      <c r="G29" s="51">
        <f>SUM(G8:G27)</f>
        <v>130.85683337500001</v>
      </c>
      <c r="H29" s="51">
        <f>SUM(H8:H27)</f>
        <v>133.19</v>
      </c>
      <c r="I29" s="51">
        <f>+G29-H29</f>
        <v>-2.3331666249999898</v>
      </c>
      <c r="J29" s="51">
        <f>SUM(J9:J28)</f>
        <v>-4.2308749999999939</v>
      </c>
      <c r="K29" s="52">
        <f>+E29/G29</f>
        <v>2.1633057303836807E-2</v>
      </c>
      <c r="L29" s="53"/>
      <c r="M29" s="53"/>
      <c r="N29" s="51">
        <f t="shared" ref="N29:S29" si="6">SUM(N8:N27)</f>
        <v>117.06572220833331</v>
      </c>
      <c r="O29" s="51">
        <f t="shared" si="6"/>
        <v>2.7956249999999998</v>
      </c>
      <c r="P29" s="51">
        <f t="shared" si="6"/>
        <v>13.359444458333336</v>
      </c>
      <c r="Q29" s="51">
        <f t="shared" si="6"/>
        <v>133.22079166666668</v>
      </c>
      <c r="R29" s="51">
        <f t="shared" si="6"/>
        <v>133.19</v>
      </c>
      <c r="S29" s="51">
        <f t="shared" si="6"/>
        <v>3.0791666666667217E-2</v>
      </c>
      <c r="T29" s="51">
        <f>SUM(T9:T28)</f>
        <v>-0.85395887096774281</v>
      </c>
      <c r="U29" s="53">
        <f>+O29/Q29</f>
        <v>2.0984900067212979E-2</v>
      </c>
      <c r="V29" s="54">
        <f>SUM(V8:V27)</f>
        <v>-1768.0088456582789</v>
      </c>
    </row>
    <row r="30" spans="1:23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6"/>
      <c r="N30" s="116"/>
      <c r="O30" s="116"/>
      <c r="P30" s="116"/>
      <c r="Q30" s="116"/>
      <c r="R30" s="116"/>
      <c r="S30" s="116"/>
    </row>
    <row r="31" spans="1:23" ht="15.75" thickBot="1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6"/>
      <c r="N31" s="116"/>
      <c r="O31" s="116"/>
      <c r="P31" s="116"/>
      <c r="Q31" s="116"/>
      <c r="R31" s="116"/>
      <c r="S31" s="116"/>
    </row>
    <row r="32" spans="1:23" ht="26.25" x14ac:dyDescent="0.25">
      <c r="A32" s="55"/>
      <c r="B32" s="56"/>
      <c r="C32" s="56"/>
      <c r="D32" s="57" t="s">
        <v>76</v>
      </c>
      <c r="E32" s="57" t="s">
        <v>78</v>
      </c>
      <c r="F32" s="58" t="s">
        <v>43</v>
      </c>
      <c r="G32" s="59" t="s">
        <v>44</v>
      </c>
      <c r="H32" s="6"/>
      <c r="I32" s="6"/>
      <c r="J32" s="116"/>
      <c r="K32" s="116"/>
      <c r="L32" s="116"/>
      <c r="M32" s="116"/>
      <c r="N32" s="116"/>
      <c r="O32" s="116"/>
      <c r="P32" s="116"/>
      <c r="Q32" s="116"/>
      <c r="R32" s="116"/>
      <c r="S32" s="116"/>
    </row>
    <row r="33" spans="1:19" x14ac:dyDescent="0.25">
      <c r="A33" s="17" t="s">
        <v>45</v>
      </c>
      <c r="B33" s="6"/>
      <c r="C33" s="6"/>
      <c r="D33" s="60">
        <v>461838</v>
      </c>
      <c r="E33" s="60">
        <v>955923.02</v>
      </c>
      <c r="F33" s="61">
        <f>+E33-D33</f>
        <v>494085.02</v>
      </c>
      <c r="G33" s="62">
        <v>11066662</v>
      </c>
      <c r="H33" s="6"/>
      <c r="I33" s="6"/>
      <c r="J33" s="116"/>
      <c r="K33" s="116"/>
      <c r="L33" s="116"/>
      <c r="M33" s="6"/>
      <c r="N33" s="116"/>
      <c r="O33" s="116"/>
      <c r="P33" s="116"/>
      <c r="Q33" s="116"/>
      <c r="R33" s="116"/>
      <c r="S33" s="116"/>
    </row>
    <row r="34" spans="1:19" x14ac:dyDescent="0.25">
      <c r="A34" s="17" t="s">
        <v>46</v>
      </c>
      <c r="B34" s="6"/>
      <c r="C34" s="6"/>
      <c r="D34" s="60">
        <v>1263934.1200000001</v>
      </c>
      <c r="E34" s="60">
        <v>2511238.81</v>
      </c>
      <c r="F34" s="61">
        <f>+E34-D34</f>
        <v>1247304.69</v>
      </c>
      <c r="G34" s="62">
        <v>31123520</v>
      </c>
      <c r="H34" s="6"/>
      <c r="I34" s="6"/>
      <c r="J34" s="116"/>
      <c r="K34" s="116"/>
      <c r="L34" s="116"/>
      <c r="M34" s="6"/>
      <c r="N34" s="116"/>
      <c r="O34" s="116"/>
      <c r="P34" s="116"/>
      <c r="Q34" s="116"/>
      <c r="R34" s="116"/>
      <c r="S34" s="116"/>
    </row>
    <row r="35" spans="1:19" x14ac:dyDescent="0.25">
      <c r="A35" s="17" t="s">
        <v>47</v>
      </c>
      <c r="B35" s="6"/>
      <c r="C35" s="6"/>
      <c r="D35" s="63">
        <f>+D34/D33</f>
        <v>2.7367477773591609</v>
      </c>
      <c r="E35" s="63">
        <f>+E34/E33</f>
        <v>2.6270303753120205</v>
      </c>
      <c r="F35" s="64">
        <f>+F34/F33</f>
        <v>2.5244738041238324</v>
      </c>
      <c r="G35" s="65">
        <f>+G34/G33</f>
        <v>2.8123674509983227</v>
      </c>
      <c r="H35" s="6"/>
      <c r="I35" s="6"/>
      <c r="J35" s="116"/>
      <c r="K35" s="116"/>
      <c r="L35" s="116"/>
      <c r="M35" s="6"/>
      <c r="N35" s="116"/>
      <c r="O35" s="116"/>
      <c r="P35" s="116"/>
      <c r="Q35" s="116"/>
      <c r="R35" s="116"/>
      <c r="S35" s="116"/>
    </row>
    <row r="36" spans="1:19" x14ac:dyDescent="0.25">
      <c r="A36" s="17" t="s">
        <v>48</v>
      </c>
      <c r="B36" s="6"/>
      <c r="C36" s="6"/>
      <c r="D36" s="66">
        <f>(D41*D37)</f>
        <v>278.79999999999995</v>
      </c>
      <c r="E36" s="66">
        <f t="shared" ref="E36" si="7">(E41*E37)</f>
        <v>573.5</v>
      </c>
      <c r="F36" s="67">
        <f>(F41*F37)</f>
        <v>294.69999999999993</v>
      </c>
      <c r="G36" s="68">
        <f>4722+2011</f>
        <v>6733</v>
      </c>
      <c r="H36" s="6"/>
      <c r="I36" s="6"/>
      <c r="J36" s="116"/>
      <c r="K36" s="116"/>
      <c r="L36" s="116"/>
      <c r="M36" s="6"/>
      <c r="N36" s="116"/>
      <c r="O36" s="116"/>
      <c r="P36" s="116"/>
      <c r="Q36" s="116"/>
      <c r="R36" s="116"/>
      <c r="S36" s="116"/>
    </row>
    <row r="37" spans="1:19" x14ac:dyDescent="0.25">
      <c r="A37" s="17" t="s">
        <v>49</v>
      </c>
      <c r="B37" s="6"/>
      <c r="C37" s="6"/>
      <c r="D37" s="117">
        <v>17</v>
      </c>
      <c r="E37" s="117">
        <v>31</v>
      </c>
      <c r="F37" s="67">
        <v>14</v>
      </c>
      <c r="G37" s="70">
        <v>365</v>
      </c>
      <c r="H37" s="6"/>
      <c r="I37" s="6"/>
      <c r="J37" s="116"/>
      <c r="K37" s="116"/>
      <c r="L37" s="116"/>
      <c r="M37" s="6"/>
      <c r="N37" s="116"/>
      <c r="O37" s="116"/>
      <c r="P37" s="116"/>
      <c r="Q37" s="116"/>
      <c r="R37" s="116"/>
      <c r="S37" s="116"/>
    </row>
    <row r="38" spans="1:19" x14ac:dyDescent="0.25">
      <c r="A38" s="17" t="s">
        <v>50</v>
      </c>
      <c r="B38" s="6"/>
      <c r="C38" s="6"/>
      <c r="D38" s="71">
        <f>+(D36/D37)*D35</f>
        <v>44.882663548690232</v>
      </c>
      <c r="E38" s="71">
        <f>+(E36/E37)*E35</f>
        <v>48.600061943272379</v>
      </c>
      <c r="F38" s="64">
        <f>+(F36/F37)*F35</f>
        <v>53.140173576806653</v>
      </c>
      <c r="G38" s="65">
        <f>+G36/365*G35</f>
        <v>51.878548075538923</v>
      </c>
      <c r="H38" s="6"/>
      <c r="I38" s="6"/>
      <c r="J38" s="116"/>
      <c r="K38" s="116"/>
      <c r="L38" s="116"/>
      <c r="M38" s="6"/>
      <c r="N38" s="116"/>
      <c r="O38" s="116"/>
      <c r="P38" s="116"/>
      <c r="Q38" s="116"/>
      <c r="R38" s="116"/>
      <c r="S38" s="116"/>
    </row>
    <row r="39" spans="1:19" x14ac:dyDescent="0.25">
      <c r="A39" s="17" t="s">
        <v>51</v>
      </c>
      <c r="B39" s="6"/>
      <c r="C39" s="6"/>
      <c r="D39" s="72">
        <v>10</v>
      </c>
      <c r="E39" s="72">
        <v>11.2</v>
      </c>
      <c r="F39" s="73">
        <f>+((E39*E37)-(D39*D37))/14</f>
        <v>12.657142857142857</v>
      </c>
      <c r="G39" s="74">
        <v>12.9</v>
      </c>
      <c r="H39" s="6"/>
      <c r="I39" s="6"/>
      <c r="J39" s="116"/>
      <c r="K39" s="116"/>
      <c r="L39" s="116"/>
      <c r="M39" s="6"/>
      <c r="N39" s="116"/>
      <c r="O39" s="116"/>
      <c r="P39" s="116"/>
      <c r="Q39" s="116"/>
      <c r="R39" s="116"/>
      <c r="S39" s="116"/>
    </row>
    <row r="40" spans="1:19" x14ac:dyDescent="0.25">
      <c r="A40" s="17" t="s">
        <v>52</v>
      </c>
      <c r="B40" s="6"/>
      <c r="C40" s="6"/>
      <c r="D40" s="72">
        <v>6.4</v>
      </c>
      <c r="E40" s="72">
        <v>7.3</v>
      </c>
      <c r="F40" s="73">
        <f>+((E40*E37)-(D40*D37))/14</f>
        <v>8.3928571428571406</v>
      </c>
      <c r="G40" s="74">
        <v>5.5</v>
      </c>
      <c r="H40" s="6"/>
      <c r="I40" s="6"/>
      <c r="J40" s="116"/>
      <c r="K40" s="116"/>
      <c r="L40" s="116"/>
      <c r="M40" s="6"/>
      <c r="N40" s="116"/>
      <c r="O40" s="116"/>
      <c r="P40" s="116"/>
      <c r="Q40" s="116"/>
      <c r="R40" s="116"/>
      <c r="S40" s="116"/>
    </row>
    <row r="41" spans="1:19" x14ac:dyDescent="0.25">
      <c r="A41" s="17" t="s">
        <v>53</v>
      </c>
      <c r="B41" s="6"/>
      <c r="C41" s="6"/>
      <c r="D41" s="47">
        <f>SUM(D39:D40)</f>
        <v>16.399999999999999</v>
      </c>
      <c r="E41" s="47">
        <f>SUM(E39:E40)</f>
        <v>18.5</v>
      </c>
      <c r="F41" s="75">
        <f>SUM(F39:F40)</f>
        <v>21.049999999999997</v>
      </c>
      <c r="G41" s="76">
        <f>+G39+G40</f>
        <v>18.399999999999999</v>
      </c>
      <c r="H41" s="6"/>
      <c r="I41" s="6"/>
      <c r="J41" s="116"/>
      <c r="K41" s="116"/>
      <c r="L41" s="116"/>
      <c r="M41" s="6"/>
      <c r="N41" s="116"/>
      <c r="O41" s="116"/>
      <c r="P41" s="116"/>
      <c r="Q41" s="116"/>
      <c r="R41" s="116"/>
      <c r="S41" s="116"/>
    </row>
    <row r="42" spans="1:19" x14ac:dyDescent="0.25">
      <c r="A42" s="17" t="s">
        <v>54</v>
      </c>
      <c r="B42" s="6"/>
      <c r="C42" s="6"/>
      <c r="D42" s="72"/>
      <c r="E42" s="77"/>
      <c r="F42" s="78">
        <f>D42-E42</f>
        <v>0</v>
      </c>
      <c r="G42" s="76">
        <v>0</v>
      </c>
      <c r="H42" s="6"/>
      <c r="I42" s="6"/>
      <c r="J42" s="116"/>
      <c r="K42" s="116"/>
      <c r="L42" s="116"/>
      <c r="M42" s="6"/>
      <c r="N42" s="116"/>
      <c r="O42" s="116"/>
      <c r="P42" s="116"/>
      <c r="Q42" s="116"/>
      <c r="R42" s="116"/>
      <c r="S42" s="116"/>
    </row>
    <row r="43" spans="1:19" x14ac:dyDescent="0.25">
      <c r="A43" s="17" t="s">
        <v>55</v>
      </c>
      <c r="B43" s="6"/>
      <c r="C43" s="6"/>
      <c r="D43" s="77">
        <v>248</v>
      </c>
      <c r="E43" s="77">
        <v>459</v>
      </c>
      <c r="F43" s="79">
        <f>+E43-D43</f>
        <v>211</v>
      </c>
      <c r="G43" s="70">
        <v>5794</v>
      </c>
      <c r="H43" s="6"/>
      <c r="I43" s="6"/>
      <c r="J43" s="116"/>
      <c r="K43" s="116"/>
      <c r="L43" s="116"/>
      <c r="M43" s="6"/>
      <c r="N43" s="116"/>
      <c r="O43" s="116"/>
      <c r="P43" s="116"/>
      <c r="Q43" s="116"/>
      <c r="R43" s="116"/>
      <c r="S43" s="116"/>
    </row>
    <row r="44" spans="1:19" ht="15.75" thickBot="1" x14ac:dyDescent="0.3">
      <c r="A44" s="26" t="s">
        <v>56</v>
      </c>
      <c r="B44" s="27"/>
      <c r="C44" s="27"/>
      <c r="D44" s="80">
        <v>116070</v>
      </c>
      <c r="E44" s="80">
        <v>252593</v>
      </c>
      <c r="F44" s="61">
        <f>+E44-D44</f>
        <v>136523</v>
      </c>
      <c r="G44" s="81">
        <v>2749073</v>
      </c>
      <c r="H44" s="6"/>
      <c r="I44" s="6"/>
      <c r="J44" s="116"/>
      <c r="K44" s="116"/>
      <c r="L44" s="116"/>
      <c r="M44" s="6"/>
      <c r="N44" s="116"/>
      <c r="O44" s="116"/>
      <c r="P44" s="116"/>
      <c r="Q44" s="116"/>
      <c r="R44" s="116"/>
      <c r="S44" s="116"/>
    </row>
    <row r="45" spans="1:19" x14ac:dyDescent="0.25">
      <c r="A45" s="6" t="s">
        <v>57</v>
      </c>
      <c r="B45" s="6"/>
      <c r="C45" s="6"/>
      <c r="D45" s="117">
        <v>3</v>
      </c>
      <c r="E45" s="41"/>
      <c r="F45" s="41"/>
      <c r="G45" s="116"/>
      <c r="H45" s="116"/>
      <c r="I45" s="116"/>
      <c r="J45" s="116"/>
      <c r="K45" s="116"/>
      <c r="L45" s="116"/>
      <c r="M45" s="6"/>
      <c r="N45" s="116"/>
      <c r="O45" s="116"/>
      <c r="P45" s="116"/>
      <c r="Q45" s="116"/>
      <c r="R45" s="116"/>
      <c r="S45" s="116"/>
    </row>
    <row r="46" spans="1:19" ht="15.75" thickBot="1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6"/>
      <c r="N46" s="116"/>
      <c r="O46" s="116"/>
      <c r="P46" s="116"/>
      <c r="Q46" s="116"/>
      <c r="R46" s="116"/>
      <c r="S46" s="116"/>
    </row>
    <row r="47" spans="1:19" x14ac:dyDescent="0.25">
      <c r="A47" s="82" t="s">
        <v>79</v>
      </c>
      <c r="B47" s="83"/>
      <c r="C47" s="83"/>
      <c r="D47" s="4"/>
      <c r="E47" s="4"/>
      <c r="F47" s="4"/>
      <c r="G47" s="4"/>
      <c r="H47" s="4"/>
      <c r="I47" s="5"/>
      <c r="J47" s="7"/>
      <c r="K47" s="4"/>
      <c r="L47" s="4"/>
      <c r="M47" s="4"/>
      <c r="N47" s="5"/>
      <c r="O47" s="116"/>
      <c r="P47" s="116"/>
      <c r="Q47" s="116"/>
      <c r="R47" s="116"/>
      <c r="S47" s="116"/>
    </row>
    <row r="48" spans="1:19" x14ac:dyDescent="0.25">
      <c r="A48" s="17"/>
      <c r="B48" s="6"/>
      <c r="C48" s="6"/>
      <c r="D48" s="6"/>
      <c r="E48" s="6"/>
      <c r="F48" s="6"/>
      <c r="G48" s="84" t="s">
        <v>58</v>
      </c>
      <c r="H48" s="6"/>
      <c r="I48" s="85"/>
      <c r="J48" s="17"/>
      <c r="K48" s="84" t="s">
        <v>59</v>
      </c>
      <c r="L48" s="6"/>
      <c r="M48" s="6"/>
      <c r="N48" s="85"/>
      <c r="O48" s="116"/>
      <c r="P48" s="116"/>
      <c r="Q48" s="116"/>
      <c r="R48" s="116"/>
      <c r="S48" s="116"/>
    </row>
    <row r="49" spans="1:19" ht="39" x14ac:dyDescent="0.25">
      <c r="A49" s="86" t="s">
        <v>10</v>
      </c>
      <c r="B49" s="87"/>
      <c r="C49" s="87"/>
      <c r="D49" s="6"/>
      <c r="E49" s="88" t="s">
        <v>60</v>
      </c>
      <c r="F49" s="89" t="s">
        <v>61</v>
      </c>
      <c r="G49" s="89" t="s">
        <v>62</v>
      </c>
      <c r="H49" s="89"/>
      <c r="I49" s="90" t="s">
        <v>63</v>
      </c>
      <c r="J49" s="91" t="s">
        <v>64</v>
      </c>
      <c r="K49" s="92" t="s">
        <v>65</v>
      </c>
      <c r="L49" s="92"/>
      <c r="M49" s="92"/>
      <c r="N49" s="93" t="s">
        <v>66</v>
      </c>
      <c r="O49" s="116"/>
      <c r="P49" s="116"/>
      <c r="Q49" s="116"/>
      <c r="R49" s="116"/>
      <c r="S49" s="116"/>
    </row>
    <row r="50" spans="1:19" x14ac:dyDescent="0.25">
      <c r="A50" s="118" t="s">
        <v>71</v>
      </c>
      <c r="B50" s="119"/>
      <c r="C50" s="119"/>
      <c r="D50" s="119" t="s">
        <v>3</v>
      </c>
      <c r="E50" s="120">
        <v>158.75</v>
      </c>
      <c r="F50" s="120">
        <v>8.75</v>
      </c>
      <c r="G50" s="120">
        <v>168.5</v>
      </c>
      <c r="H50" s="120"/>
      <c r="I50" s="121">
        <v>1776.39</v>
      </c>
      <c r="J50" s="98">
        <v>403.5</v>
      </c>
      <c r="K50" s="117">
        <v>18.25</v>
      </c>
      <c r="L50" s="117"/>
      <c r="M50" s="117"/>
      <c r="N50" s="99">
        <v>490.75</v>
      </c>
      <c r="O50" s="116"/>
      <c r="P50" s="116"/>
      <c r="Q50" s="116"/>
      <c r="R50" s="116"/>
      <c r="S50" s="116"/>
    </row>
    <row r="51" spans="1:19" x14ac:dyDescent="0.25">
      <c r="A51" s="122"/>
      <c r="B51" s="123"/>
      <c r="C51" s="123"/>
      <c r="D51" s="123" t="s">
        <v>4</v>
      </c>
      <c r="E51" s="124">
        <f>J50/D45</f>
        <v>134.5</v>
      </c>
      <c r="F51" s="124">
        <f>K50/D45</f>
        <v>6.083333333333333</v>
      </c>
      <c r="G51" s="124">
        <f>N50/D45</f>
        <v>163.58333333333334</v>
      </c>
      <c r="H51" s="124"/>
      <c r="I51" s="124"/>
      <c r="J51" s="103"/>
      <c r="K51" s="104"/>
      <c r="L51" s="104"/>
      <c r="M51" s="104"/>
      <c r="N51" s="105"/>
      <c r="O51" s="116"/>
      <c r="P51" s="116"/>
      <c r="Q51" s="116"/>
      <c r="R51" s="116"/>
      <c r="S51" s="116"/>
    </row>
    <row r="52" spans="1:19" x14ac:dyDescent="0.25">
      <c r="A52" s="118" t="s">
        <v>70</v>
      </c>
      <c r="B52" s="119"/>
      <c r="C52" s="119"/>
      <c r="D52" s="119" t="s">
        <v>3</v>
      </c>
      <c r="E52" s="120">
        <v>80</v>
      </c>
      <c r="F52" s="120">
        <v>0</v>
      </c>
      <c r="G52" s="120">
        <v>80</v>
      </c>
      <c r="H52" s="120"/>
      <c r="I52" s="121">
        <v>4239.41</v>
      </c>
      <c r="J52" s="126">
        <v>400</v>
      </c>
      <c r="K52" s="125">
        <v>0</v>
      </c>
      <c r="L52" s="117"/>
      <c r="M52" s="117"/>
      <c r="N52" s="129">
        <v>400</v>
      </c>
      <c r="O52" s="116"/>
      <c r="P52" s="116"/>
      <c r="Q52" s="116"/>
      <c r="R52" s="116"/>
      <c r="S52" s="116"/>
    </row>
    <row r="53" spans="1:19" x14ac:dyDescent="0.25">
      <c r="A53" s="122"/>
      <c r="B53" s="123"/>
      <c r="C53" s="123"/>
      <c r="D53" s="123" t="s">
        <v>4</v>
      </c>
      <c r="E53" s="124">
        <f>J52/D45</f>
        <v>133.33333333333334</v>
      </c>
      <c r="F53" s="124">
        <f>K52/D45</f>
        <v>0</v>
      </c>
      <c r="G53" s="124">
        <f>K52/D45</f>
        <v>0</v>
      </c>
      <c r="H53" s="124"/>
      <c r="I53" s="124"/>
      <c r="J53" s="127"/>
      <c r="K53" s="128"/>
      <c r="L53" s="131"/>
      <c r="M53" s="131"/>
      <c r="N53" s="130"/>
      <c r="O53" s="116"/>
      <c r="P53" s="116"/>
      <c r="Q53" s="116"/>
      <c r="R53" s="116"/>
      <c r="S53" s="116"/>
    </row>
    <row r="54" spans="1:19" x14ac:dyDescent="0.25">
      <c r="A54" s="118" t="s">
        <v>23</v>
      </c>
      <c r="B54" s="119"/>
      <c r="C54" s="119"/>
      <c r="D54" s="119" t="s">
        <v>3</v>
      </c>
      <c r="E54" s="120">
        <v>676.5</v>
      </c>
      <c r="F54" s="120">
        <v>5</v>
      </c>
      <c r="G54" s="120">
        <v>697.5</v>
      </c>
      <c r="H54" s="120"/>
      <c r="I54" s="121">
        <v>5303.16</v>
      </c>
      <c r="J54" s="98">
        <v>1839.5</v>
      </c>
      <c r="K54" s="117">
        <v>14.5</v>
      </c>
      <c r="L54" s="117"/>
      <c r="M54" s="117"/>
      <c r="N54" s="99">
        <v>2092.25</v>
      </c>
      <c r="O54" s="116"/>
      <c r="P54" s="116"/>
      <c r="Q54" s="116"/>
      <c r="R54" s="116"/>
      <c r="S54" s="116"/>
    </row>
    <row r="55" spans="1:19" x14ac:dyDescent="0.25">
      <c r="A55" s="122"/>
      <c r="B55" s="123"/>
      <c r="C55" s="123"/>
      <c r="D55" s="123" t="s">
        <v>4</v>
      </c>
      <c r="E55" s="124">
        <f>J54/D45</f>
        <v>613.16666666666663</v>
      </c>
      <c r="F55" s="124">
        <f>K54/D45</f>
        <v>4.833333333333333</v>
      </c>
      <c r="G55" s="124">
        <f>N54/D45</f>
        <v>697.41666666666663</v>
      </c>
      <c r="H55" s="124"/>
      <c r="I55" s="124"/>
      <c r="J55" s="103"/>
      <c r="K55" s="104"/>
      <c r="L55" s="104"/>
      <c r="M55" s="104"/>
      <c r="N55" s="105"/>
      <c r="O55" s="116"/>
      <c r="P55" s="116"/>
      <c r="Q55" s="116"/>
      <c r="R55" s="116"/>
      <c r="S55" s="116"/>
    </row>
    <row r="56" spans="1:19" x14ac:dyDescent="0.25">
      <c r="A56" s="118" t="s">
        <v>72</v>
      </c>
      <c r="B56" s="119"/>
      <c r="C56" s="119"/>
      <c r="D56" s="119" t="s">
        <v>3</v>
      </c>
      <c r="E56" s="120">
        <v>799.25</v>
      </c>
      <c r="F56" s="120">
        <v>12.75</v>
      </c>
      <c r="G56" s="120">
        <v>836</v>
      </c>
      <c r="H56" s="120"/>
      <c r="I56" s="121">
        <v>33604.21</v>
      </c>
      <c r="J56" s="98">
        <v>2117</v>
      </c>
      <c r="K56" s="117">
        <v>25.25</v>
      </c>
      <c r="L56" s="117"/>
      <c r="M56" s="117"/>
      <c r="N56" s="99">
        <v>2508.25</v>
      </c>
      <c r="O56" s="116"/>
      <c r="P56" s="116"/>
      <c r="Q56" s="116"/>
      <c r="R56" s="116"/>
      <c r="S56" s="116"/>
    </row>
    <row r="57" spans="1:19" x14ac:dyDescent="0.25">
      <c r="A57" s="122"/>
      <c r="B57" s="123"/>
      <c r="C57" s="123"/>
      <c r="D57" s="123" t="s">
        <v>4</v>
      </c>
      <c r="E57" s="124">
        <f>J56/D45</f>
        <v>705.66666666666663</v>
      </c>
      <c r="F57" s="124">
        <f>K56/D45</f>
        <v>8.4166666666666661</v>
      </c>
      <c r="G57" s="124">
        <f>N56/D45</f>
        <v>836.08333333333337</v>
      </c>
      <c r="H57" s="124"/>
      <c r="I57" s="124"/>
      <c r="J57" s="103"/>
      <c r="K57" s="104"/>
      <c r="L57" s="104"/>
      <c r="M57" s="104"/>
      <c r="N57" s="105"/>
      <c r="O57" s="116"/>
      <c r="P57" s="116"/>
      <c r="Q57" s="116"/>
      <c r="R57" s="116"/>
      <c r="S57" s="116"/>
    </row>
    <row r="58" spans="1:19" x14ac:dyDescent="0.25">
      <c r="A58" s="118" t="s">
        <v>73</v>
      </c>
      <c r="B58" s="119"/>
      <c r="C58" s="119"/>
      <c r="D58" s="119" t="s">
        <v>3</v>
      </c>
      <c r="E58" s="120">
        <v>947.75</v>
      </c>
      <c r="F58" s="120">
        <v>5.5</v>
      </c>
      <c r="G58" s="120">
        <v>992.25</v>
      </c>
      <c r="H58" s="120"/>
      <c r="I58" s="121">
        <v>28453.7</v>
      </c>
      <c r="J58" s="98">
        <v>2869.5</v>
      </c>
      <c r="K58" s="117">
        <v>15.25</v>
      </c>
      <c r="L58" s="117"/>
      <c r="M58" s="117"/>
      <c r="N58" s="99">
        <v>3166.75</v>
      </c>
      <c r="O58" s="116"/>
      <c r="P58" s="116"/>
      <c r="Q58" s="116"/>
      <c r="R58" s="116"/>
      <c r="S58" s="116"/>
    </row>
    <row r="59" spans="1:19" x14ac:dyDescent="0.25">
      <c r="A59" s="122"/>
      <c r="B59" s="123"/>
      <c r="C59" s="123"/>
      <c r="D59" s="123" t="s">
        <v>4</v>
      </c>
      <c r="E59" s="124">
        <f>J58/D45</f>
        <v>956.5</v>
      </c>
      <c r="F59" s="124">
        <f>K58/D45</f>
        <v>5.083333333333333</v>
      </c>
      <c r="G59" s="124">
        <f>N58/D45</f>
        <v>1055.5833333333333</v>
      </c>
      <c r="H59" s="124"/>
      <c r="I59" s="124"/>
      <c r="J59" s="103"/>
      <c r="K59" s="104"/>
      <c r="L59" s="104"/>
      <c r="M59" s="104"/>
      <c r="N59" s="105"/>
      <c r="O59" s="116"/>
      <c r="P59" s="116"/>
      <c r="Q59" s="116"/>
      <c r="R59" s="116"/>
      <c r="S59" s="116"/>
    </row>
    <row r="60" spans="1:19" x14ac:dyDescent="0.25">
      <c r="A60" s="118" t="s">
        <v>24</v>
      </c>
      <c r="B60" s="119"/>
      <c r="C60" s="119"/>
      <c r="D60" s="119" t="s">
        <v>3</v>
      </c>
      <c r="E60" s="120">
        <v>769.28332999999998</v>
      </c>
      <c r="F60" s="120">
        <v>21.3</v>
      </c>
      <c r="G60" s="120">
        <v>859.58333000000005</v>
      </c>
      <c r="H60" s="120"/>
      <c r="I60" s="121">
        <v>5364.25</v>
      </c>
      <c r="J60" s="98">
        <v>2130.5333300000002</v>
      </c>
      <c r="K60" s="117">
        <v>46.05</v>
      </c>
      <c r="L60" s="117"/>
      <c r="M60" s="117"/>
      <c r="N60" s="99">
        <v>2492.5833299999999</v>
      </c>
      <c r="O60" s="116"/>
      <c r="P60" s="116"/>
      <c r="Q60" s="116"/>
      <c r="R60" s="116"/>
      <c r="S60" s="116"/>
    </row>
    <row r="61" spans="1:19" x14ac:dyDescent="0.25">
      <c r="A61" s="122"/>
      <c r="B61" s="123"/>
      <c r="C61" s="123"/>
      <c r="D61" s="123" t="s">
        <v>4</v>
      </c>
      <c r="E61" s="124">
        <f>J60/D45</f>
        <v>710.17777666666677</v>
      </c>
      <c r="F61" s="124">
        <f>K60/D45</f>
        <v>15.35</v>
      </c>
      <c r="G61" s="124">
        <f>N60/D45</f>
        <v>830.86110999999994</v>
      </c>
      <c r="H61" s="124"/>
      <c r="I61" s="124"/>
      <c r="J61" s="103"/>
      <c r="K61" s="104"/>
      <c r="L61" s="104"/>
      <c r="M61" s="104"/>
      <c r="N61" s="105"/>
      <c r="O61" s="116"/>
      <c r="P61" s="116"/>
      <c r="Q61" s="116"/>
      <c r="R61" s="116"/>
      <c r="S61" s="116"/>
    </row>
    <row r="62" spans="1:19" x14ac:dyDescent="0.25">
      <c r="A62" s="118" t="s">
        <v>25</v>
      </c>
      <c r="B62" s="119"/>
      <c r="C62" s="119"/>
      <c r="D62" s="119" t="s">
        <v>3</v>
      </c>
      <c r="E62" s="120">
        <v>686.58</v>
      </c>
      <c r="F62" s="120">
        <v>37.25</v>
      </c>
      <c r="G62" s="120">
        <v>742.29666999999995</v>
      </c>
      <c r="H62" s="120"/>
      <c r="I62" s="121">
        <v>16447.580000000002</v>
      </c>
      <c r="J62" s="98">
        <v>2077.9900000000002</v>
      </c>
      <c r="K62" s="117">
        <v>80.25</v>
      </c>
      <c r="L62" s="117"/>
      <c r="M62" s="117"/>
      <c r="N62" s="99">
        <v>2329.29</v>
      </c>
      <c r="O62" s="116"/>
      <c r="P62" s="116"/>
      <c r="Q62" s="116"/>
      <c r="R62" s="116"/>
      <c r="S62" s="116"/>
    </row>
    <row r="63" spans="1:19" x14ac:dyDescent="0.25">
      <c r="A63" s="122"/>
      <c r="B63" s="123"/>
      <c r="C63" s="123"/>
      <c r="D63" s="123" t="s">
        <v>4</v>
      </c>
      <c r="E63" s="124">
        <f>J62/D45</f>
        <v>692.66333333333341</v>
      </c>
      <c r="F63" s="124">
        <f>K62/D45</f>
        <v>26.75</v>
      </c>
      <c r="G63" s="124">
        <f>N62/D45</f>
        <v>776.43</v>
      </c>
      <c r="H63" s="124"/>
      <c r="I63" s="124"/>
      <c r="J63" s="103"/>
      <c r="K63" s="104"/>
      <c r="L63" s="104"/>
      <c r="M63" s="104"/>
      <c r="N63" s="105"/>
      <c r="O63" s="116"/>
      <c r="P63" s="116"/>
      <c r="Q63" s="116"/>
      <c r="R63" s="116"/>
      <c r="S63" s="116"/>
    </row>
    <row r="64" spans="1:19" x14ac:dyDescent="0.25">
      <c r="A64" s="118" t="s">
        <v>67</v>
      </c>
      <c r="B64" s="119"/>
      <c r="C64" s="119"/>
      <c r="D64" s="119" t="s">
        <v>3</v>
      </c>
      <c r="E64" s="120">
        <v>1188.5</v>
      </c>
      <c r="F64" s="120">
        <v>34.25</v>
      </c>
      <c r="G64" s="120">
        <v>1286.75</v>
      </c>
      <c r="H64" s="120"/>
      <c r="I64" s="121">
        <v>18048.259999999998</v>
      </c>
      <c r="J64" s="98">
        <v>3496.75</v>
      </c>
      <c r="K64" s="117">
        <v>127.25</v>
      </c>
      <c r="L64" s="117"/>
      <c r="M64" s="117"/>
      <c r="N64" s="99">
        <v>3888</v>
      </c>
      <c r="O64" s="116"/>
      <c r="P64" s="116"/>
      <c r="Q64" s="116"/>
      <c r="R64" s="116"/>
      <c r="S64" s="116"/>
    </row>
    <row r="65" spans="1:19" x14ac:dyDescent="0.25">
      <c r="A65" s="122"/>
      <c r="B65" s="123"/>
      <c r="C65" s="123"/>
      <c r="D65" s="123" t="s">
        <v>4</v>
      </c>
      <c r="E65" s="124">
        <f>J64/D45</f>
        <v>1165.5833333333333</v>
      </c>
      <c r="F65" s="124">
        <f>K64/D45</f>
        <v>42.416666666666664</v>
      </c>
      <c r="G65" s="124">
        <f>N64/D45</f>
        <v>1296</v>
      </c>
      <c r="H65" s="124"/>
      <c r="I65" s="124"/>
      <c r="J65" s="106"/>
      <c r="K65" s="107"/>
      <c r="L65" s="107"/>
      <c r="M65" s="107"/>
      <c r="N65" s="108"/>
      <c r="O65" s="116"/>
      <c r="P65" s="116"/>
      <c r="Q65" s="116"/>
      <c r="R65" s="116"/>
      <c r="S65" s="116"/>
    </row>
    <row r="66" spans="1:19" x14ac:dyDescent="0.25">
      <c r="A66" s="118" t="s">
        <v>27</v>
      </c>
      <c r="B66" s="119"/>
      <c r="C66" s="119"/>
      <c r="D66" s="119" t="s">
        <v>3</v>
      </c>
      <c r="E66" s="120">
        <v>373.25</v>
      </c>
      <c r="F66" s="120">
        <v>1</v>
      </c>
      <c r="G66" s="120">
        <v>430.25</v>
      </c>
      <c r="H66" s="120"/>
      <c r="I66" s="121">
        <v>2232.14</v>
      </c>
      <c r="J66" s="98">
        <v>1153.75</v>
      </c>
      <c r="K66" s="117">
        <v>26.25</v>
      </c>
      <c r="L66" s="117"/>
      <c r="M66" s="117"/>
      <c r="N66" s="99">
        <v>1277</v>
      </c>
      <c r="O66" s="116"/>
      <c r="P66" s="116"/>
      <c r="Q66" s="116"/>
      <c r="R66" s="116"/>
      <c r="S66" s="116"/>
    </row>
    <row r="67" spans="1:19" x14ac:dyDescent="0.25">
      <c r="A67" s="122"/>
      <c r="B67" s="123"/>
      <c r="C67" s="123"/>
      <c r="D67" s="123" t="s">
        <v>4</v>
      </c>
      <c r="E67" s="124">
        <f>J66/D45</f>
        <v>384.58333333333331</v>
      </c>
      <c r="F67" s="124">
        <f>K66/D45</f>
        <v>8.75</v>
      </c>
      <c r="G67" s="124">
        <f>N66/D45</f>
        <v>425.66666666666669</v>
      </c>
      <c r="H67" s="124"/>
      <c r="I67" s="124"/>
      <c r="J67" s="103"/>
      <c r="K67" s="104"/>
      <c r="L67" s="104"/>
      <c r="M67" s="104"/>
      <c r="N67" s="105"/>
      <c r="O67" s="116"/>
      <c r="P67" s="116"/>
      <c r="Q67" s="116"/>
      <c r="R67" s="116"/>
      <c r="S67" s="116"/>
    </row>
    <row r="68" spans="1:19" x14ac:dyDescent="0.25">
      <c r="A68" s="118" t="s">
        <v>68</v>
      </c>
      <c r="B68" s="119"/>
      <c r="C68" s="119"/>
      <c r="D68" s="119" t="s">
        <v>3</v>
      </c>
      <c r="E68" s="120">
        <v>451</v>
      </c>
      <c r="F68" s="120">
        <v>3</v>
      </c>
      <c r="G68" s="120">
        <v>506</v>
      </c>
      <c r="H68" s="120"/>
      <c r="I68" s="121">
        <v>6785.29</v>
      </c>
      <c r="J68" s="98">
        <v>1340.75</v>
      </c>
      <c r="K68" s="117">
        <v>13.23333</v>
      </c>
      <c r="L68" s="117"/>
      <c r="M68" s="117"/>
      <c r="N68" s="99">
        <v>1565.95</v>
      </c>
      <c r="O68" s="116"/>
      <c r="P68" s="116"/>
      <c r="Q68" s="116"/>
      <c r="R68" s="116"/>
      <c r="S68" s="116"/>
    </row>
    <row r="69" spans="1:19" x14ac:dyDescent="0.25">
      <c r="A69" s="122"/>
      <c r="B69" s="123"/>
      <c r="C69" s="123"/>
      <c r="D69" s="123" t="s">
        <v>4</v>
      </c>
      <c r="E69" s="124">
        <f>J68/D45</f>
        <v>446.91666666666669</v>
      </c>
      <c r="F69" s="124">
        <f>K68/D45</f>
        <v>4.4111099999999999</v>
      </c>
      <c r="G69" s="124">
        <f>N68/D45</f>
        <v>521.98333333333335</v>
      </c>
      <c r="H69" s="124"/>
      <c r="I69" s="124"/>
      <c r="J69" s="103"/>
      <c r="K69" s="104"/>
      <c r="L69" s="104"/>
      <c r="M69" s="104"/>
      <c r="N69" s="105"/>
      <c r="O69" s="116"/>
      <c r="P69" s="116"/>
      <c r="Q69" s="116"/>
      <c r="R69" s="116"/>
      <c r="S69" s="116"/>
    </row>
    <row r="70" spans="1:19" x14ac:dyDescent="0.25">
      <c r="A70" s="118" t="s">
        <v>29</v>
      </c>
      <c r="B70" s="119"/>
      <c r="C70" s="119"/>
      <c r="D70" s="119" t="s">
        <v>3</v>
      </c>
      <c r="E70" s="120">
        <v>158.5</v>
      </c>
      <c r="F70" s="120">
        <v>0.25</v>
      </c>
      <c r="G70" s="120">
        <v>160.75</v>
      </c>
      <c r="H70" s="120"/>
      <c r="I70" s="121">
        <v>1823.79</v>
      </c>
      <c r="J70" s="98">
        <v>431.5</v>
      </c>
      <c r="K70" s="117">
        <v>0.5</v>
      </c>
      <c r="L70" s="117"/>
      <c r="M70" s="117"/>
      <c r="N70" s="99">
        <v>482</v>
      </c>
      <c r="O70" s="116"/>
      <c r="P70" s="116"/>
      <c r="Q70" s="116"/>
      <c r="R70" s="116"/>
      <c r="S70" s="116"/>
    </row>
    <row r="71" spans="1:19" x14ac:dyDescent="0.25">
      <c r="A71" s="122"/>
      <c r="B71" s="123"/>
      <c r="C71" s="123"/>
      <c r="D71" s="123" t="s">
        <v>4</v>
      </c>
      <c r="E71" s="124">
        <f>J70/D45</f>
        <v>143.83333333333334</v>
      </c>
      <c r="F71" s="124">
        <f>K70/D45</f>
        <v>0.16666666666666666</v>
      </c>
      <c r="G71" s="124">
        <f>N70/D45</f>
        <v>160.66666666666666</v>
      </c>
      <c r="H71" s="124"/>
      <c r="I71" s="124"/>
      <c r="J71" s="103"/>
      <c r="K71" s="104"/>
      <c r="L71" s="104"/>
      <c r="M71" s="104"/>
      <c r="N71" s="105"/>
      <c r="O71" s="116"/>
      <c r="P71" s="116"/>
      <c r="Q71" s="116"/>
      <c r="R71" s="116"/>
      <c r="S71" s="116"/>
    </row>
    <row r="72" spans="1:19" x14ac:dyDescent="0.25">
      <c r="A72" s="118" t="s">
        <v>30</v>
      </c>
      <c r="B72" s="119"/>
      <c r="C72" s="119"/>
      <c r="D72" s="119" t="s">
        <v>3</v>
      </c>
      <c r="E72" s="120">
        <v>80</v>
      </c>
      <c r="F72" s="120">
        <v>0</v>
      </c>
      <c r="G72" s="120">
        <v>80</v>
      </c>
      <c r="H72" s="120"/>
      <c r="I72" s="121">
        <v>1013.73</v>
      </c>
      <c r="J72" s="98">
        <v>240</v>
      </c>
      <c r="K72" s="117">
        <v>0</v>
      </c>
      <c r="L72" s="117"/>
      <c r="M72" s="117"/>
      <c r="N72" s="99">
        <v>240</v>
      </c>
      <c r="O72" s="116"/>
      <c r="P72" s="116"/>
      <c r="Q72" s="116"/>
      <c r="R72" s="116"/>
      <c r="S72" s="116"/>
    </row>
    <row r="73" spans="1:19" x14ac:dyDescent="0.25">
      <c r="A73" s="122"/>
      <c r="B73" s="123"/>
      <c r="C73" s="123"/>
      <c r="D73" s="123" t="s">
        <v>4</v>
      </c>
      <c r="E73" s="124">
        <f>J72/D45</f>
        <v>80</v>
      </c>
      <c r="F73" s="124">
        <f>K72/D45</f>
        <v>0</v>
      </c>
      <c r="G73" s="124">
        <f>N72/D45</f>
        <v>80</v>
      </c>
      <c r="H73" s="124"/>
      <c r="I73" s="124"/>
      <c r="J73" s="103"/>
      <c r="K73" s="104"/>
      <c r="L73" s="104"/>
      <c r="M73" s="104"/>
      <c r="N73" s="105"/>
      <c r="O73" s="116"/>
      <c r="P73" s="116"/>
      <c r="Q73" s="116"/>
      <c r="R73" s="116"/>
      <c r="S73" s="116"/>
    </row>
    <row r="74" spans="1:19" x14ac:dyDescent="0.25">
      <c r="A74" s="118" t="s">
        <v>31</v>
      </c>
      <c r="B74" s="119"/>
      <c r="C74" s="119"/>
      <c r="D74" s="119" t="s">
        <v>3</v>
      </c>
      <c r="E74" s="120">
        <v>216</v>
      </c>
      <c r="F74" s="120">
        <v>3.75</v>
      </c>
      <c r="G74" s="120">
        <v>219.75</v>
      </c>
      <c r="H74" s="120"/>
      <c r="I74" s="121">
        <v>2929.22</v>
      </c>
      <c r="J74" s="98">
        <v>621.5</v>
      </c>
      <c r="K74" s="117">
        <v>4.5</v>
      </c>
      <c r="L74" s="117"/>
      <c r="M74" s="117"/>
      <c r="N74" s="99">
        <v>700</v>
      </c>
      <c r="O74" s="116"/>
      <c r="P74" s="116"/>
      <c r="Q74" s="116"/>
      <c r="R74" s="116"/>
      <c r="S74" s="116"/>
    </row>
    <row r="75" spans="1:19" x14ac:dyDescent="0.25">
      <c r="A75" s="122"/>
      <c r="B75" s="123"/>
      <c r="C75" s="123"/>
      <c r="D75" s="123" t="s">
        <v>4</v>
      </c>
      <c r="E75" s="124">
        <f>J74/D45</f>
        <v>207.16666666666666</v>
      </c>
      <c r="F75" s="124">
        <f>K74/D45</f>
        <v>1.5</v>
      </c>
      <c r="G75" s="124">
        <f>N74/D45</f>
        <v>233.33333333333334</v>
      </c>
      <c r="H75" s="124"/>
      <c r="I75" s="124"/>
      <c r="J75" s="103"/>
      <c r="K75" s="104"/>
      <c r="L75" s="104"/>
      <c r="M75" s="104"/>
      <c r="N75" s="105"/>
      <c r="O75" s="116"/>
      <c r="P75" s="116"/>
      <c r="Q75" s="116"/>
      <c r="R75" s="116"/>
      <c r="S75" s="116"/>
    </row>
    <row r="76" spans="1:19" x14ac:dyDescent="0.25">
      <c r="A76" s="118" t="s">
        <v>32</v>
      </c>
      <c r="B76" s="119"/>
      <c r="C76" s="119"/>
      <c r="D76" s="119" t="s">
        <v>3</v>
      </c>
      <c r="E76" s="120">
        <v>133</v>
      </c>
      <c r="F76" s="120">
        <v>0</v>
      </c>
      <c r="G76" s="120">
        <v>133</v>
      </c>
      <c r="H76" s="120"/>
      <c r="I76" s="121">
        <v>902.98</v>
      </c>
      <c r="J76" s="98">
        <v>380.75</v>
      </c>
      <c r="K76" s="117">
        <v>0</v>
      </c>
      <c r="L76" s="117"/>
      <c r="M76" s="117"/>
      <c r="N76" s="99">
        <v>380.75</v>
      </c>
      <c r="O76" s="116"/>
      <c r="P76" s="116"/>
      <c r="Q76" s="116"/>
      <c r="R76" s="116"/>
      <c r="S76" s="116"/>
    </row>
    <row r="77" spans="1:19" x14ac:dyDescent="0.25">
      <c r="A77" s="122"/>
      <c r="B77" s="123"/>
      <c r="C77" s="123"/>
      <c r="D77" s="123" t="s">
        <v>4</v>
      </c>
      <c r="E77" s="124">
        <f>J76/D45</f>
        <v>126.91666666666667</v>
      </c>
      <c r="F77" s="124">
        <f>K76/D45</f>
        <v>0</v>
      </c>
      <c r="G77" s="124">
        <f>N76/D45</f>
        <v>126.91666666666667</v>
      </c>
      <c r="H77" s="124"/>
      <c r="I77" s="124"/>
      <c r="J77" s="103"/>
      <c r="K77" s="104"/>
      <c r="L77" s="104"/>
      <c r="M77" s="104"/>
      <c r="N77" s="105"/>
      <c r="O77" s="116"/>
      <c r="P77" s="116"/>
      <c r="Q77" s="116"/>
      <c r="R77" s="116"/>
      <c r="S77" s="116"/>
    </row>
    <row r="78" spans="1:19" x14ac:dyDescent="0.25">
      <c r="A78" s="118" t="s">
        <v>33</v>
      </c>
      <c r="B78" s="119"/>
      <c r="C78" s="119"/>
      <c r="D78" s="119" t="s">
        <v>3</v>
      </c>
      <c r="E78" s="120">
        <v>1621.25</v>
      </c>
      <c r="F78" s="120">
        <v>68</v>
      </c>
      <c r="G78" s="120">
        <v>1734.25</v>
      </c>
      <c r="H78" s="120"/>
      <c r="I78" s="121">
        <v>24090.85</v>
      </c>
      <c r="J78" s="98">
        <v>4524</v>
      </c>
      <c r="K78" s="117">
        <v>200.75</v>
      </c>
      <c r="L78" s="117"/>
      <c r="M78" s="117"/>
      <c r="N78" s="99">
        <v>5198.75</v>
      </c>
      <c r="O78" s="116"/>
      <c r="P78" s="116"/>
      <c r="Q78" s="116"/>
      <c r="R78" s="116"/>
      <c r="S78" s="116"/>
    </row>
    <row r="79" spans="1:19" x14ac:dyDescent="0.25">
      <c r="A79" s="122"/>
      <c r="B79" s="123"/>
      <c r="C79" s="123"/>
      <c r="D79" s="123" t="s">
        <v>4</v>
      </c>
      <c r="E79" s="124">
        <f>J78/D45</f>
        <v>1508</v>
      </c>
      <c r="F79" s="124">
        <f>K78/D45</f>
        <v>66.916666666666671</v>
      </c>
      <c r="G79" s="124">
        <f>N78/D45</f>
        <v>1732.9166666666667</v>
      </c>
      <c r="H79" s="124"/>
      <c r="I79" s="124"/>
      <c r="J79" s="103"/>
      <c r="K79" s="104"/>
      <c r="L79" s="104"/>
      <c r="M79" s="104"/>
      <c r="N79" s="105"/>
      <c r="O79" s="116"/>
      <c r="P79" s="116"/>
      <c r="Q79" s="116"/>
      <c r="R79" s="116"/>
      <c r="S79" s="116"/>
    </row>
    <row r="80" spans="1:19" x14ac:dyDescent="0.25">
      <c r="A80" s="118" t="s">
        <v>34</v>
      </c>
      <c r="B80" s="119"/>
      <c r="C80" s="119"/>
      <c r="D80" s="119" t="s">
        <v>3</v>
      </c>
      <c r="E80" s="120">
        <v>203</v>
      </c>
      <c r="F80" s="120">
        <v>0</v>
      </c>
      <c r="G80" s="120">
        <v>229</v>
      </c>
      <c r="H80" s="120"/>
      <c r="I80" s="121">
        <v>3292.61</v>
      </c>
      <c r="J80" s="98">
        <v>583.25</v>
      </c>
      <c r="K80" s="117">
        <v>0</v>
      </c>
      <c r="L80" s="117"/>
      <c r="M80" s="117"/>
      <c r="N80" s="99">
        <v>682.25</v>
      </c>
      <c r="O80" s="116"/>
      <c r="P80" s="116"/>
      <c r="Q80" s="116"/>
      <c r="R80" s="116"/>
      <c r="S80" s="116"/>
    </row>
    <row r="81" spans="1:19" x14ac:dyDescent="0.25">
      <c r="A81" s="122"/>
      <c r="B81" s="123"/>
      <c r="C81" s="123"/>
      <c r="D81" s="123" t="s">
        <v>4</v>
      </c>
      <c r="E81" s="124">
        <f>J80/D45</f>
        <v>194.41666666666666</v>
      </c>
      <c r="F81" s="124">
        <f>K80/D45</f>
        <v>0</v>
      </c>
      <c r="G81" s="124">
        <f>N80/D45</f>
        <v>227.41666666666666</v>
      </c>
      <c r="H81" s="124"/>
      <c r="I81" s="124"/>
      <c r="J81" s="103"/>
      <c r="K81" s="104"/>
      <c r="L81" s="104"/>
      <c r="M81" s="104"/>
      <c r="N81" s="105"/>
      <c r="O81" s="116"/>
      <c r="P81" s="116"/>
      <c r="Q81" s="116"/>
      <c r="R81" s="116"/>
      <c r="S81" s="116"/>
    </row>
    <row r="82" spans="1:19" x14ac:dyDescent="0.25">
      <c r="A82" s="118" t="s">
        <v>35</v>
      </c>
      <c r="B82" s="119"/>
      <c r="C82" s="119"/>
      <c r="D82" s="119" t="s">
        <v>3</v>
      </c>
      <c r="E82" s="120">
        <v>263</v>
      </c>
      <c r="F82" s="120">
        <v>0</v>
      </c>
      <c r="G82" s="120">
        <v>279</v>
      </c>
      <c r="H82" s="120"/>
      <c r="I82" s="121">
        <v>3518.73</v>
      </c>
      <c r="J82" s="98">
        <v>795.75</v>
      </c>
      <c r="K82" s="117">
        <v>0.5</v>
      </c>
      <c r="L82" s="117"/>
      <c r="M82" s="117"/>
      <c r="N82" s="99">
        <v>914.25</v>
      </c>
      <c r="O82" s="116"/>
      <c r="P82" s="116"/>
      <c r="Q82" s="116"/>
      <c r="R82" s="116"/>
      <c r="S82" s="116"/>
    </row>
    <row r="83" spans="1:19" x14ac:dyDescent="0.25">
      <c r="A83" s="122"/>
      <c r="B83" s="123"/>
      <c r="C83" s="123"/>
      <c r="D83" s="123" t="s">
        <v>4</v>
      </c>
      <c r="E83" s="124">
        <f>J82/D45</f>
        <v>265.25</v>
      </c>
      <c r="F83" s="124">
        <f>K82/D45</f>
        <v>0.16666666666666666</v>
      </c>
      <c r="G83" s="124">
        <f>N82/D45</f>
        <v>304.75</v>
      </c>
      <c r="H83" s="124"/>
      <c r="I83" s="124"/>
      <c r="J83" s="103"/>
      <c r="K83" s="104"/>
      <c r="L83" s="104"/>
      <c r="M83" s="104"/>
      <c r="N83" s="105"/>
      <c r="O83" s="116"/>
      <c r="P83" s="116"/>
      <c r="Q83" s="116"/>
      <c r="R83" s="116"/>
      <c r="S83" s="116"/>
    </row>
    <row r="84" spans="1:19" x14ac:dyDescent="0.25">
      <c r="A84" s="118" t="s">
        <v>38</v>
      </c>
      <c r="B84" s="119"/>
      <c r="C84" s="119"/>
      <c r="D84" s="119" t="s">
        <v>3</v>
      </c>
      <c r="E84" s="120">
        <v>102.75</v>
      </c>
      <c r="F84" s="120">
        <v>3.25</v>
      </c>
      <c r="G84" s="120">
        <v>117</v>
      </c>
      <c r="H84" s="120"/>
      <c r="I84" s="121">
        <v>3025.41</v>
      </c>
      <c r="J84" s="98">
        <v>302.5</v>
      </c>
      <c r="K84" s="117">
        <v>6</v>
      </c>
      <c r="L84" s="117"/>
      <c r="M84" s="117"/>
      <c r="N84" s="99">
        <v>342.5</v>
      </c>
      <c r="O84" s="116"/>
      <c r="P84" s="116"/>
      <c r="Q84" s="116"/>
      <c r="R84" s="116"/>
      <c r="S84" s="116"/>
    </row>
    <row r="85" spans="1:19" x14ac:dyDescent="0.25">
      <c r="A85" s="122"/>
      <c r="B85" s="123"/>
      <c r="C85" s="123"/>
      <c r="D85" s="123" t="s">
        <v>4</v>
      </c>
      <c r="E85" s="124">
        <f>J84/D45</f>
        <v>100.83333333333333</v>
      </c>
      <c r="F85" s="124">
        <f>K84/D45</f>
        <v>2</v>
      </c>
      <c r="G85" s="124">
        <f>N84/D45</f>
        <v>114.16666666666667</v>
      </c>
      <c r="H85" s="124"/>
      <c r="I85" s="124"/>
      <c r="J85" s="103"/>
      <c r="K85" s="104"/>
      <c r="L85" s="104"/>
      <c r="M85" s="104"/>
      <c r="N85" s="105"/>
      <c r="O85" s="116"/>
      <c r="P85" s="116"/>
      <c r="Q85" s="116"/>
      <c r="R85" s="116"/>
      <c r="S85" s="116"/>
    </row>
    <row r="86" spans="1:19" x14ac:dyDescent="0.25">
      <c r="A86" s="118" t="s">
        <v>39</v>
      </c>
      <c r="B86" s="119"/>
      <c r="C86" s="119"/>
      <c r="D86" s="119" t="s">
        <v>3</v>
      </c>
      <c r="E86" s="120">
        <v>80</v>
      </c>
      <c r="F86" s="120">
        <v>2.75</v>
      </c>
      <c r="G86" s="120">
        <v>82.75</v>
      </c>
      <c r="H86" s="120"/>
      <c r="I86" s="121">
        <v>557.63</v>
      </c>
      <c r="J86" s="98">
        <v>196</v>
      </c>
      <c r="K86" s="117">
        <v>7</v>
      </c>
      <c r="L86" s="117"/>
      <c r="M86" s="117"/>
      <c r="N86" s="99">
        <v>247</v>
      </c>
      <c r="O86" s="116"/>
      <c r="P86" s="116"/>
      <c r="Q86" s="116"/>
      <c r="R86" s="116"/>
      <c r="S86" s="116"/>
    </row>
    <row r="87" spans="1:19" x14ac:dyDescent="0.25">
      <c r="A87" s="122"/>
      <c r="B87" s="123"/>
      <c r="C87" s="123"/>
      <c r="D87" s="123" t="s">
        <v>4</v>
      </c>
      <c r="E87" s="124">
        <f>J86/D45</f>
        <v>65.333333333333329</v>
      </c>
      <c r="F87" s="124">
        <f>K86/D45</f>
        <v>2.3333333333333335</v>
      </c>
      <c r="G87" s="124">
        <f>N86/D45</f>
        <v>82.333333333333329</v>
      </c>
      <c r="H87" s="124"/>
      <c r="I87" s="124"/>
      <c r="J87" s="103"/>
      <c r="K87" s="104"/>
      <c r="L87" s="104"/>
      <c r="M87" s="104"/>
      <c r="N87" s="105"/>
      <c r="O87" s="116"/>
      <c r="P87" s="116"/>
      <c r="Q87" s="116"/>
      <c r="R87" s="116"/>
      <c r="S87" s="116"/>
    </row>
    <row r="88" spans="1:19" x14ac:dyDescent="0.25">
      <c r="A88" s="118" t="s">
        <v>40</v>
      </c>
      <c r="B88" s="119"/>
      <c r="C88" s="119"/>
      <c r="D88" s="119" t="s">
        <v>3</v>
      </c>
      <c r="E88" s="120">
        <v>426.5</v>
      </c>
      <c r="F88" s="120">
        <v>10.91667</v>
      </c>
      <c r="G88" s="120">
        <v>467.41667000000001</v>
      </c>
      <c r="H88" s="120"/>
      <c r="I88" s="121">
        <v>6378.56</v>
      </c>
      <c r="J88" s="98">
        <v>1255.75</v>
      </c>
      <c r="K88" s="117">
        <v>41.166669999999996</v>
      </c>
      <c r="L88" s="117"/>
      <c r="M88" s="117"/>
      <c r="N88" s="99">
        <v>1419.9166700000001</v>
      </c>
      <c r="O88" s="116"/>
      <c r="P88" s="116"/>
      <c r="Q88" s="116"/>
      <c r="R88" s="116"/>
      <c r="S88" s="116"/>
    </row>
    <row r="89" spans="1:19" x14ac:dyDescent="0.25">
      <c r="A89" s="122"/>
      <c r="B89" s="123"/>
      <c r="C89" s="123"/>
      <c r="D89" s="123" t="s">
        <v>4</v>
      </c>
      <c r="E89" s="124">
        <f>J88/D45</f>
        <v>418.58333333333331</v>
      </c>
      <c r="F89" s="124">
        <f>K88/D45</f>
        <v>13.722223333333332</v>
      </c>
      <c r="G89" s="124">
        <f>N88/D45</f>
        <v>473.30555666666669</v>
      </c>
      <c r="H89" s="124"/>
      <c r="I89" s="124"/>
      <c r="J89" s="103"/>
      <c r="K89" s="104"/>
      <c r="L89" s="104"/>
      <c r="M89" s="104"/>
      <c r="N89" s="105"/>
      <c r="O89" s="116"/>
      <c r="P89" s="116"/>
      <c r="Q89" s="116"/>
      <c r="R89" s="116"/>
      <c r="S89" s="116"/>
    </row>
    <row r="90" spans="1:19" x14ac:dyDescent="0.25">
      <c r="A90" s="118" t="s">
        <v>69</v>
      </c>
      <c r="B90" s="119"/>
      <c r="C90" s="119"/>
      <c r="D90" s="119" t="s">
        <v>3</v>
      </c>
      <c r="E90" s="120">
        <v>400.75</v>
      </c>
      <c r="F90" s="120">
        <v>8.75</v>
      </c>
      <c r="G90" s="120">
        <v>446.5</v>
      </c>
      <c r="H90" s="120"/>
      <c r="I90" s="121">
        <v>6032.84</v>
      </c>
      <c r="J90" s="98">
        <v>1335.5</v>
      </c>
      <c r="K90" s="117">
        <v>44.25</v>
      </c>
      <c r="L90" s="117"/>
      <c r="M90" s="117"/>
      <c r="N90" s="99">
        <v>1554.75</v>
      </c>
      <c r="O90" s="116"/>
      <c r="P90" s="116"/>
      <c r="Q90" s="116"/>
      <c r="R90" s="116"/>
      <c r="S90" s="116"/>
    </row>
    <row r="91" spans="1:19" ht="15.75" thickBot="1" x14ac:dyDescent="0.3">
      <c r="A91" s="26"/>
      <c r="B91" s="27"/>
      <c r="C91" s="27"/>
      <c r="D91" s="27" t="s">
        <v>4</v>
      </c>
      <c r="E91" s="109">
        <f>J90/D45</f>
        <v>445.16666666666669</v>
      </c>
      <c r="F91" s="109">
        <f>K90/D45</f>
        <v>14.75</v>
      </c>
      <c r="G91" s="109">
        <f>N90/D45</f>
        <v>518.25</v>
      </c>
      <c r="H91" s="109"/>
      <c r="I91" s="109"/>
      <c r="J91" s="110"/>
      <c r="K91" s="111"/>
      <c r="L91" s="111"/>
      <c r="M91" s="111"/>
      <c r="N91" s="112"/>
      <c r="O91" s="116"/>
      <c r="P91" s="113"/>
      <c r="Q91" s="116"/>
      <c r="R91" s="116"/>
      <c r="S91" s="116"/>
    </row>
    <row r="92" spans="1:19" x14ac:dyDescent="0.25">
      <c r="A92" s="114"/>
      <c r="B92" s="114"/>
      <c r="C92" s="114"/>
      <c r="D92" s="114"/>
      <c r="E92" s="115"/>
      <c r="F92" s="115"/>
      <c r="G92" s="115"/>
    </row>
    <row r="93" spans="1:19" x14ac:dyDescent="0.25">
      <c r="A93" s="114"/>
      <c r="B93" s="114"/>
      <c r="C93" s="114"/>
      <c r="D93" s="114"/>
      <c r="E93" s="115"/>
      <c r="F93" s="115"/>
      <c r="G93" s="115"/>
    </row>
    <row r="94" spans="1:19" x14ac:dyDescent="0.25">
      <c r="A94" s="114"/>
      <c r="B94" s="114"/>
      <c r="C94" s="114"/>
      <c r="D94" s="114"/>
      <c r="E94" s="115"/>
      <c r="F94" s="115"/>
      <c r="G94" s="115"/>
    </row>
  </sheetData>
  <pageMargins left="0.7" right="0.7" top="0.75" bottom="0.75" header="0.3" footer="0.3"/>
  <pageSetup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tabSelected="1" topLeftCell="A4" workbookViewId="0">
      <selection activeCell="G21" sqref="G21"/>
    </sheetView>
  </sheetViews>
  <sheetFormatPr defaultRowHeight="15" x14ac:dyDescent="0.25"/>
  <cols>
    <col min="1" max="1" width="20.28515625" customWidth="1"/>
    <col min="2" max="2" width="12.28515625" hidden="1" customWidth="1"/>
    <col min="3" max="3" width="12.42578125" hidden="1" customWidth="1"/>
    <col min="4" max="4" width="12" customWidth="1"/>
    <col min="5" max="5" width="11.42578125" customWidth="1"/>
    <col min="6" max="6" width="12.140625" customWidth="1"/>
    <col min="7" max="7" width="15.28515625" bestFit="1" customWidth="1"/>
    <col min="8" max="8" width="8.85546875" customWidth="1"/>
    <col min="9" max="9" width="10.85546875" customWidth="1"/>
    <col min="10" max="10" width="10.28515625" customWidth="1"/>
    <col min="11" max="11" width="9.140625" bestFit="1" customWidth="1"/>
    <col min="12" max="12" width="6.85546875" hidden="1" customWidth="1"/>
    <col min="13" max="13" width="10.85546875" hidden="1" customWidth="1"/>
    <col min="14" max="14" width="11.7109375" customWidth="1"/>
    <col min="15" max="15" width="11.140625" customWidth="1"/>
    <col min="16" max="16" width="9.7109375" customWidth="1"/>
    <col min="17" max="17" width="9.42578125" customWidth="1"/>
    <col min="18" max="18" width="8.85546875" customWidth="1"/>
    <col min="19" max="19" width="9" customWidth="1"/>
    <col min="20" max="20" width="11.7109375" customWidth="1"/>
    <col min="22" max="22" width="11.140625" customWidth="1"/>
  </cols>
  <sheetData>
    <row r="1" spans="1:23" ht="26.25" x14ac:dyDescent="0.25">
      <c r="A1" s="1" t="s">
        <v>0</v>
      </c>
      <c r="B1" s="2"/>
      <c r="C1" s="2"/>
      <c r="D1" s="3"/>
      <c r="E1" s="4"/>
      <c r="F1" s="5"/>
      <c r="G1" s="6"/>
      <c r="H1" s="7" t="s">
        <v>1</v>
      </c>
      <c r="I1" s="4"/>
      <c r="J1" s="4"/>
      <c r="K1" s="8">
        <v>260747</v>
      </c>
      <c r="L1" s="4"/>
      <c r="M1" s="9">
        <v>244806</v>
      </c>
      <c r="N1" s="6"/>
      <c r="O1" s="10"/>
      <c r="P1" s="6" t="s">
        <v>2</v>
      </c>
      <c r="Q1" s="116"/>
      <c r="R1" s="116"/>
      <c r="S1" s="116"/>
    </row>
    <row r="2" spans="1:23" ht="30.75" customHeight="1" x14ac:dyDescent="0.25">
      <c r="A2" s="12"/>
      <c r="B2" s="13"/>
      <c r="C2" s="13"/>
      <c r="D2" s="14" t="s">
        <v>3</v>
      </c>
      <c r="E2" s="15" t="s">
        <v>4</v>
      </c>
      <c r="F2" s="16" t="s">
        <v>5</v>
      </c>
      <c r="G2" s="13"/>
      <c r="H2" s="17" t="s">
        <v>6</v>
      </c>
      <c r="I2" s="6"/>
      <c r="J2" s="6"/>
      <c r="K2" s="18">
        <v>255491</v>
      </c>
      <c r="L2" s="6"/>
      <c r="M2" s="19">
        <v>240561</v>
      </c>
      <c r="N2" s="116"/>
      <c r="O2" s="20"/>
      <c r="P2" s="6" t="s">
        <v>7</v>
      </c>
      <c r="Q2" s="116"/>
      <c r="R2" s="116"/>
      <c r="S2" s="116"/>
    </row>
    <row r="3" spans="1:23" ht="30" customHeight="1" thickBot="1" x14ac:dyDescent="0.3">
      <c r="A3" s="21" t="s">
        <v>8</v>
      </c>
      <c r="B3" s="22"/>
      <c r="C3" s="22"/>
      <c r="D3" s="23">
        <f>+G29/F38</f>
        <v>3.0336584983633688</v>
      </c>
      <c r="E3" s="24">
        <f>+Q29/E38</f>
        <v>2.8397704531148111</v>
      </c>
      <c r="F3" s="25">
        <f>+H29/G38</f>
        <v>2.5673424746981297</v>
      </c>
      <c r="G3" s="6"/>
      <c r="H3" s="26" t="s">
        <v>9</v>
      </c>
      <c r="I3" s="27"/>
      <c r="J3" s="27"/>
      <c r="K3" s="28">
        <f>K1-K2</f>
        <v>5256</v>
      </c>
      <c r="L3" s="27"/>
      <c r="M3" s="29">
        <f>M1-M2</f>
        <v>4245</v>
      </c>
      <c r="N3" s="116"/>
      <c r="O3" s="116"/>
      <c r="P3" s="116"/>
      <c r="Q3" s="116"/>
      <c r="R3" s="116"/>
      <c r="S3" s="116"/>
    </row>
    <row r="4" spans="1:23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</row>
    <row r="5" spans="1:23" ht="15.75" thickBot="1" x14ac:dyDescent="0.3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</row>
    <row r="6" spans="1:23" x14ac:dyDescent="0.25">
      <c r="A6" s="30" t="s">
        <v>10</v>
      </c>
      <c r="B6" s="31"/>
      <c r="C6" s="31"/>
      <c r="D6" s="32"/>
      <c r="E6" s="33"/>
      <c r="F6" s="31" t="s">
        <v>3</v>
      </c>
      <c r="G6" s="33"/>
      <c r="H6" s="34"/>
      <c r="I6" s="34"/>
      <c r="J6" s="34"/>
      <c r="K6" s="33"/>
      <c r="L6" s="33"/>
      <c r="M6" s="33"/>
      <c r="N6" s="32"/>
      <c r="O6" s="31" t="s">
        <v>4</v>
      </c>
      <c r="P6" s="33"/>
      <c r="Q6" s="34"/>
      <c r="R6" s="33"/>
      <c r="S6" s="33"/>
      <c r="T6" s="33"/>
      <c r="U6" s="33"/>
      <c r="V6" s="35"/>
    </row>
    <row r="7" spans="1:23" ht="39" x14ac:dyDescent="0.25">
      <c r="A7" s="17"/>
      <c r="B7" s="13" t="s">
        <v>11</v>
      </c>
      <c r="C7" s="13" t="s">
        <v>12</v>
      </c>
      <c r="D7" s="36" t="s">
        <v>13</v>
      </c>
      <c r="E7" s="37" t="s">
        <v>14</v>
      </c>
      <c r="F7" s="37" t="s">
        <v>15</v>
      </c>
      <c r="G7" s="37" t="s">
        <v>16</v>
      </c>
      <c r="H7" s="37" t="s">
        <v>17</v>
      </c>
      <c r="I7" s="37" t="s">
        <v>18</v>
      </c>
      <c r="J7" s="37" t="s">
        <v>19</v>
      </c>
      <c r="K7" s="38" t="s">
        <v>20</v>
      </c>
      <c r="L7" s="37" t="s">
        <v>11</v>
      </c>
      <c r="M7" s="37" t="s">
        <v>12</v>
      </c>
      <c r="N7" s="37" t="s">
        <v>13</v>
      </c>
      <c r="O7" s="37" t="s">
        <v>14</v>
      </c>
      <c r="P7" s="37" t="s">
        <v>15</v>
      </c>
      <c r="Q7" s="37" t="s">
        <v>16</v>
      </c>
      <c r="R7" s="37" t="s">
        <v>17</v>
      </c>
      <c r="S7" s="37" t="s">
        <v>18</v>
      </c>
      <c r="T7" s="37" t="s">
        <v>19</v>
      </c>
      <c r="U7" s="37" t="s">
        <v>20</v>
      </c>
      <c r="V7" s="39" t="s">
        <v>21</v>
      </c>
    </row>
    <row r="8" spans="1:23" x14ac:dyDescent="0.25">
      <c r="A8" s="17" t="s">
        <v>22</v>
      </c>
      <c r="B8" s="6"/>
      <c r="C8" s="6"/>
      <c r="D8" s="40">
        <f>+E50/80</f>
        <v>1.95</v>
      </c>
      <c r="E8" s="41">
        <f>+F50/80</f>
        <v>0.1</v>
      </c>
      <c r="F8" s="41">
        <f t="shared" ref="F8:F27" si="0">+G8-D8-E8</f>
        <v>7.5000000000000039E-2</v>
      </c>
      <c r="G8" s="41">
        <f>+G50/80</f>
        <v>2.125</v>
      </c>
      <c r="H8" s="41">
        <v>2</v>
      </c>
      <c r="I8" s="41">
        <f t="shared" ref="I8:I27" si="1">SUM(G8-H8)</f>
        <v>0.125</v>
      </c>
      <c r="J8" s="41"/>
      <c r="K8" s="42">
        <f t="shared" ref="K8:K27" si="2">+E8/G8</f>
        <v>4.7058823529411764E-2</v>
      </c>
      <c r="L8" s="43"/>
      <c r="M8" s="44"/>
      <c r="N8" s="41">
        <f>+E51/80</f>
        <v>1.7484375000000001</v>
      </c>
      <c r="O8" s="41">
        <f>+F51/80</f>
        <v>8.203125E-2</v>
      </c>
      <c r="P8" s="41">
        <f t="shared" ref="P8:P27" si="3">Q8-N8-O8</f>
        <v>0.234375</v>
      </c>
      <c r="Q8" s="41">
        <f>+G51/80</f>
        <v>2.0648437500000001</v>
      </c>
      <c r="R8" s="41">
        <v>2</v>
      </c>
      <c r="S8" s="41">
        <f t="shared" ref="S8:S27" si="4">+Q8-R8</f>
        <v>6.4843750000000089E-2</v>
      </c>
      <c r="T8" s="41"/>
      <c r="U8" s="44">
        <f t="shared" ref="U8:U27" si="5">+O8/Q8</f>
        <v>3.9727582292849034E-2</v>
      </c>
      <c r="V8" s="45">
        <f>+I50/G51*80*S8</f>
        <v>56.355838062807486</v>
      </c>
      <c r="W8" s="46"/>
    </row>
    <row r="9" spans="1:23" x14ac:dyDescent="0.25">
      <c r="A9" s="17" t="s">
        <v>23</v>
      </c>
      <c r="B9" s="43"/>
      <c r="C9" s="41"/>
      <c r="D9" s="40">
        <f>+E54/80</f>
        <v>8.1156249999999996</v>
      </c>
      <c r="E9" s="41">
        <f>+F54/80</f>
        <v>0.121875</v>
      </c>
      <c r="F9" s="41">
        <f t="shared" si="0"/>
        <v>0.23749999999999999</v>
      </c>
      <c r="G9" s="41">
        <f>+G54/80</f>
        <v>8.4749999999999996</v>
      </c>
      <c r="H9" s="41">
        <v>9.15</v>
      </c>
      <c r="I9" s="41">
        <f t="shared" si="1"/>
        <v>-0.67500000000000071</v>
      </c>
      <c r="J9" s="41"/>
      <c r="K9" s="42">
        <f t="shared" si="2"/>
        <v>1.4380530973451327E-2</v>
      </c>
      <c r="L9" s="43"/>
      <c r="M9" s="41"/>
      <c r="N9" s="41">
        <f>+E55/80</f>
        <v>7.77734375</v>
      </c>
      <c r="O9" s="41">
        <f>+F55/80</f>
        <v>7.5781249999999994E-2</v>
      </c>
      <c r="P9" s="41">
        <f t="shared" si="3"/>
        <v>0.80390624999999927</v>
      </c>
      <c r="Q9" s="41">
        <f>+G55/80</f>
        <v>8.6570312499999993</v>
      </c>
      <c r="R9" s="41">
        <v>9.15</v>
      </c>
      <c r="S9" s="41">
        <f t="shared" si="4"/>
        <v>-0.49296875000000107</v>
      </c>
      <c r="T9" s="41"/>
      <c r="U9" s="44">
        <f t="shared" si="5"/>
        <v>8.753722588214061E-3</v>
      </c>
      <c r="V9" s="45">
        <f>+I54/G55*80*S9</f>
        <v>-296.41795866799089</v>
      </c>
      <c r="W9" s="46"/>
    </row>
    <row r="10" spans="1:23" x14ac:dyDescent="0.25">
      <c r="A10" s="17" t="s">
        <v>24</v>
      </c>
      <c r="B10" s="6"/>
      <c r="C10" s="41"/>
      <c r="D10" s="40">
        <f>+E60/80</f>
        <v>8.9937500000000004</v>
      </c>
      <c r="E10" s="41">
        <f>+F60/80</f>
        <v>8.4375000000000006E-2</v>
      </c>
      <c r="F10" s="41">
        <f t="shared" si="0"/>
        <v>1.2124999999999999</v>
      </c>
      <c r="G10" s="41">
        <f>+G60/80</f>
        <v>10.290625</v>
      </c>
      <c r="H10" s="41">
        <v>10.11</v>
      </c>
      <c r="I10" s="41">
        <f t="shared" si="1"/>
        <v>0.18062500000000092</v>
      </c>
      <c r="J10" s="41"/>
      <c r="K10" s="42">
        <f t="shared" si="2"/>
        <v>8.1992104464014576E-3</v>
      </c>
      <c r="L10" s="43"/>
      <c r="M10" s="41"/>
      <c r="N10" s="41">
        <f>+E61/80</f>
        <v>8.9063541562499999</v>
      </c>
      <c r="O10" s="41">
        <f>+F61/80</f>
        <v>0.16499999999999998</v>
      </c>
      <c r="P10" s="41">
        <f t="shared" si="3"/>
        <v>1.2906249999999995</v>
      </c>
      <c r="Q10" s="41">
        <f>+G61/80</f>
        <v>10.361979156249999</v>
      </c>
      <c r="R10" s="41">
        <v>10.11</v>
      </c>
      <c r="S10" s="41">
        <f t="shared" si="4"/>
        <v>0.25197915625</v>
      </c>
      <c r="T10" s="41"/>
      <c r="U10" s="44">
        <f t="shared" si="5"/>
        <v>1.5923598910202161E-2</v>
      </c>
      <c r="V10" s="45">
        <f>+I60/G61*80*S10</f>
        <v>123.30953832875549</v>
      </c>
      <c r="W10" s="46"/>
    </row>
    <row r="11" spans="1:23" x14ac:dyDescent="0.25">
      <c r="A11" s="17" t="s">
        <v>25</v>
      </c>
      <c r="B11" s="43">
        <f>F43</f>
        <v>189</v>
      </c>
      <c r="C11" s="41">
        <f>+(2.73*B11)/80</f>
        <v>6.4496250000000002</v>
      </c>
      <c r="D11" s="40">
        <f>+E62/80</f>
        <v>8.7759999999999998</v>
      </c>
      <c r="E11" s="41">
        <f>+F62/80</f>
        <v>0.47499999999999998</v>
      </c>
      <c r="F11" s="41">
        <f t="shared" si="0"/>
        <v>5.0000000000000377E-2</v>
      </c>
      <c r="G11" s="41">
        <f>+G62/80</f>
        <v>9.3010000000000002</v>
      </c>
      <c r="H11" s="41">
        <v>9.9</v>
      </c>
      <c r="I11" s="41">
        <f t="shared" si="1"/>
        <v>-0.5990000000000002</v>
      </c>
      <c r="J11" s="41">
        <f>+D11+E11-C11</f>
        <v>2.8013749999999993</v>
      </c>
      <c r="K11" s="42">
        <f t="shared" si="2"/>
        <v>5.1069777443285662E-2</v>
      </c>
      <c r="L11" s="43">
        <f>(D43/D45)</f>
        <v>114.75</v>
      </c>
      <c r="M11" s="41">
        <f>+(2.73*L11)/80</f>
        <v>3.9158437499999996</v>
      </c>
      <c r="N11" s="41">
        <f>+E63/80</f>
        <v>8.6877187500000002</v>
      </c>
      <c r="O11" s="41">
        <f>+F63/80</f>
        <v>0.36953124999999998</v>
      </c>
      <c r="P11" s="41">
        <f t="shared" si="3"/>
        <v>0.54703124999999952</v>
      </c>
      <c r="Q11" s="41">
        <f>+G63/80</f>
        <v>9.6042812499999997</v>
      </c>
      <c r="R11" s="41">
        <v>9.9</v>
      </c>
      <c r="S11" s="41">
        <f t="shared" si="4"/>
        <v>-0.2957187500000007</v>
      </c>
      <c r="T11" s="41">
        <f>+N11+O11-M11</f>
        <v>5.1414062500000002</v>
      </c>
      <c r="U11" s="44">
        <f t="shared" si="5"/>
        <v>3.8475679791238934E-2</v>
      </c>
      <c r="V11" s="45">
        <f>+I62/G63*80*S11</f>
        <v>-505.93490106951128</v>
      </c>
      <c r="W11" s="46"/>
    </row>
    <row r="12" spans="1:23" x14ac:dyDescent="0.25">
      <c r="A12" s="17" t="s">
        <v>26</v>
      </c>
      <c r="B12" s="6">
        <f>F40*F37</f>
        <v>84.200000000000017</v>
      </c>
      <c r="C12" s="41">
        <f>+(13.14*B12)/80</f>
        <v>13.829850000000004</v>
      </c>
      <c r="D12" s="40">
        <f>+E64/80</f>
        <v>15.096875000000001</v>
      </c>
      <c r="E12" s="41">
        <f>+F64/80</f>
        <v>0.45</v>
      </c>
      <c r="F12" s="41">
        <f t="shared" si="0"/>
        <v>0.60000000000000075</v>
      </c>
      <c r="G12" s="41">
        <f>+G64/80</f>
        <v>16.146875000000001</v>
      </c>
      <c r="H12" s="41">
        <v>15.24</v>
      </c>
      <c r="I12" s="41">
        <f t="shared" si="1"/>
        <v>0.90687500000000121</v>
      </c>
      <c r="J12" s="41">
        <f>+D12+E12-C12</f>
        <v>1.717024999999996</v>
      </c>
      <c r="K12" s="42">
        <f t="shared" si="2"/>
        <v>2.7869169730985095E-2</v>
      </c>
      <c r="L12" s="43">
        <f>D40*14</f>
        <v>102.2</v>
      </c>
      <c r="M12" s="41">
        <f>+(13.14*L12)/80</f>
        <v>16.786350000000002</v>
      </c>
      <c r="N12" s="41">
        <f>+E65/80</f>
        <v>14.7015625</v>
      </c>
      <c r="O12" s="41">
        <f>+F65/80</f>
        <v>0.51015624999999998</v>
      </c>
      <c r="P12" s="41">
        <f t="shared" si="3"/>
        <v>0.97500000000000109</v>
      </c>
      <c r="Q12" s="41">
        <f>+G65/80</f>
        <v>16.186718750000001</v>
      </c>
      <c r="R12" s="41">
        <v>15.24</v>
      </c>
      <c r="S12" s="41">
        <f t="shared" si="4"/>
        <v>0.9467187500000005</v>
      </c>
      <c r="T12" s="41">
        <f>+N12+O12-M12</f>
        <v>-1.574631250000003</v>
      </c>
      <c r="U12" s="44">
        <f t="shared" si="5"/>
        <v>3.1516965104493457E-2</v>
      </c>
      <c r="V12" s="45">
        <f>+I64/G65*80*S12</f>
        <v>1075.0611875090501</v>
      </c>
      <c r="W12" s="46"/>
    </row>
    <row r="13" spans="1:23" x14ac:dyDescent="0.25">
      <c r="A13" s="17" t="s">
        <v>27</v>
      </c>
      <c r="B13" s="43"/>
      <c r="C13" s="41"/>
      <c r="D13" s="40">
        <f>+E66/80</f>
        <v>5.0843749999999996</v>
      </c>
      <c r="E13" s="41">
        <f>+F66/80</f>
        <v>3.4375000000000003E-2</v>
      </c>
      <c r="F13" s="41">
        <f t="shared" si="0"/>
        <v>0.10000000000000035</v>
      </c>
      <c r="G13" s="41">
        <f>+G66/80</f>
        <v>5.21875</v>
      </c>
      <c r="H13" s="41">
        <v>5.78</v>
      </c>
      <c r="I13" s="41">
        <f t="shared" si="1"/>
        <v>-0.56125000000000025</v>
      </c>
      <c r="J13" s="41"/>
      <c r="K13" s="42">
        <f t="shared" si="2"/>
        <v>6.5868263473053898E-3</v>
      </c>
      <c r="L13" s="43"/>
      <c r="M13" s="41"/>
      <c r="N13" s="41">
        <f>+E67/80</f>
        <v>4.8765625000000004</v>
      </c>
      <c r="O13" s="41">
        <f>+F67/80</f>
        <v>9.0624999999999997E-2</v>
      </c>
      <c r="P13" s="41">
        <f t="shared" si="3"/>
        <v>0.32812499999999928</v>
      </c>
      <c r="Q13" s="41">
        <f>+G67/80</f>
        <v>5.2953124999999996</v>
      </c>
      <c r="R13" s="41">
        <v>5.78</v>
      </c>
      <c r="S13" s="41">
        <f t="shared" si="4"/>
        <v>-0.4846875000000006</v>
      </c>
      <c r="T13" s="41"/>
      <c r="U13" s="44">
        <f t="shared" si="5"/>
        <v>1.7114192977279435E-2</v>
      </c>
      <c r="V13" s="45">
        <f>+I66/G67*80*S13</f>
        <v>-198.02732310416076</v>
      </c>
      <c r="W13" s="46"/>
    </row>
    <row r="14" spans="1:23" x14ac:dyDescent="0.25">
      <c r="A14" s="17" t="s">
        <v>28</v>
      </c>
      <c r="B14" s="6"/>
      <c r="C14" s="6"/>
      <c r="D14" s="40">
        <f>+E68/80</f>
        <v>5.3781249999999998</v>
      </c>
      <c r="E14" s="41">
        <f>+F68/80</f>
        <v>0.18854162499999999</v>
      </c>
      <c r="F14" s="41">
        <f t="shared" si="0"/>
        <v>0.70000000000000018</v>
      </c>
      <c r="G14" s="41">
        <f>+G68/80</f>
        <v>6.266666625</v>
      </c>
      <c r="H14" s="41">
        <v>6.65</v>
      </c>
      <c r="I14" s="41">
        <f t="shared" si="1"/>
        <v>-0.38333337500000031</v>
      </c>
      <c r="J14" s="41"/>
      <c r="K14" s="42">
        <f t="shared" si="2"/>
        <v>3.0086429721319346E-2</v>
      </c>
      <c r="L14" s="43"/>
      <c r="M14" s="44"/>
      <c r="N14" s="41">
        <f>+E69/80</f>
        <v>5.5343749999999998</v>
      </c>
      <c r="O14" s="41">
        <f>+F69/80</f>
        <v>8.8489562499999994E-2</v>
      </c>
      <c r="P14" s="41">
        <f t="shared" si="3"/>
        <v>0.83739584375000087</v>
      </c>
      <c r="Q14" s="41">
        <f>+G69/80</f>
        <v>6.4602604062500006</v>
      </c>
      <c r="R14" s="41">
        <v>6.65</v>
      </c>
      <c r="S14" s="41">
        <f t="shared" si="4"/>
        <v>-0.18973959374999971</v>
      </c>
      <c r="T14" s="41"/>
      <c r="U14" s="44">
        <f t="shared" si="5"/>
        <v>1.3697522535529754E-2</v>
      </c>
      <c r="V14" s="45">
        <f>+I68/G69*80*S14</f>
        <v>-196.33144526396359</v>
      </c>
      <c r="W14" s="46"/>
    </row>
    <row r="15" spans="1:23" x14ac:dyDescent="0.25">
      <c r="A15" s="17" t="s">
        <v>29</v>
      </c>
      <c r="B15" s="43"/>
      <c r="C15" s="41"/>
      <c r="D15" s="40">
        <f>+E70/80</f>
        <v>2</v>
      </c>
      <c r="E15" s="41">
        <f>+F70/80</f>
        <v>1.2500000000000001E-2</v>
      </c>
      <c r="F15" s="41">
        <f t="shared" si="0"/>
        <v>1.7694179454963432E-16</v>
      </c>
      <c r="G15" s="41">
        <f>+G70/80</f>
        <v>2.0125000000000002</v>
      </c>
      <c r="H15" s="41">
        <v>2</v>
      </c>
      <c r="I15" s="41">
        <f t="shared" si="1"/>
        <v>1.2500000000000178E-2</v>
      </c>
      <c r="J15" s="41"/>
      <c r="K15" s="42">
        <f t="shared" si="2"/>
        <v>6.2111801242236021E-3</v>
      </c>
      <c r="L15" s="43"/>
      <c r="M15" s="41"/>
      <c r="N15" s="41">
        <f>+E71/80</f>
        <v>1.8484375</v>
      </c>
      <c r="O15" s="41">
        <f>+F71/80</f>
        <v>4.6874999999999998E-3</v>
      </c>
      <c r="P15" s="41">
        <f t="shared" si="3"/>
        <v>0.15624999999999994</v>
      </c>
      <c r="Q15" s="41">
        <f>+G71/80</f>
        <v>2.0093749999999999</v>
      </c>
      <c r="R15" s="41">
        <v>2</v>
      </c>
      <c r="S15" s="41">
        <f t="shared" si="4"/>
        <v>9.3749999999999112E-3</v>
      </c>
      <c r="T15" s="41"/>
      <c r="U15" s="44">
        <f t="shared" si="5"/>
        <v>2.3328149300155523E-3</v>
      </c>
      <c r="V15" s="45">
        <f>+I70/G71*80*S15</f>
        <v>8.5379160186624397</v>
      </c>
      <c r="W15" s="46"/>
    </row>
    <row r="16" spans="1:23" x14ac:dyDescent="0.25">
      <c r="A16" s="17" t="s">
        <v>30</v>
      </c>
      <c r="B16" s="6"/>
      <c r="C16" s="6"/>
      <c r="D16" s="40">
        <f>+E72/80</f>
        <v>1</v>
      </c>
      <c r="E16" s="41">
        <f>+F72/80</f>
        <v>0</v>
      </c>
      <c r="F16" s="41">
        <f t="shared" si="0"/>
        <v>0</v>
      </c>
      <c r="G16" s="41">
        <f>+G72/80</f>
        <v>1</v>
      </c>
      <c r="H16" s="41">
        <v>1</v>
      </c>
      <c r="I16" s="41">
        <f t="shared" si="1"/>
        <v>0</v>
      </c>
      <c r="J16" s="41"/>
      <c r="K16" s="42">
        <f t="shared" si="2"/>
        <v>0</v>
      </c>
      <c r="L16" s="43"/>
      <c r="M16" s="44"/>
      <c r="N16" s="41">
        <f>+E73/80</f>
        <v>1</v>
      </c>
      <c r="O16" s="41">
        <f>+F73/80</f>
        <v>0</v>
      </c>
      <c r="P16" s="41">
        <f t="shared" si="3"/>
        <v>0</v>
      </c>
      <c r="Q16" s="41">
        <f>+G73/80</f>
        <v>1</v>
      </c>
      <c r="R16" s="41">
        <v>1</v>
      </c>
      <c r="S16" s="41">
        <f t="shared" si="4"/>
        <v>0</v>
      </c>
      <c r="T16" s="41"/>
      <c r="U16" s="44">
        <f t="shared" si="5"/>
        <v>0</v>
      </c>
      <c r="V16" s="45"/>
      <c r="W16" s="46"/>
    </row>
    <row r="17" spans="1:23" x14ac:dyDescent="0.25">
      <c r="A17" s="17" t="s">
        <v>31</v>
      </c>
      <c r="B17" s="43"/>
      <c r="C17" s="41"/>
      <c r="D17" s="40">
        <f>+E74/80</f>
        <v>2.9750000000000001</v>
      </c>
      <c r="E17" s="41">
        <f>+F74/80</f>
        <v>2.5000000000000001E-2</v>
      </c>
      <c r="F17" s="41">
        <f t="shared" si="0"/>
        <v>3.7499999999999999E-2</v>
      </c>
      <c r="G17" s="41">
        <f>+G74/80</f>
        <v>3.0375000000000001</v>
      </c>
      <c r="H17" s="41">
        <v>3</v>
      </c>
      <c r="I17" s="41">
        <f t="shared" si="1"/>
        <v>3.7500000000000089E-2</v>
      </c>
      <c r="J17" s="41"/>
      <c r="K17" s="42">
        <f t="shared" si="2"/>
        <v>8.23045267489712E-3</v>
      </c>
      <c r="L17" s="43"/>
      <c r="M17" s="41"/>
      <c r="N17" s="41">
        <f>+E75/80</f>
        <v>2.6859375000000001</v>
      </c>
      <c r="O17" s="41">
        <f>+F75/80</f>
        <v>2.0312500000000001E-2</v>
      </c>
      <c r="P17" s="41">
        <f t="shared" si="3"/>
        <v>0.24062499999999981</v>
      </c>
      <c r="Q17" s="41">
        <f>+G75/80</f>
        <v>2.9468749999999999</v>
      </c>
      <c r="R17" s="41">
        <v>3</v>
      </c>
      <c r="S17" s="41">
        <f t="shared" si="4"/>
        <v>-5.3125000000000089E-2</v>
      </c>
      <c r="T17" s="41"/>
      <c r="U17" s="44">
        <f t="shared" si="5"/>
        <v>6.8928950159066809E-3</v>
      </c>
      <c r="V17" s="45">
        <f>+I74/G75*80*S17</f>
        <v>-52.540095440084926</v>
      </c>
      <c r="W17" s="46"/>
    </row>
    <row r="18" spans="1:23" x14ac:dyDescent="0.25">
      <c r="A18" s="17" t="s">
        <v>32</v>
      </c>
      <c r="B18" s="6"/>
      <c r="C18" s="6"/>
      <c r="D18" s="40">
        <f>+E76/80</f>
        <v>2.125</v>
      </c>
      <c r="E18" s="41">
        <f>+F76/80</f>
        <v>0</v>
      </c>
      <c r="F18" s="41">
        <f t="shared" si="0"/>
        <v>0</v>
      </c>
      <c r="G18" s="41">
        <f>+G76/80</f>
        <v>2.125</v>
      </c>
      <c r="H18" s="41">
        <v>1.92</v>
      </c>
      <c r="I18" s="41">
        <f t="shared" si="1"/>
        <v>0.20500000000000007</v>
      </c>
      <c r="J18" s="41"/>
      <c r="K18" s="42">
        <f t="shared" si="2"/>
        <v>0</v>
      </c>
      <c r="L18" s="43"/>
      <c r="M18" s="44"/>
      <c r="N18" s="41">
        <f>+E77/80</f>
        <v>1.7210937500000001</v>
      </c>
      <c r="O18" s="41">
        <f>+F77/80</f>
        <v>0</v>
      </c>
      <c r="P18" s="41">
        <f t="shared" si="3"/>
        <v>0</v>
      </c>
      <c r="Q18" s="41">
        <f>+G77/80</f>
        <v>1.7210937500000001</v>
      </c>
      <c r="R18" s="41">
        <v>1.92</v>
      </c>
      <c r="S18" s="41">
        <f t="shared" si="4"/>
        <v>-0.19890624999999984</v>
      </c>
      <c r="T18" s="41"/>
      <c r="U18" s="44">
        <f t="shared" si="5"/>
        <v>0</v>
      </c>
      <c r="V18" s="45">
        <f>+I76/G77*80*S18</f>
        <v>-130.52323831139347</v>
      </c>
      <c r="W18" s="46"/>
    </row>
    <row r="19" spans="1:23" x14ac:dyDescent="0.25">
      <c r="A19" s="17" t="s">
        <v>33</v>
      </c>
      <c r="B19" s="6">
        <f>F39*F37</f>
        <v>188.3</v>
      </c>
      <c r="C19" s="41">
        <f>+(8.76*B19)/80</f>
        <v>20.618850000000002</v>
      </c>
      <c r="D19" s="40">
        <f>+E78/80</f>
        <v>19.387499999999999</v>
      </c>
      <c r="E19" s="41">
        <f>+F78/80</f>
        <v>1.325</v>
      </c>
      <c r="F19" s="41">
        <f t="shared" si="0"/>
        <v>1.0875000000000015</v>
      </c>
      <c r="G19" s="41">
        <f>+G78/80</f>
        <v>21.8</v>
      </c>
      <c r="H19" s="41">
        <v>23.24</v>
      </c>
      <c r="I19" s="41">
        <f t="shared" si="1"/>
        <v>-1.4399999999999977</v>
      </c>
      <c r="J19" s="41">
        <f>+D19+E19-C19</f>
        <v>9.364999999999668E-2</v>
      </c>
      <c r="K19" s="42">
        <f t="shared" si="2"/>
        <v>6.0779816513761464E-2</v>
      </c>
      <c r="L19" s="43">
        <f>D39*14</f>
        <v>156.79999999999998</v>
      </c>
      <c r="M19" s="41">
        <f>+(8.76*L19)/80</f>
        <v>17.169599999999996</v>
      </c>
      <c r="N19" s="41">
        <f>+E79/80</f>
        <v>18.984375</v>
      </c>
      <c r="O19" s="41">
        <f>+F79/80</f>
        <v>0.95859375000000002</v>
      </c>
      <c r="P19" s="41">
        <f t="shared" si="3"/>
        <v>1.7531249999999994</v>
      </c>
      <c r="Q19" s="41">
        <f>+G79/80</f>
        <v>21.696093749999999</v>
      </c>
      <c r="R19" s="41">
        <v>23.24</v>
      </c>
      <c r="S19" s="41">
        <f t="shared" si="4"/>
        <v>-1.5439062499999991</v>
      </c>
      <c r="T19" s="41">
        <f>+N19+O19-M19</f>
        <v>2.773368750000003</v>
      </c>
      <c r="U19" s="44">
        <f t="shared" si="5"/>
        <v>4.4182780598466032E-2</v>
      </c>
      <c r="V19" s="45">
        <f>+I78/G79*80*S19</f>
        <v>-1744.3040915343333</v>
      </c>
      <c r="W19" s="46"/>
    </row>
    <row r="20" spans="1:23" x14ac:dyDescent="0.25">
      <c r="A20" s="17" t="s">
        <v>34</v>
      </c>
      <c r="B20" s="6"/>
      <c r="C20" s="6"/>
      <c r="D20" s="40">
        <f>+E80/80</f>
        <v>2.7250000000000001</v>
      </c>
      <c r="E20" s="41">
        <f>+F80/80</f>
        <v>0</v>
      </c>
      <c r="F20" s="41">
        <f t="shared" si="0"/>
        <v>0.13749999999999973</v>
      </c>
      <c r="G20" s="41">
        <f>+G80/80</f>
        <v>2.8624999999999998</v>
      </c>
      <c r="H20" s="41">
        <v>3</v>
      </c>
      <c r="I20" s="41">
        <f t="shared" si="1"/>
        <v>-0.13750000000000018</v>
      </c>
      <c r="J20" s="41"/>
      <c r="K20" s="42">
        <f t="shared" si="2"/>
        <v>0</v>
      </c>
      <c r="L20" s="43"/>
      <c r="M20" s="44"/>
      <c r="N20" s="41">
        <f>+E81/80</f>
        <v>2.50390625</v>
      </c>
      <c r="O20" s="41">
        <f>+F81/80</f>
        <v>0</v>
      </c>
      <c r="P20" s="41">
        <f t="shared" si="3"/>
        <v>0.34375</v>
      </c>
      <c r="Q20" s="41">
        <f>+G81/80</f>
        <v>2.84765625</v>
      </c>
      <c r="R20" s="41">
        <v>3</v>
      </c>
      <c r="S20" s="41">
        <f t="shared" si="4"/>
        <v>-0.15234375</v>
      </c>
      <c r="T20" s="41"/>
      <c r="U20" s="44">
        <f t="shared" si="5"/>
        <v>0</v>
      </c>
      <c r="V20" s="45">
        <f>+I80/G81*80*S20</f>
        <v>-174.992304526749</v>
      </c>
      <c r="W20" s="46"/>
    </row>
    <row r="21" spans="1:23" x14ac:dyDescent="0.25">
      <c r="A21" s="17" t="s">
        <v>35</v>
      </c>
      <c r="B21" s="6"/>
      <c r="C21" s="6"/>
      <c r="D21" s="40">
        <f>+E82/80</f>
        <v>2.2406250000000001</v>
      </c>
      <c r="E21" s="41">
        <f>+F82/80</f>
        <v>0</v>
      </c>
      <c r="F21" s="41">
        <f t="shared" si="0"/>
        <v>1.5</v>
      </c>
      <c r="G21" s="41">
        <f>+G82/80</f>
        <v>3.7406250000000001</v>
      </c>
      <c r="H21" s="41">
        <v>3</v>
      </c>
      <c r="I21" s="41">
        <f t="shared" si="1"/>
        <v>0.74062500000000009</v>
      </c>
      <c r="J21" s="41"/>
      <c r="K21" s="42">
        <f t="shared" si="2"/>
        <v>0</v>
      </c>
      <c r="L21" s="43"/>
      <c r="M21" s="44"/>
      <c r="N21" s="41">
        <f>+E83/80</f>
        <v>3.046875</v>
      </c>
      <c r="O21" s="41">
        <f>+F83/80</f>
        <v>1.5625000000000001E-3</v>
      </c>
      <c r="P21" s="41">
        <f t="shared" si="3"/>
        <v>0.7437499999999998</v>
      </c>
      <c r="Q21" s="41">
        <f>+G83/80</f>
        <v>3.7921874999999998</v>
      </c>
      <c r="R21" s="41">
        <v>3</v>
      </c>
      <c r="S21" s="41">
        <f t="shared" si="4"/>
        <v>0.79218749999999982</v>
      </c>
      <c r="T21" s="41"/>
      <c r="U21" s="44">
        <f t="shared" si="5"/>
        <v>4.1203131437989293E-4</v>
      </c>
      <c r="V21" s="45">
        <f>+I82/G83*80*S21</f>
        <v>775.9606798516686</v>
      </c>
      <c r="W21" s="46"/>
    </row>
    <row r="22" spans="1:23" x14ac:dyDescent="0.25">
      <c r="A22" s="17" t="s">
        <v>36</v>
      </c>
      <c r="B22" s="6"/>
      <c r="C22" s="6"/>
      <c r="D22" s="40">
        <f>+E56/80</f>
        <v>9.171875</v>
      </c>
      <c r="E22" s="41">
        <f>+F56/80</f>
        <v>0.203125</v>
      </c>
      <c r="F22" s="41">
        <f t="shared" si="0"/>
        <v>0.22224999999999895</v>
      </c>
      <c r="G22" s="41">
        <f>+G56/80</f>
        <v>9.5972499999999989</v>
      </c>
      <c r="H22" s="41">
        <v>12.89</v>
      </c>
      <c r="I22" s="41">
        <f t="shared" si="1"/>
        <v>-3.2927500000000016</v>
      </c>
      <c r="J22" s="41"/>
      <c r="K22" s="42">
        <f t="shared" si="2"/>
        <v>2.116491703352523E-2</v>
      </c>
      <c r="L22" s="43"/>
      <c r="M22" s="44"/>
      <c r="N22" s="41">
        <f>+E57/80</f>
        <v>8.9085937499999996</v>
      </c>
      <c r="O22" s="41">
        <f>+F57/80</f>
        <v>0.12968750000000001</v>
      </c>
      <c r="P22" s="41">
        <f t="shared" si="3"/>
        <v>1.1993124999999989</v>
      </c>
      <c r="Q22" s="41">
        <f>+G57/80</f>
        <v>10.237593749999998</v>
      </c>
      <c r="R22" s="41">
        <v>12.89</v>
      </c>
      <c r="S22" s="41">
        <f t="shared" si="4"/>
        <v>-2.6524062500000021</v>
      </c>
      <c r="T22" s="41"/>
      <c r="U22" s="44">
        <f t="shared" si="5"/>
        <v>1.2667771662652665E-2</v>
      </c>
      <c r="V22" s="45">
        <f>+I56/G57*80*S22</f>
        <v>-8307.3432083650077</v>
      </c>
      <c r="W22" s="46"/>
    </row>
    <row r="23" spans="1:23" x14ac:dyDescent="0.25">
      <c r="A23" s="17" t="s">
        <v>37</v>
      </c>
      <c r="B23" s="6"/>
      <c r="C23" s="6"/>
      <c r="D23" s="40">
        <f>+E58/80</f>
        <v>12.184374999999999</v>
      </c>
      <c r="E23" s="41">
        <f>+F58/80</f>
        <v>7.1874999999999994E-2</v>
      </c>
      <c r="F23" s="41">
        <f t="shared" si="0"/>
        <v>0.20000000000000143</v>
      </c>
      <c r="G23" s="41">
        <f>+G58/80</f>
        <v>12.456250000000001</v>
      </c>
      <c r="H23" s="41">
        <v>10.15</v>
      </c>
      <c r="I23" s="41">
        <f t="shared" si="1"/>
        <v>2.3062500000000004</v>
      </c>
      <c r="J23" s="41"/>
      <c r="K23" s="42">
        <f t="shared" si="2"/>
        <v>5.7701956848971395E-3</v>
      </c>
      <c r="L23" s="43"/>
      <c r="M23" s="44"/>
      <c r="N23" s="41">
        <f>+E59/80</f>
        <v>12.01328125</v>
      </c>
      <c r="O23" s="41">
        <f>+F59/80</f>
        <v>6.5625000000000003E-2</v>
      </c>
      <c r="P23" s="41">
        <f t="shared" si="3"/>
        <v>0.93124999999999925</v>
      </c>
      <c r="Q23" s="41">
        <f>+G59/80</f>
        <v>13.01015625</v>
      </c>
      <c r="R23" s="41">
        <v>10.15</v>
      </c>
      <c r="S23" s="41">
        <f t="shared" si="4"/>
        <v>2.8601562499999993</v>
      </c>
      <c r="T23" s="41"/>
      <c r="U23" s="44">
        <f t="shared" si="5"/>
        <v>5.0441361916771753E-3</v>
      </c>
      <c r="V23" s="45">
        <f>+I58/G59*80*S23</f>
        <v>6238.7678520386689</v>
      </c>
      <c r="W23" s="46"/>
    </row>
    <row r="24" spans="1:23" x14ac:dyDescent="0.25">
      <c r="A24" s="17" t="s">
        <v>38</v>
      </c>
      <c r="B24" s="43"/>
      <c r="C24" s="41"/>
      <c r="D24" s="40">
        <f>+E84/80</f>
        <v>1.3875</v>
      </c>
      <c r="E24" s="41">
        <f>+F84/80</f>
        <v>1.2500000000000001E-2</v>
      </c>
      <c r="F24" s="41">
        <f t="shared" si="0"/>
        <v>-4.5102810375396984E-17</v>
      </c>
      <c r="G24" s="41">
        <f>+G84/80</f>
        <v>1.4</v>
      </c>
      <c r="H24" s="41">
        <v>1.44</v>
      </c>
      <c r="I24" s="41">
        <f t="shared" si="1"/>
        <v>-4.0000000000000036E-2</v>
      </c>
      <c r="J24" s="41"/>
      <c r="K24" s="42">
        <f t="shared" si="2"/>
        <v>8.9285714285714298E-3</v>
      </c>
      <c r="L24" s="43"/>
      <c r="M24" s="41"/>
      <c r="N24" s="41">
        <f>+E85/80</f>
        <v>1.2921875</v>
      </c>
      <c r="O24" s="41">
        <f>+F85/80</f>
        <v>2.1874999999999999E-2</v>
      </c>
      <c r="P24" s="41">
        <f t="shared" si="3"/>
        <v>0.10625000000000004</v>
      </c>
      <c r="Q24" s="41">
        <f>+G85/80</f>
        <v>1.4203125000000001</v>
      </c>
      <c r="R24" s="41">
        <v>1.44</v>
      </c>
      <c r="S24" s="41">
        <f t="shared" si="4"/>
        <v>-1.9687499999999858E-2</v>
      </c>
      <c r="T24" s="41"/>
      <c r="U24" s="44">
        <f t="shared" si="5"/>
        <v>1.5401540154015399E-2</v>
      </c>
      <c r="V24" s="45">
        <f>+I84/G85*80*S24</f>
        <v>-39.576059405940306</v>
      </c>
      <c r="W24" s="46"/>
    </row>
    <row r="25" spans="1:23" x14ac:dyDescent="0.25">
      <c r="A25" s="17" t="s">
        <v>39</v>
      </c>
      <c r="B25" s="6"/>
      <c r="C25" s="6"/>
      <c r="D25" s="40">
        <f>+E86/80</f>
        <v>0.97812500000000002</v>
      </c>
      <c r="E25" s="41">
        <f>+F86/80</f>
        <v>3.125E-2</v>
      </c>
      <c r="F25" s="41">
        <f t="shared" si="0"/>
        <v>0.19162500000000005</v>
      </c>
      <c r="G25" s="41">
        <f>+G86/80</f>
        <v>1.2010000000000001</v>
      </c>
      <c r="H25" s="41">
        <v>1</v>
      </c>
      <c r="I25" s="41">
        <f t="shared" si="1"/>
        <v>0.20100000000000007</v>
      </c>
      <c r="J25" s="41"/>
      <c r="K25" s="42">
        <f t="shared" si="2"/>
        <v>2.6019983347210656E-2</v>
      </c>
      <c r="L25" s="43"/>
      <c r="M25" s="44"/>
      <c r="N25" s="41">
        <f>+E87/80</f>
        <v>0.85703125000000002</v>
      </c>
      <c r="O25" s="41">
        <f>+F87/80</f>
        <v>2.9687499999999999E-2</v>
      </c>
      <c r="P25" s="41">
        <f t="shared" si="3"/>
        <v>0.18540624999999997</v>
      </c>
      <c r="Q25" s="41">
        <f>+G87/80</f>
        <v>1.072125</v>
      </c>
      <c r="R25" s="41">
        <v>1</v>
      </c>
      <c r="S25" s="41">
        <f t="shared" si="4"/>
        <v>7.2124999999999995E-2</v>
      </c>
      <c r="T25" s="41"/>
      <c r="U25" s="44">
        <f t="shared" si="5"/>
        <v>2.7690334615833041E-2</v>
      </c>
      <c r="V25" s="45">
        <f>+I86/G87*80*S25</f>
        <v>47.388403870817299</v>
      </c>
      <c r="W25" s="46"/>
    </row>
    <row r="26" spans="1:23" x14ac:dyDescent="0.25">
      <c r="A26" s="17" t="s">
        <v>40</v>
      </c>
      <c r="B26" s="6"/>
      <c r="C26" s="41"/>
      <c r="D26" s="40">
        <f>+E88/80</f>
        <v>5.3654166249999999</v>
      </c>
      <c r="E26" s="41">
        <f>+F88/80</f>
        <v>0.10625</v>
      </c>
      <c r="F26" s="41">
        <f t="shared" si="0"/>
        <v>0.10000000000000071</v>
      </c>
      <c r="G26" s="41">
        <f>+G88/80</f>
        <v>5.5716666250000006</v>
      </c>
      <c r="H26" s="41">
        <v>5.83</v>
      </c>
      <c r="I26" s="41">
        <f t="shared" si="1"/>
        <v>-0.25833337499999942</v>
      </c>
      <c r="J26" s="41"/>
      <c r="K26" s="42">
        <f t="shared" si="2"/>
        <v>1.9069698018768306E-2</v>
      </c>
      <c r="L26" s="43"/>
      <c r="M26" s="44"/>
      <c r="N26" s="41">
        <f>+E89/80</f>
        <v>5.2655729062500001</v>
      </c>
      <c r="O26" s="41">
        <f>+F89/80</f>
        <v>0.15520834374999998</v>
      </c>
      <c r="P26" s="41">
        <f t="shared" si="3"/>
        <v>0.40937499999999988</v>
      </c>
      <c r="Q26" s="41">
        <f>+G89/80</f>
        <v>5.8301562499999999</v>
      </c>
      <c r="R26" s="41">
        <v>5.83</v>
      </c>
      <c r="S26" s="41">
        <f t="shared" si="4"/>
        <v>1.5624999999985789E-4</v>
      </c>
      <c r="T26" s="41"/>
      <c r="U26" s="44">
        <f t="shared" si="5"/>
        <v>2.6621643931069597E-2</v>
      </c>
      <c r="V26" s="45">
        <f>+I88/G89*80*S26</f>
        <v>0.17247018465398514</v>
      </c>
      <c r="W26" s="46"/>
    </row>
    <row r="27" spans="1:23" x14ac:dyDescent="0.25">
      <c r="A27" s="17" t="s">
        <v>41</v>
      </c>
      <c r="B27" s="6"/>
      <c r="C27" s="6"/>
      <c r="D27" s="40">
        <f>+E90/80</f>
        <v>4.8062500000000004</v>
      </c>
      <c r="E27" s="41">
        <f>+F90/80</f>
        <v>0.34687499999999999</v>
      </c>
      <c r="F27" s="41">
        <f t="shared" si="0"/>
        <v>0.99999999999999978</v>
      </c>
      <c r="G27" s="41">
        <f>+G90/80</f>
        <v>6.1531250000000002</v>
      </c>
      <c r="H27" s="41">
        <v>5.89</v>
      </c>
      <c r="I27" s="41">
        <f t="shared" si="1"/>
        <v>0.2631250000000005</v>
      </c>
      <c r="J27" s="41"/>
      <c r="K27" s="42">
        <f t="shared" si="2"/>
        <v>5.6373793803961396E-2</v>
      </c>
      <c r="L27" s="43"/>
      <c r="M27" s="44"/>
      <c r="N27" s="41">
        <f>+E91/80</f>
        <v>5.375</v>
      </c>
      <c r="O27" s="41">
        <f>+F91/80</f>
        <v>0.22500000000000001</v>
      </c>
      <c r="P27" s="41">
        <f t="shared" si="3"/>
        <v>0.79687499999999967</v>
      </c>
      <c r="Q27" s="41">
        <f>+G91/80</f>
        <v>6.3968749999999996</v>
      </c>
      <c r="R27" s="41">
        <v>5.89</v>
      </c>
      <c r="S27" s="41">
        <f t="shared" si="4"/>
        <v>0.50687499999999996</v>
      </c>
      <c r="T27" s="41"/>
      <c r="U27" s="44">
        <f t="shared" si="5"/>
        <v>3.5173424523693216E-2</v>
      </c>
      <c r="V27" s="45">
        <f>+I90/G91*80*S27</f>
        <v>536.18074450415247</v>
      </c>
      <c r="W27" s="46"/>
    </row>
    <row r="28" spans="1:23" x14ac:dyDescent="0.25">
      <c r="A28" s="17"/>
      <c r="B28" s="6"/>
      <c r="C28" s="6"/>
      <c r="D28" s="40"/>
      <c r="E28" s="6"/>
      <c r="F28" s="6"/>
      <c r="G28" s="6"/>
      <c r="H28" s="41"/>
      <c r="I28" s="6"/>
      <c r="J28" s="41"/>
      <c r="K28" s="48"/>
      <c r="L28" s="6"/>
      <c r="M28" s="6"/>
      <c r="N28" s="6"/>
      <c r="O28" s="6"/>
      <c r="P28" s="6"/>
      <c r="Q28" s="6"/>
      <c r="R28" s="6"/>
      <c r="S28" s="6"/>
      <c r="T28" s="41"/>
      <c r="U28" s="44"/>
      <c r="V28" s="49"/>
    </row>
    <row r="29" spans="1:23" ht="15.75" thickBot="1" x14ac:dyDescent="0.3">
      <c r="A29" s="26" t="s">
        <v>42</v>
      </c>
      <c r="B29" s="27"/>
      <c r="C29" s="27"/>
      <c r="D29" s="50">
        <f>SUM(D8:D27)</f>
        <v>119.741416625</v>
      </c>
      <c r="E29" s="51">
        <f>SUM(E8:E27)</f>
        <v>3.588541625</v>
      </c>
      <c r="F29" s="51">
        <f>SUM(F8:F27)</f>
        <v>7.4513750000000032</v>
      </c>
      <c r="G29" s="51">
        <f>SUM(G8:G27)</f>
        <v>130.78133324999999</v>
      </c>
      <c r="H29" s="51">
        <f>SUM(H8:H27)</f>
        <v>133.19</v>
      </c>
      <c r="I29" s="51">
        <f>+G29-H29</f>
        <v>-2.408666750000009</v>
      </c>
      <c r="J29" s="51">
        <f>SUM(J9:J28)</f>
        <v>4.612049999999992</v>
      </c>
      <c r="K29" s="52">
        <f>+E29/G29</f>
        <v>2.7439249438910275E-2</v>
      </c>
      <c r="L29" s="53"/>
      <c r="M29" s="53"/>
      <c r="N29" s="51">
        <f t="shared" ref="N29:S29" si="6">SUM(N8:N27)</f>
        <v>117.73464581250001</v>
      </c>
      <c r="O29" s="51">
        <f t="shared" si="6"/>
        <v>2.9938541562499998</v>
      </c>
      <c r="P29" s="51">
        <f t="shared" si="6"/>
        <v>11.882427093749996</v>
      </c>
      <c r="Q29" s="51">
        <f t="shared" si="6"/>
        <v>132.6109270625</v>
      </c>
      <c r="R29" s="51">
        <f t="shared" si="6"/>
        <v>133.19</v>
      </c>
      <c r="S29" s="51">
        <f t="shared" si="6"/>
        <v>-0.57907293750000366</v>
      </c>
      <c r="T29" s="51">
        <f>SUM(T9:T28)</f>
        <v>6.3401437500000002</v>
      </c>
      <c r="U29" s="53">
        <f>+O29/Q29</f>
        <v>2.2576225221915429E-2</v>
      </c>
      <c r="V29" s="54">
        <f>SUM(V8:V27)</f>
        <v>-2784.2559953198979</v>
      </c>
    </row>
    <row r="30" spans="1:23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6"/>
      <c r="N30" s="116"/>
      <c r="O30" s="116"/>
      <c r="P30" s="116"/>
      <c r="Q30" s="116"/>
      <c r="R30" s="116"/>
      <c r="S30" s="116"/>
    </row>
    <row r="31" spans="1:23" ht="15.75" thickBot="1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6"/>
      <c r="N31" s="116"/>
      <c r="O31" s="116"/>
      <c r="P31" s="116"/>
      <c r="Q31" s="116"/>
      <c r="R31" s="116"/>
      <c r="S31" s="116"/>
    </row>
    <row r="32" spans="1:23" ht="26.25" x14ac:dyDescent="0.25">
      <c r="A32" s="55"/>
      <c r="B32" s="56"/>
      <c r="C32" s="56"/>
      <c r="D32" s="57" t="s">
        <v>78</v>
      </c>
      <c r="E32" s="57" t="s">
        <v>81</v>
      </c>
      <c r="F32" s="58" t="s">
        <v>43</v>
      </c>
      <c r="G32" s="59" t="s">
        <v>44</v>
      </c>
      <c r="H32" s="6"/>
      <c r="I32" s="6"/>
      <c r="J32" s="116"/>
      <c r="K32" s="116"/>
      <c r="L32" s="116"/>
      <c r="M32" s="116"/>
      <c r="N32" s="116"/>
      <c r="O32" s="116"/>
      <c r="P32" s="116"/>
      <c r="Q32" s="116"/>
      <c r="R32" s="116"/>
      <c r="S32" s="116"/>
    </row>
    <row r="33" spans="1:19" x14ac:dyDescent="0.25">
      <c r="A33" s="17" t="s">
        <v>45</v>
      </c>
      <c r="B33" s="6"/>
      <c r="C33" s="6"/>
      <c r="D33" s="60">
        <v>955923.02</v>
      </c>
      <c r="E33" s="60">
        <v>1464295.02</v>
      </c>
      <c r="F33" s="61">
        <f>+E33-D33</f>
        <v>508372</v>
      </c>
      <c r="G33" s="62">
        <v>11066662</v>
      </c>
      <c r="H33" s="6"/>
      <c r="I33" s="6"/>
      <c r="J33" s="116"/>
      <c r="K33" s="116"/>
      <c r="L33" s="116"/>
      <c r="M33" s="6"/>
      <c r="N33" s="116"/>
      <c r="O33" s="116"/>
      <c r="P33" s="116"/>
      <c r="Q33" s="116"/>
      <c r="R33" s="116"/>
      <c r="S33" s="116"/>
    </row>
    <row r="34" spans="1:19" x14ac:dyDescent="0.25">
      <c r="A34" s="17" t="s">
        <v>46</v>
      </c>
      <c r="B34" s="6"/>
      <c r="C34" s="6"/>
      <c r="D34" s="60">
        <v>2511238.81</v>
      </c>
      <c r="E34" s="60">
        <v>3637196.89</v>
      </c>
      <c r="F34" s="61">
        <f>+E34-D34</f>
        <v>1125958.08</v>
      </c>
      <c r="G34" s="62">
        <v>31123520</v>
      </c>
      <c r="H34" s="6"/>
      <c r="I34" s="6"/>
      <c r="J34" s="116"/>
      <c r="K34" s="116"/>
      <c r="L34" s="116"/>
      <c r="M34" s="6"/>
      <c r="N34" s="116"/>
      <c r="O34" s="116"/>
      <c r="P34" s="116"/>
      <c r="Q34" s="116"/>
      <c r="R34" s="116"/>
      <c r="S34" s="116"/>
    </row>
    <row r="35" spans="1:19" x14ac:dyDescent="0.25">
      <c r="A35" s="17" t="s">
        <v>47</v>
      </c>
      <c r="B35" s="6"/>
      <c r="C35" s="6"/>
      <c r="D35" s="63">
        <f>+D34/D33</f>
        <v>2.6270303753120205</v>
      </c>
      <c r="E35" s="63">
        <f>+E34/E33</f>
        <v>2.4839235538750928</v>
      </c>
      <c r="F35" s="64">
        <f>+F34/F33</f>
        <v>2.2148310292463003</v>
      </c>
      <c r="G35" s="65">
        <f>+G34/G33</f>
        <v>2.8123674509983227</v>
      </c>
      <c r="H35" s="6"/>
      <c r="I35" s="6"/>
      <c r="J35" s="116"/>
      <c r="K35" s="116"/>
      <c r="L35" s="116"/>
      <c r="M35" s="6"/>
      <c r="N35" s="116"/>
      <c r="O35" s="116"/>
      <c r="P35" s="116"/>
      <c r="Q35" s="116"/>
      <c r="R35" s="116"/>
      <c r="S35" s="116"/>
    </row>
    <row r="36" spans="1:19" x14ac:dyDescent="0.25">
      <c r="A36" s="17" t="s">
        <v>48</v>
      </c>
      <c r="B36" s="6"/>
      <c r="C36" s="6"/>
      <c r="D36" s="66">
        <f>(D41*D37)</f>
        <v>573.5</v>
      </c>
      <c r="E36" s="66">
        <f t="shared" ref="E36" si="7">(E41*E37)</f>
        <v>846</v>
      </c>
      <c r="F36" s="67">
        <f>(F41*F37)</f>
        <v>272.5</v>
      </c>
      <c r="G36" s="68">
        <f>4722+2011</f>
        <v>6733</v>
      </c>
      <c r="H36" s="6"/>
      <c r="I36" s="6"/>
      <c r="J36" s="116"/>
      <c r="K36" s="116"/>
      <c r="L36" s="116"/>
      <c r="M36" s="6"/>
      <c r="N36" s="116"/>
      <c r="O36" s="116"/>
      <c r="P36" s="116"/>
      <c r="Q36" s="116"/>
      <c r="R36" s="116"/>
      <c r="S36" s="116"/>
    </row>
    <row r="37" spans="1:19" x14ac:dyDescent="0.25">
      <c r="A37" s="17" t="s">
        <v>49</v>
      </c>
      <c r="B37" s="6"/>
      <c r="C37" s="6"/>
      <c r="D37" s="117">
        <v>31</v>
      </c>
      <c r="E37" s="117">
        <v>45</v>
      </c>
      <c r="F37" s="67">
        <v>14</v>
      </c>
      <c r="G37" s="70">
        <v>365</v>
      </c>
      <c r="H37" s="6"/>
      <c r="I37" s="6"/>
      <c r="J37" s="116"/>
      <c r="K37" s="116"/>
      <c r="L37" s="116"/>
      <c r="M37" s="6"/>
      <c r="N37" s="116"/>
      <c r="O37" s="116"/>
      <c r="P37" s="116"/>
      <c r="Q37" s="116"/>
      <c r="R37" s="116"/>
      <c r="S37" s="116"/>
    </row>
    <row r="38" spans="1:19" x14ac:dyDescent="0.25">
      <c r="A38" s="17" t="s">
        <v>50</v>
      </c>
      <c r="B38" s="6"/>
      <c r="C38" s="6"/>
      <c r="D38" s="71">
        <f>+(D36/D37)*D35</f>
        <v>48.600061943272379</v>
      </c>
      <c r="E38" s="71">
        <f>+(E36/E37)*E35</f>
        <v>46.697762812851749</v>
      </c>
      <c r="F38" s="64">
        <f>+(F36/F37)*F35</f>
        <v>43.110103962115488</v>
      </c>
      <c r="G38" s="65">
        <f>+G36/365*G35</f>
        <v>51.878548075538923</v>
      </c>
      <c r="H38" s="6"/>
      <c r="I38" s="6"/>
      <c r="J38" s="116"/>
      <c r="K38" s="116"/>
      <c r="L38" s="116"/>
      <c r="M38" s="6"/>
      <c r="N38" s="116"/>
      <c r="O38" s="116"/>
      <c r="P38" s="116"/>
      <c r="Q38" s="116"/>
      <c r="R38" s="116"/>
      <c r="S38" s="116"/>
    </row>
    <row r="39" spans="1:19" x14ac:dyDescent="0.25">
      <c r="A39" s="17" t="s">
        <v>51</v>
      </c>
      <c r="B39" s="6"/>
      <c r="C39" s="6"/>
      <c r="D39" s="72">
        <v>11.2</v>
      </c>
      <c r="E39" s="72">
        <v>11.9</v>
      </c>
      <c r="F39" s="6">
        <f>+((E39*E37)-(D39*D37))/14</f>
        <v>13.450000000000001</v>
      </c>
      <c r="G39" s="74">
        <v>12.9</v>
      </c>
      <c r="H39" s="6"/>
      <c r="I39" s="6"/>
      <c r="J39" s="116"/>
      <c r="K39" s="116"/>
      <c r="L39" s="116"/>
      <c r="M39" s="6"/>
      <c r="N39" s="116"/>
      <c r="O39" s="116"/>
      <c r="P39" s="116"/>
      <c r="Q39" s="116"/>
      <c r="R39" s="116"/>
      <c r="S39" s="116"/>
    </row>
    <row r="40" spans="1:19" x14ac:dyDescent="0.25">
      <c r="A40" s="17" t="s">
        <v>52</v>
      </c>
      <c r="B40" s="6"/>
      <c r="C40" s="6"/>
      <c r="D40" s="72">
        <v>7.3</v>
      </c>
      <c r="E40" s="72">
        <v>6.9</v>
      </c>
      <c r="F40" s="6">
        <f>+((E40*E37)-(D40*D37))/14</f>
        <v>6.0142857142857151</v>
      </c>
      <c r="G40" s="74">
        <v>5.5</v>
      </c>
      <c r="H40" s="6"/>
      <c r="I40" s="6"/>
      <c r="J40" s="116"/>
      <c r="K40" s="116"/>
      <c r="L40" s="116"/>
      <c r="M40" s="6"/>
      <c r="N40" s="116"/>
      <c r="O40" s="116"/>
      <c r="P40" s="116"/>
      <c r="Q40" s="116"/>
      <c r="R40" s="116"/>
      <c r="S40" s="116"/>
    </row>
    <row r="41" spans="1:19" x14ac:dyDescent="0.25">
      <c r="A41" s="17" t="s">
        <v>53</v>
      </c>
      <c r="B41" s="6"/>
      <c r="C41" s="6"/>
      <c r="D41" s="47">
        <f>SUM(D39:D40)</f>
        <v>18.5</v>
      </c>
      <c r="E41" s="47">
        <f>SUM(E39:E40)</f>
        <v>18.8</v>
      </c>
      <c r="F41" s="75">
        <f>SUM(F39:F40)</f>
        <v>19.464285714285715</v>
      </c>
      <c r="G41" s="76">
        <f>+G39+G40</f>
        <v>18.399999999999999</v>
      </c>
      <c r="H41" s="6"/>
      <c r="I41" s="6"/>
      <c r="J41" s="116"/>
      <c r="K41" s="116"/>
      <c r="L41" s="116"/>
      <c r="M41" s="6"/>
      <c r="N41" s="116"/>
      <c r="O41" s="116"/>
      <c r="P41" s="116"/>
      <c r="Q41" s="116"/>
      <c r="R41" s="116"/>
      <c r="S41" s="116"/>
    </row>
    <row r="42" spans="1:19" x14ac:dyDescent="0.25">
      <c r="A42" s="17" t="s">
        <v>54</v>
      </c>
      <c r="B42" s="6"/>
      <c r="C42" s="6"/>
      <c r="D42" s="72"/>
      <c r="E42" s="77"/>
      <c r="F42" s="78">
        <f>D42-E42</f>
        <v>0</v>
      </c>
      <c r="G42" s="76">
        <v>0</v>
      </c>
      <c r="H42" s="6"/>
      <c r="I42" s="6"/>
      <c r="J42" s="116"/>
      <c r="K42" s="116"/>
      <c r="L42" s="116"/>
      <c r="M42" s="6"/>
      <c r="N42" s="116"/>
      <c r="O42" s="116"/>
      <c r="P42" s="116"/>
      <c r="Q42" s="116"/>
      <c r="R42" s="116"/>
      <c r="S42" s="116"/>
    </row>
    <row r="43" spans="1:19" x14ac:dyDescent="0.25">
      <c r="A43" s="17" t="s">
        <v>55</v>
      </c>
      <c r="B43" s="6"/>
      <c r="C43" s="6"/>
      <c r="D43" s="77">
        <v>459</v>
      </c>
      <c r="E43" s="77">
        <v>648</v>
      </c>
      <c r="F43" s="79">
        <f>+E43-D43</f>
        <v>189</v>
      </c>
      <c r="G43" s="70">
        <v>5794</v>
      </c>
      <c r="H43" s="6"/>
      <c r="I43" s="6"/>
      <c r="J43" s="116"/>
      <c r="K43" s="116"/>
      <c r="L43" s="116"/>
      <c r="M43" s="6"/>
      <c r="N43" s="116"/>
      <c r="O43" s="116"/>
      <c r="P43" s="116"/>
      <c r="Q43" s="116"/>
      <c r="R43" s="116"/>
      <c r="S43" s="116"/>
    </row>
    <row r="44" spans="1:19" ht="15.75" thickBot="1" x14ac:dyDescent="0.3">
      <c r="A44" s="26" t="s">
        <v>56</v>
      </c>
      <c r="B44" s="27"/>
      <c r="C44" s="27"/>
      <c r="D44" s="80">
        <v>252593</v>
      </c>
      <c r="E44" s="80">
        <v>315863</v>
      </c>
      <c r="F44" s="61">
        <f>+E44-D44</f>
        <v>63270</v>
      </c>
      <c r="G44" s="81">
        <v>2749073</v>
      </c>
      <c r="H44" s="6"/>
      <c r="I44" s="6"/>
      <c r="J44" s="116"/>
      <c r="K44" s="116"/>
      <c r="L44" s="116"/>
      <c r="M44" s="6"/>
      <c r="N44" s="116"/>
      <c r="O44" s="116"/>
      <c r="P44" s="116"/>
      <c r="Q44" s="116"/>
      <c r="R44" s="116"/>
      <c r="S44" s="116"/>
    </row>
    <row r="45" spans="1:19" x14ac:dyDescent="0.25">
      <c r="A45" s="6" t="s">
        <v>57</v>
      </c>
      <c r="B45" s="6"/>
      <c r="C45" s="6"/>
      <c r="D45" s="117">
        <v>4</v>
      </c>
      <c r="E45" s="41"/>
      <c r="F45" s="41"/>
      <c r="G45" s="116"/>
      <c r="H45" s="116"/>
      <c r="I45" s="116"/>
      <c r="J45" s="116"/>
      <c r="K45" s="116"/>
      <c r="L45" s="116"/>
      <c r="M45" s="6"/>
      <c r="N45" s="116"/>
      <c r="O45" s="116"/>
      <c r="P45" s="116"/>
      <c r="Q45" s="116"/>
      <c r="R45" s="116"/>
      <c r="S45" s="116"/>
    </row>
    <row r="46" spans="1:19" ht="15.75" thickBot="1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6"/>
      <c r="N46" s="116"/>
      <c r="O46" s="116"/>
      <c r="P46" s="116"/>
      <c r="Q46" s="116"/>
      <c r="R46" s="116"/>
      <c r="S46" s="116"/>
    </row>
    <row r="47" spans="1:19" x14ac:dyDescent="0.25">
      <c r="A47" s="82" t="s">
        <v>82</v>
      </c>
      <c r="B47" s="83"/>
      <c r="C47" s="83"/>
      <c r="D47" s="4"/>
      <c r="E47" s="4"/>
      <c r="F47" s="4"/>
      <c r="G47" s="4"/>
      <c r="H47" s="4"/>
      <c r="I47" s="5"/>
      <c r="J47" s="7"/>
      <c r="K47" s="4"/>
      <c r="L47" s="4"/>
      <c r="M47" s="4"/>
      <c r="N47" s="5"/>
      <c r="O47" s="116"/>
      <c r="P47" s="116"/>
      <c r="Q47" s="116"/>
      <c r="R47" s="116"/>
      <c r="S47" s="116"/>
    </row>
    <row r="48" spans="1:19" x14ac:dyDescent="0.25">
      <c r="A48" s="17"/>
      <c r="B48" s="6"/>
      <c r="C48" s="6"/>
      <c r="D48" s="6"/>
      <c r="E48" s="6"/>
      <c r="F48" s="6"/>
      <c r="G48" s="84" t="s">
        <v>58</v>
      </c>
      <c r="H48" s="6"/>
      <c r="I48" s="85"/>
      <c r="J48" s="17"/>
      <c r="K48" s="84" t="s">
        <v>59</v>
      </c>
      <c r="L48" s="6"/>
      <c r="M48" s="6"/>
      <c r="N48" s="85"/>
      <c r="O48" s="116"/>
      <c r="P48" s="116"/>
      <c r="Q48" s="116"/>
      <c r="R48" s="116"/>
      <c r="S48" s="116"/>
    </row>
    <row r="49" spans="1:19" ht="39" x14ac:dyDescent="0.25">
      <c r="A49" s="86" t="s">
        <v>10</v>
      </c>
      <c r="B49" s="87"/>
      <c r="C49" s="87"/>
      <c r="D49" s="6"/>
      <c r="E49" s="88" t="s">
        <v>60</v>
      </c>
      <c r="F49" s="89" t="s">
        <v>61</v>
      </c>
      <c r="G49" s="89" t="s">
        <v>62</v>
      </c>
      <c r="H49" s="89"/>
      <c r="I49" s="90" t="s">
        <v>63</v>
      </c>
      <c r="J49" s="91" t="s">
        <v>64</v>
      </c>
      <c r="K49" s="92" t="s">
        <v>65</v>
      </c>
      <c r="L49" s="92"/>
      <c r="M49" s="92"/>
      <c r="N49" s="93" t="s">
        <v>66</v>
      </c>
      <c r="O49" s="116"/>
      <c r="P49" s="116"/>
      <c r="Q49" s="116"/>
      <c r="R49" s="116"/>
      <c r="S49" s="116"/>
    </row>
    <row r="50" spans="1:19" x14ac:dyDescent="0.25">
      <c r="A50" s="118" t="s">
        <v>71</v>
      </c>
      <c r="B50" s="119"/>
      <c r="C50" s="119"/>
      <c r="D50" s="119" t="s">
        <v>3</v>
      </c>
      <c r="E50" s="120">
        <v>156</v>
      </c>
      <c r="F50" s="120">
        <v>8</v>
      </c>
      <c r="G50" s="120">
        <v>170</v>
      </c>
      <c r="H50" s="120"/>
      <c r="I50" s="121">
        <v>1794.56</v>
      </c>
      <c r="J50" s="98">
        <v>559.5</v>
      </c>
      <c r="K50" s="117">
        <v>26.25</v>
      </c>
      <c r="L50" s="117"/>
      <c r="M50" s="117"/>
      <c r="N50" s="99">
        <v>660.75</v>
      </c>
      <c r="O50" s="116"/>
      <c r="P50" s="116"/>
      <c r="Q50" s="116"/>
      <c r="R50" s="116"/>
      <c r="S50" s="116"/>
    </row>
    <row r="51" spans="1:19" x14ac:dyDescent="0.25">
      <c r="A51" s="122"/>
      <c r="B51" s="123"/>
      <c r="C51" s="123"/>
      <c r="D51" s="123" t="s">
        <v>4</v>
      </c>
      <c r="E51" s="124">
        <f>J50/D45</f>
        <v>139.875</v>
      </c>
      <c r="F51" s="124">
        <f>K50/D45</f>
        <v>6.5625</v>
      </c>
      <c r="G51" s="124">
        <f>N50/D45</f>
        <v>165.1875</v>
      </c>
      <c r="H51" s="124"/>
      <c r="I51" s="124"/>
      <c r="J51" s="103"/>
      <c r="K51" s="104"/>
      <c r="L51" s="104"/>
      <c r="M51" s="104"/>
      <c r="N51" s="105"/>
      <c r="O51" s="116"/>
      <c r="P51" s="116"/>
      <c r="Q51" s="116"/>
      <c r="R51" s="116"/>
      <c r="S51" s="116"/>
    </row>
    <row r="52" spans="1:19" x14ac:dyDescent="0.25">
      <c r="A52" s="118" t="s">
        <v>70</v>
      </c>
      <c r="B52" s="119"/>
      <c r="C52" s="119"/>
      <c r="D52" s="119" t="s">
        <v>3</v>
      </c>
      <c r="E52" s="120">
        <v>80</v>
      </c>
      <c r="F52" s="120">
        <v>0</v>
      </c>
      <c r="G52" s="120">
        <v>80</v>
      </c>
      <c r="H52" s="120"/>
      <c r="I52" s="121">
        <v>4239.42</v>
      </c>
      <c r="J52" s="126">
        <v>480</v>
      </c>
      <c r="K52" s="125">
        <v>0</v>
      </c>
      <c r="L52" s="117"/>
      <c r="M52" s="117"/>
      <c r="N52" s="129">
        <v>480</v>
      </c>
      <c r="O52" s="116"/>
      <c r="P52" s="116"/>
      <c r="Q52" s="116"/>
      <c r="R52" s="116"/>
      <c r="S52" s="116"/>
    </row>
    <row r="53" spans="1:19" x14ac:dyDescent="0.25">
      <c r="A53" s="122"/>
      <c r="B53" s="123"/>
      <c r="C53" s="123"/>
      <c r="D53" s="123" t="s">
        <v>4</v>
      </c>
      <c r="E53" s="124">
        <f>J52/D45</f>
        <v>120</v>
      </c>
      <c r="F53" s="124">
        <f>K52/D45</f>
        <v>0</v>
      </c>
      <c r="G53" s="124">
        <f>K52/D45</f>
        <v>0</v>
      </c>
      <c r="H53" s="124"/>
      <c r="I53" s="124"/>
      <c r="J53" s="127"/>
      <c r="K53" s="128"/>
      <c r="L53" s="131"/>
      <c r="M53" s="131"/>
      <c r="N53" s="130"/>
      <c r="O53" s="116"/>
      <c r="P53" s="116"/>
      <c r="Q53" s="116"/>
      <c r="R53" s="116"/>
      <c r="S53" s="116"/>
    </row>
    <row r="54" spans="1:19" x14ac:dyDescent="0.25">
      <c r="A54" s="118" t="s">
        <v>23</v>
      </c>
      <c r="B54" s="119"/>
      <c r="C54" s="119"/>
      <c r="D54" s="119" t="s">
        <v>3</v>
      </c>
      <c r="E54" s="120">
        <v>649.25</v>
      </c>
      <c r="F54" s="120">
        <v>9.75</v>
      </c>
      <c r="G54" s="120">
        <v>678</v>
      </c>
      <c r="H54" s="120"/>
      <c r="I54" s="121">
        <v>5205.3999999999996</v>
      </c>
      <c r="J54" s="98">
        <v>2488.75</v>
      </c>
      <c r="K54" s="117">
        <v>24.25</v>
      </c>
      <c r="L54" s="117"/>
      <c r="M54" s="117"/>
      <c r="N54" s="99">
        <v>2770.25</v>
      </c>
      <c r="O54" s="116"/>
      <c r="P54" s="116"/>
      <c r="Q54" s="116"/>
      <c r="R54" s="116"/>
      <c r="S54" s="116"/>
    </row>
    <row r="55" spans="1:19" x14ac:dyDescent="0.25">
      <c r="A55" s="122"/>
      <c r="B55" s="123"/>
      <c r="C55" s="123"/>
      <c r="D55" s="123" t="s">
        <v>4</v>
      </c>
      <c r="E55" s="124">
        <f>J54/D45</f>
        <v>622.1875</v>
      </c>
      <c r="F55" s="124">
        <f>K54/D45</f>
        <v>6.0625</v>
      </c>
      <c r="G55" s="124">
        <f>N54/D45</f>
        <v>692.5625</v>
      </c>
      <c r="H55" s="124"/>
      <c r="I55" s="124"/>
      <c r="J55" s="103"/>
      <c r="K55" s="104"/>
      <c r="L55" s="104"/>
      <c r="M55" s="104"/>
      <c r="N55" s="105"/>
      <c r="O55" s="116"/>
      <c r="P55" s="116"/>
      <c r="Q55" s="116"/>
      <c r="R55" s="116"/>
      <c r="S55" s="116"/>
    </row>
    <row r="56" spans="1:19" x14ac:dyDescent="0.25">
      <c r="A56" s="118" t="s">
        <v>72</v>
      </c>
      <c r="B56" s="119"/>
      <c r="C56" s="119"/>
      <c r="D56" s="119" t="s">
        <v>3</v>
      </c>
      <c r="E56" s="120">
        <v>733.75</v>
      </c>
      <c r="F56" s="120">
        <v>16.25</v>
      </c>
      <c r="G56" s="120">
        <v>767.78</v>
      </c>
      <c r="H56" s="120"/>
      <c r="I56" s="121">
        <v>32064.17</v>
      </c>
      <c r="J56" s="98">
        <v>2850.75</v>
      </c>
      <c r="K56" s="117">
        <v>41.5</v>
      </c>
      <c r="L56" s="117"/>
      <c r="M56" s="117"/>
      <c r="N56" s="99">
        <v>3276.0299999999997</v>
      </c>
      <c r="O56" s="116"/>
      <c r="P56" s="116"/>
      <c r="Q56" s="116"/>
      <c r="R56" s="116"/>
      <c r="S56" s="116"/>
    </row>
    <row r="57" spans="1:19" x14ac:dyDescent="0.25">
      <c r="A57" s="122"/>
      <c r="B57" s="123"/>
      <c r="C57" s="123"/>
      <c r="D57" s="123" t="s">
        <v>4</v>
      </c>
      <c r="E57" s="124">
        <f>J56/D45</f>
        <v>712.6875</v>
      </c>
      <c r="F57" s="124">
        <f>K56/D45</f>
        <v>10.375</v>
      </c>
      <c r="G57" s="124">
        <f>N56/D45</f>
        <v>819.00749999999994</v>
      </c>
      <c r="H57" s="124"/>
      <c r="I57" s="124"/>
      <c r="J57" s="103"/>
      <c r="K57" s="104"/>
      <c r="L57" s="104"/>
      <c r="M57" s="104"/>
      <c r="N57" s="105"/>
      <c r="O57" s="116"/>
      <c r="P57" s="116"/>
      <c r="Q57" s="116"/>
      <c r="R57" s="116"/>
      <c r="S57" s="116"/>
    </row>
    <row r="58" spans="1:19" x14ac:dyDescent="0.25">
      <c r="A58" s="118" t="s">
        <v>73</v>
      </c>
      <c r="B58" s="119"/>
      <c r="C58" s="119"/>
      <c r="D58" s="119" t="s">
        <v>3</v>
      </c>
      <c r="E58" s="120">
        <v>974.75</v>
      </c>
      <c r="F58" s="120">
        <v>5.75</v>
      </c>
      <c r="G58" s="120">
        <v>996.5</v>
      </c>
      <c r="H58" s="120"/>
      <c r="I58" s="121">
        <v>28378.639999999999</v>
      </c>
      <c r="J58" s="98">
        <v>3844.25</v>
      </c>
      <c r="K58" s="117">
        <v>21</v>
      </c>
      <c r="L58" s="117"/>
      <c r="M58" s="117"/>
      <c r="N58" s="99">
        <v>4163.25</v>
      </c>
      <c r="O58" s="116"/>
      <c r="P58" s="116"/>
      <c r="Q58" s="116"/>
      <c r="R58" s="116"/>
      <c r="S58" s="116"/>
    </row>
    <row r="59" spans="1:19" x14ac:dyDescent="0.25">
      <c r="A59" s="122"/>
      <c r="B59" s="123"/>
      <c r="C59" s="123"/>
      <c r="D59" s="123" t="s">
        <v>4</v>
      </c>
      <c r="E59" s="124">
        <f>J58/D45</f>
        <v>961.0625</v>
      </c>
      <c r="F59" s="124">
        <f>K58/D45</f>
        <v>5.25</v>
      </c>
      <c r="G59" s="124">
        <f>N58/D45</f>
        <v>1040.8125</v>
      </c>
      <c r="H59" s="124"/>
      <c r="I59" s="124"/>
      <c r="J59" s="103"/>
      <c r="K59" s="104"/>
      <c r="L59" s="104"/>
      <c r="M59" s="104"/>
      <c r="N59" s="105"/>
      <c r="O59" s="116"/>
      <c r="P59" s="116"/>
      <c r="Q59" s="116"/>
      <c r="R59" s="116"/>
      <c r="S59" s="116"/>
    </row>
    <row r="60" spans="1:19" x14ac:dyDescent="0.25">
      <c r="A60" s="118" t="s">
        <v>24</v>
      </c>
      <c r="B60" s="119"/>
      <c r="C60" s="119"/>
      <c r="D60" s="119" t="s">
        <v>3</v>
      </c>
      <c r="E60" s="120">
        <v>719.5</v>
      </c>
      <c r="F60" s="120">
        <v>6.75</v>
      </c>
      <c r="G60" s="120">
        <v>823.25</v>
      </c>
      <c r="H60" s="120"/>
      <c r="I60" s="121">
        <v>5070.78</v>
      </c>
      <c r="J60" s="98">
        <v>2850.0333300000002</v>
      </c>
      <c r="K60" s="117">
        <v>52.8</v>
      </c>
      <c r="L60" s="117"/>
      <c r="M60" s="117"/>
      <c r="N60" s="99">
        <v>3315.8333299999999</v>
      </c>
      <c r="O60" s="116"/>
      <c r="P60" s="116"/>
      <c r="Q60" s="116"/>
      <c r="R60" s="116"/>
      <c r="S60" s="116"/>
    </row>
    <row r="61" spans="1:19" x14ac:dyDescent="0.25">
      <c r="A61" s="122"/>
      <c r="B61" s="123"/>
      <c r="C61" s="123"/>
      <c r="D61" s="123" t="s">
        <v>4</v>
      </c>
      <c r="E61" s="124">
        <f>J60/D45</f>
        <v>712.50833250000005</v>
      </c>
      <c r="F61" s="124">
        <f>K60/D45</f>
        <v>13.2</v>
      </c>
      <c r="G61" s="124">
        <f>N60/D45</f>
        <v>828.95833249999998</v>
      </c>
      <c r="H61" s="124"/>
      <c r="I61" s="124"/>
      <c r="J61" s="103"/>
      <c r="K61" s="104"/>
      <c r="L61" s="104"/>
      <c r="M61" s="104"/>
      <c r="N61" s="105"/>
      <c r="O61" s="116"/>
      <c r="P61" s="116"/>
      <c r="Q61" s="116"/>
      <c r="R61" s="116"/>
      <c r="S61" s="116"/>
    </row>
    <row r="62" spans="1:19" x14ac:dyDescent="0.25">
      <c r="A62" s="118" t="s">
        <v>25</v>
      </c>
      <c r="B62" s="119"/>
      <c r="C62" s="119"/>
      <c r="D62" s="119" t="s">
        <v>3</v>
      </c>
      <c r="E62" s="120">
        <v>702.08</v>
      </c>
      <c r="F62" s="120">
        <v>38</v>
      </c>
      <c r="G62" s="120">
        <v>744.08</v>
      </c>
      <c r="H62" s="120"/>
      <c r="I62" s="121">
        <v>16431.63</v>
      </c>
      <c r="J62" s="98">
        <v>2780.07</v>
      </c>
      <c r="K62" s="117">
        <v>118.25</v>
      </c>
      <c r="L62" s="117"/>
      <c r="M62" s="117"/>
      <c r="N62" s="99">
        <v>3073.37</v>
      </c>
      <c r="O62" s="116"/>
      <c r="P62" s="116"/>
      <c r="Q62" s="116"/>
      <c r="R62" s="116"/>
      <c r="S62" s="116"/>
    </row>
    <row r="63" spans="1:19" x14ac:dyDescent="0.25">
      <c r="A63" s="122"/>
      <c r="B63" s="123"/>
      <c r="C63" s="123"/>
      <c r="D63" s="123" t="s">
        <v>4</v>
      </c>
      <c r="E63" s="124">
        <f>J62/D45</f>
        <v>695.01750000000004</v>
      </c>
      <c r="F63" s="124">
        <f>K62/D45</f>
        <v>29.5625</v>
      </c>
      <c r="G63" s="124">
        <f>N62/D45</f>
        <v>768.34249999999997</v>
      </c>
      <c r="H63" s="124"/>
      <c r="I63" s="124"/>
      <c r="J63" s="103"/>
      <c r="K63" s="104"/>
      <c r="L63" s="104"/>
      <c r="M63" s="104"/>
      <c r="N63" s="105"/>
      <c r="O63" s="116"/>
      <c r="P63" s="116"/>
      <c r="Q63" s="116"/>
      <c r="R63" s="116"/>
      <c r="S63" s="116"/>
    </row>
    <row r="64" spans="1:19" x14ac:dyDescent="0.25">
      <c r="A64" s="118" t="s">
        <v>67</v>
      </c>
      <c r="B64" s="119"/>
      <c r="C64" s="119"/>
      <c r="D64" s="119" t="s">
        <v>3</v>
      </c>
      <c r="E64" s="120">
        <v>1207.75</v>
      </c>
      <c r="F64" s="120">
        <v>36</v>
      </c>
      <c r="G64" s="120">
        <v>1291.75</v>
      </c>
      <c r="H64" s="120"/>
      <c r="I64" s="121">
        <v>18381.080000000002</v>
      </c>
      <c r="J64" s="98">
        <v>4704.5</v>
      </c>
      <c r="K64" s="117">
        <v>163.25</v>
      </c>
      <c r="L64" s="117"/>
      <c r="M64" s="117"/>
      <c r="N64" s="99">
        <v>5179.75</v>
      </c>
      <c r="O64" s="116"/>
      <c r="P64" s="116"/>
      <c r="Q64" s="116"/>
      <c r="R64" s="116"/>
      <c r="S64" s="116"/>
    </row>
    <row r="65" spans="1:19" x14ac:dyDescent="0.25">
      <c r="A65" s="122"/>
      <c r="B65" s="123"/>
      <c r="C65" s="123"/>
      <c r="D65" s="123" t="s">
        <v>4</v>
      </c>
      <c r="E65" s="124">
        <f>J64/D45</f>
        <v>1176.125</v>
      </c>
      <c r="F65" s="124">
        <f>K64/D45</f>
        <v>40.8125</v>
      </c>
      <c r="G65" s="124">
        <f>N64/D45</f>
        <v>1294.9375</v>
      </c>
      <c r="H65" s="124"/>
      <c r="I65" s="124"/>
      <c r="J65" s="106"/>
      <c r="K65" s="107"/>
      <c r="L65" s="107"/>
      <c r="M65" s="107"/>
      <c r="N65" s="108"/>
      <c r="O65" s="116"/>
      <c r="P65" s="116"/>
      <c r="Q65" s="116"/>
      <c r="R65" s="116"/>
      <c r="S65" s="116"/>
    </row>
    <row r="66" spans="1:19" x14ac:dyDescent="0.25">
      <c r="A66" s="118" t="s">
        <v>27</v>
      </c>
      <c r="B66" s="119"/>
      <c r="C66" s="119"/>
      <c r="D66" s="119" t="s">
        <v>3</v>
      </c>
      <c r="E66" s="120">
        <v>406.75</v>
      </c>
      <c r="F66" s="120">
        <v>2.75</v>
      </c>
      <c r="G66" s="120">
        <v>417.5</v>
      </c>
      <c r="H66" s="120"/>
      <c r="I66" s="121">
        <v>2163.4899999999998</v>
      </c>
      <c r="J66" s="98">
        <v>1560.5</v>
      </c>
      <c r="K66" s="117">
        <v>29</v>
      </c>
      <c r="L66" s="117"/>
      <c r="M66" s="117"/>
      <c r="N66" s="99">
        <v>1694.5</v>
      </c>
      <c r="O66" s="116"/>
      <c r="P66" s="116"/>
      <c r="Q66" s="116"/>
      <c r="R66" s="116"/>
      <c r="S66" s="116"/>
    </row>
    <row r="67" spans="1:19" x14ac:dyDescent="0.25">
      <c r="A67" s="122"/>
      <c r="B67" s="123"/>
      <c r="C67" s="123"/>
      <c r="D67" s="123" t="s">
        <v>4</v>
      </c>
      <c r="E67" s="124">
        <f>J66/D45</f>
        <v>390.125</v>
      </c>
      <c r="F67" s="124">
        <f>K66/D45</f>
        <v>7.25</v>
      </c>
      <c r="G67" s="124">
        <f>N66/D45</f>
        <v>423.625</v>
      </c>
      <c r="H67" s="124"/>
      <c r="I67" s="124"/>
      <c r="J67" s="103"/>
      <c r="K67" s="104"/>
      <c r="L67" s="104"/>
      <c r="M67" s="104"/>
      <c r="N67" s="105"/>
      <c r="O67" s="116"/>
      <c r="P67" s="116"/>
      <c r="Q67" s="116"/>
      <c r="R67" s="116"/>
      <c r="S67" s="116"/>
    </row>
    <row r="68" spans="1:19" x14ac:dyDescent="0.25">
      <c r="A68" s="118" t="s">
        <v>68</v>
      </c>
      <c r="B68" s="119"/>
      <c r="C68" s="119"/>
      <c r="D68" s="119" t="s">
        <v>3</v>
      </c>
      <c r="E68" s="120">
        <v>430.25</v>
      </c>
      <c r="F68" s="120">
        <v>15.08333</v>
      </c>
      <c r="G68" s="120">
        <v>501.33332999999999</v>
      </c>
      <c r="H68" s="120"/>
      <c r="I68" s="121">
        <v>6684.7</v>
      </c>
      <c r="J68" s="98">
        <v>1771</v>
      </c>
      <c r="K68" s="117">
        <v>28.316659999999999</v>
      </c>
      <c r="L68" s="117"/>
      <c r="M68" s="117"/>
      <c r="N68" s="99">
        <v>2067.2833300000002</v>
      </c>
      <c r="O68" s="116"/>
      <c r="P68" s="116"/>
      <c r="Q68" s="116"/>
      <c r="R68" s="116"/>
      <c r="S68" s="116"/>
    </row>
    <row r="69" spans="1:19" x14ac:dyDescent="0.25">
      <c r="A69" s="122"/>
      <c r="B69" s="123"/>
      <c r="C69" s="123"/>
      <c r="D69" s="123" t="s">
        <v>4</v>
      </c>
      <c r="E69" s="124">
        <f>J68/D45</f>
        <v>442.75</v>
      </c>
      <c r="F69" s="124">
        <f>K68/D45</f>
        <v>7.0791649999999997</v>
      </c>
      <c r="G69" s="124">
        <f>N68/D45</f>
        <v>516.82083250000005</v>
      </c>
      <c r="H69" s="124"/>
      <c r="I69" s="124"/>
      <c r="J69" s="103"/>
      <c r="K69" s="104"/>
      <c r="L69" s="104"/>
      <c r="M69" s="104"/>
      <c r="N69" s="105"/>
      <c r="O69" s="116"/>
      <c r="P69" s="116"/>
      <c r="Q69" s="116"/>
      <c r="R69" s="116"/>
      <c r="S69" s="116"/>
    </row>
    <row r="70" spans="1:19" x14ac:dyDescent="0.25">
      <c r="A70" s="118" t="s">
        <v>29</v>
      </c>
      <c r="B70" s="119"/>
      <c r="C70" s="119"/>
      <c r="D70" s="119" t="s">
        <v>3</v>
      </c>
      <c r="E70" s="120">
        <v>160</v>
      </c>
      <c r="F70" s="120">
        <v>1</v>
      </c>
      <c r="G70" s="120">
        <v>161</v>
      </c>
      <c r="H70" s="120"/>
      <c r="I70" s="121">
        <v>1829.96</v>
      </c>
      <c r="J70" s="98">
        <v>591.5</v>
      </c>
      <c r="K70" s="117">
        <v>1.5</v>
      </c>
      <c r="L70" s="117"/>
      <c r="M70" s="117"/>
      <c r="N70" s="99">
        <v>643</v>
      </c>
      <c r="O70" s="116"/>
      <c r="P70" s="116"/>
      <c r="Q70" s="116"/>
      <c r="R70" s="116"/>
      <c r="S70" s="116"/>
    </row>
    <row r="71" spans="1:19" x14ac:dyDescent="0.25">
      <c r="A71" s="122"/>
      <c r="B71" s="123"/>
      <c r="C71" s="123"/>
      <c r="D71" s="123" t="s">
        <v>4</v>
      </c>
      <c r="E71" s="124">
        <f>J70/D45</f>
        <v>147.875</v>
      </c>
      <c r="F71" s="124">
        <f>K70/D45</f>
        <v>0.375</v>
      </c>
      <c r="G71" s="124">
        <f>N70/D45</f>
        <v>160.75</v>
      </c>
      <c r="H71" s="124"/>
      <c r="I71" s="124"/>
      <c r="J71" s="103"/>
      <c r="K71" s="104"/>
      <c r="L71" s="104"/>
      <c r="M71" s="104"/>
      <c r="N71" s="105"/>
      <c r="O71" s="116"/>
      <c r="P71" s="116"/>
      <c r="Q71" s="116"/>
      <c r="R71" s="116"/>
      <c r="S71" s="116"/>
    </row>
    <row r="72" spans="1:19" x14ac:dyDescent="0.25">
      <c r="A72" s="118" t="s">
        <v>30</v>
      </c>
      <c r="B72" s="119"/>
      <c r="C72" s="119"/>
      <c r="D72" s="119" t="s">
        <v>3</v>
      </c>
      <c r="E72" s="120">
        <v>80</v>
      </c>
      <c r="F72" s="120">
        <v>0</v>
      </c>
      <c r="G72" s="120">
        <v>80</v>
      </c>
      <c r="H72" s="120"/>
      <c r="I72" s="121">
        <v>1013.73</v>
      </c>
      <c r="J72" s="98">
        <v>320</v>
      </c>
      <c r="K72" s="117">
        <v>0</v>
      </c>
      <c r="L72" s="117"/>
      <c r="M72" s="117"/>
      <c r="N72" s="99">
        <v>320</v>
      </c>
      <c r="O72" s="116"/>
      <c r="P72" s="116"/>
      <c r="Q72" s="116"/>
      <c r="R72" s="116"/>
      <c r="S72" s="116"/>
    </row>
    <row r="73" spans="1:19" x14ac:dyDescent="0.25">
      <c r="A73" s="122"/>
      <c r="B73" s="123"/>
      <c r="C73" s="123"/>
      <c r="D73" s="123" t="s">
        <v>4</v>
      </c>
      <c r="E73" s="124">
        <f>J72/D45</f>
        <v>80</v>
      </c>
      <c r="F73" s="124">
        <f>K72/D45</f>
        <v>0</v>
      </c>
      <c r="G73" s="124">
        <f>N72/D45</f>
        <v>80</v>
      </c>
      <c r="H73" s="124"/>
      <c r="I73" s="124"/>
      <c r="J73" s="103"/>
      <c r="K73" s="104"/>
      <c r="L73" s="104"/>
      <c r="M73" s="104"/>
      <c r="N73" s="105"/>
      <c r="O73" s="116"/>
      <c r="P73" s="116"/>
      <c r="Q73" s="116"/>
      <c r="R73" s="116"/>
      <c r="S73" s="116"/>
    </row>
    <row r="74" spans="1:19" x14ac:dyDescent="0.25">
      <c r="A74" s="118" t="s">
        <v>31</v>
      </c>
      <c r="B74" s="119"/>
      <c r="C74" s="119"/>
      <c r="D74" s="119" t="s">
        <v>3</v>
      </c>
      <c r="E74" s="120">
        <v>238</v>
      </c>
      <c r="F74" s="120">
        <v>2</v>
      </c>
      <c r="G74" s="120">
        <v>243</v>
      </c>
      <c r="H74" s="120"/>
      <c r="I74" s="121">
        <v>2914.43</v>
      </c>
      <c r="J74" s="98">
        <v>859.5</v>
      </c>
      <c r="K74" s="117">
        <v>6.5</v>
      </c>
      <c r="L74" s="117"/>
      <c r="M74" s="117"/>
      <c r="N74" s="99">
        <v>943</v>
      </c>
      <c r="O74" s="116"/>
      <c r="P74" s="116"/>
      <c r="Q74" s="116"/>
      <c r="R74" s="116"/>
      <c r="S74" s="116"/>
    </row>
    <row r="75" spans="1:19" x14ac:dyDescent="0.25">
      <c r="A75" s="122"/>
      <c r="B75" s="123"/>
      <c r="C75" s="123"/>
      <c r="D75" s="123" t="s">
        <v>4</v>
      </c>
      <c r="E75" s="124">
        <f>J74/D45</f>
        <v>214.875</v>
      </c>
      <c r="F75" s="124">
        <f>K74/D45</f>
        <v>1.625</v>
      </c>
      <c r="G75" s="124">
        <f>N74/D45</f>
        <v>235.75</v>
      </c>
      <c r="H75" s="124"/>
      <c r="I75" s="124"/>
      <c r="J75" s="103"/>
      <c r="K75" s="104"/>
      <c r="L75" s="104"/>
      <c r="M75" s="104"/>
      <c r="N75" s="105"/>
      <c r="O75" s="116"/>
      <c r="P75" s="116"/>
      <c r="Q75" s="116"/>
      <c r="R75" s="116"/>
      <c r="S75" s="116"/>
    </row>
    <row r="76" spans="1:19" x14ac:dyDescent="0.25">
      <c r="A76" s="118" t="s">
        <v>32</v>
      </c>
      <c r="B76" s="119"/>
      <c r="C76" s="119"/>
      <c r="D76" s="119" t="s">
        <v>3</v>
      </c>
      <c r="E76" s="120">
        <v>170</v>
      </c>
      <c r="F76" s="120">
        <v>0</v>
      </c>
      <c r="G76" s="120">
        <v>170</v>
      </c>
      <c r="H76" s="120"/>
      <c r="I76" s="121">
        <v>1129.3900000000001</v>
      </c>
      <c r="J76" s="98">
        <v>550.75</v>
      </c>
      <c r="K76" s="117">
        <v>0</v>
      </c>
      <c r="L76" s="117"/>
      <c r="M76" s="117"/>
      <c r="N76" s="99">
        <v>550.75</v>
      </c>
      <c r="O76" s="116"/>
      <c r="P76" s="116"/>
      <c r="Q76" s="116"/>
      <c r="R76" s="116"/>
      <c r="S76" s="116"/>
    </row>
    <row r="77" spans="1:19" x14ac:dyDescent="0.25">
      <c r="A77" s="122"/>
      <c r="B77" s="123"/>
      <c r="C77" s="123"/>
      <c r="D77" s="123" t="s">
        <v>4</v>
      </c>
      <c r="E77" s="124">
        <f>J76/D45</f>
        <v>137.6875</v>
      </c>
      <c r="F77" s="124">
        <f>K76/D45</f>
        <v>0</v>
      </c>
      <c r="G77" s="124">
        <f>N76/D45</f>
        <v>137.6875</v>
      </c>
      <c r="H77" s="124"/>
      <c r="I77" s="124"/>
      <c r="J77" s="103"/>
      <c r="K77" s="104"/>
      <c r="L77" s="104"/>
      <c r="M77" s="104"/>
      <c r="N77" s="105"/>
      <c r="O77" s="116"/>
      <c r="P77" s="116"/>
      <c r="Q77" s="116"/>
      <c r="R77" s="116"/>
      <c r="S77" s="116"/>
    </row>
    <row r="78" spans="1:19" x14ac:dyDescent="0.25">
      <c r="A78" s="118" t="s">
        <v>33</v>
      </c>
      <c r="B78" s="119"/>
      <c r="C78" s="119"/>
      <c r="D78" s="119" t="s">
        <v>3</v>
      </c>
      <c r="E78" s="120">
        <v>1551</v>
      </c>
      <c r="F78" s="120">
        <v>106</v>
      </c>
      <c r="G78" s="120">
        <v>1744</v>
      </c>
      <c r="H78" s="120"/>
      <c r="I78" s="121">
        <v>24512.23</v>
      </c>
      <c r="J78" s="98">
        <v>6075</v>
      </c>
      <c r="K78" s="117">
        <v>306.75</v>
      </c>
      <c r="L78" s="117"/>
      <c r="M78" s="117"/>
      <c r="N78" s="99">
        <v>6942.75</v>
      </c>
      <c r="O78" s="116"/>
      <c r="P78" s="116"/>
      <c r="Q78" s="116"/>
      <c r="R78" s="116"/>
      <c r="S78" s="116"/>
    </row>
    <row r="79" spans="1:19" x14ac:dyDescent="0.25">
      <c r="A79" s="122"/>
      <c r="B79" s="123"/>
      <c r="C79" s="123"/>
      <c r="D79" s="123" t="s">
        <v>4</v>
      </c>
      <c r="E79" s="124">
        <f>J78/D45</f>
        <v>1518.75</v>
      </c>
      <c r="F79" s="124">
        <f>K78/D45</f>
        <v>76.6875</v>
      </c>
      <c r="G79" s="124">
        <f>N78/D45</f>
        <v>1735.6875</v>
      </c>
      <c r="H79" s="124"/>
      <c r="I79" s="124"/>
      <c r="J79" s="103"/>
      <c r="K79" s="104"/>
      <c r="L79" s="104"/>
      <c r="M79" s="104"/>
      <c r="N79" s="105"/>
      <c r="O79" s="116"/>
      <c r="P79" s="116"/>
      <c r="Q79" s="116"/>
      <c r="R79" s="116"/>
      <c r="S79" s="116"/>
    </row>
    <row r="80" spans="1:19" x14ac:dyDescent="0.25">
      <c r="A80" s="118" t="s">
        <v>34</v>
      </c>
      <c r="B80" s="119"/>
      <c r="C80" s="119"/>
      <c r="D80" s="119" t="s">
        <v>3</v>
      </c>
      <c r="E80" s="120">
        <v>218</v>
      </c>
      <c r="F80" s="120">
        <v>0</v>
      </c>
      <c r="G80" s="120">
        <v>229</v>
      </c>
      <c r="H80" s="120"/>
      <c r="I80" s="121">
        <v>3271.01</v>
      </c>
      <c r="J80" s="98">
        <v>801.25</v>
      </c>
      <c r="K80" s="117">
        <v>0</v>
      </c>
      <c r="L80" s="117"/>
      <c r="M80" s="117"/>
      <c r="N80" s="99">
        <v>911.25</v>
      </c>
      <c r="O80" s="116"/>
      <c r="P80" s="116"/>
      <c r="Q80" s="116"/>
      <c r="R80" s="116"/>
      <c r="S80" s="116"/>
    </row>
    <row r="81" spans="1:19" x14ac:dyDescent="0.25">
      <c r="A81" s="122"/>
      <c r="B81" s="123"/>
      <c r="C81" s="123"/>
      <c r="D81" s="123" t="s">
        <v>4</v>
      </c>
      <c r="E81" s="124">
        <f>J80/D45</f>
        <v>200.3125</v>
      </c>
      <c r="F81" s="124">
        <f>K80/D45</f>
        <v>0</v>
      </c>
      <c r="G81" s="124">
        <f>N80/D45</f>
        <v>227.8125</v>
      </c>
      <c r="H81" s="124"/>
      <c r="I81" s="124"/>
      <c r="J81" s="103"/>
      <c r="K81" s="104"/>
      <c r="L81" s="104"/>
      <c r="M81" s="104"/>
      <c r="N81" s="105"/>
      <c r="O81" s="116"/>
      <c r="P81" s="116"/>
      <c r="Q81" s="116"/>
      <c r="R81" s="116"/>
      <c r="S81" s="116"/>
    </row>
    <row r="82" spans="1:19" x14ac:dyDescent="0.25">
      <c r="A82" s="118" t="s">
        <v>35</v>
      </c>
      <c r="B82" s="119"/>
      <c r="C82" s="119"/>
      <c r="D82" s="119" t="s">
        <v>3</v>
      </c>
      <c r="E82" s="120">
        <v>179.25</v>
      </c>
      <c r="F82" s="120">
        <v>0</v>
      </c>
      <c r="G82" s="120">
        <v>299.25</v>
      </c>
      <c r="H82" s="120"/>
      <c r="I82" s="121">
        <v>3714.51</v>
      </c>
      <c r="J82" s="98">
        <v>975</v>
      </c>
      <c r="K82" s="117">
        <v>0.5</v>
      </c>
      <c r="L82" s="117"/>
      <c r="M82" s="117"/>
      <c r="N82" s="99">
        <v>1213.5</v>
      </c>
      <c r="O82" s="116"/>
      <c r="P82" s="116"/>
      <c r="Q82" s="116"/>
      <c r="R82" s="116"/>
      <c r="S82" s="116"/>
    </row>
    <row r="83" spans="1:19" x14ac:dyDescent="0.25">
      <c r="A83" s="122"/>
      <c r="B83" s="123"/>
      <c r="C83" s="123"/>
      <c r="D83" s="123" t="s">
        <v>4</v>
      </c>
      <c r="E83" s="124">
        <f>J82/D45</f>
        <v>243.75</v>
      </c>
      <c r="F83" s="124">
        <f>K82/D45</f>
        <v>0.125</v>
      </c>
      <c r="G83" s="124">
        <f>N82/D45</f>
        <v>303.375</v>
      </c>
      <c r="H83" s="124"/>
      <c r="I83" s="124"/>
      <c r="J83" s="103"/>
      <c r="K83" s="104"/>
      <c r="L83" s="104"/>
      <c r="M83" s="104"/>
      <c r="N83" s="105"/>
      <c r="O83" s="116"/>
      <c r="P83" s="116"/>
      <c r="Q83" s="116"/>
      <c r="R83" s="116"/>
      <c r="S83" s="116"/>
    </row>
    <row r="84" spans="1:19" x14ac:dyDescent="0.25">
      <c r="A84" s="118" t="s">
        <v>38</v>
      </c>
      <c r="B84" s="119"/>
      <c r="C84" s="119"/>
      <c r="D84" s="119" t="s">
        <v>3</v>
      </c>
      <c r="E84" s="120">
        <v>111</v>
      </c>
      <c r="F84" s="120">
        <v>1</v>
      </c>
      <c r="G84" s="120">
        <v>112</v>
      </c>
      <c r="H84" s="120"/>
      <c r="I84" s="121">
        <v>2855.13</v>
      </c>
      <c r="J84" s="98">
        <v>413.5</v>
      </c>
      <c r="K84" s="117">
        <v>7</v>
      </c>
      <c r="L84" s="117"/>
      <c r="M84" s="117"/>
      <c r="N84" s="99">
        <v>454.5</v>
      </c>
      <c r="O84" s="116"/>
      <c r="P84" s="116"/>
      <c r="Q84" s="116"/>
      <c r="R84" s="116"/>
      <c r="S84" s="116"/>
    </row>
    <row r="85" spans="1:19" x14ac:dyDescent="0.25">
      <c r="A85" s="122"/>
      <c r="B85" s="123"/>
      <c r="C85" s="123"/>
      <c r="D85" s="123" t="s">
        <v>4</v>
      </c>
      <c r="E85" s="124">
        <f>J84/D45</f>
        <v>103.375</v>
      </c>
      <c r="F85" s="124">
        <f>K84/D45</f>
        <v>1.75</v>
      </c>
      <c r="G85" s="124">
        <f>N84/D45</f>
        <v>113.625</v>
      </c>
      <c r="H85" s="124"/>
      <c r="I85" s="124"/>
      <c r="J85" s="103"/>
      <c r="K85" s="104"/>
      <c r="L85" s="104"/>
      <c r="M85" s="104"/>
      <c r="N85" s="105"/>
      <c r="O85" s="116"/>
      <c r="P85" s="116"/>
      <c r="Q85" s="116"/>
      <c r="R85" s="116"/>
      <c r="S85" s="116"/>
    </row>
    <row r="86" spans="1:19" x14ac:dyDescent="0.25">
      <c r="A86" s="118" t="s">
        <v>39</v>
      </c>
      <c r="B86" s="119"/>
      <c r="C86" s="119"/>
      <c r="D86" s="119" t="s">
        <v>3</v>
      </c>
      <c r="E86" s="120">
        <v>78.25</v>
      </c>
      <c r="F86" s="120">
        <v>2.5</v>
      </c>
      <c r="G86" s="120">
        <v>96.08</v>
      </c>
      <c r="H86" s="120"/>
      <c r="I86" s="121">
        <v>704.42</v>
      </c>
      <c r="J86" s="98">
        <v>274.25</v>
      </c>
      <c r="K86" s="117">
        <v>9.5</v>
      </c>
      <c r="L86" s="117"/>
      <c r="M86" s="117"/>
      <c r="N86" s="99">
        <v>343.08</v>
      </c>
      <c r="O86" s="116"/>
      <c r="P86" s="116"/>
      <c r="Q86" s="116"/>
      <c r="R86" s="116"/>
      <c r="S86" s="116"/>
    </row>
    <row r="87" spans="1:19" x14ac:dyDescent="0.25">
      <c r="A87" s="122"/>
      <c r="B87" s="123"/>
      <c r="C87" s="123"/>
      <c r="D87" s="123" t="s">
        <v>4</v>
      </c>
      <c r="E87" s="124">
        <f>J86/D45</f>
        <v>68.5625</v>
      </c>
      <c r="F87" s="124">
        <f>K86/D45</f>
        <v>2.375</v>
      </c>
      <c r="G87" s="124">
        <f>N86/D45</f>
        <v>85.77</v>
      </c>
      <c r="H87" s="124"/>
      <c r="I87" s="124"/>
      <c r="J87" s="103"/>
      <c r="K87" s="104"/>
      <c r="L87" s="104"/>
      <c r="M87" s="104"/>
      <c r="N87" s="105"/>
      <c r="O87" s="116"/>
      <c r="P87" s="116"/>
      <c r="Q87" s="116"/>
      <c r="R87" s="116"/>
      <c r="S87" s="116"/>
    </row>
    <row r="88" spans="1:19" x14ac:dyDescent="0.25">
      <c r="A88" s="118" t="s">
        <v>40</v>
      </c>
      <c r="B88" s="119"/>
      <c r="C88" s="119"/>
      <c r="D88" s="119" t="s">
        <v>3</v>
      </c>
      <c r="E88" s="120">
        <v>429.23333000000002</v>
      </c>
      <c r="F88" s="120">
        <v>8.5</v>
      </c>
      <c r="G88" s="120">
        <v>445.73333000000002</v>
      </c>
      <c r="H88" s="120"/>
      <c r="I88" s="121">
        <v>6435.38</v>
      </c>
      <c r="J88" s="98">
        <v>1684.98333</v>
      </c>
      <c r="K88" s="117">
        <v>49.666669999999996</v>
      </c>
      <c r="L88" s="117"/>
      <c r="M88" s="117"/>
      <c r="N88" s="99">
        <v>1865.65</v>
      </c>
      <c r="O88" s="116"/>
      <c r="P88" s="116"/>
      <c r="Q88" s="116"/>
      <c r="R88" s="116"/>
      <c r="S88" s="116"/>
    </row>
    <row r="89" spans="1:19" x14ac:dyDescent="0.25">
      <c r="A89" s="122"/>
      <c r="B89" s="123"/>
      <c r="C89" s="123"/>
      <c r="D89" s="123" t="s">
        <v>4</v>
      </c>
      <c r="E89" s="124">
        <f>J88/D45</f>
        <v>421.24583250000001</v>
      </c>
      <c r="F89" s="124">
        <f>K88/D45</f>
        <v>12.416667499999999</v>
      </c>
      <c r="G89" s="124">
        <f>N88/D45</f>
        <v>466.41250000000002</v>
      </c>
      <c r="H89" s="124"/>
      <c r="I89" s="124"/>
      <c r="J89" s="103"/>
      <c r="K89" s="104"/>
      <c r="L89" s="104"/>
      <c r="M89" s="104"/>
      <c r="N89" s="105"/>
      <c r="O89" s="116"/>
      <c r="P89" s="116"/>
      <c r="Q89" s="116"/>
      <c r="R89" s="116"/>
      <c r="S89" s="116"/>
    </row>
    <row r="90" spans="1:19" x14ac:dyDescent="0.25">
      <c r="A90" s="118" t="s">
        <v>69</v>
      </c>
      <c r="B90" s="119"/>
      <c r="C90" s="119"/>
      <c r="D90" s="119" t="s">
        <v>3</v>
      </c>
      <c r="E90" s="120">
        <v>384.5</v>
      </c>
      <c r="F90" s="120">
        <v>27.75</v>
      </c>
      <c r="G90" s="120">
        <v>492.25</v>
      </c>
      <c r="H90" s="120"/>
      <c r="I90" s="121">
        <v>6766.72</v>
      </c>
      <c r="J90" s="98">
        <v>1720</v>
      </c>
      <c r="K90" s="117">
        <v>72</v>
      </c>
      <c r="L90" s="117"/>
      <c r="M90" s="117"/>
      <c r="N90" s="99">
        <v>2047</v>
      </c>
      <c r="O90" s="116"/>
      <c r="P90" s="116"/>
      <c r="Q90" s="116"/>
      <c r="R90" s="116"/>
      <c r="S90" s="116"/>
    </row>
    <row r="91" spans="1:19" ht="15.75" thickBot="1" x14ac:dyDescent="0.3">
      <c r="A91" s="26"/>
      <c r="B91" s="27"/>
      <c r="C91" s="27"/>
      <c r="D91" s="27" t="s">
        <v>4</v>
      </c>
      <c r="E91" s="109">
        <f>J90/D45</f>
        <v>430</v>
      </c>
      <c r="F91" s="109">
        <f>K90/D45</f>
        <v>18</v>
      </c>
      <c r="G91" s="109">
        <f>N90/D45</f>
        <v>511.75</v>
      </c>
      <c r="H91" s="109"/>
      <c r="I91" s="109"/>
      <c r="J91" s="110"/>
      <c r="K91" s="111"/>
      <c r="L91" s="111"/>
      <c r="M91" s="111"/>
      <c r="N91" s="112"/>
      <c r="O91" s="116"/>
      <c r="P91" s="113"/>
      <c r="Q91" s="116"/>
      <c r="R91" s="116"/>
      <c r="S91" s="116"/>
    </row>
    <row r="92" spans="1:19" x14ac:dyDescent="0.25">
      <c r="A92" s="114"/>
      <c r="B92" s="114"/>
      <c r="C92" s="114"/>
      <c r="D92" s="114"/>
      <c r="E92" s="115"/>
      <c r="F92" s="115"/>
      <c r="G92" s="115"/>
    </row>
    <row r="93" spans="1:19" x14ac:dyDescent="0.25">
      <c r="A93" s="114"/>
      <c r="B93" s="114"/>
      <c r="C93" s="114"/>
      <c r="D93" s="114"/>
      <c r="E93" s="115"/>
      <c r="F93" s="115"/>
      <c r="G93" s="115"/>
    </row>
    <row r="94" spans="1:19" x14ac:dyDescent="0.25">
      <c r="A94" s="114"/>
      <c r="B94" s="114"/>
      <c r="C94" s="114"/>
      <c r="D94" s="114"/>
      <c r="E94" s="115"/>
      <c r="F94" s="115"/>
      <c r="G94" s="115"/>
    </row>
  </sheetData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PP1</vt:lpstr>
      <vt:lpstr>PP2</vt:lpstr>
      <vt:lpstr>PP3</vt:lpstr>
      <vt:lpstr>PP4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Johnson</dc:creator>
  <cp:lastModifiedBy>Tim Shoemake</cp:lastModifiedBy>
  <cp:lastPrinted>2014-02-12T19:53:14Z</cp:lastPrinted>
  <dcterms:created xsi:type="dcterms:W3CDTF">2014-01-06T18:42:40Z</dcterms:created>
  <dcterms:modified xsi:type="dcterms:W3CDTF">2015-03-10T14:35:37Z</dcterms:modified>
</cp:coreProperties>
</file>