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2" ContentType="application/binary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Y:\20. Técnicos\20. Tool\2. F4 Navigator Tool (Hoja Excel)\"/>
    </mc:Choice>
  </mc:AlternateContent>
  <xr:revisionPtr revIDLastSave="0" documentId="14_{3843B6BA-EE0E-4DC0-B719-6B1CFF41F01D}" xr6:coauthVersionLast="47" xr6:coauthVersionMax="47" xr10:uidLastSave="{00000000-0000-0000-0000-000000000000}"/>
  <bookViews>
    <workbookView xWindow="-28920" yWindow="-6330" windowWidth="29040" windowHeight="15840" activeTab="10" xr2:uid="{53D4CCC7-35AB-4468-904A-7952510D9162}"/>
  </bookViews>
  <sheets>
    <sheet name="General Balance" sheetId="1" r:id="rId1"/>
    <sheet name="Input F4" sheetId="22" r:id="rId2"/>
    <sheet name="Input F3" sheetId="2" r:id="rId3"/>
    <sheet name="Inputs asociation " sheetId="3" r:id="rId4"/>
    <sheet name="Fertilizers" sheetId="20" r:id="rId5"/>
    <sheet name="Data vol" sheetId="18" state="hidden" r:id="rId6"/>
    <sheet name="Mineralization" sheetId="6" state="hidden" r:id="rId7"/>
    <sheet name="N&amp;P&amp;K" sheetId="8" r:id="rId8"/>
    <sheet name="Nc_fixation" sheetId="9" state="hidden" r:id="rId9"/>
    <sheet name="n_fix_per" sheetId="10" state="hidden" r:id="rId10"/>
    <sheet name="Nc_irrigation" sheetId="14" r:id="rId11"/>
    <sheet name="Leaching" sheetId="19" state="hidden" r:id="rId12"/>
    <sheet name="Data Deni" sheetId="16" state="hidden" r:id="rId13"/>
    <sheet name="Concentration NPK_crop" sheetId="12" r:id="rId14"/>
    <sheet name="Legend" sheetId="13" r:id="rId15"/>
  </sheets>
  <definedNames>
    <definedName name="_xlnm._FilterDatabase" localSheetId="12" hidden="1">'Data Deni'!#REF!</definedName>
    <definedName name="CEC" localSheetId="1">'Input F4'!#REF!</definedName>
    <definedName name="CEC">'Input F3'!$B$18</definedName>
    <definedName name="COVER1">Mineralization!$A$31:$A$33</definedName>
    <definedName name="crop_type" localSheetId="1">'Input F4'!$B$3</definedName>
    <definedName name="crop_type">'Input F3'!$B$3</definedName>
    <definedName name="CropData">'Concentration NPK_crop'!$A$8:$AC$153</definedName>
    <definedName name="cv" localSheetId="1">'Input F4'!$B$5</definedName>
    <definedName name="cv">'Input F3'!$B$5</definedName>
    <definedName name="Data_Deni">'Data Deni'!$E$14:$N$22</definedName>
    <definedName name="depth_s" localSheetId="1">'Input F4'!#REF!</definedName>
    <definedName name="depth_s">'Input F3'!$B$20</definedName>
    <definedName name="export_r" localSheetId="1">'Input F4'!#REF!</definedName>
    <definedName name="export_r">'Input F3'!$B$6</definedName>
    <definedName name="fmc_r">'Inputs asociation '!$B$21</definedName>
    <definedName name="fnr">'Inputs asociation '!$B$20</definedName>
    <definedName name="K_crop_max">'Inputs asociation '!$B$23</definedName>
    <definedName name="Kc_s" localSheetId="1">'Input F4'!#REF!</definedName>
    <definedName name="Kc_s">'Input F3'!$B$27</definedName>
    <definedName name="Kc_s_thres">#REF!</definedName>
    <definedName name="Kc_s_thres_max">'N&amp;P&amp;K'!$M$18</definedName>
    <definedName name="Kc_s_thres_min">'N&amp;P&amp;K'!$M$12</definedName>
    <definedName name="Nc_s_end">'Input F3'!$B$22</definedName>
    <definedName name="Nc_s_initial">'Input F3'!$B$21</definedName>
    <definedName name="OF_data">Fertilizers!$B$78:$BC$105</definedName>
    <definedName name="P_crop_max">'Inputs asociation '!$B$22</definedName>
    <definedName name="Pc_method" localSheetId="1">'Input F4'!#REF!</definedName>
    <definedName name="Pc_method">'Input F3'!$B$25</definedName>
    <definedName name="Pc_method_table">'Inputs asociation '!$F$20:$G$31</definedName>
    <definedName name="Pc_s">'N&amp;P&amp;K'!$J$10</definedName>
    <definedName name="Pc_s_thres">#REF!</definedName>
    <definedName name="Pc_s_thres_max">'N&amp;P&amp;K'!$J$18</definedName>
    <definedName name="Pc_s_thres_min">'N&amp;P&amp;K'!$J$12</definedName>
    <definedName name="Pc_si" localSheetId="1">'Input F4'!#REF!</definedName>
    <definedName name="Pc_si">'Input F3'!$B$24</definedName>
    <definedName name="pH" localSheetId="1">'Input F4'!#REF!</definedName>
    <definedName name="pH">'Input F3'!$B$17</definedName>
    <definedName name="PK_R">'General Balance'!$I$29:$L$29</definedName>
    <definedName name="PK_strategy" localSheetId="1">'Input F4'!#REF!</definedName>
    <definedName name="PK_strategy">'Input F3'!$B$9</definedName>
    <definedName name="soil_texture" localSheetId="1">'Input F4'!#REF!</definedName>
    <definedName name="soil_texture">'Input F3'!$B$14</definedName>
    <definedName name="SoilData">'Inputs asociation '!$F$5:$AP$16</definedName>
    <definedName name="solver_adj" localSheetId="4" hidden="1">Fertilizers!$AL$5:$AL$105</definedName>
    <definedName name="solver_cvg" localSheetId="4" hidden="1">0.0001</definedName>
    <definedName name="solver_drv" localSheetId="4" hidden="1">1</definedName>
    <definedName name="solver_eng" localSheetId="4" hidden="1">2</definedName>
    <definedName name="solver_est" localSheetId="4" hidden="1">1</definedName>
    <definedName name="solver_itr" localSheetId="4" hidden="1">2147483647</definedName>
    <definedName name="solver_lhs1" localSheetId="4" hidden="1">Fertilizers!$AN$108</definedName>
    <definedName name="solver_lhs2" localSheetId="4" hidden="1">Fertilizers!$AO$108:$AR$108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2</definedName>
    <definedName name="solver_nwt" localSheetId="4" hidden="1">1</definedName>
    <definedName name="solver_opt" localSheetId="4" hidden="1">Fertilizers!$AT$108</definedName>
    <definedName name="solver_pre" localSheetId="4" hidden="1">0.000001</definedName>
    <definedName name="solver_rbv" localSheetId="4" hidden="1">1</definedName>
    <definedName name="solver_rel1" localSheetId="4" hidden="1">1</definedName>
    <definedName name="solver_rel2" localSheetId="4" hidden="1">3</definedName>
    <definedName name="solver_rhs1" localSheetId="4" hidden="1">Fertilizers!$AN$110</definedName>
    <definedName name="solver_rhs2" localSheetId="4" hidden="1">Fertilizers!$AO$110:$AR$110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3</definedName>
    <definedName name="SOM" localSheetId="1">'Input F4'!#REF!</definedName>
    <definedName name="SOM">'Input F3'!$B$15</definedName>
    <definedName name="Tilled" localSheetId="1">'Input F4'!#REF!</definedName>
    <definedName name="Tilled">'Input F3'!$B$16</definedName>
    <definedName name="Vol_coef">'Data vol'!$B$28:$D$29</definedName>
    <definedName name="water_supply" localSheetId="1">'Input F4'!$B$10</definedName>
    <definedName name="water_supply">'Input F3'!$B$32</definedName>
    <definedName name="y" localSheetId="1">'Input F4'!$B$4</definedName>
    <definedName name="y">'Input F3'!$B$4</definedName>
  </definedNames>
  <calcPr calcId="181029"/>
  <extLst>
    <ext uri="GoogleSheetsCustomDataVersion1">
      <go:sheetsCustomData xmlns:go="http://customooxmlschemas.google.com/" r:id="rId23" roundtripDataSignature="AMtx7mhzF8wGHIZc/kOGVUWc6zN/DdEu/Q=="/>
    </ext>
  </extLst>
</workbook>
</file>

<file path=xl/calcChain.xml><?xml version="1.0" encoding="utf-8"?>
<calcChain xmlns="http://schemas.openxmlformats.org/spreadsheetml/2006/main">
  <c r="C16" i="1" l="1"/>
  <c r="C7" i="1"/>
  <c r="B32" i="2"/>
  <c r="C7" i="14"/>
  <c r="B37" i="2"/>
  <c r="B7" i="14"/>
  <c r="A7" i="14"/>
  <c r="B3" i="2"/>
  <c r="B4" i="2"/>
  <c r="B18" i="2"/>
  <c r="BF78" i="20"/>
  <c r="I24" i="16" l="1"/>
  <c r="E15" i="18" l="1"/>
  <c r="E21" i="18"/>
  <c r="F24" i="16" l="1"/>
  <c r="E9" i="19"/>
  <c r="C22" i="8"/>
  <c r="B30" i="6"/>
  <c r="E11" i="18" l="1"/>
  <c r="BC8" i="20"/>
  <c r="C19" i="9"/>
  <c r="AM5" i="20"/>
  <c r="AN8" i="20"/>
  <c r="AN14" i="20"/>
  <c r="B6" i="6"/>
  <c r="B7" i="6"/>
  <c r="B8" i="6" s="1"/>
  <c r="M24" i="16" l="1"/>
  <c r="K24" i="16"/>
  <c r="F38" i="16" l="1"/>
  <c r="F37" i="16"/>
  <c r="G38" i="16"/>
  <c r="E38" i="16"/>
  <c r="E37" i="16"/>
  <c r="G37" i="16"/>
  <c r="AM79" i="20"/>
  <c r="AM80" i="20"/>
  <c r="AM81" i="20"/>
  <c r="AM82" i="20"/>
  <c r="AM83" i="20"/>
  <c r="AM84" i="20"/>
  <c r="AM85" i="20"/>
  <c r="AM86" i="20"/>
  <c r="AM87" i="20"/>
  <c r="AM88" i="20"/>
  <c r="AM89" i="20"/>
  <c r="AM90" i="20"/>
  <c r="AM91" i="20"/>
  <c r="AM92" i="20"/>
  <c r="AM93" i="20"/>
  <c r="AM94" i="20"/>
  <c r="AM95" i="20"/>
  <c r="AM96" i="20"/>
  <c r="AM97" i="20"/>
  <c r="AM98" i="20"/>
  <c r="AM99" i="20"/>
  <c r="AM100" i="20"/>
  <c r="AM101" i="20"/>
  <c r="AM102" i="20"/>
  <c r="AM103" i="20"/>
  <c r="AM104" i="20"/>
  <c r="AM105" i="20"/>
  <c r="AM78" i="20"/>
  <c r="AM77" i="20"/>
  <c r="AM76" i="20"/>
  <c r="AM75" i="20"/>
  <c r="AM74" i="20"/>
  <c r="AM73" i="20"/>
  <c r="AM72" i="20"/>
  <c r="AM71" i="20"/>
  <c r="AM70" i="20"/>
  <c r="AM69" i="20"/>
  <c r="AM68" i="20"/>
  <c r="AM67" i="20"/>
  <c r="AM66" i="20"/>
  <c r="AM65" i="20"/>
  <c r="AM64" i="20"/>
  <c r="AM63" i="20"/>
  <c r="AM62" i="20"/>
  <c r="AM61" i="20"/>
  <c r="AM60" i="20"/>
  <c r="AM59" i="20"/>
  <c r="AM58" i="20"/>
  <c r="AM57" i="20"/>
  <c r="AM56" i="20"/>
  <c r="AM55" i="20"/>
  <c r="AM54" i="20"/>
  <c r="AM53" i="20"/>
  <c r="AM52" i="20"/>
  <c r="AM51" i="20"/>
  <c r="AM50" i="20"/>
  <c r="AM49" i="20"/>
  <c r="AM48" i="20"/>
  <c r="AM47" i="20"/>
  <c r="AM46" i="20"/>
  <c r="AM45" i="20"/>
  <c r="AM44" i="20"/>
  <c r="AM43" i="20"/>
  <c r="AM42" i="20"/>
  <c r="AM41" i="20"/>
  <c r="AM40" i="20"/>
  <c r="AM39" i="20"/>
  <c r="AM38" i="20"/>
  <c r="AM37" i="20"/>
  <c r="AM36" i="20"/>
  <c r="AM35" i="20"/>
  <c r="AM34" i="20"/>
  <c r="AM33" i="20"/>
  <c r="AM32" i="20"/>
  <c r="AM31" i="20"/>
  <c r="AM30" i="20"/>
  <c r="AM29" i="20"/>
  <c r="AM28" i="20"/>
  <c r="AM27" i="20"/>
  <c r="AM26" i="20"/>
  <c r="AM25" i="20"/>
  <c r="AM24" i="20"/>
  <c r="AM23" i="20"/>
  <c r="AM22" i="20"/>
  <c r="AM21" i="20"/>
  <c r="AM20" i="20"/>
  <c r="AM19" i="20"/>
  <c r="AM18" i="20"/>
  <c r="AM17" i="20"/>
  <c r="AM16" i="20"/>
  <c r="AM15" i="20"/>
  <c r="AM14" i="20"/>
  <c r="AM13" i="20"/>
  <c r="AM12" i="20"/>
  <c r="AM11" i="20"/>
  <c r="AM10" i="20"/>
  <c r="AM9" i="20"/>
  <c r="AM8" i="20"/>
  <c r="AM7" i="20"/>
  <c r="AM6" i="20"/>
  <c r="AY79" i="20"/>
  <c r="AY80" i="20"/>
  <c r="AY81" i="20"/>
  <c r="AY82" i="20"/>
  <c r="AY83" i="20"/>
  <c r="AY84" i="20"/>
  <c r="AY85" i="20"/>
  <c r="AY86" i="20"/>
  <c r="AY87" i="20"/>
  <c r="AY88" i="20"/>
  <c r="AY89" i="20"/>
  <c r="AY90" i="20"/>
  <c r="AY91" i="20"/>
  <c r="AY92" i="20"/>
  <c r="AY93" i="20"/>
  <c r="AY94" i="20"/>
  <c r="AY95" i="20"/>
  <c r="AY96" i="20"/>
  <c r="AY97" i="20"/>
  <c r="AY98" i="20"/>
  <c r="AY99" i="20"/>
  <c r="AY100" i="20"/>
  <c r="AY101" i="20"/>
  <c r="AY102" i="20"/>
  <c r="AY103" i="20"/>
  <c r="AY104" i="20"/>
  <c r="AY105" i="20"/>
  <c r="AY78" i="20"/>
  <c r="AY6" i="20"/>
  <c r="AY7" i="20"/>
  <c r="AY8" i="20"/>
  <c r="AY9" i="20"/>
  <c r="AY10" i="20"/>
  <c r="AY11" i="20"/>
  <c r="AY12" i="20"/>
  <c r="AY13" i="20"/>
  <c r="AY14" i="20"/>
  <c r="AY15" i="20"/>
  <c r="AY16" i="20"/>
  <c r="AY17" i="20"/>
  <c r="AY18" i="20"/>
  <c r="AY19" i="20"/>
  <c r="AY20" i="20"/>
  <c r="AY21" i="20"/>
  <c r="AY22" i="20"/>
  <c r="AY23" i="20"/>
  <c r="AY24" i="20"/>
  <c r="AY25" i="20"/>
  <c r="AY26" i="20"/>
  <c r="AY27" i="20"/>
  <c r="AY28" i="20"/>
  <c r="AY29" i="20"/>
  <c r="AY30" i="20"/>
  <c r="AY31" i="20"/>
  <c r="AY32" i="20"/>
  <c r="AY33" i="20"/>
  <c r="AY34" i="20"/>
  <c r="AY35" i="20"/>
  <c r="AY36" i="20"/>
  <c r="AY37" i="20"/>
  <c r="AY38" i="20"/>
  <c r="AY39" i="20"/>
  <c r="AY40" i="20"/>
  <c r="AY41" i="20"/>
  <c r="AY42" i="20"/>
  <c r="AY43" i="20"/>
  <c r="AY44" i="20"/>
  <c r="AY45" i="20"/>
  <c r="AY46" i="20"/>
  <c r="AY47" i="20"/>
  <c r="AY48" i="20"/>
  <c r="AY49" i="20"/>
  <c r="AY50" i="20"/>
  <c r="AY51" i="20"/>
  <c r="AY52" i="20"/>
  <c r="AY53" i="20"/>
  <c r="AY54" i="20"/>
  <c r="AY55" i="20"/>
  <c r="AY56" i="20"/>
  <c r="AY57" i="20"/>
  <c r="AY58" i="20"/>
  <c r="AY59" i="20"/>
  <c r="AY60" i="20"/>
  <c r="AY61" i="20"/>
  <c r="AY62" i="20"/>
  <c r="AY63" i="20"/>
  <c r="AY64" i="20"/>
  <c r="AY65" i="20"/>
  <c r="AY66" i="20"/>
  <c r="AY67" i="20"/>
  <c r="AY68" i="20"/>
  <c r="AY69" i="20"/>
  <c r="AY70" i="20"/>
  <c r="AY71" i="20"/>
  <c r="AY72" i="20"/>
  <c r="AY73" i="20"/>
  <c r="AY74" i="20"/>
  <c r="AY75" i="20"/>
  <c r="AY76" i="20"/>
  <c r="AY77" i="20"/>
  <c r="AY5" i="20"/>
  <c r="AM108" i="20" l="1"/>
  <c r="AY108" i="20"/>
  <c r="AN6" i="20"/>
  <c r="AP6" i="20"/>
  <c r="AQ6" i="20"/>
  <c r="AR6" i="20"/>
  <c r="AN7" i="20"/>
  <c r="AP7" i="20"/>
  <c r="AQ7" i="20"/>
  <c r="AR7" i="20"/>
  <c r="AP8" i="20"/>
  <c r="AQ8" i="20"/>
  <c r="AR8" i="20"/>
  <c r="AN9" i="20"/>
  <c r="AP9" i="20"/>
  <c r="AQ9" i="20"/>
  <c r="AR9" i="20"/>
  <c r="AN10" i="20"/>
  <c r="AP10" i="20"/>
  <c r="AQ10" i="20"/>
  <c r="AR10" i="20"/>
  <c r="AN11" i="20"/>
  <c r="AP11" i="20"/>
  <c r="AQ11" i="20"/>
  <c r="AR11" i="20"/>
  <c r="AN12" i="20"/>
  <c r="AP12" i="20"/>
  <c r="AQ12" i="20"/>
  <c r="AR12" i="20"/>
  <c r="AN13" i="20"/>
  <c r="AP13" i="20"/>
  <c r="AQ13" i="20"/>
  <c r="AR13" i="20"/>
  <c r="AP14" i="20"/>
  <c r="AQ14" i="20"/>
  <c r="AR14" i="20"/>
  <c r="AN15" i="20"/>
  <c r="AP15" i="20"/>
  <c r="AQ15" i="20"/>
  <c r="AR15" i="20"/>
  <c r="AN16" i="20"/>
  <c r="AP16" i="20"/>
  <c r="AQ16" i="20"/>
  <c r="AR16" i="20"/>
  <c r="AN17" i="20"/>
  <c r="AP17" i="20"/>
  <c r="AQ17" i="20"/>
  <c r="AR17" i="20"/>
  <c r="AN18" i="20"/>
  <c r="AP18" i="20"/>
  <c r="AQ18" i="20"/>
  <c r="AR18" i="20"/>
  <c r="AN19" i="20"/>
  <c r="AP19" i="20"/>
  <c r="AQ19" i="20"/>
  <c r="AR19" i="20"/>
  <c r="AN20" i="20"/>
  <c r="AP20" i="20"/>
  <c r="AQ20" i="20"/>
  <c r="AR20" i="20"/>
  <c r="AN21" i="20"/>
  <c r="AP21" i="20"/>
  <c r="AQ21" i="20"/>
  <c r="AR21" i="20"/>
  <c r="AN22" i="20"/>
  <c r="AP22" i="20"/>
  <c r="AQ22" i="20"/>
  <c r="AR22" i="20"/>
  <c r="AN23" i="20"/>
  <c r="AP23" i="20"/>
  <c r="AQ23" i="20"/>
  <c r="AR23" i="20"/>
  <c r="AN24" i="20"/>
  <c r="AP24" i="20"/>
  <c r="AQ24" i="20"/>
  <c r="AR24" i="20"/>
  <c r="AN25" i="20"/>
  <c r="AP25" i="20"/>
  <c r="AQ25" i="20"/>
  <c r="AR25" i="20"/>
  <c r="AN26" i="20"/>
  <c r="AP26" i="20"/>
  <c r="AQ26" i="20"/>
  <c r="AR26" i="20"/>
  <c r="AN27" i="20"/>
  <c r="AP27" i="20"/>
  <c r="AQ27" i="20"/>
  <c r="AR27" i="20"/>
  <c r="AN28" i="20"/>
  <c r="AP28" i="20"/>
  <c r="AQ28" i="20"/>
  <c r="AR28" i="20"/>
  <c r="AN29" i="20"/>
  <c r="AP29" i="20"/>
  <c r="AQ29" i="20"/>
  <c r="AR29" i="20"/>
  <c r="AN30" i="20"/>
  <c r="AP30" i="20"/>
  <c r="AQ30" i="20"/>
  <c r="AR30" i="20"/>
  <c r="AN31" i="20"/>
  <c r="AP31" i="20"/>
  <c r="AQ31" i="20"/>
  <c r="AR31" i="20"/>
  <c r="AN32" i="20"/>
  <c r="AP32" i="20"/>
  <c r="AQ32" i="20"/>
  <c r="AR32" i="20"/>
  <c r="AN33" i="20"/>
  <c r="AP33" i="20"/>
  <c r="AQ33" i="20"/>
  <c r="AR33" i="20"/>
  <c r="AN34" i="20"/>
  <c r="AP34" i="20"/>
  <c r="AQ34" i="20"/>
  <c r="AR34" i="20"/>
  <c r="AN35" i="20"/>
  <c r="AP35" i="20"/>
  <c r="AQ35" i="20"/>
  <c r="AR35" i="20"/>
  <c r="AN36" i="20"/>
  <c r="AP36" i="20"/>
  <c r="AQ36" i="20"/>
  <c r="AR36" i="20"/>
  <c r="AN37" i="20"/>
  <c r="AP37" i="20"/>
  <c r="AQ37" i="20"/>
  <c r="AR37" i="20"/>
  <c r="AN38" i="20"/>
  <c r="AP38" i="20"/>
  <c r="AQ38" i="20"/>
  <c r="AR38" i="20"/>
  <c r="AN39" i="20"/>
  <c r="AP39" i="20"/>
  <c r="AQ39" i="20"/>
  <c r="AR39" i="20"/>
  <c r="AN40" i="20"/>
  <c r="AP40" i="20"/>
  <c r="AQ40" i="20"/>
  <c r="AR40" i="20"/>
  <c r="AN41" i="20"/>
  <c r="AP41" i="20"/>
  <c r="AQ41" i="20"/>
  <c r="AR41" i="20"/>
  <c r="AN42" i="20"/>
  <c r="AP42" i="20"/>
  <c r="AQ42" i="20"/>
  <c r="AR42" i="20"/>
  <c r="AN43" i="20"/>
  <c r="AP43" i="20"/>
  <c r="AQ43" i="20"/>
  <c r="AR43" i="20"/>
  <c r="AN44" i="20"/>
  <c r="AP44" i="20"/>
  <c r="AQ44" i="20"/>
  <c r="AR44" i="20"/>
  <c r="AN45" i="20"/>
  <c r="AP45" i="20"/>
  <c r="AQ45" i="20"/>
  <c r="AR45" i="20"/>
  <c r="AN46" i="20"/>
  <c r="AP46" i="20"/>
  <c r="AQ46" i="20"/>
  <c r="AR46" i="20"/>
  <c r="AN47" i="20"/>
  <c r="AP47" i="20"/>
  <c r="AQ47" i="20"/>
  <c r="AR47" i="20"/>
  <c r="AN48" i="20"/>
  <c r="AP48" i="20"/>
  <c r="AQ48" i="20"/>
  <c r="AR48" i="20"/>
  <c r="AN49" i="20"/>
  <c r="AP49" i="20"/>
  <c r="AQ49" i="20"/>
  <c r="AR49" i="20"/>
  <c r="AN50" i="20"/>
  <c r="AP50" i="20"/>
  <c r="AQ50" i="20"/>
  <c r="AR50" i="20"/>
  <c r="AN51" i="20"/>
  <c r="AP51" i="20"/>
  <c r="AQ51" i="20"/>
  <c r="AR51" i="20"/>
  <c r="AN52" i="20"/>
  <c r="AP52" i="20"/>
  <c r="AQ52" i="20"/>
  <c r="AR52" i="20"/>
  <c r="AN53" i="20"/>
  <c r="AP53" i="20"/>
  <c r="AQ53" i="20"/>
  <c r="AR53" i="20"/>
  <c r="AN54" i="20"/>
  <c r="AP54" i="20"/>
  <c r="AQ54" i="20"/>
  <c r="AR54" i="20"/>
  <c r="AN55" i="20"/>
  <c r="AP55" i="20"/>
  <c r="AQ55" i="20"/>
  <c r="AR55" i="20"/>
  <c r="AN56" i="20"/>
  <c r="AP56" i="20"/>
  <c r="AQ56" i="20"/>
  <c r="AR56" i="20"/>
  <c r="AN57" i="20"/>
  <c r="AP57" i="20"/>
  <c r="AQ57" i="20"/>
  <c r="AR57" i="20"/>
  <c r="AN58" i="20"/>
  <c r="AP58" i="20"/>
  <c r="AQ58" i="20"/>
  <c r="AR58" i="20"/>
  <c r="AN59" i="20"/>
  <c r="AP59" i="20"/>
  <c r="AQ59" i="20"/>
  <c r="AR59" i="20"/>
  <c r="AN60" i="20"/>
  <c r="AP60" i="20"/>
  <c r="AQ60" i="20"/>
  <c r="AR60" i="20"/>
  <c r="AN61" i="20"/>
  <c r="AP61" i="20"/>
  <c r="AQ61" i="20"/>
  <c r="AR61" i="20"/>
  <c r="AN62" i="20"/>
  <c r="AP62" i="20"/>
  <c r="AQ62" i="20"/>
  <c r="AR62" i="20"/>
  <c r="AN63" i="20"/>
  <c r="AP63" i="20"/>
  <c r="AQ63" i="20"/>
  <c r="AR63" i="20"/>
  <c r="AN64" i="20"/>
  <c r="AP64" i="20"/>
  <c r="AQ64" i="20"/>
  <c r="AR64" i="20"/>
  <c r="AN65" i="20"/>
  <c r="AP65" i="20"/>
  <c r="AQ65" i="20"/>
  <c r="AR65" i="20"/>
  <c r="AN66" i="20"/>
  <c r="AP66" i="20"/>
  <c r="AQ66" i="20"/>
  <c r="AR66" i="20"/>
  <c r="AN67" i="20"/>
  <c r="AP67" i="20"/>
  <c r="AQ67" i="20"/>
  <c r="AR67" i="20"/>
  <c r="AN68" i="20"/>
  <c r="AP68" i="20"/>
  <c r="AQ68" i="20"/>
  <c r="AR68" i="20"/>
  <c r="AN69" i="20"/>
  <c r="AP69" i="20"/>
  <c r="AQ69" i="20"/>
  <c r="AR69" i="20"/>
  <c r="AN70" i="20"/>
  <c r="AP70" i="20"/>
  <c r="AQ70" i="20"/>
  <c r="AR70" i="20"/>
  <c r="AN71" i="20"/>
  <c r="AP71" i="20"/>
  <c r="AQ71" i="20"/>
  <c r="AR71" i="20"/>
  <c r="AN72" i="20"/>
  <c r="AP72" i="20"/>
  <c r="AQ72" i="20"/>
  <c r="AR72" i="20"/>
  <c r="AN73" i="20"/>
  <c r="AP73" i="20"/>
  <c r="AQ73" i="20"/>
  <c r="AR73" i="20"/>
  <c r="AN74" i="20"/>
  <c r="AP74" i="20"/>
  <c r="AQ74" i="20"/>
  <c r="AR74" i="20"/>
  <c r="AN75" i="20"/>
  <c r="AP75" i="20"/>
  <c r="AQ75" i="20"/>
  <c r="AR75" i="20"/>
  <c r="AN76" i="20"/>
  <c r="AP76" i="20"/>
  <c r="AQ76" i="20"/>
  <c r="AR76" i="20"/>
  <c r="AN77" i="20"/>
  <c r="AP77" i="20"/>
  <c r="AQ77" i="20"/>
  <c r="AR77" i="20"/>
  <c r="AN78" i="20"/>
  <c r="AP78" i="20"/>
  <c r="AQ78" i="20"/>
  <c r="AR78" i="20"/>
  <c r="AN79" i="20"/>
  <c r="AP79" i="20"/>
  <c r="AQ79" i="20"/>
  <c r="AR79" i="20"/>
  <c r="AN80" i="20"/>
  <c r="AP80" i="20"/>
  <c r="AQ80" i="20"/>
  <c r="AR80" i="20"/>
  <c r="AN81" i="20"/>
  <c r="AP81" i="20"/>
  <c r="AQ81" i="20"/>
  <c r="AR81" i="20"/>
  <c r="AN82" i="20"/>
  <c r="AP82" i="20"/>
  <c r="AQ82" i="20"/>
  <c r="AR82" i="20"/>
  <c r="AN83" i="20"/>
  <c r="AP83" i="20"/>
  <c r="AQ83" i="20"/>
  <c r="AR83" i="20"/>
  <c r="AN84" i="20"/>
  <c r="AP84" i="20"/>
  <c r="AQ84" i="20"/>
  <c r="AR84" i="20"/>
  <c r="AN85" i="20"/>
  <c r="AP85" i="20"/>
  <c r="AQ85" i="20"/>
  <c r="AR85" i="20"/>
  <c r="AN86" i="20"/>
  <c r="AP86" i="20"/>
  <c r="AQ86" i="20"/>
  <c r="AR86" i="20"/>
  <c r="AN87" i="20"/>
  <c r="AP87" i="20"/>
  <c r="AQ87" i="20"/>
  <c r="AR87" i="20"/>
  <c r="AN88" i="20"/>
  <c r="AP88" i="20"/>
  <c r="AQ88" i="20"/>
  <c r="AR88" i="20"/>
  <c r="AN89" i="20"/>
  <c r="AP89" i="20"/>
  <c r="AQ89" i="20"/>
  <c r="AR89" i="20"/>
  <c r="AN90" i="20"/>
  <c r="AP90" i="20"/>
  <c r="AQ90" i="20"/>
  <c r="AR90" i="20"/>
  <c r="AN91" i="20"/>
  <c r="AP91" i="20"/>
  <c r="AQ91" i="20"/>
  <c r="AR91" i="20"/>
  <c r="AN92" i="20"/>
  <c r="AP92" i="20"/>
  <c r="AQ92" i="20"/>
  <c r="AR92" i="20"/>
  <c r="AN93" i="20"/>
  <c r="AP93" i="20"/>
  <c r="AQ93" i="20"/>
  <c r="AR93" i="20"/>
  <c r="AN94" i="20"/>
  <c r="AP94" i="20"/>
  <c r="AQ94" i="20"/>
  <c r="AR94" i="20"/>
  <c r="AN95" i="20"/>
  <c r="AP95" i="20"/>
  <c r="AQ95" i="20"/>
  <c r="AR95" i="20"/>
  <c r="AN96" i="20"/>
  <c r="AP96" i="20"/>
  <c r="AQ96" i="20"/>
  <c r="AR96" i="20"/>
  <c r="AN97" i="20"/>
  <c r="AP97" i="20"/>
  <c r="AQ97" i="20"/>
  <c r="AR97" i="20"/>
  <c r="AN98" i="20"/>
  <c r="AP98" i="20"/>
  <c r="AQ98" i="20"/>
  <c r="AR98" i="20"/>
  <c r="AN99" i="20"/>
  <c r="AP99" i="20"/>
  <c r="AQ99" i="20"/>
  <c r="AR99" i="20"/>
  <c r="AN100" i="20"/>
  <c r="AP100" i="20"/>
  <c r="AQ100" i="20"/>
  <c r="AR100" i="20"/>
  <c r="AN101" i="20"/>
  <c r="AP101" i="20"/>
  <c r="AQ101" i="20"/>
  <c r="AR101" i="20"/>
  <c r="AN102" i="20"/>
  <c r="AP102" i="20"/>
  <c r="AQ102" i="20"/>
  <c r="AR102" i="20"/>
  <c r="AN103" i="20"/>
  <c r="AP103" i="20"/>
  <c r="AQ103" i="20"/>
  <c r="AR103" i="20"/>
  <c r="AN104" i="20"/>
  <c r="AP104" i="20"/>
  <c r="AQ104" i="20"/>
  <c r="AR104" i="20"/>
  <c r="AN105" i="20"/>
  <c r="AP105" i="20"/>
  <c r="AQ105" i="20"/>
  <c r="AR105" i="20"/>
  <c r="AX6" i="20" l="1"/>
  <c r="BA6" i="20"/>
  <c r="BB6" i="20"/>
  <c r="BC6" i="20"/>
  <c r="AX7" i="20"/>
  <c r="BA7" i="20"/>
  <c r="BB7" i="20"/>
  <c r="BC7" i="20"/>
  <c r="AX8" i="20"/>
  <c r="BA8" i="20"/>
  <c r="BB8" i="20"/>
  <c r="AX9" i="20"/>
  <c r="BA9" i="20"/>
  <c r="BB9" i="20"/>
  <c r="BC9" i="20"/>
  <c r="AX10" i="20"/>
  <c r="BA10" i="20"/>
  <c r="BB10" i="20"/>
  <c r="BC10" i="20"/>
  <c r="AX11" i="20"/>
  <c r="BA11" i="20"/>
  <c r="BB11" i="20"/>
  <c r="BC11" i="20"/>
  <c r="AX12" i="20"/>
  <c r="BA12" i="20"/>
  <c r="BB12" i="20"/>
  <c r="BC12" i="20"/>
  <c r="AX13" i="20"/>
  <c r="BA13" i="20"/>
  <c r="BB13" i="20"/>
  <c r="BC13" i="20"/>
  <c r="AX14" i="20"/>
  <c r="BA14" i="20"/>
  <c r="BB14" i="20"/>
  <c r="BC14" i="20"/>
  <c r="AX15" i="20"/>
  <c r="BA15" i="20"/>
  <c r="BB15" i="20"/>
  <c r="BC15" i="20"/>
  <c r="AX16" i="20"/>
  <c r="BA16" i="20"/>
  <c r="BB16" i="20"/>
  <c r="BC16" i="20"/>
  <c r="AX17" i="20"/>
  <c r="BA17" i="20"/>
  <c r="BB17" i="20"/>
  <c r="BC17" i="20"/>
  <c r="AX18" i="20"/>
  <c r="BA18" i="20"/>
  <c r="BB18" i="20"/>
  <c r="BC18" i="20"/>
  <c r="AX19" i="20"/>
  <c r="BA19" i="20"/>
  <c r="BB19" i="20"/>
  <c r="BC19" i="20"/>
  <c r="AX20" i="20"/>
  <c r="BA20" i="20"/>
  <c r="BB20" i="20"/>
  <c r="BC20" i="20"/>
  <c r="AX21" i="20"/>
  <c r="BA21" i="20"/>
  <c r="BB21" i="20"/>
  <c r="BC21" i="20"/>
  <c r="AX22" i="20"/>
  <c r="BA22" i="20"/>
  <c r="BB22" i="20"/>
  <c r="BC22" i="20"/>
  <c r="AX23" i="20"/>
  <c r="BA23" i="20"/>
  <c r="BB23" i="20"/>
  <c r="BC23" i="20"/>
  <c r="AX24" i="20"/>
  <c r="BA24" i="20"/>
  <c r="BB24" i="20"/>
  <c r="BC24" i="20"/>
  <c r="AX25" i="20"/>
  <c r="BA25" i="20"/>
  <c r="BB25" i="20"/>
  <c r="BC25" i="20"/>
  <c r="AX26" i="20"/>
  <c r="BA26" i="20"/>
  <c r="BB26" i="20"/>
  <c r="BC26" i="20"/>
  <c r="AX27" i="20"/>
  <c r="BA27" i="20"/>
  <c r="BB27" i="20"/>
  <c r="BC27" i="20"/>
  <c r="AX28" i="20"/>
  <c r="BA28" i="20"/>
  <c r="BB28" i="20"/>
  <c r="BC28" i="20"/>
  <c r="AX29" i="20"/>
  <c r="BA29" i="20"/>
  <c r="BB29" i="20"/>
  <c r="BC29" i="20"/>
  <c r="AX30" i="20"/>
  <c r="BA30" i="20"/>
  <c r="BB30" i="20"/>
  <c r="BC30" i="20"/>
  <c r="AX31" i="20"/>
  <c r="BA31" i="20"/>
  <c r="BB31" i="20"/>
  <c r="BC31" i="20"/>
  <c r="AX32" i="20"/>
  <c r="BA32" i="20"/>
  <c r="BB32" i="20"/>
  <c r="BC32" i="20"/>
  <c r="AX33" i="20"/>
  <c r="BA33" i="20"/>
  <c r="BB33" i="20"/>
  <c r="BC33" i="20"/>
  <c r="AX34" i="20"/>
  <c r="BA34" i="20"/>
  <c r="BB34" i="20"/>
  <c r="BC34" i="20"/>
  <c r="AX35" i="20"/>
  <c r="BA35" i="20"/>
  <c r="BB35" i="20"/>
  <c r="BC35" i="20"/>
  <c r="AX36" i="20"/>
  <c r="BA36" i="20"/>
  <c r="BB36" i="20"/>
  <c r="BC36" i="20"/>
  <c r="AX37" i="20"/>
  <c r="BA37" i="20"/>
  <c r="BB37" i="20"/>
  <c r="BC37" i="20"/>
  <c r="AX38" i="20"/>
  <c r="BA38" i="20"/>
  <c r="BB38" i="20"/>
  <c r="BC38" i="20"/>
  <c r="AX39" i="20"/>
  <c r="BA39" i="20"/>
  <c r="BB39" i="20"/>
  <c r="BC39" i="20"/>
  <c r="AX40" i="20"/>
  <c r="BA40" i="20"/>
  <c r="BB40" i="20"/>
  <c r="BC40" i="20"/>
  <c r="AX41" i="20"/>
  <c r="BA41" i="20"/>
  <c r="BB41" i="20"/>
  <c r="BC41" i="20"/>
  <c r="AX42" i="20"/>
  <c r="BA42" i="20"/>
  <c r="BB42" i="20"/>
  <c r="BC42" i="20"/>
  <c r="AX43" i="20"/>
  <c r="BA43" i="20"/>
  <c r="BB43" i="20"/>
  <c r="BC43" i="20"/>
  <c r="AX44" i="20"/>
  <c r="BA44" i="20"/>
  <c r="BB44" i="20"/>
  <c r="BC44" i="20"/>
  <c r="AX45" i="20"/>
  <c r="BA45" i="20"/>
  <c r="BB45" i="20"/>
  <c r="BC45" i="20"/>
  <c r="AX46" i="20"/>
  <c r="BA46" i="20"/>
  <c r="BB46" i="20"/>
  <c r="BC46" i="20"/>
  <c r="AX47" i="20"/>
  <c r="BA47" i="20"/>
  <c r="BB47" i="20"/>
  <c r="BC47" i="20"/>
  <c r="AX48" i="20"/>
  <c r="BA48" i="20"/>
  <c r="BB48" i="20"/>
  <c r="BC48" i="20"/>
  <c r="AX49" i="20"/>
  <c r="BA49" i="20"/>
  <c r="BB49" i="20"/>
  <c r="BC49" i="20"/>
  <c r="AX50" i="20"/>
  <c r="BA50" i="20"/>
  <c r="BB50" i="20"/>
  <c r="BC50" i="20"/>
  <c r="AX51" i="20"/>
  <c r="BA51" i="20"/>
  <c r="BB51" i="20"/>
  <c r="BC51" i="20"/>
  <c r="AX52" i="20"/>
  <c r="BA52" i="20"/>
  <c r="BB52" i="20"/>
  <c r="BC52" i="20"/>
  <c r="AX53" i="20"/>
  <c r="BA53" i="20"/>
  <c r="BB53" i="20"/>
  <c r="BC53" i="20"/>
  <c r="AX54" i="20"/>
  <c r="BA54" i="20"/>
  <c r="BB54" i="20"/>
  <c r="BC54" i="20"/>
  <c r="AX55" i="20"/>
  <c r="BA55" i="20"/>
  <c r="BB55" i="20"/>
  <c r="BC55" i="20"/>
  <c r="AX56" i="20"/>
  <c r="BA56" i="20"/>
  <c r="BB56" i="20"/>
  <c r="BC56" i="20"/>
  <c r="AX57" i="20"/>
  <c r="BA57" i="20"/>
  <c r="BB57" i="20"/>
  <c r="BC57" i="20"/>
  <c r="AX58" i="20"/>
  <c r="BA58" i="20"/>
  <c r="BB58" i="20"/>
  <c r="BC58" i="20"/>
  <c r="AX59" i="20"/>
  <c r="BA59" i="20"/>
  <c r="BB59" i="20"/>
  <c r="BC59" i="20"/>
  <c r="AX60" i="20"/>
  <c r="BA60" i="20"/>
  <c r="BB60" i="20"/>
  <c r="BC60" i="20"/>
  <c r="AX61" i="20"/>
  <c r="BA61" i="20"/>
  <c r="BB61" i="20"/>
  <c r="BC61" i="20"/>
  <c r="AX62" i="20"/>
  <c r="BA62" i="20"/>
  <c r="BB62" i="20"/>
  <c r="BC62" i="20"/>
  <c r="AX63" i="20"/>
  <c r="BA63" i="20"/>
  <c r="BB63" i="20"/>
  <c r="BC63" i="20"/>
  <c r="AX64" i="20"/>
  <c r="BA64" i="20"/>
  <c r="BB64" i="20"/>
  <c r="BC64" i="20"/>
  <c r="AX65" i="20"/>
  <c r="BA65" i="20"/>
  <c r="BB65" i="20"/>
  <c r="BC65" i="20"/>
  <c r="AX66" i="20"/>
  <c r="BA66" i="20"/>
  <c r="BB66" i="20"/>
  <c r="BC66" i="20"/>
  <c r="AX67" i="20"/>
  <c r="BA67" i="20"/>
  <c r="BB67" i="20"/>
  <c r="BC67" i="20"/>
  <c r="AX68" i="20"/>
  <c r="BA68" i="20"/>
  <c r="BB68" i="20"/>
  <c r="BC68" i="20"/>
  <c r="AX69" i="20"/>
  <c r="BA69" i="20"/>
  <c r="BB69" i="20"/>
  <c r="BC69" i="20"/>
  <c r="AX70" i="20"/>
  <c r="BA70" i="20"/>
  <c r="BB70" i="20"/>
  <c r="BC70" i="20"/>
  <c r="AX71" i="20"/>
  <c r="BA71" i="20"/>
  <c r="BB71" i="20"/>
  <c r="BC71" i="20"/>
  <c r="AX72" i="20"/>
  <c r="BA72" i="20"/>
  <c r="BB72" i="20"/>
  <c r="BC72" i="20"/>
  <c r="AX73" i="20"/>
  <c r="BA73" i="20"/>
  <c r="BB73" i="20"/>
  <c r="BC73" i="20"/>
  <c r="AX74" i="20"/>
  <c r="BA74" i="20"/>
  <c r="BB74" i="20"/>
  <c r="BC74" i="20"/>
  <c r="AX75" i="20"/>
  <c r="BA75" i="20"/>
  <c r="BB75" i="20"/>
  <c r="BC75" i="20"/>
  <c r="AX76" i="20"/>
  <c r="BA76" i="20"/>
  <c r="BB76" i="20"/>
  <c r="BC76" i="20"/>
  <c r="AX77" i="20"/>
  <c r="BA77" i="20"/>
  <c r="BB77" i="20"/>
  <c r="BC77" i="20"/>
  <c r="AX78" i="20"/>
  <c r="BA78" i="20"/>
  <c r="BB78" i="20"/>
  <c r="BC78" i="20"/>
  <c r="AX79" i="20"/>
  <c r="BA79" i="20"/>
  <c r="BB79" i="20"/>
  <c r="BC79" i="20"/>
  <c r="AX80" i="20"/>
  <c r="BA80" i="20"/>
  <c r="BB80" i="20"/>
  <c r="BC80" i="20"/>
  <c r="AX81" i="20"/>
  <c r="BA81" i="20"/>
  <c r="BB81" i="20"/>
  <c r="BC81" i="20"/>
  <c r="AX82" i="20"/>
  <c r="BA82" i="20"/>
  <c r="BB82" i="20"/>
  <c r="BC82" i="20"/>
  <c r="AX83" i="20"/>
  <c r="BA83" i="20"/>
  <c r="BB83" i="20"/>
  <c r="BC83" i="20"/>
  <c r="AX84" i="20"/>
  <c r="BA84" i="20"/>
  <c r="BB84" i="20"/>
  <c r="BC84" i="20"/>
  <c r="AX85" i="20"/>
  <c r="BA85" i="20"/>
  <c r="BB85" i="20"/>
  <c r="BC85" i="20"/>
  <c r="AX86" i="20"/>
  <c r="BA86" i="20"/>
  <c r="BB86" i="20"/>
  <c r="BC86" i="20"/>
  <c r="AX87" i="20"/>
  <c r="BA87" i="20"/>
  <c r="BB87" i="20"/>
  <c r="BC87" i="20"/>
  <c r="AX88" i="20"/>
  <c r="BA88" i="20"/>
  <c r="BB88" i="20"/>
  <c r="BC88" i="20"/>
  <c r="AX89" i="20"/>
  <c r="BA89" i="20"/>
  <c r="BB89" i="20"/>
  <c r="BC89" i="20"/>
  <c r="AX90" i="20"/>
  <c r="BA90" i="20"/>
  <c r="BB90" i="20"/>
  <c r="BC90" i="20"/>
  <c r="AX91" i="20"/>
  <c r="BA91" i="20"/>
  <c r="BB91" i="20"/>
  <c r="BC91" i="20"/>
  <c r="AX92" i="20"/>
  <c r="BA92" i="20"/>
  <c r="BB92" i="20"/>
  <c r="BC92" i="20"/>
  <c r="AX93" i="20"/>
  <c r="BA93" i="20"/>
  <c r="BB93" i="20"/>
  <c r="BC93" i="20"/>
  <c r="AX94" i="20"/>
  <c r="BA94" i="20"/>
  <c r="BB94" i="20"/>
  <c r="BC94" i="20"/>
  <c r="AX95" i="20"/>
  <c r="BA95" i="20"/>
  <c r="BB95" i="20"/>
  <c r="BC95" i="20"/>
  <c r="AX96" i="20"/>
  <c r="BA96" i="20"/>
  <c r="BB96" i="20"/>
  <c r="BC96" i="20"/>
  <c r="AX97" i="20"/>
  <c r="BA97" i="20"/>
  <c r="BB97" i="20"/>
  <c r="BC97" i="20"/>
  <c r="AX98" i="20"/>
  <c r="BA98" i="20"/>
  <c r="BB98" i="20"/>
  <c r="BC98" i="20"/>
  <c r="AX99" i="20"/>
  <c r="BA99" i="20"/>
  <c r="BB99" i="20"/>
  <c r="BC99" i="20"/>
  <c r="AX100" i="20"/>
  <c r="BA100" i="20"/>
  <c r="BB100" i="20"/>
  <c r="BC100" i="20"/>
  <c r="AX101" i="20"/>
  <c r="BA101" i="20"/>
  <c r="BB101" i="20"/>
  <c r="BC101" i="20"/>
  <c r="AX102" i="20"/>
  <c r="BA102" i="20"/>
  <c r="BB102" i="20"/>
  <c r="BC102" i="20"/>
  <c r="AX103" i="20"/>
  <c r="BA103" i="20"/>
  <c r="BB103" i="20"/>
  <c r="BC103" i="20"/>
  <c r="AX104" i="20"/>
  <c r="BA104" i="20"/>
  <c r="BB104" i="20"/>
  <c r="BC104" i="20"/>
  <c r="AX105" i="20"/>
  <c r="BA105" i="20"/>
  <c r="BB105" i="20"/>
  <c r="BC105" i="20"/>
  <c r="BC5" i="20"/>
  <c r="BB5" i="20"/>
  <c r="BA5" i="20"/>
  <c r="AX5" i="20"/>
  <c r="AS7" i="20"/>
  <c r="AT7" i="20" s="1"/>
  <c r="AS8" i="20"/>
  <c r="AT8" i="20" s="1"/>
  <c r="AS9" i="20"/>
  <c r="AT9" i="20" s="1"/>
  <c r="AS10" i="20"/>
  <c r="AT10" i="20" s="1"/>
  <c r="AS11" i="20"/>
  <c r="AT11" i="20" s="1"/>
  <c r="AS12" i="20"/>
  <c r="AT12" i="20" s="1"/>
  <c r="AS13" i="20"/>
  <c r="AT13" i="20" s="1"/>
  <c r="AS14" i="20"/>
  <c r="AT14" i="20" s="1"/>
  <c r="AS15" i="20"/>
  <c r="AT15" i="20" s="1"/>
  <c r="AS16" i="20"/>
  <c r="AT16" i="20" s="1"/>
  <c r="AS17" i="20"/>
  <c r="AT17" i="20" s="1"/>
  <c r="AS18" i="20"/>
  <c r="AT18" i="20" s="1"/>
  <c r="AS19" i="20"/>
  <c r="AT19" i="20" s="1"/>
  <c r="AS20" i="20"/>
  <c r="AT20" i="20" s="1"/>
  <c r="AS21" i="20"/>
  <c r="AT21" i="20" s="1"/>
  <c r="AS22" i="20"/>
  <c r="AT22" i="20" s="1"/>
  <c r="AS23" i="20"/>
  <c r="AT23" i="20" s="1"/>
  <c r="AS24" i="20"/>
  <c r="AT24" i="20" s="1"/>
  <c r="AS25" i="20"/>
  <c r="AT25" i="20" s="1"/>
  <c r="AS26" i="20"/>
  <c r="AT26" i="20" s="1"/>
  <c r="AS27" i="20"/>
  <c r="AT27" i="20" s="1"/>
  <c r="AS28" i="20"/>
  <c r="AT28" i="20" s="1"/>
  <c r="AS29" i="20"/>
  <c r="AT29" i="20" s="1"/>
  <c r="AS30" i="20"/>
  <c r="AT30" i="20" s="1"/>
  <c r="AS31" i="20"/>
  <c r="AT31" i="20" s="1"/>
  <c r="AS32" i="20"/>
  <c r="AT32" i="20" s="1"/>
  <c r="AS33" i="20"/>
  <c r="AT33" i="20" s="1"/>
  <c r="AS34" i="20"/>
  <c r="AT34" i="20" s="1"/>
  <c r="AS35" i="20"/>
  <c r="AT35" i="20" s="1"/>
  <c r="AS36" i="20"/>
  <c r="AT36" i="20" s="1"/>
  <c r="AS37" i="20"/>
  <c r="AT37" i="20" s="1"/>
  <c r="AS38" i="20"/>
  <c r="AT38" i="20" s="1"/>
  <c r="AS39" i="20"/>
  <c r="AT39" i="20" s="1"/>
  <c r="AS40" i="20"/>
  <c r="AT40" i="20" s="1"/>
  <c r="AS41" i="20"/>
  <c r="AT41" i="20" s="1"/>
  <c r="AS42" i="20"/>
  <c r="AT42" i="20" s="1"/>
  <c r="AS43" i="20"/>
  <c r="AT43" i="20" s="1"/>
  <c r="AS44" i="20"/>
  <c r="AT44" i="20" s="1"/>
  <c r="AS45" i="20"/>
  <c r="AT45" i="20" s="1"/>
  <c r="AS46" i="20"/>
  <c r="AT46" i="20" s="1"/>
  <c r="AS47" i="20"/>
  <c r="AT47" i="20" s="1"/>
  <c r="AS48" i="20"/>
  <c r="AT48" i="20" s="1"/>
  <c r="AS49" i="20"/>
  <c r="AT49" i="20" s="1"/>
  <c r="AS50" i="20"/>
  <c r="AT50" i="20" s="1"/>
  <c r="AS51" i="20"/>
  <c r="AT51" i="20" s="1"/>
  <c r="AS52" i="20"/>
  <c r="AT52" i="20" s="1"/>
  <c r="AS53" i="20"/>
  <c r="AT53" i="20" s="1"/>
  <c r="AS54" i="20"/>
  <c r="AT54" i="20" s="1"/>
  <c r="AS55" i="20"/>
  <c r="AT55" i="20" s="1"/>
  <c r="AS56" i="20"/>
  <c r="AT56" i="20" s="1"/>
  <c r="AS57" i="20"/>
  <c r="AT57" i="20" s="1"/>
  <c r="AS58" i="20"/>
  <c r="AT58" i="20" s="1"/>
  <c r="AS59" i="20"/>
  <c r="AT59" i="20" s="1"/>
  <c r="AS60" i="20"/>
  <c r="AT60" i="20" s="1"/>
  <c r="AS61" i="20"/>
  <c r="AT61" i="20" s="1"/>
  <c r="AS62" i="20"/>
  <c r="AT62" i="20" s="1"/>
  <c r="AS63" i="20"/>
  <c r="AT63" i="20" s="1"/>
  <c r="AS64" i="20"/>
  <c r="AT64" i="20" s="1"/>
  <c r="AS65" i="20"/>
  <c r="AT65" i="20" s="1"/>
  <c r="AS66" i="20"/>
  <c r="AT66" i="20" s="1"/>
  <c r="AS67" i="20"/>
  <c r="AT67" i="20" s="1"/>
  <c r="AS68" i="20"/>
  <c r="AT68" i="20" s="1"/>
  <c r="AS69" i="20"/>
  <c r="AT69" i="20" s="1"/>
  <c r="AS70" i="20"/>
  <c r="AT70" i="20" s="1"/>
  <c r="AS71" i="20"/>
  <c r="AT71" i="20" s="1"/>
  <c r="AS72" i="20"/>
  <c r="AT72" i="20" s="1"/>
  <c r="AS73" i="20"/>
  <c r="AT73" i="20" s="1"/>
  <c r="AS74" i="20"/>
  <c r="AT74" i="20" s="1"/>
  <c r="AS75" i="20"/>
  <c r="AT75" i="20" s="1"/>
  <c r="AS76" i="20"/>
  <c r="AT76" i="20" s="1"/>
  <c r="AS77" i="20"/>
  <c r="AT77" i="20" s="1"/>
  <c r="AS78" i="20"/>
  <c r="AT78" i="20" s="1"/>
  <c r="AS79" i="20"/>
  <c r="AT79" i="20" s="1"/>
  <c r="AS80" i="20"/>
  <c r="AT80" i="20" s="1"/>
  <c r="AS81" i="20"/>
  <c r="AT81" i="20" s="1"/>
  <c r="AS82" i="20"/>
  <c r="AT82" i="20" s="1"/>
  <c r="AS83" i="20"/>
  <c r="AT83" i="20" s="1"/>
  <c r="AS84" i="20"/>
  <c r="AT84" i="20" s="1"/>
  <c r="AS85" i="20"/>
  <c r="AT85" i="20" s="1"/>
  <c r="AS86" i="20"/>
  <c r="AT86" i="20" s="1"/>
  <c r="AS87" i="20"/>
  <c r="AT87" i="20" s="1"/>
  <c r="AS88" i="20"/>
  <c r="AT88" i="20" s="1"/>
  <c r="AS89" i="20"/>
  <c r="AT89" i="20" s="1"/>
  <c r="AS90" i="20"/>
  <c r="AT90" i="20" s="1"/>
  <c r="AS91" i="20"/>
  <c r="AT91" i="20" s="1"/>
  <c r="AS92" i="20"/>
  <c r="AT92" i="20" s="1"/>
  <c r="AS93" i="20"/>
  <c r="AT93" i="20" s="1"/>
  <c r="AS94" i="20"/>
  <c r="AT94" i="20" s="1"/>
  <c r="AS95" i="20"/>
  <c r="AT95" i="20" s="1"/>
  <c r="AS96" i="20"/>
  <c r="AT96" i="20" s="1"/>
  <c r="AS97" i="20"/>
  <c r="AT97" i="20" s="1"/>
  <c r="AS98" i="20"/>
  <c r="AT98" i="20" s="1"/>
  <c r="AS99" i="20"/>
  <c r="AT99" i="20" s="1"/>
  <c r="AS100" i="20"/>
  <c r="AT100" i="20" s="1"/>
  <c r="AS101" i="20"/>
  <c r="AT101" i="20" s="1"/>
  <c r="AS102" i="20"/>
  <c r="AT102" i="20" s="1"/>
  <c r="AS103" i="20"/>
  <c r="AT103" i="20" s="1"/>
  <c r="AS104" i="20"/>
  <c r="AT104" i="20" s="1"/>
  <c r="AS105" i="20"/>
  <c r="AT105" i="20" s="1"/>
  <c r="AS6" i="20"/>
  <c r="AT6" i="20" s="1"/>
  <c r="AS5" i="20"/>
  <c r="AT5" i="20" s="1"/>
  <c r="AR5" i="20"/>
  <c r="AR108" i="20" s="1"/>
  <c r="AQ5" i="20"/>
  <c r="AQ108" i="20" s="1"/>
  <c r="AP5" i="20"/>
  <c r="AP108" i="20" s="1"/>
  <c r="AN5" i="20"/>
  <c r="AN108" i="20" s="1"/>
  <c r="BA108" i="20" l="1"/>
  <c r="AX108" i="20"/>
  <c r="AT108" i="20"/>
  <c r="AP111" i="20" s="1"/>
  <c r="BB108" i="20"/>
  <c r="BC108" i="20"/>
  <c r="AR110" i="20" s="1"/>
  <c r="AR111" i="20" l="1"/>
  <c r="AQ111" i="20"/>
  <c r="B10" i="2"/>
  <c r="L7" i="9" s="1"/>
  <c r="B8" i="2"/>
  <c r="B7" i="2"/>
  <c r="C17" i="8"/>
  <c r="J10" i="8"/>
  <c r="J12" i="8"/>
  <c r="D7" i="14"/>
  <c r="G9" i="19"/>
  <c r="C9" i="19"/>
  <c r="B9" i="19"/>
  <c r="A9" i="19"/>
  <c r="A8" i="10"/>
  <c r="A7" i="10"/>
  <c r="A6" i="10"/>
  <c r="A5" i="10"/>
  <c r="A19" i="9"/>
  <c r="B19" i="9" s="1"/>
  <c r="O7" i="9"/>
  <c r="N7" i="9"/>
  <c r="M7" i="9"/>
  <c r="K7" i="9"/>
  <c r="J7" i="9"/>
  <c r="I7" i="9"/>
  <c r="H7" i="9"/>
  <c r="C20" i="8"/>
  <c r="C19" i="8"/>
  <c r="M18" i="8"/>
  <c r="J18" i="8"/>
  <c r="M12" i="8"/>
  <c r="C12" i="8"/>
  <c r="M10" i="8"/>
  <c r="C10" i="8"/>
  <c r="M9" i="8"/>
  <c r="J9" i="8"/>
  <c r="C9" i="8"/>
  <c r="M8" i="8"/>
  <c r="J8" i="8"/>
  <c r="C8" i="8"/>
  <c r="B23" i="6"/>
  <c r="A87" i="3"/>
  <c r="A86" i="3"/>
  <c r="A85" i="3"/>
  <c r="A84" i="3"/>
  <c r="AI16" i="3"/>
  <c r="AF16" i="3"/>
  <c r="AC16" i="3"/>
  <c r="AI15" i="3"/>
  <c r="AF15" i="3"/>
  <c r="AC15" i="3"/>
  <c r="AI14" i="3"/>
  <c r="AF14" i="3"/>
  <c r="AC14" i="3"/>
  <c r="AI13" i="3"/>
  <c r="AF13" i="3"/>
  <c r="AC13" i="3"/>
  <c r="AI12" i="3"/>
  <c r="AF12" i="3"/>
  <c r="AC12" i="3"/>
  <c r="AI11" i="3"/>
  <c r="AF11" i="3"/>
  <c r="AC11" i="3"/>
  <c r="AI10" i="3"/>
  <c r="AF10" i="3"/>
  <c r="AC10" i="3"/>
  <c r="AI9" i="3"/>
  <c r="AF9" i="3"/>
  <c r="AC9" i="3"/>
  <c r="AI8" i="3"/>
  <c r="AF8" i="3"/>
  <c r="AC8" i="3"/>
  <c r="AI7" i="3"/>
  <c r="AF7" i="3"/>
  <c r="AC7" i="3"/>
  <c r="AI6" i="3"/>
  <c r="AF6" i="3"/>
  <c r="AC6" i="3"/>
  <c r="AI5" i="3"/>
  <c r="AF5" i="3"/>
  <c r="AC5" i="3"/>
  <c r="B1" i="3"/>
  <c r="C1" i="3" s="1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B36" i="2"/>
  <c r="F9" i="19" s="1"/>
  <c r="B35" i="2"/>
  <c r="D9" i="19" s="1"/>
  <c r="C34" i="8" l="1"/>
  <c r="C29" i="8"/>
  <c r="M13" i="8"/>
  <c r="M20" i="8"/>
  <c r="D19" i="9"/>
  <c r="E19" i="9" s="1"/>
  <c r="F19" i="9" s="1"/>
  <c r="I7" i="18"/>
  <c r="B24" i="6"/>
  <c r="B25" i="6" s="1"/>
  <c r="B26" i="6" s="1"/>
  <c r="M28" i="8"/>
  <c r="J14" i="8"/>
  <c r="G15" i="9"/>
  <c r="C15" i="9" s="1"/>
  <c r="K9" i="19"/>
  <c r="M19" i="8"/>
  <c r="M14" i="8"/>
  <c r="C35" i="8"/>
  <c r="D35" i="8" s="1"/>
  <c r="C32" i="8"/>
  <c r="D32" i="8" s="1"/>
  <c r="C31" i="8"/>
  <c r="G8" i="9"/>
  <c r="F8" i="9" s="1"/>
  <c r="D8" i="9" s="1"/>
  <c r="G9" i="9"/>
  <c r="C9" i="9" s="1"/>
  <c r="G11" i="9"/>
  <c r="F11" i="9" s="1"/>
  <c r="D11" i="9" s="1"/>
  <c r="C30" i="8"/>
  <c r="D30" i="8" s="1"/>
  <c r="C33" i="8"/>
  <c r="D33" i="8" s="1"/>
  <c r="C36" i="8"/>
  <c r="D36" i="8" s="1"/>
  <c r="G13" i="9"/>
  <c r="F13" i="9" s="1"/>
  <c r="D13" i="9" s="1"/>
  <c r="D34" i="8"/>
  <c r="B34" i="8" s="1"/>
  <c r="I9" i="19"/>
  <c r="G7" i="14"/>
  <c r="G12" i="9"/>
  <c r="G14" i="9"/>
  <c r="C37" i="8"/>
  <c r="G10" i="9"/>
  <c r="G7" i="9"/>
  <c r="C9" i="1" l="1"/>
  <c r="A30" i="6"/>
  <c r="C30" i="6" s="1"/>
  <c r="E7" i="9"/>
  <c r="B5" i="6"/>
  <c r="J7" i="18"/>
  <c r="BD5" i="20" s="1"/>
  <c r="J9" i="19"/>
  <c r="I15" i="19" s="1"/>
  <c r="F15" i="9"/>
  <c r="D15" i="9" s="1"/>
  <c r="A15" i="9" s="1"/>
  <c r="B36" i="8"/>
  <c r="C11" i="9"/>
  <c r="F9" i="9"/>
  <c r="D9" i="9" s="1"/>
  <c r="B35" i="8"/>
  <c r="C13" i="9"/>
  <c r="C8" i="9"/>
  <c r="B33" i="8"/>
  <c r="B30" i="8"/>
  <c r="B32" i="8"/>
  <c r="D31" i="8"/>
  <c r="B31" i="8" s="1"/>
  <c r="D29" i="8"/>
  <c r="M31" i="8" s="1"/>
  <c r="F12" i="9"/>
  <c r="D12" i="9" s="1"/>
  <c r="C12" i="9"/>
  <c r="F7" i="9"/>
  <c r="D7" i="9" s="1"/>
  <c r="C7" i="9"/>
  <c r="F10" i="9"/>
  <c r="D10" i="9" s="1"/>
  <c r="C10" i="9"/>
  <c r="D37" i="8"/>
  <c r="B37" i="8" s="1"/>
  <c r="C14" i="9"/>
  <c r="F14" i="9"/>
  <c r="D14" i="9" s="1"/>
  <c r="A8" i="9" l="1"/>
  <c r="A11" i="9"/>
  <c r="A13" i="9"/>
  <c r="A9" i="9"/>
  <c r="H5" i="6"/>
  <c r="H19" i="6"/>
  <c r="BD22" i="20"/>
  <c r="P22" i="20" s="1"/>
  <c r="AZ22" i="20" s="1"/>
  <c r="P5" i="20"/>
  <c r="AO5" i="20" s="1"/>
  <c r="BD104" i="20"/>
  <c r="P104" i="20" s="1"/>
  <c r="BE104" i="20" s="1"/>
  <c r="BD101" i="20"/>
  <c r="P101" i="20" s="1"/>
  <c r="BD34" i="20"/>
  <c r="P34" i="20" s="1"/>
  <c r="AO34" i="20" s="1"/>
  <c r="BD73" i="20"/>
  <c r="P73" i="20" s="1"/>
  <c r="AO73" i="20" s="1"/>
  <c r="BD71" i="20"/>
  <c r="P71" i="20" s="1"/>
  <c r="AO71" i="20" s="1"/>
  <c r="BD20" i="20"/>
  <c r="P20" i="20" s="1"/>
  <c r="AO20" i="20" s="1"/>
  <c r="BD68" i="20"/>
  <c r="P68" i="20" s="1"/>
  <c r="AO68" i="20" s="1"/>
  <c r="BD26" i="20"/>
  <c r="P26" i="20" s="1"/>
  <c r="AO26" i="20" s="1"/>
  <c r="BD88" i="20"/>
  <c r="P88" i="20" s="1"/>
  <c r="BE88" i="20" s="1"/>
  <c r="BD10" i="20"/>
  <c r="P10" i="20" s="1"/>
  <c r="AO10" i="20" s="1"/>
  <c r="BD86" i="20"/>
  <c r="P86" i="20" s="1"/>
  <c r="BE86" i="20" s="1"/>
  <c r="BD44" i="20"/>
  <c r="P44" i="20" s="1"/>
  <c r="AO44" i="20" s="1"/>
  <c r="BD23" i="20"/>
  <c r="P23" i="20" s="1"/>
  <c r="AO23" i="20" s="1"/>
  <c r="BD8" i="20"/>
  <c r="P8" i="20" s="1"/>
  <c r="AO8" i="20" s="1"/>
  <c r="BD69" i="20"/>
  <c r="P69" i="20" s="1"/>
  <c r="AO69" i="20" s="1"/>
  <c r="BD100" i="20"/>
  <c r="P100" i="20" s="1"/>
  <c r="BE100" i="20" s="1"/>
  <c r="BD64" i="20"/>
  <c r="P64" i="20" s="1"/>
  <c r="AO64" i="20" s="1"/>
  <c r="BD39" i="20"/>
  <c r="P39" i="20" s="1"/>
  <c r="AO39" i="20" s="1"/>
  <c r="BD49" i="20"/>
  <c r="P49" i="20" s="1"/>
  <c r="AO49" i="20" s="1"/>
  <c r="BD35" i="20"/>
  <c r="P35" i="20" s="1"/>
  <c r="AO35" i="20" s="1"/>
  <c r="BD76" i="20"/>
  <c r="P76" i="20" s="1"/>
  <c r="AO76" i="20" s="1"/>
  <c r="BD56" i="20"/>
  <c r="P56" i="20" s="1"/>
  <c r="AO56" i="20" s="1"/>
  <c r="BD62" i="20"/>
  <c r="P62" i="20" s="1"/>
  <c r="AO62" i="20" s="1"/>
  <c r="BD81" i="20"/>
  <c r="P81" i="20" s="1"/>
  <c r="BE81" i="20" s="1"/>
  <c r="BD14" i="20"/>
  <c r="P14" i="20" s="1"/>
  <c r="AO14" i="20" s="1"/>
  <c r="BD11" i="20"/>
  <c r="P11" i="20" s="1"/>
  <c r="AO11" i="20" s="1"/>
  <c r="BD43" i="20"/>
  <c r="P43" i="20" s="1"/>
  <c r="AO43" i="20" s="1"/>
  <c r="BD27" i="20"/>
  <c r="P27" i="20" s="1"/>
  <c r="AO27" i="20" s="1"/>
  <c r="BD94" i="20"/>
  <c r="P94" i="20" s="1"/>
  <c r="BE94" i="20" s="1"/>
  <c r="BD19" i="20"/>
  <c r="P19" i="20" s="1"/>
  <c r="AO19" i="20" s="1"/>
  <c r="BD15" i="20"/>
  <c r="P15" i="20" s="1"/>
  <c r="AO15" i="20" s="1"/>
  <c r="BD37" i="20"/>
  <c r="P37" i="20" s="1"/>
  <c r="AO37" i="20" s="1"/>
  <c r="BD98" i="20"/>
  <c r="P98" i="20" s="1"/>
  <c r="BE98" i="20" s="1"/>
  <c r="BD99" i="20"/>
  <c r="P99" i="20" s="1"/>
  <c r="BD9" i="20"/>
  <c r="P9" i="20" s="1"/>
  <c r="AO9" i="20" s="1"/>
  <c r="BD32" i="20"/>
  <c r="P32" i="20" s="1"/>
  <c r="AO32" i="20" s="1"/>
  <c r="BD70" i="20"/>
  <c r="P70" i="20" s="1"/>
  <c r="AO70" i="20" s="1"/>
  <c r="BD36" i="20"/>
  <c r="P36" i="20" s="1"/>
  <c r="BD72" i="20"/>
  <c r="P72" i="20" s="1"/>
  <c r="AO72" i="20" s="1"/>
  <c r="BD61" i="20"/>
  <c r="P61" i="20" s="1"/>
  <c r="BD90" i="20"/>
  <c r="P90" i="20" s="1"/>
  <c r="BE90" i="20" s="1"/>
  <c r="BD75" i="20"/>
  <c r="P75" i="20" s="1"/>
  <c r="BD84" i="20"/>
  <c r="P84" i="20" s="1"/>
  <c r="BE84" i="20" s="1"/>
  <c r="BD95" i="20"/>
  <c r="P95" i="20" s="1"/>
  <c r="BE95" i="20" s="1"/>
  <c r="BD30" i="20"/>
  <c r="P30" i="20" s="1"/>
  <c r="AO30" i="20" s="1"/>
  <c r="BD28" i="20"/>
  <c r="P28" i="20" s="1"/>
  <c r="AO28" i="20" s="1"/>
  <c r="BD53" i="20"/>
  <c r="P53" i="20" s="1"/>
  <c r="BD82" i="20"/>
  <c r="P82" i="20" s="1"/>
  <c r="BE82" i="20" s="1"/>
  <c r="BD89" i="20"/>
  <c r="P89" i="20" s="1"/>
  <c r="BE89" i="20" s="1"/>
  <c r="BD48" i="20"/>
  <c r="P48" i="20" s="1"/>
  <c r="AO48" i="20" s="1"/>
  <c r="BD7" i="20"/>
  <c r="P7" i="20" s="1"/>
  <c r="AO7" i="20" s="1"/>
  <c r="BD59" i="20"/>
  <c r="P59" i="20" s="1"/>
  <c r="AO59" i="20" s="1"/>
  <c r="BD12" i="20"/>
  <c r="P12" i="20" s="1"/>
  <c r="AO12" i="20" s="1"/>
  <c r="BD96" i="20"/>
  <c r="P96" i="20" s="1"/>
  <c r="BD78" i="20"/>
  <c r="P78" i="20" s="1"/>
  <c r="BD46" i="20"/>
  <c r="P46" i="20" s="1"/>
  <c r="AO46" i="20" s="1"/>
  <c r="BD65" i="20"/>
  <c r="P65" i="20" s="1"/>
  <c r="AO65" i="20" s="1"/>
  <c r="BD31" i="20"/>
  <c r="P31" i="20" s="1"/>
  <c r="AO31" i="20" s="1"/>
  <c r="BD52" i="20"/>
  <c r="P52" i="20" s="1"/>
  <c r="AO52" i="20" s="1"/>
  <c r="BD60" i="20"/>
  <c r="P60" i="20" s="1"/>
  <c r="AO60" i="20" s="1"/>
  <c r="BD42" i="20"/>
  <c r="P42" i="20" s="1"/>
  <c r="AO42" i="20" s="1"/>
  <c r="BD51" i="20"/>
  <c r="P51" i="20" s="1"/>
  <c r="AO51" i="20" s="1"/>
  <c r="BD41" i="20"/>
  <c r="P41" i="20" s="1"/>
  <c r="AO41" i="20" s="1"/>
  <c r="BD77" i="20"/>
  <c r="P77" i="20" s="1"/>
  <c r="AO77" i="20" s="1"/>
  <c r="BD93" i="20"/>
  <c r="P93" i="20" s="1"/>
  <c r="BE93" i="20" s="1"/>
  <c r="BD33" i="20"/>
  <c r="P33" i="20" s="1"/>
  <c r="AO33" i="20" s="1"/>
  <c r="BD45" i="20"/>
  <c r="P45" i="20" s="1"/>
  <c r="AO45" i="20" s="1"/>
  <c r="BD17" i="20"/>
  <c r="P17" i="20" s="1"/>
  <c r="AO17" i="20" s="1"/>
  <c r="BD92" i="20"/>
  <c r="P92" i="20" s="1"/>
  <c r="BE92" i="20" s="1"/>
  <c r="BD66" i="20"/>
  <c r="P66" i="20" s="1"/>
  <c r="AO66" i="20" s="1"/>
  <c r="BD105" i="20"/>
  <c r="P105" i="20" s="1"/>
  <c r="BE105" i="20" s="1"/>
  <c r="BD91" i="20"/>
  <c r="P91" i="20" s="1"/>
  <c r="BE91" i="20" s="1"/>
  <c r="BD103" i="20"/>
  <c r="P103" i="20" s="1"/>
  <c r="BE103" i="20" s="1"/>
  <c r="BD38" i="20"/>
  <c r="P38" i="20" s="1"/>
  <c r="AO38" i="20" s="1"/>
  <c r="BD74" i="20"/>
  <c r="P74" i="20" s="1"/>
  <c r="AO74" i="20" s="1"/>
  <c r="BD79" i="20"/>
  <c r="P79" i="20" s="1"/>
  <c r="BD29" i="20"/>
  <c r="P29" i="20" s="1"/>
  <c r="AO29" i="20" s="1"/>
  <c r="BD58" i="20"/>
  <c r="P58" i="20" s="1"/>
  <c r="AO58" i="20" s="1"/>
  <c r="BD97" i="20"/>
  <c r="P97" i="20" s="1"/>
  <c r="BE97" i="20" s="1"/>
  <c r="BD67" i="20"/>
  <c r="P67" i="20" s="1"/>
  <c r="AO67" i="20" s="1"/>
  <c r="BD63" i="20"/>
  <c r="P63" i="20" s="1"/>
  <c r="AO63" i="20" s="1"/>
  <c r="BD13" i="20"/>
  <c r="P13" i="20" s="1"/>
  <c r="AO13" i="20" s="1"/>
  <c r="BD47" i="20"/>
  <c r="P47" i="20" s="1"/>
  <c r="AO47" i="20" s="1"/>
  <c r="BD21" i="20"/>
  <c r="P21" i="20" s="1"/>
  <c r="AO21" i="20" s="1"/>
  <c r="BD50" i="20"/>
  <c r="P50" i="20" s="1"/>
  <c r="AO50" i="20" s="1"/>
  <c r="BD25" i="20"/>
  <c r="P25" i="20" s="1"/>
  <c r="AO25" i="20" s="1"/>
  <c r="BD87" i="20"/>
  <c r="P87" i="20" s="1"/>
  <c r="BE87" i="20" s="1"/>
  <c r="BD16" i="20"/>
  <c r="P16" i="20" s="1"/>
  <c r="AO16" i="20" s="1"/>
  <c r="BD54" i="20"/>
  <c r="P54" i="20" s="1"/>
  <c r="AO54" i="20" s="1"/>
  <c r="BD24" i="20"/>
  <c r="P24" i="20" s="1"/>
  <c r="AO24" i="20" s="1"/>
  <c r="BD102" i="20"/>
  <c r="P102" i="20" s="1"/>
  <c r="BE102" i="20" s="1"/>
  <c r="BD6" i="20"/>
  <c r="P6" i="20" s="1"/>
  <c r="BD40" i="20"/>
  <c r="P40" i="20" s="1"/>
  <c r="BD85" i="20"/>
  <c r="P85" i="20" s="1"/>
  <c r="BE85" i="20" s="1"/>
  <c r="BD83" i="20"/>
  <c r="P83" i="20" s="1"/>
  <c r="BE83" i="20" s="1"/>
  <c r="BD18" i="20"/>
  <c r="P18" i="20" s="1"/>
  <c r="BD57" i="20"/>
  <c r="P57" i="20" s="1"/>
  <c r="BD80" i="20"/>
  <c r="P80" i="20" s="1"/>
  <c r="BE80" i="20" s="1"/>
  <c r="BD55" i="20"/>
  <c r="P55" i="20" s="1"/>
  <c r="A7" i="9"/>
  <c r="A12" i="9"/>
  <c r="A10" i="9"/>
  <c r="B29" i="8"/>
  <c r="C18" i="1" s="1"/>
  <c r="M15" i="8"/>
  <c r="M16" i="8" s="1"/>
  <c r="M39" i="8" s="1"/>
  <c r="M42" i="8"/>
  <c r="L27" i="1" s="1"/>
  <c r="N27" i="1" s="1"/>
  <c r="A14" i="9"/>
  <c r="J31" i="8"/>
  <c r="AZ104" i="20" l="1"/>
  <c r="AZ76" i="20"/>
  <c r="AO22" i="20"/>
  <c r="AZ98" i="20"/>
  <c r="AZ88" i="20"/>
  <c r="AZ14" i="20"/>
  <c r="AO104" i="20"/>
  <c r="AZ42" i="20"/>
  <c r="AZ89" i="20"/>
  <c r="AZ23" i="20"/>
  <c r="AZ30" i="20"/>
  <c r="AZ70" i="20"/>
  <c r="AO89" i="20"/>
  <c r="AZ12" i="20"/>
  <c r="AZ71" i="20"/>
  <c r="AZ94" i="20"/>
  <c r="AO93" i="20"/>
  <c r="AZ91" i="20"/>
  <c r="AZ93" i="20"/>
  <c r="AZ65" i="20"/>
  <c r="AZ67" i="20"/>
  <c r="AZ21" i="20"/>
  <c r="AO55" i="20"/>
  <c r="AZ55" i="20"/>
  <c r="AZ96" i="20"/>
  <c r="BE96" i="20"/>
  <c r="AZ101" i="20"/>
  <c r="BE101" i="20"/>
  <c r="AZ99" i="20"/>
  <c r="BE99" i="20"/>
  <c r="AZ28" i="20"/>
  <c r="AZ64" i="20"/>
  <c r="AO92" i="20"/>
  <c r="AZ20" i="20"/>
  <c r="AZ39" i="20"/>
  <c r="AZ31" i="20"/>
  <c r="AZ33" i="20"/>
  <c r="AZ8" i="20"/>
  <c r="AO91" i="20"/>
  <c r="AZ11" i="20"/>
  <c r="AZ19" i="20"/>
  <c r="AZ56" i="20"/>
  <c r="AZ51" i="20"/>
  <c r="AZ10" i="20"/>
  <c r="AZ87" i="20"/>
  <c r="AZ95" i="20"/>
  <c r="AO100" i="20"/>
  <c r="AO78" i="20"/>
  <c r="BE78" i="20"/>
  <c r="AZ103" i="20"/>
  <c r="AO96" i="20"/>
  <c r="AO99" i="20"/>
  <c r="AO101" i="20"/>
  <c r="AO105" i="20"/>
  <c r="AO82" i="20"/>
  <c r="AO81" i="20"/>
  <c r="AZ79" i="20"/>
  <c r="BE79" i="20"/>
  <c r="AO98" i="20"/>
  <c r="AO94" i="20"/>
  <c r="AO88" i="20"/>
  <c r="AZ5" i="20"/>
  <c r="AZ34" i="20"/>
  <c r="AZ50" i="20"/>
  <c r="AZ16" i="20"/>
  <c r="AZ52" i="20"/>
  <c r="AZ63" i="20"/>
  <c r="AZ69" i="20"/>
  <c r="AZ66" i="20"/>
  <c r="AO79" i="20"/>
  <c r="AZ54" i="20"/>
  <c r="AZ58" i="20"/>
  <c r="AZ97" i="20"/>
  <c r="AZ86" i="20"/>
  <c r="AZ46" i="20"/>
  <c r="AZ41" i="20"/>
  <c r="AZ38" i="20"/>
  <c r="AZ43" i="20"/>
  <c r="AZ68" i="20"/>
  <c r="AO86" i="20"/>
  <c r="AZ45" i="20"/>
  <c r="AO103" i="20"/>
  <c r="AZ92" i="20"/>
  <c r="AZ29" i="20"/>
  <c r="AZ48" i="20"/>
  <c r="AZ82" i="20"/>
  <c r="AO87" i="20"/>
  <c r="AO97" i="20"/>
  <c r="AZ44" i="20"/>
  <c r="AO61" i="20"/>
  <c r="AZ61" i="20"/>
  <c r="AZ59" i="20"/>
  <c r="AO95" i="20"/>
  <c r="AO53" i="20"/>
  <c r="AZ53" i="20"/>
  <c r="AZ73" i="20"/>
  <c r="AZ60" i="20"/>
  <c r="AZ81" i="20"/>
  <c r="AZ49" i="20"/>
  <c r="AZ17" i="20"/>
  <c r="AZ32" i="20"/>
  <c r="AZ105" i="20"/>
  <c r="AZ15" i="20"/>
  <c r="AZ7" i="20"/>
  <c r="AZ74" i="20"/>
  <c r="AZ25" i="20"/>
  <c r="AO75" i="20"/>
  <c r="AZ75" i="20"/>
  <c r="AO36" i="20"/>
  <c r="AZ36" i="20"/>
  <c r="AZ26" i="20"/>
  <c r="AZ100" i="20"/>
  <c r="AZ37" i="20"/>
  <c r="AZ35" i="20"/>
  <c r="AZ27" i="20"/>
  <c r="AZ84" i="20"/>
  <c r="AO84" i="20"/>
  <c r="AZ9" i="20"/>
  <c r="AZ77" i="20"/>
  <c r="AZ78" i="20"/>
  <c r="AZ13" i="20"/>
  <c r="AZ62" i="20"/>
  <c r="AZ47" i="20"/>
  <c r="AZ72" i="20"/>
  <c r="AZ90" i="20"/>
  <c r="AO90" i="20"/>
  <c r="AZ24" i="20"/>
  <c r="AO57" i="20"/>
  <c r="AZ57" i="20"/>
  <c r="AZ80" i="20"/>
  <c r="AO80" i="20"/>
  <c r="AZ85" i="20"/>
  <c r="AO85" i="20"/>
  <c r="AO6" i="20"/>
  <c r="AZ6" i="20"/>
  <c r="AO40" i="20"/>
  <c r="AZ40" i="20"/>
  <c r="AO18" i="20"/>
  <c r="AZ18" i="20"/>
  <c r="AO83" i="20"/>
  <c r="AZ83" i="20"/>
  <c r="AO102" i="20"/>
  <c r="AZ102" i="20"/>
  <c r="J42" i="8"/>
  <c r="K27" i="1" s="1"/>
  <c r="M27" i="1" s="1"/>
  <c r="M40" i="8"/>
  <c r="J37" i="16" l="1"/>
  <c r="M37" i="16" s="1"/>
  <c r="I37" i="16"/>
  <c r="L37" i="16" s="1"/>
  <c r="BE108" i="20"/>
  <c r="AO108" i="20"/>
  <c r="AO111" i="20" s="1"/>
  <c r="I38" i="16"/>
  <c r="L38" i="16" s="1"/>
  <c r="J38" i="16"/>
  <c r="M38" i="16" s="1"/>
  <c r="AZ108" i="20"/>
  <c r="M21" i="8"/>
  <c r="M22" i="8" s="1"/>
  <c r="M41" i="8" s="1"/>
  <c r="J20" i="8"/>
  <c r="J19" i="8"/>
  <c r="J13" i="8"/>
  <c r="H21" i="6" l="1"/>
  <c r="H24" i="6" s="1"/>
  <c r="I39" i="16"/>
  <c r="L39" i="16"/>
  <c r="M39" i="16"/>
  <c r="J39" i="16"/>
  <c r="AQ109" i="20"/>
  <c r="AQ110" i="20" s="1"/>
  <c r="J21" i="8"/>
  <c r="J22" i="8" s="1"/>
  <c r="J41" i="8" s="1"/>
  <c r="J15" i="8"/>
  <c r="J16" i="8" s="1"/>
  <c r="J39" i="8" s="1"/>
  <c r="N39" i="16" l="1"/>
  <c r="J40" i="8"/>
  <c r="AP109" i="20" l="1"/>
  <c r="AP110" i="20" s="1"/>
  <c r="C27" i="1" l="1"/>
  <c r="AO109" i="20" l="1"/>
  <c r="AN109" i="20" l="1"/>
  <c r="AN110" i="20" s="1"/>
  <c r="AO110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Germán P.</author>
    <author>Almudena O.</author>
  </authors>
  <commentList>
    <comment ref="BD4" authorId="0" shapeId="0" xr:uid="{720962B0-6CA3-4891-98B9-EAEAD9903055}">
      <text>
        <r>
          <rPr>
            <b/>
            <sz val="9"/>
            <color indexed="81"/>
            <rFont val="Tahoma"/>
            <family val="2"/>
          </rPr>
          <t>Germán P.:</t>
        </r>
        <r>
          <rPr>
            <sz val="9"/>
            <color indexed="81"/>
            <rFont val="Tahoma"/>
            <family val="2"/>
          </rPr>
          <t xml:space="preserve">
Exp(application method+volcoef)*exp(Crop_type+pH+CEC+climate)
YA NO SE COMIENZA CON 10 kgN/ha POR DEFECTO</t>
        </r>
      </text>
    </comment>
    <comment ref="AN109" authorId="1" shapeId="0" xr:uid="{00172A0D-E1BF-44A4-9383-80AD0E1CF311}">
      <text>
        <r>
          <rPr>
            <b/>
            <sz val="9"/>
            <color indexed="81"/>
            <rFont val="Tahoma"/>
            <family val="2"/>
          </rPr>
          <t>Almudena O.:</t>
        </r>
        <r>
          <rPr>
            <sz val="9"/>
            <color indexed="81"/>
            <rFont val="Tahoma"/>
            <family val="2"/>
          </rPr>
          <t xml:space="preserve">
limitación del 25% del N ureico
N ureico</t>
        </r>
      </text>
    </comment>
    <comment ref="AO109" authorId="1" shapeId="0" xr:uid="{EE41EBCF-2FAF-4CF9-9DB4-8DD050FBC057}">
      <text>
        <r>
          <rPr>
            <b/>
            <sz val="9"/>
            <color indexed="81"/>
            <rFont val="Tahoma"/>
            <family val="2"/>
          </rPr>
          <t xml:space="preserve">N requieremen ts
</t>
        </r>
      </text>
    </comment>
    <comment ref="AQ109" authorId="1" shapeId="0" xr:uid="{E5A269F2-3D17-40B8-A96C-700A312833DD}">
      <text>
        <r>
          <rPr>
            <b/>
            <sz val="9"/>
            <color indexed="81"/>
            <rFont val="Tahoma"/>
            <family val="2"/>
          </rPr>
          <t>Almudena O.:</t>
        </r>
        <r>
          <rPr>
            <sz val="9"/>
            <color indexed="81"/>
            <rFont val="Tahoma"/>
            <family val="2"/>
          </rPr>
          <t xml:space="preserve">
valor tomado en función de la estrategia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tc={A73A0DB2-0860-4043-8B4B-C45DCE41497B}</author>
  </authors>
  <commentList>
    <comment ref="M40" authorId="0" shapeId="0" xr:uid="{A73A0DB2-0860-4043-8B4B-C45DCE41497B}">
      <text>
        <r>
          <rPr>
            <sz val="11"/>
            <color theme="1"/>
            <rFont val="Arial"/>
            <family val="2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Revisar por qué da más alto???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7" authorId="0" shapeId="0" xr:uid="{00000000-0006-0000-0B00-000001000000}">
      <text>
        <r>
          <rPr>
            <sz val="11"/>
            <color theme="1"/>
            <rFont val="Arial"/>
            <family val="2"/>
          </rPr>
          <t>======
ID#AAAAL64Z3Lk
PG-ITAP Agroasesor    (2021-03-18 13:42:14)
Referido a parte cosechada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xVwZ6VLVA5/1CJCyGdvHIEUsdCw=="/>
    </ext>
  </extLst>
</comments>
</file>

<file path=xl/sharedStrings.xml><?xml version="1.0" encoding="utf-8"?>
<sst xmlns="http://schemas.openxmlformats.org/spreadsheetml/2006/main" count="3887" uniqueCount="1817">
  <si>
    <t>Input terms</t>
  </si>
  <si>
    <t>Mineralization</t>
  </si>
  <si>
    <t>Fixation</t>
  </si>
  <si>
    <t>Output terms</t>
  </si>
  <si>
    <t xml:space="preserve">Uptake </t>
  </si>
  <si>
    <t>Denitrification</t>
  </si>
  <si>
    <t>Volatilization</t>
  </si>
  <si>
    <t>N_crop</t>
  </si>
  <si>
    <t>PK Requeriments</t>
  </si>
  <si>
    <t>P</t>
  </si>
  <si>
    <t>K</t>
  </si>
  <si>
    <t>P2O5</t>
  </si>
  <si>
    <t>K2O</t>
  </si>
  <si>
    <t>Sufficiency</t>
  </si>
  <si>
    <t>B&amp;M: minimum</t>
  </si>
  <si>
    <t>B&amp;M: maximum</t>
  </si>
  <si>
    <t>Maintenance</t>
  </si>
  <si>
    <t>CROP</t>
  </si>
  <si>
    <t>Variable</t>
  </si>
  <si>
    <t>Data</t>
  </si>
  <si>
    <t>Unit</t>
  </si>
  <si>
    <t>Notes</t>
  </si>
  <si>
    <t>crop_type</t>
  </si>
  <si>
    <t>CLOVER_ALSIKE_HAY</t>
  </si>
  <si>
    <t>User</t>
  </si>
  <si>
    <t>y</t>
  </si>
  <si>
    <t>kg/ha</t>
  </si>
  <si>
    <t>CV (%)</t>
  </si>
  <si>
    <t>%</t>
  </si>
  <si>
    <t>Valor por defecto 20%</t>
  </si>
  <si>
    <t>export_r</t>
  </si>
  <si>
    <t>n_fix_code</t>
  </si>
  <si>
    <t>cycle_crop</t>
  </si>
  <si>
    <t>Annual</t>
  </si>
  <si>
    <t>PK_strategy</t>
  </si>
  <si>
    <t>Maintenance (soil analysis not avalable)</t>
  </si>
  <si>
    <t>SOIL</t>
  </si>
  <si>
    <t>soil_texture</t>
  </si>
  <si>
    <t>Silty clay</t>
  </si>
  <si>
    <t>SOM</t>
  </si>
  <si>
    <t>pH</t>
  </si>
  <si>
    <t>Default or user value</t>
  </si>
  <si>
    <t>CEC</t>
  </si>
  <si>
    <t>meq/kg</t>
  </si>
  <si>
    <t>depth_s</t>
  </si>
  <si>
    <t>m</t>
  </si>
  <si>
    <t>Nc_s_initial</t>
  </si>
  <si>
    <t>kgN/ha</t>
  </si>
  <si>
    <t>Nc_s_end</t>
  </si>
  <si>
    <t>Pc_s</t>
  </si>
  <si>
    <t>ppm</t>
  </si>
  <si>
    <t>Pc_method</t>
  </si>
  <si>
    <t>Bray</t>
  </si>
  <si>
    <t>Kc_s</t>
  </si>
  <si>
    <t>Kc_method</t>
  </si>
  <si>
    <t>Acetato de amonio</t>
  </si>
  <si>
    <t>PLOT</t>
  </si>
  <si>
    <t>water_supply</t>
  </si>
  <si>
    <t>Irrigated</t>
  </si>
  <si>
    <t>type_irrigated</t>
  </si>
  <si>
    <t>Trickle</t>
  </si>
  <si>
    <t>climate_zone</t>
  </si>
  <si>
    <t>rain_a (mm)</t>
  </si>
  <si>
    <t>mm</t>
  </si>
  <si>
    <t>rain_w (mm)</t>
  </si>
  <si>
    <t>dose_irrigation</t>
  </si>
  <si>
    <r>
      <rPr>
        <sz val="11"/>
        <color theme="1"/>
        <rFont val="Arial"/>
        <family val="2"/>
      </rPr>
      <t>m</t>
    </r>
    <r>
      <rPr>
        <vertAlign val="superscript"/>
        <sz val="11"/>
        <color theme="1"/>
        <rFont val="Arial"/>
        <family val="2"/>
      </rPr>
      <t>3</t>
    </r>
    <r>
      <rPr>
        <sz val="11"/>
        <color theme="1"/>
        <rFont val="Arial"/>
        <family val="2"/>
      </rPr>
      <t>/ha</t>
    </r>
  </si>
  <si>
    <t>Nc_NO3_water</t>
  </si>
  <si>
    <t>type_fo</t>
  </si>
  <si>
    <t>Nc_dm_amendment</t>
  </si>
  <si>
    <t>dm_amendment</t>
  </si>
  <si>
    <t>frecu_application_amendment</t>
  </si>
  <si>
    <t>application_method</t>
  </si>
  <si>
    <t>type_f</t>
  </si>
  <si>
    <t>KCl</t>
  </si>
  <si>
    <t>USDA</t>
  </si>
  <si>
    <t>textura1</t>
  </si>
  <si>
    <t>textura2</t>
  </si>
  <si>
    <t>TexturaId</t>
  </si>
  <si>
    <t>Clase textural FAO</t>
  </si>
  <si>
    <t>soil_texture FAO</t>
  </si>
  <si>
    <t>Textura reducida( Agroasesor)</t>
  </si>
  <si>
    <t>Fertilicalc</t>
  </si>
  <si>
    <t>Hydrologic Soil Groups</t>
  </si>
  <si>
    <t>Rate of drainage</t>
  </si>
  <si>
    <t>Mineralization texture</t>
  </si>
  <si>
    <t>Límites</t>
  </si>
  <si>
    <t>qFC</t>
  </si>
  <si>
    <t>qWP</t>
  </si>
  <si>
    <t>qFC - qWP</t>
  </si>
  <si>
    <t>Densidad aparente (g/cm3)</t>
  </si>
  <si>
    <t>Correction factor fK</t>
  </si>
  <si>
    <t>Pc_s_thres (ppm)</t>
  </si>
  <si>
    <t>Kc_s_thres (ppm)</t>
  </si>
  <si>
    <t>cn</t>
  </si>
  <si>
    <t>CEC (meq/kg)</t>
  </si>
  <si>
    <t>Min</t>
  </si>
  <si>
    <t>Max</t>
  </si>
  <si>
    <t>Prom</t>
  </si>
  <si>
    <t>Def</t>
  </si>
  <si>
    <t>fK_min</t>
  </si>
  <si>
    <t>fK_max</t>
  </si>
  <si>
    <t>fK</t>
  </si>
  <si>
    <t>lower</t>
  </si>
  <si>
    <t>higher</t>
  </si>
  <si>
    <t>average</t>
  </si>
  <si>
    <t>Arenoso</t>
  </si>
  <si>
    <t>LIGERA</t>
  </si>
  <si>
    <t>Arenosa</t>
  </si>
  <si>
    <t>Sand</t>
  </si>
  <si>
    <t>A</t>
  </si>
  <si>
    <t>Very high</t>
  </si>
  <si>
    <t>sandy_texture</t>
  </si>
  <si>
    <t>(Limo + 1.5 * Arcilla) &lt; 15</t>
  </si>
  <si>
    <t>Arenoso Franco</t>
  </si>
  <si>
    <t>Arenoso franco</t>
  </si>
  <si>
    <t>Arenoso franca</t>
  </si>
  <si>
    <t>Loamy sand</t>
  </si>
  <si>
    <t>((Limo + 1.5 * Arcilla) &gt;= 15 And (Limo + 2 * Arcilla) &lt; 30)</t>
  </si>
  <si>
    <t>Franco Arenoso</t>
  </si>
  <si>
    <t>Franco arenoso</t>
  </si>
  <si>
    <t>Franco arenosa</t>
  </si>
  <si>
    <t>Sandy loam</t>
  </si>
  <si>
    <t>B</t>
  </si>
  <si>
    <t>High</t>
  </si>
  <si>
    <t>(Arcilla &gt;= 7 And (Arcilla &lt; 20 And (Arena &gt; 52 And (Limo + 2 * Arcilla) &gt;= 30))) Or (Arcilla &lt; 7 And (Limo &lt; 50 And (Limo + 2 * Arcilla) &gt;= 30))</t>
  </si>
  <si>
    <t>Franco</t>
  </si>
  <si>
    <t>MEDIA</t>
  </si>
  <si>
    <t>Franca</t>
  </si>
  <si>
    <t>Loam</t>
  </si>
  <si>
    <t>loam_texture</t>
  </si>
  <si>
    <t>(Arcilla &gt;= 7 And (Arcilla &lt; 27 And (Limo &gt;= 28 And (Limo &lt; 50 And (Arena &lt;= 52)))))</t>
  </si>
  <si>
    <t>Franco Limoso</t>
  </si>
  <si>
    <t>Franco limoso</t>
  </si>
  <si>
    <t>Franco limosa</t>
  </si>
  <si>
    <t>Silty loam</t>
  </si>
  <si>
    <t>C</t>
  </si>
  <si>
    <t>Medium</t>
  </si>
  <si>
    <t>(Limo &gt;= 50 And (Arcilla &gt;= 12 And Arcilla &lt; 27)) Or (Limo &gt;= 50 And (Limo &lt; 80 And Arcilla &lt; 12))</t>
  </si>
  <si>
    <t>Limoso</t>
  </si>
  <si>
    <t>Limosa</t>
  </si>
  <si>
    <t>Silt</t>
  </si>
  <si>
    <t>(Limo &gt;= 80 And Arcilla &lt; 12)</t>
  </si>
  <si>
    <t>Franco arcillo arenoso</t>
  </si>
  <si>
    <t>Franco arcillo arenosa</t>
  </si>
  <si>
    <t>Clay loam</t>
  </si>
  <si>
    <t>(Arcilla &gt;= 20 And (Arcilla &lt; 35 And (Limo &lt; 28 And Arena &gt; 45)))</t>
  </si>
  <si>
    <t>Franco arcilloso</t>
  </si>
  <si>
    <t>PESADA</t>
  </si>
  <si>
    <t>Franco arcillosa</t>
  </si>
  <si>
    <t>Sandy clay loam</t>
  </si>
  <si>
    <t>D</t>
  </si>
  <si>
    <t>Low</t>
  </si>
  <si>
    <t>clay_texture</t>
  </si>
  <si>
    <t>(Arcilla &gt;= 27 And (Arcilla &lt; 40 And (Arena &gt; 20 And Arena &lt;= 45)))</t>
  </si>
  <si>
    <t>Franco Arcillo Limoso</t>
  </si>
  <si>
    <t>Franco arcillo limoso</t>
  </si>
  <si>
    <t>Franco arcillo limosa</t>
  </si>
  <si>
    <t>Silty clay loam</t>
  </si>
  <si>
    <t>(Arcilla &gt;= 27 And (Arcilla &lt; 40 And Arena &lt;= 20))</t>
  </si>
  <si>
    <t>Arcillo arenosa</t>
  </si>
  <si>
    <t>Sandy clay</t>
  </si>
  <si>
    <t>(Arcilla &gt;= 35 And Arena &gt; 45)</t>
  </si>
  <si>
    <t>Arcillo Limoso</t>
  </si>
  <si>
    <t>Arcillo limoso</t>
  </si>
  <si>
    <t>Arcillo limosa</t>
  </si>
  <si>
    <t>(Arcilla &gt;= 40 And Limo &gt;= 40)</t>
  </si>
  <si>
    <t>Arcilloso</t>
  </si>
  <si>
    <t>Arcillosa</t>
  </si>
  <si>
    <t>Clay</t>
  </si>
  <si>
    <t>Very low</t>
  </si>
  <si>
    <t>(Arcilla &gt;= 40 And (Arena &lt;= 45 And Limo &lt; 40))</t>
  </si>
  <si>
    <t>Fuente: Rawls et al. 1992.</t>
  </si>
  <si>
    <t>Delgado 2016</t>
  </si>
  <si>
    <t>Table 5. Values of the coefficient converting values of a given soil P test into its equivalent for the Olsen method</t>
  </si>
  <si>
    <t>Parameters</t>
  </si>
  <si>
    <t>PK strategy</t>
  </si>
  <si>
    <t>Method</t>
  </si>
  <si>
    <t>k</t>
  </si>
  <si>
    <t>fnr</t>
  </si>
  <si>
    <t>Buildup &amp; maintenance (reduced fertilizer)</t>
  </si>
  <si>
    <t>Olsen</t>
  </si>
  <si>
    <t>fmc_r</t>
  </si>
  <si>
    <t>Buildup &amp; maintenance (maximum yield)</t>
  </si>
  <si>
    <r>
      <rPr>
        <sz val="11"/>
        <color rgb="FF080808"/>
        <rFont val="Calibri"/>
        <family val="2"/>
      </rPr>
      <t>Ammonium  l</t>
    </r>
    <r>
      <rPr>
        <sz val="11"/>
        <color rgb="FF212121"/>
        <rFont val="Calibri"/>
        <family val="2"/>
      </rPr>
      <t>ac</t>
    </r>
    <r>
      <rPr>
        <sz val="11"/>
        <color rgb="FF080808"/>
        <rFont val="Calibri"/>
        <family val="2"/>
      </rPr>
      <t>t</t>
    </r>
    <r>
      <rPr>
        <sz val="11"/>
        <color rgb="FF212121"/>
        <rFont val="Calibri"/>
        <family val="2"/>
      </rPr>
      <t>a</t>
    </r>
    <r>
      <rPr>
        <sz val="11"/>
        <color rgb="FF080808"/>
        <rFont val="Calibri"/>
        <family val="2"/>
      </rPr>
      <t>te</t>
    </r>
  </si>
  <si>
    <t>P_crop_max</t>
  </si>
  <si>
    <t>kg P/ha</t>
  </si>
  <si>
    <r>
      <rPr>
        <sz val="11"/>
        <color rgb="FF080808"/>
        <rFont val="Calibri"/>
        <family val="2"/>
      </rPr>
      <t>M</t>
    </r>
    <r>
      <rPr>
        <sz val="11"/>
        <color rgb="FF212121"/>
        <rFont val="Calibri"/>
        <family val="2"/>
      </rPr>
      <t>e</t>
    </r>
    <r>
      <rPr>
        <sz val="11"/>
        <color rgb="FF080808"/>
        <rFont val="Calibri"/>
        <family val="2"/>
      </rPr>
      <t>hlich III</t>
    </r>
  </si>
  <si>
    <t>K_crop_max</t>
  </si>
  <si>
    <t>kg K/ha</t>
  </si>
  <si>
    <t>Sufficiency (minimum fertilizer)</t>
  </si>
  <si>
    <r>
      <rPr>
        <sz val="11"/>
        <color rgb="FF080808"/>
        <rFont val="Calibri"/>
        <family val="2"/>
      </rPr>
      <t>Ammonium ac et</t>
    </r>
    <r>
      <rPr>
        <sz val="11"/>
        <color rgb="FF212121"/>
        <rFont val="Calibri"/>
        <family val="2"/>
      </rPr>
      <t>a</t>
    </r>
    <r>
      <rPr>
        <sz val="11"/>
        <color rgb="FF080808"/>
        <rFont val="Calibri"/>
        <family val="2"/>
      </rPr>
      <t>te+ EDTA</t>
    </r>
  </si>
  <si>
    <t>Calcium  lactate</t>
  </si>
  <si>
    <r>
      <rPr>
        <sz val="11"/>
        <color rgb="FF212121"/>
        <rFont val="Calibri"/>
        <family val="2"/>
      </rPr>
      <t>C</t>
    </r>
    <r>
      <rPr>
        <sz val="11"/>
        <color rgb="FF080808"/>
        <rFont val="Calibri"/>
        <family val="2"/>
      </rPr>
      <t>al</t>
    </r>
    <r>
      <rPr>
        <sz val="11"/>
        <color rgb="FF212121"/>
        <rFont val="Calibri"/>
        <family val="2"/>
      </rPr>
      <t>c</t>
    </r>
    <r>
      <rPr>
        <sz val="11"/>
        <color rgb="FF080808"/>
        <rFont val="Calibri"/>
        <family val="2"/>
      </rPr>
      <t>ium l</t>
    </r>
    <r>
      <rPr>
        <sz val="11"/>
        <color rgb="FF212121"/>
        <rFont val="Calibri"/>
        <family val="2"/>
      </rPr>
      <t>ac</t>
    </r>
    <r>
      <rPr>
        <sz val="11"/>
        <color rgb="FF080808"/>
        <rFont val="Calibri"/>
        <family val="2"/>
      </rPr>
      <t xml:space="preserve">tate </t>
    </r>
    <r>
      <rPr>
        <sz val="11"/>
        <color rgb="FF212121"/>
        <rFont val="Calibri"/>
        <family val="2"/>
      </rPr>
      <t>ace</t>
    </r>
    <r>
      <rPr>
        <sz val="11"/>
        <color rgb="FF080808"/>
        <rFont val="Calibri"/>
        <family val="2"/>
      </rPr>
      <t>t</t>
    </r>
    <r>
      <rPr>
        <sz val="11"/>
        <color rgb="FF212121"/>
        <rFont val="Calibri"/>
        <family val="2"/>
      </rPr>
      <t>at</t>
    </r>
    <r>
      <rPr>
        <sz val="11"/>
        <color rgb="FF080808"/>
        <rFont val="Calibri"/>
        <family val="2"/>
      </rPr>
      <t>e</t>
    </r>
  </si>
  <si>
    <r>
      <rPr>
        <sz val="11"/>
        <color rgb="FF080808"/>
        <rFont val="Calibri"/>
        <family val="2"/>
      </rPr>
      <t>Pa</t>
    </r>
    <r>
      <rPr>
        <sz val="11"/>
        <color rgb="FF212121"/>
        <rFont val="Calibri"/>
        <family val="2"/>
      </rPr>
      <t>p</t>
    </r>
    <r>
      <rPr>
        <sz val="11"/>
        <color rgb="FF080808"/>
        <rFont val="Calibri"/>
        <family val="2"/>
      </rPr>
      <t xml:space="preserve">er </t>
    </r>
    <r>
      <rPr>
        <sz val="11"/>
        <color rgb="FF3B3B3B"/>
        <rFont val="Calibri"/>
        <family val="2"/>
      </rPr>
      <t>s</t>
    </r>
    <r>
      <rPr>
        <sz val="11"/>
        <color rgb="FF080808"/>
        <rFont val="Calibri"/>
        <family val="2"/>
      </rPr>
      <t>trip</t>
    </r>
  </si>
  <si>
    <r>
      <rPr>
        <sz val="11"/>
        <color rgb="FF080808"/>
        <rFont val="Calibri"/>
        <family val="2"/>
      </rPr>
      <t>A</t>
    </r>
    <r>
      <rPr>
        <sz val="11"/>
        <color rgb="FF212121"/>
        <rFont val="Calibri"/>
        <family val="2"/>
      </rPr>
      <t>c</t>
    </r>
    <r>
      <rPr>
        <sz val="11"/>
        <color rgb="FF080808"/>
        <rFont val="Calibri"/>
        <family val="2"/>
      </rPr>
      <t xml:space="preserve">id  ammonium  </t>
    </r>
    <r>
      <rPr>
        <sz val="11"/>
        <color rgb="FF212121"/>
        <rFont val="Calibri"/>
        <family val="2"/>
      </rPr>
      <t>ace</t>
    </r>
    <r>
      <rPr>
        <sz val="11"/>
        <color rgb="FF080808"/>
        <rFont val="Calibri"/>
        <family val="2"/>
      </rPr>
      <t>tat</t>
    </r>
    <r>
      <rPr>
        <sz val="11"/>
        <color rgb="FF212121"/>
        <rFont val="Calibri"/>
        <family val="2"/>
      </rPr>
      <t>e</t>
    </r>
  </si>
  <si>
    <t>H2O</t>
  </si>
  <si>
    <r>
      <rPr>
        <sz val="11"/>
        <color rgb="FF212121"/>
        <rFont val="Calibri"/>
        <family val="2"/>
      </rPr>
      <t>S</t>
    </r>
    <r>
      <rPr>
        <sz val="11"/>
        <color rgb="FF080808"/>
        <rFont val="Calibri"/>
        <family val="2"/>
      </rPr>
      <t xml:space="preserve">aturated  </t>
    </r>
    <r>
      <rPr>
        <sz val="11"/>
        <color rgb="FF212121"/>
        <rFont val="Calibri"/>
        <family val="2"/>
      </rPr>
      <t>w</t>
    </r>
    <r>
      <rPr>
        <sz val="11"/>
        <color rgb="FF080808"/>
        <rFont val="Calibri"/>
        <family val="2"/>
      </rPr>
      <t>a</t>
    </r>
    <r>
      <rPr>
        <sz val="11"/>
        <color rgb="FF212121"/>
        <rFont val="Calibri"/>
        <family val="2"/>
      </rPr>
      <t>te</t>
    </r>
    <r>
      <rPr>
        <sz val="11"/>
        <color rgb="FF080808"/>
        <rFont val="Calibri"/>
        <family val="2"/>
      </rPr>
      <t>r</t>
    </r>
  </si>
  <si>
    <r>
      <rPr>
        <sz val="11"/>
        <color rgb="FF080808"/>
        <rFont val="Calibri"/>
        <family val="2"/>
      </rPr>
      <t>C</t>
    </r>
    <r>
      <rPr>
        <sz val="11"/>
        <color rgb="FF212121"/>
        <rFont val="Calibri"/>
        <family val="2"/>
      </rPr>
      <t>a</t>
    </r>
    <r>
      <rPr>
        <sz val="11"/>
        <color rgb="FF080808"/>
        <rFont val="Calibri"/>
        <family val="2"/>
      </rPr>
      <t>Cl</t>
    </r>
    <r>
      <rPr>
        <sz val="11"/>
        <color rgb="FF3B3B3B"/>
        <rFont val="Calibri"/>
        <family val="2"/>
      </rPr>
      <t>2</t>
    </r>
  </si>
  <si>
    <t>Note: rain_a y rain_w es un user input pero si no tiene datos se establece un valor por defecto en función de climate_zone</t>
  </si>
  <si>
    <t>Asociación de inputs: rain:_w y rain_a conclimate_zone</t>
  </si>
  <si>
    <t>factor_humidity</t>
  </si>
  <si>
    <t>alpine_zone</t>
  </si>
  <si>
    <t>atlantic_zone</t>
  </si>
  <si>
    <t>continental_zone</t>
  </si>
  <si>
    <t>Note: se asocia crop_type con el input inicial de water_supply</t>
  </si>
  <si>
    <t>Note: type_f se encuentra agrupado en función de vol_group (hoja de fertilizantes del excel de germán, columna de vol_group, ahí se encuentra la asociación de cada fertilizante con su vol_group)</t>
  </si>
  <si>
    <t xml:space="preserve">Note: pH es un input a introducir por el usuario pero en el caso de la volatilización se utilizan los siguientes criterios: </t>
  </si>
  <si>
    <t xml:space="preserve">Note: CEC es un input a introducir por el usuario pero en el caso de la volatilización se utilizan los siguientes criterios </t>
  </si>
  <si>
    <t>vol_group</t>
  </si>
  <si>
    <t>Nsol_group</t>
  </si>
  <si>
    <t>Note: mirar Data vol</t>
  </si>
  <si>
    <t>MAP_group</t>
  </si>
  <si>
    <t>AA_group</t>
  </si>
  <si>
    <t>valores</t>
  </si>
  <si>
    <t>UCN_group</t>
  </si>
  <si>
    <t>pH≤5,5</t>
  </si>
  <si>
    <t>CEC≤16</t>
  </si>
  <si>
    <t>AN_group</t>
  </si>
  <si>
    <t>5,5&lt;pH≤7,3</t>
  </si>
  <si>
    <t>16&lt;CEC≤24</t>
  </si>
  <si>
    <t>DAP_group</t>
  </si>
  <si>
    <t>7,3&lt;pH≤8,5</t>
  </si>
  <si>
    <t>24&lt;CEC≤32</t>
  </si>
  <si>
    <t>AS_group</t>
  </si>
  <si>
    <t>pH&gt;8,5</t>
  </si>
  <si>
    <t>CEC&gt;32</t>
  </si>
  <si>
    <t xml:space="preserve">Urea_group </t>
  </si>
  <si>
    <t>O_group</t>
  </si>
  <si>
    <t>Note: si es legume o non legume se ve en la tabla Concentration NPK_crop debido a que todos los cultivos se encuentran dividos en grupos.</t>
  </si>
  <si>
    <t xml:space="preserve">Note: si es annual or perennial: esa información se encuentra en una columna en la tabla Concentration NPK_crop </t>
  </si>
  <si>
    <t>Concatenation</t>
  </si>
  <si>
    <t xml:space="preserve"> n_fix_per</t>
  </si>
  <si>
    <t>SOM (%)</t>
  </si>
  <si>
    <t>&lt;3</t>
  </si>
  <si>
    <t>&gt;=3</t>
  </si>
  <si>
    <t>Note: SOM es un user input pero aquí se utilizan los siguientes criterios para la variable n_fix_per: &lt;3% &gt;=3 % ( mirar hoja Nc_fixation)</t>
  </si>
  <si>
    <t>soil (Fertilicalc)</t>
  </si>
  <si>
    <t>soil (Navigator tool)</t>
  </si>
  <si>
    <t>sand</t>
  </si>
  <si>
    <t>loamysand</t>
  </si>
  <si>
    <t>sandyloam</t>
  </si>
  <si>
    <t>loam</t>
  </si>
  <si>
    <t>siltyloam</t>
  </si>
  <si>
    <t>silt</t>
  </si>
  <si>
    <t>clayloam</t>
  </si>
  <si>
    <t>sandyclayloam</t>
  </si>
  <si>
    <t>siltyclayloam</t>
  </si>
  <si>
    <t>sandyclay</t>
  </si>
  <si>
    <t>siltyclay</t>
  </si>
  <si>
    <t>clay</t>
  </si>
  <si>
    <r>
      <rPr>
        <sz val="11"/>
        <color rgb="FF080808"/>
        <rFont val="Calibri"/>
        <family val="2"/>
      </rPr>
      <t>Ammonium  l</t>
    </r>
    <r>
      <rPr>
        <sz val="11"/>
        <color rgb="FF212121"/>
        <rFont val="Calibri"/>
        <family val="2"/>
      </rPr>
      <t>ac</t>
    </r>
    <r>
      <rPr>
        <sz val="11"/>
        <color rgb="FF080808"/>
        <rFont val="Calibri"/>
        <family val="2"/>
      </rPr>
      <t>t</t>
    </r>
    <r>
      <rPr>
        <sz val="11"/>
        <color rgb="FF212121"/>
        <rFont val="Calibri"/>
        <family val="2"/>
      </rPr>
      <t>a</t>
    </r>
    <r>
      <rPr>
        <sz val="11"/>
        <color rgb="FF080808"/>
        <rFont val="Calibri"/>
        <family val="2"/>
      </rPr>
      <t>te</t>
    </r>
  </si>
  <si>
    <t>0.25</t>
  </si>
  <si>
    <r>
      <rPr>
        <sz val="11"/>
        <color rgb="FF080808"/>
        <rFont val="Calibri"/>
        <family val="2"/>
      </rPr>
      <t>M</t>
    </r>
    <r>
      <rPr>
        <sz val="11"/>
        <color rgb="FF212121"/>
        <rFont val="Calibri"/>
        <family val="2"/>
      </rPr>
      <t>e</t>
    </r>
    <r>
      <rPr>
        <sz val="11"/>
        <color rgb="FF080808"/>
        <rFont val="Calibri"/>
        <family val="2"/>
      </rPr>
      <t>hlich III</t>
    </r>
  </si>
  <si>
    <t>0.36</t>
  </si>
  <si>
    <t>0.47</t>
  </si>
  <si>
    <r>
      <rPr>
        <sz val="11"/>
        <color rgb="FF080808"/>
        <rFont val="Calibri"/>
        <family val="2"/>
      </rPr>
      <t>Ammonium ac et</t>
    </r>
    <r>
      <rPr>
        <sz val="11"/>
        <color rgb="FF212121"/>
        <rFont val="Calibri"/>
        <family val="2"/>
      </rPr>
      <t>a</t>
    </r>
    <r>
      <rPr>
        <sz val="11"/>
        <color rgb="FF080808"/>
        <rFont val="Calibri"/>
        <family val="2"/>
      </rPr>
      <t>te+ EDTA</t>
    </r>
  </si>
  <si>
    <t>0.48</t>
  </si>
  <si>
    <t>0.49</t>
  </si>
  <si>
    <r>
      <rPr>
        <sz val="11"/>
        <color rgb="FF212121"/>
        <rFont val="Calibri"/>
        <family val="2"/>
      </rPr>
      <t>C</t>
    </r>
    <r>
      <rPr>
        <sz val="11"/>
        <color rgb="FF080808"/>
        <rFont val="Calibri"/>
        <family val="2"/>
      </rPr>
      <t>al</t>
    </r>
    <r>
      <rPr>
        <sz val="11"/>
        <color rgb="FF212121"/>
        <rFont val="Calibri"/>
        <family val="2"/>
      </rPr>
      <t>c</t>
    </r>
    <r>
      <rPr>
        <sz val="11"/>
        <color rgb="FF080808"/>
        <rFont val="Calibri"/>
        <family val="2"/>
      </rPr>
      <t>ium l</t>
    </r>
    <r>
      <rPr>
        <sz val="11"/>
        <color rgb="FF212121"/>
        <rFont val="Calibri"/>
        <family val="2"/>
      </rPr>
      <t>ac</t>
    </r>
    <r>
      <rPr>
        <sz val="11"/>
        <color rgb="FF080808"/>
        <rFont val="Calibri"/>
        <family val="2"/>
      </rPr>
      <t xml:space="preserve">tate </t>
    </r>
    <r>
      <rPr>
        <sz val="11"/>
        <color rgb="FF212121"/>
        <rFont val="Calibri"/>
        <family val="2"/>
      </rPr>
      <t>ace</t>
    </r>
    <r>
      <rPr>
        <sz val="11"/>
        <color rgb="FF080808"/>
        <rFont val="Calibri"/>
        <family val="2"/>
      </rPr>
      <t>t</t>
    </r>
    <r>
      <rPr>
        <sz val="11"/>
        <color rgb="FF212121"/>
        <rFont val="Calibri"/>
        <family val="2"/>
      </rPr>
      <t>at</t>
    </r>
    <r>
      <rPr>
        <sz val="11"/>
        <color rgb="FF080808"/>
        <rFont val="Calibri"/>
        <family val="2"/>
      </rPr>
      <t>e</t>
    </r>
  </si>
  <si>
    <t>0.52</t>
  </si>
  <si>
    <r>
      <rPr>
        <sz val="11"/>
        <color rgb="FF080808"/>
        <rFont val="Calibri"/>
        <family val="2"/>
      </rPr>
      <t>Pa</t>
    </r>
    <r>
      <rPr>
        <sz val="11"/>
        <color rgb="FF212121"/>
        <rFont val="Calibri"/>
        <family val="2"/>
      </rPr>
      <t>p</t>
    </r>
    <r>
      <rPr>
        <sz val="11"/>
        <color rgb="FF080808"/>
        <rFont val="Calibri"/>
        <family val="2"/>
      </rPr>
      <t xml:space="preserve">er </t>
    </r>
    <r>
      <rPr>
        <sz val="11"/>
        <color rgb="FF3B3B3B"/>
        <rFont val="Calibri"/>
        <family val="2"/>
      </rPr>
      <t>s</t>
    </r>
    <r>
      <rPr>
        <sz val="11"/>
        <color rgb="FF080808"/>
        <rFont val="Calibri"/>
        <family val="2"/>
      </rPr>
      <t>trip</t>
    </r>
  </si>
  <si>
    <t>1.50</t>
  </si>
  <si>
    <r>
      <rPr>
        <sz val="11"/>
        <color rgb="FF080808"/>
        <rFont val="Calibri"/>
        <family val="2"/>
      </rPr>
      <t>A</t>
    </r>
    <r>
      <rPr>
        <sz val="11"/>
        <color rgb="FF212121"/>
        <rFont val="Calibri"/>
        <family val="2"/>
      </rPr>
      <t>c</t>
    </r>
    <r>
      <rPr>
        <sz val="11"/>
        <color rgb="FF080808"/>
        <rFont val="Calibri"/>
        <family val="2"/>
      </rPr>
      <t xml:space="preserve">id  ammonium  </t>
    </r>
    <r>
      <rPr>
        <sz val="11"/>
        <color rgb="FF212121"/>
        <rFont val="Calibri"/>
        <family val="2"/>
      </rPr>
      <t>ace</t>
    </r>
    <r>
      <rPr>
        <sz val="11"/>
        <color rgb="FF080808"/>
        <rFont val="Calibri"/>
        <family val="2"/>
      </rPr>
      <t>tat</t>
    </r>
    <r>
      <rPr>
        <sz val="11"/>
        <color rgb="FF212121"/>
        <rFont val="Calibri"/>
        <family val="2"/>
      </rPr>
      <t>e</t>
    </r>
  </si>
  <si>
    <t>1.60</t>
  </si>
  <si>
    <t>3.8</t>
  </si>
  <si>
    <r>
      <rPr>
        <sz val="11"/>
        <color rgb="FF212121"/>
        <rFont val="Calibri"/>
        <family val="2"/>
      </rPr>
      <t>S</t>
    </r>
    <r>
      <rPr>
        <sz val="11"/>
        <color rgb="FF080808"/>
        <rFont val="Calibri"/>
        <family val="2"/>
      </rPr>
      <t xml:space="preserve">aturated  </t>
    </r>
    <r>
      <rPr>
        <sz val="11"/>
        <color rgb="FF212121"/>
        <rFont val="Calibri"/>
        <family val="2"/>
      </rPr>
      <t>w</t>
    </r>
    <r>
      <rPr>
        <sz val="11"/>
        <color rgb="FF080808"/>
        <rFont val="Calibri"/>
        <family val="2"/>
      </rPr>
      <t>a</t>
    </r>
    <r>
      <rPr>
        <sz val="11"/>
        <color rgb="FF212121"/>
        <rFont val="Calibri"/>
        <family val="2"/>
      </rPr>
      <t>te</t>
    </r>
    <r>
      <rPr>
        <sz val="11"/>
        <color rgb="FF080808"/>
        <rFont val="Calibri"/>
        <family val="2"/>
      </rPr>
      <t>r</t>
    </r>
  </si>
  <si>
    <t>15.0</t>
  </si>
  <si>
    <r>
      <rPr>
        <sz val="11"/>
        <color rgb="FF080808"/>
        <rFont val="Calibri"/>
        <family val="2"/>
      </rPr>
      <t>C</t>
    </r>
    <r>
      <rPr>
        <sz val="11"/>
        <color rgb="FF212121"/>
        <rFont val="Calibri"/>
        <family val="2"/>
      </rPr>
      <t>a</t>
    </r>
    <r>
      <rPr>
        <sz val="11"/>
        <color rgb="FF080808"/>
        <rFont val="Calibri"/>
        <family val="2"/>
      </rPr>
      <t>Cl</t>
    </r>
    <r>
      <rPr>
        <sz val="11"/>
        <color rgb="FF3B3B3B"/>
        <rFont val="Calibri"/>
        <family val="2"/>
      </rPr>
      <t>2</t>
    </r>
  </si>
  <si>
    <t>25.0</t>
  </si>
  <si>
    <t>Nc_mineralization_amendment</t>
  </si>
  <si>
    <t>Nmineralization_SOM</t>
  </si>
  <si>
    <t>Nc_mineralization_SOM</t>
  </si>
  <si>
    <t xml:space="preserve">INPUTS FOR ORGANIC MATTER IN THE SOIL </t>
  </si>
  <si>
    <t>Navigator</t>
  </si>
  <si>
    <t>Description</t>
  </si>
  <si>
    <t>No existe</t>
  </si>
  <si>
    <t>Textures of soil</t>
  </si>
  <si>
    <t>interval</t>
  </si>
  <si>
    <t>0-0,5</t>
  </si>
  <si>
    <t>0,5-1</t>
  </si>
  <si>
    <t>1-1,5</t>
  </si>
  <si>
    <t>1,5-2</t>
  </si>
  <si>
    <t>2-2,5</t>
  </si>
  <si>
    <t>&gt;2,5</t>
  </si>
  <si>
    <t>Fertilizer_ID</t>
  </si>
  <si>
    <t>cm</t>
  </si>
  <si>
    <t>Cow manure</t>
  </si>
  <si>
    <t>dc</t>
  </si>
  <si>
    <t>Dairy Cow</t>
  </si>
  <si>
    <t>dh</t>
  </si>
  <si>
    <t>Dairy Heifer</t>
  </si>
  <si>
    <t>bc</t>
  </si>
  <si>
    <t>Beef Cow</t>
  </si>
  <si>
    <t>bf</t>
  </si>
  <si>
    <t>Beef Feeder</t>
  </si>
  <si>
    <t>bes</t>
  </si>
  <si>
    <t>Beef Stocker</t>
  </si>
  <si>
    <t>sm</t>
  </si>
  <si>
    <t>Swine Manure</t>
  </si>
  <si>
    <t>sf</t>
  </si>
  <si>
    <t>Swine Finishing</t>
  </si>
  <si>
    <t>sg</t>
  </si>
  <si>
    <t>Swine Growing</t>
  </si>
  <si>
    <t>sn</t>
  </si>
  <si>
    <t>Swine Nursery</t>
  </si>
  <si>
    <t>sgs</t>
  </si>
  <si>
    <t>Swine Gestating sow</t>
  </si>
  <si>
    <t>ss</t>
  </si>
  <si>
    <t>Swine Sow and litter</t>
  </si>
  <si>
    <t>pm</t>
  </si>
  <si>
    <t>Poultry Manure</t>
  </si>
  <si>
    <t>pl</t>
  </si>
  <si>
    <t>Poultry Layer</t>
  </si>
  <si>
    <t>pb</t>
  </si>
  <si>
    <t>Poultry Broiler</t>
  </si>
  <si>
    <t>pt</t>
  </si>
  <si>
    <t>Poultry Turkey</t>
  </si>
  <si>
    <t>pd</t>
  </si>
  <si>
    <t>Poultry Duck</t>
  </si>
  <si>
    <t>pg</t>
  </si>
  <si>
    <t>Poultry Goose</t>
  </si>
  <si>
    <t>oh</t>
  </si>
  <si>
    <t>Other Horse</t>
  </si>
  <si>
    <t>os</t>
  </si>
  <si>
    <t>Other Sheep</t>
  </si>
  <si>
    <t>og</t>
  </si>
  <si>
    <t>Other Goat</t>
  </si>
  <si>
    <t>or</t>
  </si>
  <si>
    <t>Other Rabbit</t>
  </si>
  <si>
    <t>d</t>
  </si>
  <si>
    <t>Digestato</t>
  </si>
  <si>
    <t>se</t>
  </si>
  <si>
    <t>Sludge EDAR</t>
  </si>
  <si>
    <t>ps</t>
  </si>
  <si>
    <t>Poultry slurry</t>
  </si>
  <si>
    <t>rs</t>
  </si>
  <si>
    <t>Rabbit slurry</t>
  </si>
  <si>
    <t>pigs</t>
  </si>
  <si>
    <t>Pig slurry</t>
  </si>
  <si>
    <t>cs</t>
  </si>
  <si>
    <t>Cattle slurry</t>
  </si>
  <si>
    <t>Nc_up_h = (h_dm_med*Nc_h + r_dm_med*Nc_r)*(1+fnr)</t>
  </si>
  <si>
    <t>P_exported = h_dm_med*Pc_h + r_dm_med*(1-fmc_r)*Pc_r*export_r</t>
  </si>
  <si>
    <t>K_exported = h_dm_med*Kc_h + r_dm_med*(1-fmc_r)*Kc_r*export_r</t>
  </si>
  <si>
    <t>Pc_h</t>
  </si>
  <si>
    <t>Kc_h</t>
  </si>
  <si>
    <t>Pc_r</t>
  </si>
  <si>
    <t>Kc_r</t>
  </si>
  <si>
    <t>dm_h</t>
  </si>
  <si>
    <t>Pc_s_thres_min</t>
  </si>
  <si>
    <t>Kc_s_thres_min</t>
  </si>
  <si>
    <t>STL/STLt min</t>
  </si>
  <si>
    <t>STL/2 STLt min</t>
  </si>
  <si>
    <t>P_crop'_min</t>
  </si>
  <si>
    <t>K_crop'_min</t>
  </si>
  <si>
    <t>P_nyears_min</t>
  </si>
  <si>
    <t>K_nyears_min</t>
  </si>
  <si>
    <t>HI_est</t>
  </si>
  <si>
    <t>Pc_s_thres_max</t>
  </si>
  <si>
    <t>Kc_s_thres_max</t>
  </si>
  <si>
    <t>Nc_h</t>
  </si>
  <si>
    <t>STL/STLt max</t>
  </si>
  <si>
    <t>Nc_r</t>
  </si>
  <si>
    <t>STL/2 STLt max</t>
  </si>
  <si>
    <t>P_crop'_max</t>
  </si>
  <si>
    <t>K_crop'_max</t>
  </si>
  <si>
    <t>density_s</t>
  </si>
  <si>
    <t>g/cm3</t>
  </si>
  <si>
    <t>P_nyears_max</t>
  </si>
  <si>
    <t>K_nyears_max</t>
  </si>
  <si>
    <t>Nc_up_h</t>
  </si>
  <si>
    <t>h_dm_med</t>
  </si>
  <si>
    <t>r_dm_med</t>
  </si>
  <si>
    <t>t_i</t>
  </si>
  <si>
    <t>Menores que</t>
  </si>
  <si>
    <t>P_exported</t>
  </si>
  <si>
    <t>K_exported</t>
  </si>
  <si>
    <t>Strategies</t>
  </si>
  <si>
    <t>Fertilicacl</t>
  </si>
  <si>
    <t>h_i</t>
  </si>
  <si>
    <t>Note: fnr Default value of 0.1</t>
  </si>
  <si>
    <t xml:space="preserve">Formula Fertilicalc: n_fixation = (1 + fnr) * (ny + nr) * (n_fix_per / 100)  </t>
  </si>
  <si>
    <t>Nc_fixation</t>
  </si>
  <si>
    <t>N_yield</t>
  </si>
  <si>
    <t>N_res</t>
  </si>
  <si>
    <t>n_fix_per</t>
  </si>
  <si>
    <t>r_dm</t>
  </si>
  <si>
    <t>y_dm</t>
  </si>
  <si>
    <t>dm_r</t>
  </si>
  <si>
    <t xml:space="preserve">HI_est </t>
  </si>
  <si>
    <t>Nc_h (%)</t>
  </si>
  <si>
    <t>Nc_r (%)</t>
  </si>
  <si>
    <t xml:space="preserve">CV </t>
  </si>
  <si>
    <t>n_fixation</t>
  </si>
  <si>
    <t>Nitrogen fixated</t>
  </si>
  <si>
    <r>
      <rPr>
        <sz val="11"/>
        <color rgb="FF000000"/>
        <rFont val="Calibri"/>
        <family val="2"/>
      </rPr>
      <t xml:space="preserve">Ratio of N in roots / N in shoots. Default value of </t>
    </r>
    <r>
      <rPr>
        <b/>
        <sz val="11"/>
        <color rgb="FF000000"/>
        <rFont val="Calibri"/>
        <family val="2"/>
      </rPr>
      <t>0.1</t>
    </r>
  </si>
  <si>
    <t>ny</t>
  </si>
  <si>
    <r>
      <rPr>
        <sz val="11"/>
        <color rgb="FF000000"/>
        <rFont val="Calibri"/>
        <family val="2"/>
      </rPr>
      <t xml:space="preserve">Nyield. Refer to N accumulated in the harvest organ the present crop. </t>
    </r>
    <r>
      <rPr>
        <b/>
        <sz val="11"/>
        <color rgb="FF000000"/>
        <rFont val="Calibri"/>
        <family val="2"/>
      </rPr>
      <t>ny = y_dm * nc_y</t>
    </r>
  </si>
  <si>
    <t>nr</t>
  </si>
  <si>
    <r>
      <rPr>
        <sz val="11"/>
        <color rgb="FF000000"/>
        <rFont val="Calibri"/>
        <family val="2"/>
      </rPr>
      <t>Refer to N accumulated in residues of the present crop.</t>
    </r>
    <r>
      <rPr>
        <b/>
        <sz val="11"/>
        <color rgb="FF000000"/>
        <rFont val="Calibri"/>
        <family val="2"/>
      </rPr>
      <t xml:space="preserve"> nr = r_dm * n_res[i] </t>
    </r>
  </si>
  <si>
    <t>Se refiere a tres valores de N fijado en porcentaje siendo n_fix_per. Datos en el excel de fijación</t>
  </si>
  <si>
    <r>
      <rPr>
        <sz val="11"/>
        <color rgb="FF000000"/>
        <rFont val="Calibri"/>
        <family val="2"/>
      </rPr>
      <t xml:space="preserve">Materia seca del residuo de la </t>
    </r>
    <r>
      <rPr>
        <b/>
        <sz val="11"/>
        <color rgb="FF000000"/>
        <rFont val="Calibri"/>
        <family val="2"/>
      </rPr>
      <t>actual cosecha</t>
    </r>
    <r>
      <rPr>
        <sz val="11"/>
        <color rgb="FF000000"/>
        <rFont val="Calibri"/>
        <family val="2"/>
      </rPr>
      <t xml:space="preserve"> en función del rendimiento: </t>
    </r>
    <r>
      <rPr>
        <b/>
        <sz val="11"/>
        <color rgb="FF000000"/>
        <rFont val="Calibri"/>
        <family val="2"/>
      </rPr>
      <t xml:space="preserve">r_dm = y[ip] * dmh[ip] * (1 - h_i[ip]) / h_i[ip]; </t>
    </r>
  </si>
  <si>
    <r>
      <rPr>
        <sz val="11"/>
        <color rgb="FF000000"/>
        <rFont val="Calibri"/>
        <family val="2"/>
      </rPr>
      <t xml:space="preserve">Materia seca de la parte cosechada en función del rendimiento:  </t>
    </r>
    <r>
      <rPr>
        <b/>
        <sz val="11"/>
        <color rgb="FF000000"/>
        <rFont val="Calibri"/>
        <family val="2"/>
      </rPr>
      <t>y_dm = yield_i[i_prob] * dmh[i]</t>
    </r>
  </si>
  <si>
    <t>yield</t>
  </si>
  <si>
    <t>type_crop</t>
  </si>
  <si>
    <t>Common name of the crop</t>
  </si>
  <si>
    <r>
      <rPr>
        <sz val="11"/>
        <color rgb="FF000000"/>
        <rFont val="Calibri"/>
        <family val="2"/>
      </rPr>
      <t>Dry matter concentration in harvested part.</t>
    </r>
    <r>
      <rPr>
        <b/>
        <sz val="11"/>
        <color rgb="FF000000"/>
        <rFont val="Docs-Calibri"/>
      </rPr>
      <t xml:space="preserve"> dmh[i] = dm_h[int(crop_n[i])] / 100</t>
    </r>
  </si>
  <si>
    <r>
      <rPr>
        <sz val="11"/>
        <color rgb="FF000000"/>
        <rFont val="Calibri"/>
        <family val="2"/>
      </rPr>
      <t xml:space="preserve">Dry matter concentration in crop residue. </t>
    </r>
    <r>
      <rPr>
        <b/>
        <sz val="11"/>
        <color rgb="FF000000"/>
        <rFont val="Calibri"/>
        <family val="2"/>
      </rPr>
      <t>dmr[i] = dm_r[int(crop_n[i])] / 100</t>
    </r>
  </si>
  <si>
    <t>Harvest Index</t>
  </si>
  <si>
    <t>n_h</t>
  </si>
  <si>
    <t xml:space="preserve">Nc_h </t>
  </si>
  <si>
    <t>N concentration in harvested part</t>
  </si>
  <si>
    <t>n_r</t>
  </si>
  <si>
    <t xml:space="preserve">Nc_r </t>
  </si>
  <si>
    <t>N concentration in residual part</t>
  </si>
  <si>
    <t>cvar</t>
  </si>
  <si>
    <t>Coefficient of Variation of yield (%), se ha asociado para todos los cultivos un 20%.</t>
  </si>
  <si>
    <t>BEAN_GREEN</t>
  </si>
  <si>
    <t>FABA_BEAN_GREEN</t>
  </si>
  <si>
    <t>PEA_GREEN_FRUITS</t>
  </si>
  <si>
    <t>PEA_GREEN_SEEDS</t>
  </si>
  <si>
    <t>&lt;=3</t>
  </si>
  <si>
    <t>&gt;3</t>
  </si>
  <si>
    <t>BARLEY_2_ROW</t>
  </si>
  <si>
    <t>BARLEY_6_ROW</t>
  </si>
  <si>
    <t>BUCKWEAHT</t>
  </si>
  <si>
    <t>CORN_GRAIN</t>
  </si>
  <si>
    <t>MAIZE_SILAGE</t>
  </si>
  <si>
    <t>MILLET_FINGER</t>
  </si>
  <si>
    <t>MILLET_PEARL</t>
  </si>
  <si>
    <t>MILLET_PROSO</t>
  </si>
  <si>
    <t>OAT</t>
  </si>
  <si>
    <t>QUINOA</t>
  </si>
  <si>
    <t>RICE</t>
  </si>
  <si>
    <t>RICE_MILLED</t>
  </si>
  <si>
    <t>RYE</t>
  </si>
  <si>
    <t>SORGHUM_GRAIN</t>
  </si>
  <si>
    <t>SORGHUM_SILAGE</t>
  </si>
  <si>
    <t>SORGHUM_GREEN</t>
  </si>
  <si>
    <t>TRITICALE</t>
  </si>
  <si>
    <t>WHEAT_BREAD_HARD</t>
  </si>
  <si>
    <t>WHEAT_BREAD_SOFT</t>
  </si>
  <si>
    <t>WHEAT_DURUM</t>
  </si>
  <si>
    <t>CASTORBEAN</t>
  </si>
  <si>
    <t>COTTON</t>
  </si>
  <si>
    <t>FLAX</t>
  </si>
  <si>
    <t>OPIUM_POPPY</t>
  </si>
  <si>
    <t>RAPESEED</t>
  </si>
  <si>
    <t>SAFFLOWER</t>
  </si>
  <si>
    <t>SUGARBEET_ROOT_CROWN</t>
  </si>
  <si>
    <t>SUGARBEET_ROOT</t>
  </si>
  <si>
    <t>SUGARCANE</t>
  </si>
  <si>
    <t>SUNFLOWER_OIL</t>
  </si>
  <si>
    <t>SUFLOWER_SEED</t>
  </si>
  <si>
    <t>TOBACCO_BURLEY</t>
  </si>
  <si>
    <t>TOBACCO_FLUE</t>
  </si>
  <si>
    <t>BEAN_DRY</t>
  </si>
  <si>
    <t>BLACK_EYED_PEA</t>
  </si>
  <si>
    <t>CHICKPEA_DESI</t>
  </si>
  <si>
    <t>CHICKPEA_KABULI</t>
  </si>
  <si>
    <t>FABA_BEAN_DRY</t>
  </si>
  <si>
    <t>PEANUT_PODS</t>
  </si>
  <si>
    <t>PEANUT_SEEDS</t>
  </si>
  <si>
    <t>LENTIL</t>
  </si>
  <si>
    <t>PEA</t>
  </si>
  <si>
    <t>SOYBEAN</t>
  </si>
  <si>
    <t>ALFALFA_GREEN_VEGETATIVE</t>
  </si>
  <si>
    <t>ALFALFA_GREEN_FLOWERING</t>
  </si>
  <si>
    <t>ALFALFA_HAY_VEGETATIVE</t>
  </si>
  <si>
    <t>ALFALFA_HAY_FLOWERING</t>
  </si>
  <si>
    <t>BLUEGRASS_HAY</t>
  </si>
  <si>
    <t>BROMEGRASS_HAY</t>
  </si>
  <si>
    <t>CANARYGRASS_REED_HAY</t>
  </si>
  <si>
    <t>CLOVER_CRIMSON_HAY</t>
  </si>
  <si>
    <t>CLOVER_RED_HAY</t>
  </si>
  <si>
    <t>CLOVER_WHITE_HAY</t>
  </si>
  <si>
    <t>CLOVER_WHITE_LADINO_HAY</t>
  </si>
  <si>
    <t>FESCUE_HAY</t>
  </si>
  <si>
    <t>FESCUE_MEADOW_HAY</t>
  </si>
  <si>
    <t>FESCUE_TALL_HAY</t>
  </si>
  <si>
    <t>GRASS_HAY</t>
  </si>
  <si>
    <t>GRASS_SILAGE</t>
  </si>
  <si>
    <t>MILLET_FOXTAIL_SILAGE</t>
  </si>
  <si>
    <t>MLLET_PEARL_SILAGE</t>
  </si>
  <si>
    <t>OAT_HAY</t>
  </si>
  <si>
    <t>ORCHARDGRASS_GREEN_CHOP</t>
  </si>
  <si>
    <t>ORCHARDGRASS_HAY</t>
  </si>
  <si>
    <t>RYE_HAY</t>
  </si>
  <si>
    <t>RYEGRASS_HAY</t>
  </si>
  <si>
    <t>SWEETCLOVER_HAY</t>
  </si>
  <si>
    <t>TIMOTHY_HAY</t>
  </si>
  <si>
    <t>TREFOIL_HAY</t>
  </si>
  <si>
    <t>TURNIP_GREEN_CROP</t>
  </si>
  <si>
    <t>VETCH_GREEN_FLOWERING</t>
  </si>
  <si>
    <t>VETCH_HAY</t>
  </si>
  <si>
    <t>VETCH_HAY_FLOWERING</t>
  </si>
  <si>
    <t>VETCH_HAIRY_HAY</t>
  </si>
  <si>
    <t>WHEATGRASS_HAY</t>
  </si>
  <si>
    <t>ARTICHOKE</t>
  </si>
  <si>
    <t>ASPARAGUS_GREEN</t>
  </si>
  <si>
    <t>ASPARAGUS_WHITE</t>
  </si>
  <si>
    <t>BEET</t>
  </si>
  <si>
    <t>BROCCOLI</t>
  </si>
  <si>
    <t>BRUSSELS SPROUTS</t>
  </si>
  <si>
    <t>CABBAGE</t>
  </si>
  <si>
    <t>CARROT</t>
  </si>
  <si>
    <t>CAULIFLOWER</t>
  </si>
  <si>
    <t>CELERY</t>
  </si>
  <si>
    <t>CHICORY</t>
  </si>
  <si>
    <t>CUCUMBER</t>
  </si>
  <si>
    <t>EGGPLANT</t>
  </si>
  <si>
    <t>ENDIVE</t>
  </si>
  <si>
    <t>GARLIC</t>
  </si>
  <si>
    <t>LEEK</t>
  </si>
  <si>
    <t>LETTUCE_ICEBERG</t>
  </si>
  <si>
    <t>LETTUCE_ROMAN</t>
  </si>
  <si>
    <t>MELON</t>
  </si>
  <si>
    <t>MUSCK_MELON</t>
  </si>
  <si>
    <t>ONION</t>
  </si>
  <si>
    <t>PARSLEY</t>
  </si>
  <si>
    <t>PEPPER_GREEN</t>
  </si>
  <si>
    <t>PEPPER_RED</t>
  </si>
  <si>
    <t>PUMPKIN</t>
  </si>
  <si>
    <t>RADISH</t>
  </si>
  <si>
    <t>SPINACH</t>
  </si>
  <si>
    <t>SQUASH_INMATURE</t>
  </si>
  <si>
    <t>SQUASH_MATURE</t>
  </si>
  <si>
    <t>STRAWBERRY</t>
  </si>
  <si>
    <t>SWEET_CORN_DRY</t>
  </si>
  <si>
    <t>SWEET_CORN_FRESH</t>
  </si>
  <si>
    <t>TOMATO</t>
  </si>
  <si>
    <t>WATERMELON</t>
  </si>
  <si>
    <t>ALMOND</t>
  </si>
  <si>
    <t>APPLE</t>
  </si>
  <si>
    <t>APRICOT</t>
  </si>
  <si>
    <t>AVOCADO</t>
  </si>
  <si>
    <t>BANANA</t>
  </si>
  <si>
    <t>CHERIMOYA</t>
  </si>
  <si>
    <t>CHERRY</t>
  </si>
  <si>
    <t>DATEPALM</t>
  </si>
  <si>
    <t>FIG</t>
  </si>
  <si>
    <t>GRAPE_TABLE</t>
  </si>
  <si>
    <t>GRAPE_WINE</t>
  </si>
  <si>
    <t>GRAPEFRUIT</t>
  </si>
  <si>
    <t>HAZELNUT</t>
  </si>
  <si>
    <t>KIWI</t>
  </si>
  <si>
    <t>LEMON</t>
  </si>
  <si>
    <t>MANGO</t>
  </si>
  <si>
    <t>OILPALM</t>
  </si>
  <si>
    <t>OLIVE</t>
  </si>
  <si>
    <t>ORANGE</t>
  </si>
  <si>
    <t>PEACH</t>
  </si>
  <si>
    <t>PEAR</t>
  </si>
  <si>
    <t>PERSIMMON</t>
  </si>
  <si>
    <t>PLUM</t>
  </si>
  <si>
    <t>POMEGRANATE</t>
  </si>
  <si>
    <t>QUINCE</t>
  </si>
  <si>
    <t>WALNUT</t>
  </si>
  <si>
    <t>CASSAVA</t>
  </si>
  <si>
    <t>CHINESE_YAM</t>
  </si>
  <si>
    <t>POTATO</t>
  </si>
  <si>
    <t>SWEET_POTATO</t>
  </si>
  <si>
    <t>WHITE_YAM</t>
  </si>
  <si>
    <t>YELLOW_YAM</t>
  </si>
  <si>
    <t>Average phosphorus nitrogen and potassium concentration (% dry weight) in different harvested organs and residues for different species</t>
  </si>
  <si>
    <t>Pc_h (%)</t>
  </si>
  <si>
    <t>Kc_h (%)</t>
  </si>
  <si>
    <t>Cac_h (%)</t>
  </si>
  <si>
    <t>Mgc_h (%)</t>
  </si>
  <si>
    <t>Sc_h (%)</t>
  </si>
  <si>
    <t>Cac_r</t>
  </si>
  <si>
    <t>Mgc_r</t>
  </si>
  <si>
    <t>Sc_r</t>
  </si>
  <si>
    <t>Nc_h_min(%)</t>
  </si>
  <si>
    <t>Nc_max_h (%)</t>
  </si>
  <si>
    <t>Nc_typn_h (%)</t>
  </si>
  <si>
    <t>Nc_min_r (%)</t>
  </si>
  <si>
    <t>Nc_max_r (%)</t>
  </si>
  <si>
    <t>Nc_typn_r (%)</t>
  </si>
  <si>
    <t>group</t>
  </si>
  <si>
    <t>English name</t>
  </si>
  <si>
    <t>Latin name</t>
  </si>
  <si>
    <t>Spanish name</t>
  </si>
  <si>
    <t>Part harvested</t>
  </si>
  <si>
    <t>Residues left in field (%)</t>
  </si>
  <si>
    <t>min</t>
  </si>
  <si>
    <t>max</t>
  </si>
  <si>
    <t>typical</t>
  </si>
  <si>
    <t>Residues</t>
  </si>
  <si>
    <t>Forages</t>
  </si>
  <si>
    <t xml:space="preserve">Alfalfa (green, flowering) </t>
  </si>
  <si>
    <t>Medicago sativa L.</t>
  </si>
  <si>
    <t>Alfalfa (verde, floración) Medicago</t>
  </si>
  <si>
    <t>Biomass</t>
  </si>
  <si>
    <t>Pluriannual</t>
  </si>
  <si>
    <t>2,1</t>
  </si>
  <si>
    <t>3,1</t>
  </si>
  <si>
    <t>2,6</t>
  </si>
  <si>
    <t xml:space="preserve">Alfalfa (green, vegetative) </t>
  </si>
  <si>
    <t>Alfalfa (verde, vegetativa) Medicago</t>
  </si>
  <si>
    <t>3,05</t>
  </si>
  <si>
    <t>4,05</t>
  </si>
  <si>
    <t>3,55</t>
  </si>
  <si>
    <t>0,26</t>
  </si>
  <si>
    <t xml:space="preserve">Alfalfa (hay, flowering) </t>
  </si>
  <si>
    <t>Alfalfa (heno, floración) Medicago</t>
  </si>
  <si>
    <t>2,5</t>
  </si>
  <si>
    <t xml:space="preserve">Alfalfa (hay, vegetative) </t>
  </si>
  <si>
    <t>Alfalfa (heno, vegetativo) Medicago</t>
  </si>
  <si>
    <t>2,8</t>
  </si>
  <si>
    <t>3,8</t>
  </si>
  <si>
    <t>3,3</t>
  </si>
  <si>
    <t>Fruit trees, vines and shrubs</t>
  </si>
  <si>
    <t>Almond</t>
  </si>
  <si>
    <t>Prunus amygdalus</t>
  </si>
  <si>
    <t>Almendra</t>
  </si>
  <si>
    <t>Fruit</t>
  </si>
  <si>
    <t>3,6</t>
  </si>
  <si>
    <t>0,37</t>
  </si>
  <si>
    <t>0,75</t>
  </si>
  <si>
    <t>Apple</t>
  </si>
  <si>
    <t>Malus sylvestris</t>
  </si>
  <si>
    <t>Manzana</t>
  </si>
  <si>
    <t>0,25</t>
  </si>
  <si>
    <t>0,45</t>
  </si>
  <si>
    <t>0,35</t>
  </si>
  <si>
    <t>0,05</t>
  </si>
  <si>
    <t>Apricot</t>
  </si>
  <si>
    <t>Prunus armeniaca</t>
  </si>
  <si>
    <t>Albaricoque</t>
  </si>
  <si>
    <t>1,5</t>
  </si>
  <si>
    <t>1,7</t>
  </si>
  <si>
    <t>1,65</t>
  </si>
  <si>
    <t>0,14</t>
  </si>
  <si>
    <t>2,17</t>
  </si>
  <si>
    <t>Horticultural crops</t>
  </si>
  <si>
    <t>Artichoke</t>
  </si>
  <si>
    <t>Cynara scolymus L.</t>
  </si>
  <si>
    <t>Alcachofa</t>
  </si>
  <si>
    <t>2,4</t>
  </si>
  <si>
    <t>0,51</t>
  </si>
  <si>
    <t>Asparagus (green)</t>
  </si>
  <si>
    <t>Asparagus officinalis L.</t>
  </si>
  <si>
    <t>Espárragos (verdes)</t>
  </si>
  <si>
    <t>Stems</t>
  </si>
  <si>
    <t>5,4</t>
  </si>
  <si>
    <t>5,6</t>
  </si>
  <si>
    <t>5,5</t>
  </si>
  <si>
    <t>0,69</t>
  </si>
  <si>
    <t>3,4</t>
  </si>
  <si>
    <t>Asparagus (white)</t>
  </si>
  <si>
    <t>Espárragos (blancos)</t>
  </si>
  <si>
    <t>4,2</t>
  </si>
  <si>
    <t>4,4</t>
  </si>
  <si>
    <t>4,3</t>
  </si>
  <si>
    <t>0,74</t>
  </si>
  <si>
    <t>Avocado</t>
  </si>
  <si>
    <t>Persea americana</t>
  </si>
  <si>
    <t>Aguacate</t>
  </si>
  <si>
    <t>1,1</t>
  </si>
  <si>
    <t>1,3</t>
  </si>
  <si>
    <t>1,2</t>
  </si>
  <si>
    <t>0,15</t>
  </si>
  <si>
    <t>2,31</t>
  </si>
  <si>
    <t>Banana</t>
  </si>
  <si>
    <t>Musa paradisiaca</t>
  </si>
  <si>
    <t>Plátano</t>
  </si>
  <si>
    <t>0,6</t>
  </si>
  <si>
    <t>0,7</t>
  </si>
  <si>
    <t>0,65</t>
  </si>
  <si>
    <t>0,08</t>
  </si>
  <si>
    <t>1,54</t>
  </si>
  <si>
    <t>Cereals &amp; pseudocereals</t>
  </si>
  <si>
    <t>Barley 2 row</t>
  </si>
  <si>
    <t>Hordeum vulgare L.</t>
  </si>
  <si>
    <t>Cebada 2 carreras</t>
  </si>
  <si>
    <t>Grain</t>
  </si>
  <si>
    <t>86,5</t>
  </si>
  <si>
    <t>2,2</t>
  </si>
  <si>
    <t>2,3</t>
  </si>
  <si>
    <t>0,49</t>
  </si>
  <si>
    <t>Straw</t>
  </si>
  <si>
    <t>90,5</t>
  </si>
  <si>
    <t>0,58</t>
  </si>
  <si>
    <t>0,88</t>
  </si>
  <si>
    <t>Barley 6 row</t>
  </si>
  <si>
    <t>Cebada 6 carreras</t>
  </si>
  <si>
    <t>88,5</t>
  </si>
  <si>
    <t>1,8</t>
  </si>
  <si>
    <t>1,6</t>
  </si>
  <si>
    <t>0,42</t>
  </si>
  <si>
    <t>0,54</t>
  </si>
  <si>
    <t>0,1</t>
  </si>
  <si>
    <t>Legumes</t>
  </si>
  <si>
    <t>Bean (dry)</t>
  </si>
  <si>
    <t>Phaseolus vulgaris L.</t>
  </si>
  <si>
    <t>Frijol (seco), judía, alubia</t>
  </si>
  <si>
    <t>Seed</t>
  </si>
  <si>
    <t>3,5</t>
  </si>
  <si>
    <t>4,5</t>
  </si>
  <si>
    <t>2,7</t>
  </si>
  <si>
    <t>1,4</t>
  </si>
  <si>
    <t>Bean (green)</t>
  </si>
  <si>
    <t>Frijol (verde)</t>
  </si>
  <si>
    <t>Pods</t>
  </si>
  <si>
    <t>3,7</t>
  </si>
  <si>
    <t>Beet</t>
  </si>
  <si>
    <t>Beta vulgaris L.</t>
  </si>
  <si>
    <t>Remolacha</t>
  </si>
  <si>
    <t>Root</t>
  </si>
  <si>
    <t>2,15</t>
  </si>
  <si>
    <t>0,32</t>
  </si>
  <si>
    <t>2,46</t>
  </si>
  <si>
    <t>0,44</t>
  </si>
  <si>
    <t>6,26</t>
  </si>
  <si>
    <t>Black eyed pea</t>
  </si>
  <si>
    <t>Vigna sinensis Endl</t>
  </si>
  <si>
    <t>Guisante de ojos negros</t>
  </si>
  <si>
    <t>4,1</t>
  </si>
  <si>
    <t>0,52</t>
  </si>
  <si>
    <t>1,25</t>
  </si>
  <si>
    <t>0,28</t>
  </si>
  <si>
    <t>1,55</t>
  </si>
  <si>
    <t xml:space="preserve">Bluegrass-Kentucky (hay) </t>
  </si>
  <si>
    <t>Poa pratensis L.</t>
  </si>
  <si>
    <t>Bluegrass-Kentucky (heno) (espiguilla, pasto azul de Kentucky, poa de los prados, grama de prado, poa común o zacate poa)</t>
  </si>
  <si>
    <t>89,1</t>
  </si>
  <si>
    <t>1,92</t>
  </si>
  <si>
    <t>Broccoli</t>
  </si>
  <si>
    <t>Brassica oleracea var. italica</t>
  </si>
  <si>
    <t>Brócoli</t>
  </si>
  <si>
    <t>3,35</t>
  </si>
  <si>
    <t xml:space="preserve">Bromegrass (hay) </t>
  </si>
  <si>
    <t>Bromus sp</t>
  </si>
  <si>
    <t>Bromegrass (heno)</t>
  </si>
  <si>
    <t>91,1</t>
  </si>
  <si>
    <t>1,53</t>
  </si>
  <si>
    <t>0,16</t>
  </si>
  <si>
    <t>1,64</t>
  </si>
  <si>
    <t>Brussels sprouts</t>
  </si>
  <si>
    <t>Brassica oleracea var. gemmifera</t>
  </si>
  <si>
    <t>Coles de Bruselas</t>
  </si>
  <si>
    <t>Curd</t>
  </si>
  <si>
    <t>4,9</t>
  </si>
  <si>
    <t>5,1</t>
  </si>
  <si>
    <t>3,25</t>
  </si>
  <si>
    <t>Buckwheat</t>
  </si>
  <si>
    <t>Fagopyrum esculentum L.</t>
  </si>
  <si>
    <t>Alforfón</t>
  </si>
  <si>
    <t>94,85</t>
  </si>
  <si>
    <t>2,96</t>
  </si>
  <si>
    <t>0,46</t>
  </si>
  <si>
    <t>Cabbage</t>
  </si>
  <si>
    <t>Brassica oleracea var. capitata</t>
  </si>
  <si>
    <t>Repollo, col</t>
  </si>
  <si>
    <t>Cabagge</t>
  </si>
  <si>
    <t>2,73</t>
  </si>
  <si>
    <t xml:space="preserve">Canarygrass-Reed (hay) </t>
  </si>
  <si>
    <t>Phalaris arundinacea</t>
  </si>
  <si>
    <t>Canarygrass-Reed (heno)</t>
  </si>
  <si>
    <t>2,99</t>
  </si>
  <si>
    <t>Carrot</t>
  </si>
  <si>
    <t>Daucutus carota</t>
  </si>
  <si>
    <t>Zanahoria</t>
  </si>
  <si>
    <t>0,33</t>
  </si>
  <si>
    <t>2,43</t>
  </si>
  <si>
    <t>Leaves</t>
  </si>
  <si>
    <t>2,35</t>
  </si>
  <si>
    <t>0,19</t>
  </si>
  <si>
    <t>1,88</t>
  </si>
  <si>
    <t>Roots, tubers &amp; bulbs</t>
  </si>
  <si>
    <t>Cassava</t>
  </si>
  <si>
    <t>Manihot esculenta</t>
  </si>
  <si>
    <t>Mandioca</t>
  </si>
  <si>
    <t>68,8</t>
  </si>
  <si>
    <t>0,12</t>
  </si>
  <si>
    <t>0,77</t>
  </si>
  <si>
    <t>Sugar, oil &amp; fiber crops</t>
  </si>
  <si>
    <t>Castor bean</t>
  </si>
  <si>
    <t>Ricinus communis L.</t>
  </si>
  <si>
    <t>Ricino</t>
  </si>
  <si>
    <t>Cauliflower</t>
  </si>
  <si>
    <t>Brassica oleracea var. botrytis</t>
  </si>
  <si>
    <t>Coliflor</t>
  </si>
  <si>
    <t>0,66</t>
  </si>
  <si>
    <t>3,21</t>
  </si>
  <si>
    <t>Celery</t>
  </si>
  <si>
    <t>Apium graveolens</t>
  </si>
  <si>
    <t>Apio</t>
  </si>
  <si>
    <t>4,8</t>
  </si>
  <si>
    <t>Cherimoya</t>
  </si>
  <si>
    <t>Annona cherimola</t>
  </si>
  <si>
    <t>Chirimoya</t>
  </si>
  <si>
    <t>0,9</t>
  </si>
  <si>
    <t>0,78</t>
  </si>
  <si>
    <t>1,17</t>
  </si>
  <si>
    <t>Cherry</t>
  </si>
  <si>
    <t>Prunus avium</t>
  </si>
  <si>
    <t>Cereza</t>
  </si>
  <si>
    <t>1,07</t>
  </si>
  <si>
    <t>0,01</t>
  </si>
  <si>
    <t>1,16</t>
  </si>
  <si>
    <t>Chickpea (desi)</t>
  </si>
  <si>
    <t>Cicer arietinum L.</t>
  </si>
  <si>
    <t>Garbanzo (desi)</t>
  </si>
  <si>
    <t>Seeds</t>
  </si>
  <si>
    <t>89,5</t>
  </si>
  <si>
    <t>0,4</t>
  </si>
  <si>
    <t>0,85</t>
  </si>
  <si>
    <t>Chickpea (kabuli)</t>
  </si>
  <si>
    <t>Garbanzo (kabuli)</t>
  </si>
  <si>
    <t>Chicory</t>
  </si>
  <si>
    <t>Cichorium intybus</t>
  </si>
  <si>
    <t>Achicoria</t>
  </si>
  <si>
    <t>3,2</t>
  </si>
  <si>
    <t>0,23</t>
  </si>
  <si>
    <t>Chinese yam</t>
  </si>
  <si>
    <t>Dioscorea opposita</t>
  </si>
  <si>
    <t>Ñame chino</t>
  </si>
  <si>
    <t>Tuber</t>
  </si>
  <si>
    <t>59,3</t>
  </si>
  <si>
    <t>1,39</t>
  </si>
  <si>
    <t xml:space="preserve">Clover-Alsike (hay) </t>
  </si>
  <si>
    <t>Trifolium hybridum L.</t>
  </si>
  <si>
    <t>Trébol similar (heno)</t>
  </si>
  <si>
    <t>Perennial</t>
  </si>
  <si>
    <t>87,4</t>
  </si>
  <si>
    <t>2,27</t>
  </si>
  <si>
    <t>2,48</t>
  </si>
  <si>
    <t xml:space="preserve">Clover-Crimson (hay) </t>
  </si>
  <si>
    <t>Trifolium incarnatum L.</t>
  </si>
  <si>
    <t>Trébol carmesí (heno)</t>
  </si>
  <si>
    <t>88,3</t>
  </si>
  <si>
    <t>2,65</t>
  </si>
  <si>
    <t>0,22</t>
  </si>
  <si>
    <t>2,76</t>
  </si>
  <si>
    <t xml:space="preserve">Clover-Red (hay) </t>
  </si>
  <si>
    <t>Trifolium pratense L.</t>
  </si>
  <si>
    <t>Trébol rojo (heno)</t>
  </si>
  <si>
    <t>86,1</t>
  </si>
  <si>
    <t>2,51</t>
  </si>
  <si>
    <t>1,89</t>
  </si>
  <si>
    <t xml:space="preserve">Clover-White (hay) </t>
  </si>
  <si>
    <t>Trifolium repens L.</t>
  </si>
  <si>
    <t>Clover-White (heno)</t>
  </si>
  <si>
    <t>90,3</t>
  </si>
  <si>
    <t>3,09</t>
  </si>
  <si>
    <t xml:space="preserve">Clover-White-Ladino (hay) </t>
  </si>
  <si>
    <t>Trébol-Blanco-Ladino (heno)</t>
  </si>
  <si>
    <t>89,2</t>
  </si>
  <si>
    <t>3,32</t>
  </si>
  <si>
    <t>Corn</t>
  </si>
  <si>
    <t>Zea mays L.</t>
  </si>
  <si>
    <t>Maíz</t>
  </si>
  <si>
    <t>1,35</t>
  </si>
  <si>
    <t>1,75</t>
  </si>
  <si>
    <t>0,34</t>
  </si>
  <si>
    <t>Stover</t>
  </si>
  <si>
    <t>0,97</t>
  </si>
  <si>
    <t>Cotton</t>
  </si>
  <si>
    <t>Gossypium L.</t>
  </si>
  <si>
    <t>Algodón</t>
  </si>
  <si>
    <t>2,32</t>
  </si>
  <si>
    <t>2,75</t>
  </si>
  <si>
    <t>2,53</t>
  </si>
  <si>
    <t>0,41</t>
  </si>
  <si>
    <t>92,5</t>
  </si>
  <si>
    <t>0,98</t>
  </si>
  <si>
    <t>Cucumber</t>
  </si>
  <si>
    <t>Cucumis sativus</t>
  </si>
  <si>
    <t>Pepino</t>
  </si>
  <si>
    <t>0,53</t>
  </si>
  <si>
    <t>4,25</t>
  </si>
  <si>
    <t>Date palm</t>
  </si>
  <si>
    <t>Phoenix dactylifera</t>
  </si>
  <si>
    <t>Palmera datilera</t>
  </si>
  <si>
    <t>0,84</t>
  </si>
  <si>
    <t>Eggplant</t>
  </si>
  <si>
    <t>Solanum melongena</t>
  </si>
  <si>
    <t>Berenjena</t>
  </si>
  <si>
    <t>Fruits</t>
  </si>
  <si>
    <t>0,31</t>
  </si>
  <si>
    <t>Endive</t>
  </si>
  <si>
    <t>Cichorium endivia</t>
  </si>
  <si>
    <t>Endibia</t>
  </si>
  <si>
    <t>4,15</t>
  </si>
  <si>
    <t>Faba bean dry</t>
  </si>
  <si>
    <t>Vicia faba L</t>
  </si>
  <si>
    <t>Haba seca</t>
  </si>
  <si>
    <t>0,47</t>
  </si>
  <si>
    <t>0,8</t>
  </si>
  <si>
    <t>Faba bean green</t>
  </si>
  <si>
    <t>Vicia faba L.</t>
  </si>
  <si>
    <t>Haba verde</t>
  </si>
  <si>
    <t>4,6</t>
  </si>
  <si>
    <t>4,7</t>
  </si>
  <si>
    <t>0,5</t>
  </si>
  <si>
    <t>1,32</t>
  </si>
  <si>
    <t xml:space="preserve">Fescue (hay) </t>
  </si>
  <si>
    <t>Festuca o Lolium sp.</t>
  </si>
  <si>
    <t>Festuca (heno)</t>
  </si>
  <si>
    <t>1,51</t>
  </si>
  <si>
    <t xml:space="preserve">Fescue-Meadow (hay) </t>
  </si>
  <si>
    <t>Lolium pratense</t>
  </si>
  <si>
    <t>Festuca-Pradera (heno)</t>
  </si>
  <si>
    <t>88,4</t>
  </si>
  <si>
    <t>1,19</t>
  </si>
  <si>
    <t xml:space="preserve">Fescue-Tall (hay) </t>
  </si>
  <si>
    <t>Lolium arundinaceum</t>
  </si>
  <si>
    <t>Festuca-Alto (heno)</t>
  </si>
  <si>
    <t>91,6</t>
  </si>
  <si>
    <t>Fig</t>
  </si>
  <si>
    <t>Ficus carica</t>
  </si>
  <si>
    <t>Higo</t>
  </si>
  <si>
    <t>0,57</t>
  </si>
  <si>
    <t>0,07</t>
  </si>
  <si>
    <t>1,11</t>
  </si>
  <si>
    <t>Flax</t>
  </si>
  <si>
    <t>Linum usitatissimum L.</t>
  </si>
  <si>
    <t>Linaza</t>
  </si>
  <si>
    <t>93,5</t>
  </si>
  <si>
    <t>1,06</t>
  </si>
  <si>
    <t>1,74</t>
  </si>
  <si>
    <t>Garlic</t>
  </si>
  <si>
    <t>Allium sativum L.</t>
  </si>
  <si>
    <t>Ajo</t>
  </si>
  <si>
    <t>Heads</t>
  </si>
  <si>
    <t>1,38</t>
  </si>
  <si>
    <t>0,2</t>
  </si>
  <si>
    <t>Grape (table)</t>
  </si>
  <si>
    <t>Vitis vinifera</t>
  </si>
  <si>
    <t>Uva de mesa</t>
  </si>
  <si>
    <t>1,02</t>
  </si>
  <si>
    <t>Grape (wine)</t>
  </si>
  <si>
    <t>Uva (vino)</t>
  </si>
  <si>
    <t>0,95</t>
  </si>
  <si>
    <t>Grapefruit</t>
  </si>
  <si>
    <t>Citrus paradisi</t>
  </si>
  <si>
    <t>Pomelo</t>
  </si>
  <si>
    <t>0,11</t>
  </si>
  <si>
    <t>Grass (hay)</t>
  </si>
  <si>
    <t>Poaceae</t>
  </si>
  <si>
    <t>Hierba (heno)</t>
  </si>
  <si>
    <t>1,52</t>
  </si>
  <si>
    <t>1,45</t>
  </si>
  <si>
    <t>Grass (silage)</t>
  </si>
  <si>
    <t>Hierba (ensilaje)</t>
  </si>
  <si>
    <t>24,9</t>
  </si>
  <si>
    <t>1,84</t>
  </si>
  <si>
    <t>Hazel nut</t>
  </si>
  <si>
    <t>Corylus avellana</t>
  </si>
  <si>
    <t>Avellana</t>
  </si>
  <si>
    <t>94,5</t>
  </si>
  <si>
    <t>Kiwi</t>
  </si>
  <si>
    <t>Actinidia spp</t>
  </si>
  <si>
    <t>0,18</t>
  </si>
  <si>
    <t>1,43</t>
  </si>
  <si>
    <t>Leek</t>
  </si>
  <si>
    <t>Allium porrum L.</t>
  </si>
  <si>
    <t>Puerro</t>
  </si>
  <si>
    <t>Bulb</t>
  </si>
  <si>
    <t>0,21</t>
  </si>
  <si>
    <t>Lemon</t>
  </si>
  <si>
    <t>Citrus limon</t>
  </si>
  <si>
    <t>Limón</t>
  </si>
  <si>
    <t>1,15</t>
  </si>
  <si>
    <t>Lentil</t>
  </si>
  <si>
    <t>Lens esculenta Moench</t>
  </si>
  <si>
    <t>Lenteja</t>
  </si>
  <si>
    <t>0,43</t>
  </si>
  <si>
    <t>0,86</t>
  </si>
  <si>
    <t>Lettuce Iceberg</t>
  </si>
  <si>
    <t>Lactuca sativa L.</t>
  </si>
  <si>
    <t>Lechuga iceberg</t>
  </si>
  <si>
    <t>2,55</t>
  </si>
  <si>
    <t>Lettuce Roman</t>
  </si>
  <si>
    <t>Lechuga romana</t>
  </si>
  <si>
    <t>4,27</t>
  </si>
  <si>
    <t>6,67</t>
  </si>
  <si>
    <t>Maize</t>
  </si>
  <si>
    <t>Silage</t>
  </si>
  <si>
    <t>Mango</t>
  </si>
  <si>
    <t>Mangifera indica</t>
  </si>
  <si>
    <t>Melon</t>
  </si>
  <si>
    <t>Cucumis melo L.</t>
  </si>
  <si>
    <t>Melón</t>
  </si>
  <si>
    <t>2,58</t>
  </si>
  <si>
    <t>Millet (finger)</t>
  </si>
  <si>
    <t>Setaria italica L.</t>
  </si>
  <si>
    <t>Mijo (dedo)</t>
  </si>
  <si>
    <t>0,67</t>
  </si>
  <si>
    <t>Millet-Foxtail (silage)</t>
  </si>
  <si>
    <t>Setaria italica</t>
  </si>
  <si>
    <t>Mijo-cola de zorra (ensilaje)</t>
  </si>
  <si>
    <t>27,6</t>
  </si>
  <si>
    <t>1,59</t>
  </si>
  <si>
    <t>1,94</t>
  </si>
  <si>
    <t>Millet (pearl)</t>
  </si>
  <si>
    <t>Pennisetum glaucum L.</t>
  </si>
  <si>
    <t>Mijo (perla)</t>
  </si>
  <si>
    <t>0,38</t>
  </si>
  <si>
    <t>0,39</t>
  </si>
  <si>
    <t>91,5</t>
  </si>
  <si>
    <t>0,04</t>
  </si>
  <si>
    <t>Millet (proso)</t>
  </si>
  <si>
    <t>Panicum miliaceum L.</t>
  </si>
  <si>
    <t>Mijo (proso)</t>
  </si>
  <si>
    <t>0,48</t>
  </si>
  <si>
    <t>Millet-Pearl (silage)</t>
  </si>
  <si>
    <t>Pennisetum glaucum</t>
  </si>
  <si>
    <t>Mijo-Perla (ensilaje)</t>
  </si>
  <si>
    <t>21,6</t>
  </si>
  <si>
    <t>1,63</t>
  </si>
  <si>
    <t>Musk melon</t>
  </si>
  <si>
    <t>Melón almizclero</t>
  </si>
  <si>
    <t>0,36</t>
  </si>
  <si>
    <t>3,16</t>
  </si>
  <si>
    <t>Oat</t>
  </si>
  <si>
    <t>Avena sativa L.</t>
  </si>
  <si>
    <t>Avena</t>
  </si>
  <si>
    <t>Oat (hay)</t>
  </si>
  <si>
    <t>Avena (heno)</t>
  </si>
  <si>
    <t>89,8</t>
  </si>
  <si>
    <t>1,37</t>
  </si>
  <si>
    <t>0,24</t>
  </si>
  <si>
    <t>1,26</t>
  </si>
  <si>
    <t>Oil palm</t>
  </si>
  <si>
    <t>Elaeis guineensis</t>
  </si>
  <si>
    <t>Aceite de palma</t>
  </si>
  <si>
    <t>Fruit bunch</t>
  </si>
  <si>
    <t>0,09</t>
  </si>
  <si>
    <t>Olive</t>
  </si>
  <si>
    <t>Olea europaea</t>
  </si>
  <si>
    <t>Aceituna</t>
  </si>
  <si>
    <t>0,3</t>
  </si>
  <si>
    <t>Onion</t>
  </si>
  <si>
    <t>Allium cepa L.</t>
  </si>
  <si>
    <t>Cebolla</t>
  </si>
  <si>
    <t>1,9</t>
  </si>
  <si>
    <t>Shoot</t>
  </si>
  <si>
    <t>Opium poppy</t>
  </si>
  <si>
    <t>Papaver somniferum L.</t>
  </si>
  <si>
    <t>Adormidera</t>
  </si>
  <si>
    <t>Capsule</t>
  </si>
  <si>
    <t>87,5</t>
  </si>
  <si>
    <t>Leaves þstems</t>
  </si>
  <si>
    <t>Orange</t>
  </si>
  <si>
    <t>Citrus sinensis</t>
  </si>
  <si>
    <t>Naranja</t>
  </si>
  <si>
    <t xml:space="preserve">Orchardgrass (green chop) </t>
  </si>
  <si>
    <t>Dactylis glomerata L.</t>
  </si>
  <si>
    <t>Hierba huerta (chuleta verde)</t>
  </si>
  <si>
    <t>25,9</t>
  </si>
  <si>
    <t>2,37</t>
  </si>
  <si>
    <t>2,64</t>
  </si>
  <si>
    <t>Orchardgrass (hay)</t>
  </si>
  <si>
    <t>Orchardgrass (heno)</t>
  </si>
  <si>
    <t>1,71</t>
  </si>
  <si>
    <t>Parsley</t>
  </si>
  <si>
    <t>Petroselinum crispum (Mill.) Fuss</t>
  </si>
  <si>
    <t>Perejil</t>
  </si>
  <si>
    <t>Pea</t>
  </si>
  <si>
    <t>Pisum sativum L.</t>
  </si>
  <si>
    <t>Guisante</t>
  </si>
  <si>
    <t>Pea (green)</t>
  </si>
  <si>
    <t>Guisante (verde)</t>
  </si>
  <si>
    <t>12,5</t>
  </si>
  <si>
    <t>Peach</t>
  </si>
  <si>
    <t>Prunus persica</t>
  </si>
  <si>
    <t>Melocotón</t>
  </si>
  <si>
    <t>Peanut (pods)</t>
  </si>
  <si>
    <t>Arachis hypogaea L.</t>
  </si>
  <si>
    <t xml:space="preserve">Maní, cacahuete </t>
  </si>
  <si>
    <t>0,56</t>
  </si>
  <si>
    <t>Peanut (seeds)</t>
  </si>
  <si>
    <t>Maní, cacahuete</t>
  </si>
  <si>
    <t>4,85</t>
  </si>
  <si>
    <t>Pear</t>
  </si>
  <si>
    <t>Pyrus communis</t>
  </si>
  <si>
    <t>Pera</t>
  </si>
  <si>
    <t>Pepper green</t>
  </si>
  <si>
    <t>Capsicum annuum L.</t>
  </si>
  <si>
    <t>Pimienta verde</t>
  </si>
  <si>
    <t>10,5</t>
  </si>
  <si>
    <t>Pepper red</t>
  </si>
  <si>
    <t>Pimienta roja</t>
  </si>
  <si>
    <t>Persimmon</t>
  </si>
  <si>
    <t>Dyospiros kaki</t>
  </si>
  <si>
    <t>Caqui</t>
  </si>
  <si>
    <t>0,55</t>
  </si>
  <si>
    <t>1,01</t>
  </si>
  <si>
    <t>Plum</t>
  </si>
  <si>
    <t>Prunus domestica</t>
  </si>
  <si>
    <t>Ciruela</t>
  </si>
  <si>
    <t>Pomegranate</t>
  </si>
  <si>
    <t>Punica granatum</t>
  </si>
  <si>
    <t>Granada</t>
  </si>
  <si>
    <t>1,04</t>
  </si>
  <si>
    <t>Potato</t>
  </si>
  <si>
    <t>Solanum tuberosum</t>
  </si>
  <si>
    <t>Patata</t>
  </si>
  <si>
    <t>23,5</t>
  </si>
  <si>
    <t>3,95</t>
  </si>
  <si>
    <t>Pumpkin</t>
  </si>
  <si>
    <t>Cucurbita spp.</t>
  </si>
  <si>
    <t>Calabaza</t>
  </si>
  <si>
    <t>2,78</t>
  </si>
  <si>
    <t>Quince</t>
  </si>
  <si>
    <t>Cydonia oblonga</t>
  </si>
  <si>
    <t>Membrillo</t>
  </si>
  <si>
    <t>Quinoa</t>
  </si>
  <si>
    <t>Chenopodium quinoa L.</t>
  </si>
  <si>
    <t>Quinua</t>
  </si>
  <si>
    <t>1,12</t>
  </si>
  <si>
    <t>Radish</t>
  </si>
  <si>
    <t>Raphanus sativus L.</t>
  </si>
  <si>
    <t>Rábano</t>
  </si>
  <si>
    <t>3,17</t>
  </si>
  <si>
    <t>Rapeseed</t>
  </si>
  <si>
    <t>Brassica napus L.</t>
  </si>
  <si>
    <t>Colza</t>
  </si>
  <si>
    <t>3,9</t>
  </si>
  <si>
    <t>0,62</t>
  </si>
  <si>
    <t>82,5</t>
  </si>
  <si>
    <t>Rice</t>
  </si>
  <si>
    <t>Oryza sativa L.</t>
  </si>
  <si>
    <t>Arroz</t>
  </si>
  <si>
    <t>1,33</t>
  </si>
  <si>
    <t>0,29</t>
  </si>
  <si>
    <t>Rice (milled)</t>
  </si>
  <si>
    <t>Arroz (molido)</t>
  </si>
  <si>
    <t>1,05</t>
  </si>
  <si>
    <t>Rye</t>
  </si>
  <si>
    <t>Secale cereale L.</t>
  </si>
  <si>
    <t>Centeno</t>
  </si>
  <si>
    <t>Rye (hay)</t>
  </si>
  <si>
    <t>Centeno (heno)</t>
  </si>
  <si>
    <t>92,6</t>
  </si>
  <si>
    <t>1,21</t>
  </si>
  <si>
    <t>1,24</t>
  </si>
  <si>
    <t xml:space="preserve">Ryegrass-Perennial (hay) </t>
  </si>
  <si>
    <t>Lolium perenne ssp. perenne</t>
  </si>
  <si>
    <t>Césped-Perenne (heno)</t>
  </si>
  <si>
    <t>87,3</t>
  </si>
  <si>
    <t>1,49</t>
  </si>
  <si>
    <t>1,42</t>
  </si>
  <si>
    <t>Safflower</t>
  </si>
  <si>
    <t>Carthamus tinctorius L.</t>
  </si>
  <si>
    <t>Cártamo</t>
  </si>
  <si>
    <t>Sorghum Grain</t>
  </si>
  <si>
    <t>Sorghum bicolor L.</t>
  </si>
  <si>
    <t>Sorgo</t>
  </si>
  <si>
    <t>0,13</t>
  </si>
  <si>
    <t>0,73</t>
  </si>
  <si>
    <t>Sorghum Green</t>
  </si>
  <si>
    <t>Green</t>
  </si>
  <si>
    <t>Sorghum Silage</t>
  </si>
  <si>
    <t>Soybean</t>
  </si>
  <si>
    <t>Glycine soja L.</t>
  </si>
  <si>
    <t>Soja</t>
  </si>
  <si>
    <t>6,1</t>
  </si>
  <si>
    <t>6,9</t>
  </si>
  <si>
    <t>6,5</t>
  </si>
  <si>
    <t>0,06</t>
  </si>
  <si>
    <t>Spinach</t>
  </si>
  <si>
    <t>Spinacia oleracea</t>
  </si>
  <si>
    <t>Espinacas</t>
  </si>
  <si>
    <t>5,3</t>
  </si>
  <si>
    <t>5,2</t>
  </si>
  <si>
    <t>5,66</t>
  </si>
  <si>
    <t>Squash (immature)</t>
  </si>
  <si>
    <t>Cucurbita pepo L.</t>
  </si>
  <si>
    <t>Calabaza (inmadura)</t>
  </si>
  <si>
    <t>3,84</t>
  </si>
  <si>
    <t>Squash (mature)</t>
  </si>
  <si>
    <t>Calabaza (madura)</t>
  </si>
  <si>
    <t>0,91</t>
  </si>
  <si>
    <t>Strawberry</t>
  </si>
  <si>
    <t>Fragaria L.</t>
  </si>
  <si>
    <t>Fresa</t>
  </si>
  <si>
    <t>Sunflower (seed)</t>
  </si>
  <si>
    <t>Helianthus annuus L.</t>
  </si>
  <si>
    <t>Girasol (semilla)</t>
  </si>
  <si>
    <t>0,63</t>
  </si>
  <si>
    <t>0,72</t>
  </si>
  <si>
    <t>2,52</t>
  </si>
  <si>
    <t>Sugar beet root w/o crown</t>
  </si>
  <si>
    <t>Beta vulgaris var. saccharífera L.</t>
  </si>
  <si>
    <t>Remolacha azucarera</t>
  </si>
  <si>
    <t>Root w/o crown</t>
  </si>
  <si>
    <t>5,8</t>
  </si>
  <si>
    <t>Sugar beet root with crown</t>
  </si>
  <si>
    <t>Beta vulgaris var. saccharífera L</t>
  </si>
  <si>
    <t>Root with crown</t>
  </si>
  <si>
    <t>Sugarcane</t>
  </si>
  <si>
    <t>Saccharum officinarum L.</t>
  </si>
  <si>
    <t>Caña de azúcar</t>
  </si>
  <si>
    <t>Tops</t>
  </si>
  <si>
    <t>Sunflower (oil)</t>
  </si>
  <si>
    <t>Girasol (aceite)</t>
  </si>
  <si>
    <t>2,95</t>
  </si>
  <si>
    <t>Sweet corn dry</t>
  </si>
  <si>
    <t>Maíz dulce seco</t>
  </si>
  <si>
    <t>Sweet corn fresh</t>
  </si>
  <si>
    <t>Maíz dulce fresco</t>
  </si>
  <si>
    <t>Sweet potato</t>
  </si>
  <si>
    <t>Ipomoea batatas</t>
  </si>
  <si>
    <t>Batata</t>
  </si>
  <si>
    <t>1,22</t>
  </si>
  <si>
    <t>Sweetclover (hay)</t>
  </si>
  <si>
    <t>Melilotus sp.</t>
  </si>
  <si>
    <t>Trébol dulce (heno)</t>
  </si>
  <si>
    <t>89,6</t>
  </si>
  <si>
    <t>Timothy (hay)</t>
  </si>
  <si>
    <t>Phleum pratense</t>
  </si>
  <si>
    <t>Timothy (heno)</t>
  </si>
  <si>
    <t>0,17</t>
  </si>
  <si>
    <t>Tobacco Burley</t>
  </si>
  <si>
    <t>Nicotiana Tabacum Brasiliensis L.</t>
  </si>
  <si>
    <t>Tabaco Burley</t>
  </si>
  <si>
    <t>Leaf + stem</t>
  </si>
  <si>
    <t>Annual o pluriannual</t>
  </si>
  <si>
    <t>3,86</t>
  </si>
  <si>
    <t>Stalk</t>
  </si>
  <si>
    <t>Tobacco Flue</t>
  </si>
  <si>
    <t>Tabaco Flue</t>
  </si>
  <si>
    <t>0,27</t>
  </si>
  <si>
    <t>Tomato</t>
  </si>
  <si>
    <t>Lycopersicon esculentum</t>
  </si>
  <si>
    <t>Tomate</t>
  </si>
  <si>
    <t>4,28</t>
  </si>
  <si>
    <t>Trefoil-Birdsfoot (hay)</t>
  </si>
  <si>
    <t>Lotus corniculatus</t>
  </si>
  <si>
    <t>Trébol-Pie de pájaro (heno)</t>
  </si>
  <si>
    <t>Triticale</t>
  </si>
  <si>
    <t>x Triticosecale Wittmack</t>
  </si>
  <si>
    <t>2,45</t>
  </si>
  <si>
    <t>0,03</t>
  </si>
  <si>
    <t xml:space="preserve">Turnip (green chop) </t>
  </si>
  <si>
    <t>Brassica rapa var. rapa</t>
  </si>
  <si>
    <t>Nabo (chuleta verde)</t>
  </si>
  <si>
    <t>13,5</t>
  </si>
  <si>
    <t>3,02</t>
  </si>
  <si>
    <t>Vetch (green) flowering</t>
  </si>
  <si>
    <t>Vicia sativa L.</t>
  </si>
  <si>
    <t>Arveja (verde) floración</t>
  </si>
  <si>
    <t>Vetch-Hairy (hay)</t>
  </si>
  <si>
    <t>Vicia villosa L.</t>
  </si>
  <si>
    <t>Arveja peluda (heno)</t>
  </si>
  <si>
    <t>87,9</t>
  </si>
  <si>
    <t>3,68</t>
  </si>
  <si>
    <t>2,23</t>
  </si>
  <si>
    <t>Vetch (hay) vegetative</t>
  </si>
  <si>
    <t>Vicia (heno)</t>
  </si>
  <si>
    <t>87,8</t>
  </si>
  <si>
    <t>2,24</t>
  </si>
  <si>
    <t>Vetch (hay) flowering</t>
  </si>
  <si>
    <t>Floración de veza (heno)</t>
  </si>
  <si>
    <t>2,9</t>
  </si>
  <si>
    <t>Walnut</t>
  </si>
  <si>
    <t>Juglans regia</t>
  </si>
  <si>
    <t>Nuez</t>
  </si>
  <si>
    <t>Watermelon</t>
  </si>
  <si>
    <t>Citrullus lanatus</t>
  </si>
  <si>
    <t>Sandía</t>
  </si>
  <si>
    <t>Wheat-Bread-Hard type</t>
  </si>
  <si>
    <t>Triticum aestivum L.</t>
  </si>
  <si>
    <t>Trigo blando</t>
  </si>
  <si>
    <t>1,85</t>
  </si>
  <si>
    <t>90,4</t>
  </si>
  <si>
    <t>0,64</t>
  </si>
  <si>
    <t>Wheat-Bread-Soft type</t>
  </si>
  <si>
    <t>Trigo panificable</t>
  </si>
  <si>
    <t>Wheat (durum)</t>
  </si>
  <si>
    <t>Triticum durum L.</t>
  </si>
  <si>
    <t>Trigo duro</t>
  </si>
  <si>
    <t>2,05</t>
  </si>
  <si>
    <t>Wheatgrass (hay)</t>
  </si>
  <si>
    <t>T. usneoides L.</t>
  </si>
  <si>
    <t>Wheatgrass (heno)</t>
  </si>
  <si>
    <t>1,34</t>
  </si>
  <si>
    <t>White yam</t>
  </si>
  <si>
    <t>Dioscorea rotundata</t>
  </si>
  <si>
    <t>Ñame blanco</t>
  </si>
  <si>
    <t>63,1</t>
  </si>
  <si>
    <t>0,94</t>
  </si>
  <si>
    <t>Yellow yam</t>
  </si>
  <si>
    <t>Dioscorea cayenensis</t>
  </si>
  <si>
    <t>Ñame amarillo</t>
  </si>
  <si>
    <t>58,3</t>
  </si>
  <si>
    <t>0,99</t>
  </si>
  <si>
    <t>Legend</t>
  </si>
  <si>
    <t>User input</t>
  </si>
  <si>
    <t>Associated or linked data</t>
  </si>
  <si>
    <t>Output</t>
  </si>
  <si>
    <t>Estimate/calculation</t>
  </si>
  <si>
    <t>Check</t>
  </si>
  <si>
    <t>Associated cell editable</t>
  </si>
  <si>
    <t>type_irrigation</t>
  </si>
  <si>
    <t>factor_irrigation</t>
  </si>
  <si>
    <t>Nc_irrigation</t>
  </si>
  <si>
    <t>Type of irrigated system</t>
  </si>
  <si>
    <t>Factor of irrigation water. Factor usado en CARM model para calcular el N aportado en el agua de riego, que depende del tipo de riego</t>
  </si>
  <si>
    <t>Dose of irrigation water. Dosis de riego que utiliza el CARM para calcular el N aportado por el agua de riego</t>
  </si>
  <si>
    <r>
      <rPr>
        <sz val="11"/>
        <color rgb="FF000000"/>
        <rFont val="Calibri"/>
        <family val="2"/>
      </rPr>
      <t xml:space="preserve">Irrigation water NO3 concentration. </t>
    </r>
    <r>
      <rPr>
        <b/>
        <sz val="11"/>
        <color rgb="FF000000"/>
        <rFont val="Calibri"/>
        <family val="2"/>
      </rPr>
      <t>User input</t>
    </r>
  </si>
  <si>
    <t>N concentration in water of irrigation. Output de N por la aplicación de agua de riego. Proceso de irrigation water</t>
  </si>
  <si>
    <r>
      <rPr>
        <sz val="11"/>
        <color theme="1"/>
        <rFont val="Calibri"/>
        <family val="2"/>
      </rPr>
      <t>® Nc_irrigation</t>
    </r>
    <r>
      <rPr>
        <sz val="7"/>
        <color theme="1"/>
        <rFont val="Calibri"/>
        <family val="2"/>
      </rPr>
      <t xml:space="preserve">. </t>
    </r>
    <r>
      <rPr>
        <sz val="11"/>
        <color theme="1"/>
        <rFont val="Calibri"/>
        <family val="2"/>
      </rPr>
      <t>Inputs for irrigation water (kg N/ha).</t>
    </r>
  </si>
  <si>
    <r>
      <rPr>
        <sz val="11"/>
        <color theme="1"/>
        <rFont val="Calibri"/>
        <family val="2"/>
      </rPr>
      <t>®</t>
    </r>
    <r>
      <rPr>
        <sz val="7"/>
        <color theme="1"/>
        <rFont val="Calibri"/>
        <family val="2"/>
      </rPr>
      <t xml:space="preserve">    </t>
    </r>
    <r>
      <rPr>
        <i/>
        <sz val="11"/>
        <color theme="1"/>
        <rFont val="Calibri"/>
        <family val="2"/>
      </rPr>
      <t>factor_irrigation</t>
    </r>
    <r>
      <rPr>
        <sz val="11"/>
        <color theme="1"/>
        <rFont val="Calibri"/>
        <family val="2"/>
      </rPr>
      <t xml:space="preserve">. Irrigation factor: </t>
    </r>
  </si>
  <si>
    <t>type_irrigated_trickle</t>
  </si>
  <si>
    <t>type_irrigated_sprinkler</t>
  </si>
  <si>
    <t>Sprinkler</t>
  </si>
  <si>
    <t>type_irrigated_surface</t>
  </si>
  <si>
    <t>Surface</t>
  </si>
  <si>
    <r>
      <rPr>
        <sz val="11"/>
        <color theme="1"/>
        <rFont val="Calibri"/>
        <family val="2"/>
      </rPr>
      <t>®</t>
    </r>
    <r>
      <rPr>
        <sz val="7"/>
        <color theme="1"/>
        <rFont val="Calibri"/>
        <family val="2"/>
      </rPr>
      <t xml:space="preserve">    </t>
    </r>
    <r>
      <rPr>
        <i/>
        <sz val="11"/>
        <color theme="1"/>
        <rFont val="Calibri"/>
        <family val="2"/>
      </rPr>
      <t xml:space="preserve">dose_irrigation. </t>
    </r>
    <r>
      <rPr>
        <sz val="11"/>
        <color theme="1"/>
        <rFont val="Calibri"/>
        <family val="2"/>
      </rPr>
      <t>Irrigation dose (m3/ha).</t>
    </r>
  </si>
  <si>
    <r>
      <rPr>
        <sz val="11"/>
        <color theme="1"/>
        <rFont val="Calibri"/>
        <family val="2"/>
      </rPr>
      <t>®</t>
    </r>
    <r>
      <rPr>
        <sz val="7"/>
        <color theme="1"/>
        <rFont val="Calibri"/>
        <family val="2"/>
      </rPr>
      <t xml:space="preserve">    </t>
    </r>
    <r>
      <rPr>
        <i/>
        <sz val="11"/>
        <color theme="1"/>
        <rFont val="Calibri"/>
        <family val="2"/>
      </rPr>
      <t xml:space="preserve">Nc_NO3_water. </t>
    </r>
    <r>
      <rPr>
        <sz val="11"/>
        <color theme="1"/>
        <rFont val="Calibri"/>
        <family val="2"/>
      </rPr>
      <t>Concentration in the irrigation water (mg NO3/l).</t>
    </r>
  </si>
  <si>
    <r>
      <rPr>
        <sz val="11"/>
        <color theme="1"/>
        <rFont val="Calibri"/>
        <family val="2"/>
      </rPr>
      <t>®</t>
    </r>
    <r>
      <rPr>
        <sz val="7"/>
        <color theme="1"/>
        <rFont val="Calibri"/>
        <family val="2"/>
      </rPr>
      <t xml:space="preserve">    </t>
    </r>
    <r>
      <rPr>
        <i/>
        <sz val="11"/>
        <color theme="1"/>
        <rFont val="Calibri"/>
        <family val="2"/>
      </rPr>
      <t xml:space="preserve">W. </t>
    </r>
    <r>
      <rPr>
        <sz val="11"/>
        <color theme="1"/>
        <rFont val="Calibri"/>
        <family val="2"/>
      </rPr>
      <t xml:space="preserve">Percentage of wealth in N of NO3; </t>
    </r>
    <r>
      <rPr>
        <b/>
        <sz val="11"/>
        <color theme="1"/>
        <rFont val="Calibri"/>
        <family val="2"/>
      </rPr>
      <t>22,6</t>
    </r>
    <r>
      <rPr>
        <sz val="11"/>
        <color theme="1"/>
        <rFont val="Calibri"/>
        <family val="2"/>
      </rPr>
      <t>.</t>
    </r>
  </si>
  <si>
    <t>&gt;5</t>
  </si>
  <si>
    <t>&lt;2</t>
  </si>
  <si>
    <t>Rainfed</t>
  </si>
  <si>
    <t>2 to 5</t>
  </si>
  <si>
    <t>climate</t>
  </si>
  <si>
    <t>vola_coeff</t>
  </si>
  <si>
    <t>NaN</t>
  </si>
  <si>
    <t>Sodium nitrate</t>
  </si>
  <si>
    <t>CaN</t>
  </si>
  <si>
    <t>Calcium nitrate</t>
  </si>
  <si>
    <t>MgN</t>
  </si>
  <si>
    <t>Magnesium nitrate</t>
  </si>
  <si>
    <t>AumS</t>
  </si>
  <si>
    <t>Ammonium sulphate</t>
  </si>
  <si>
    <t>U</t>
  </si>
  <si>
    <t>Urea</t>
  </si>
  <si>
    <t>AumN</t>
  </si>
  <si>
    <t>Ammonium nitrate</t>
  </si>
  <si>
    <t>CaAumN</t>
  </si>
  <si>
    <t>Calcium ammonium nitrate</t>
  </si>
  <si>
    <t>NSAum</t>
  </si>
  <si>
    <t>Ammonium nitrosulphate</t>
  </si>
  <si>
    <t>N32</t>
  </si>
  <si>
    <t>Nitrogen solutions (32%)</t>
  </si>
  <si>
    <t>Uf</t>
  </si>
  <si>
    <t>Urea formaldehyde (UF)</t>
  </si>
  <si>
    <t>Ibdu</t>
  </si>
  <si>
    <t>Isobutylidene diurea (IBDU)</t>
  </si>
  <si>
    <t>Cdu</t>
  </si>
  <si>
    <t>Crotonylidene diurea (CDU)</t>
  </si>
  <si>
    <t>sPsi</t>
  </si>
  <si>
    <t>Superphosphate simple</t>
  </si>
  <si>
    <t>sPco</t>
  </si>
  <si>
    <t>Superphosphate concentrate</t>
  </si>
  <si>
    <t>TSP</t>
  </si>
  <si>
    <t>Triple superphosphate (TSP)</t>
  </si>
  <si>
    <t>Pac</t>
  </si>
  <si>
    <t>Phosphoric acid</t>
  </si>
  <si>
    <t>sPac</t>
  </si>
  <si>
    <t>Superphosphoric acid</t>
  </si>
  <si>
    <t>DCaP</t>
  </si>
  <si>
    <t>Dycalcium phosphate</t>
  </si>
  <si>
    <t>CameP</t>
  </si>
  <si>
    <t>Calcium metaphosphate</t>
  </si>
  <si>
    <t>caP</t>
  </si>
  <si>
    <t>Calcined phosphate</t>
  </si>
  <si>
    <t>bs</t>
  </si>
  <si>
    <t>Basic slags</t>
  </si>
  <si>
    <t>gPr</t>
  </si>
  <si>
    <t>Ground phosphate rock</t>
  </si>
  <si>
    <t>Potassium chloride</t>
  </si>
  <si>
    <t>PS</t>
  </si>
  <si>
    <t>Potassium sulphate</t>
  </si>
  <si>
    <t>MAP</t>
  </si>
  <si>
    <t>Mono-ammonium phosphate (MAP)</t>
  </si>
  <si>
    <t>DAP</t>
  </si>
  <si>
    <t>Di-ammonium phosphate (DAP)</t>
  </si>
  <si>
    <t>APP</t>
  </si>
  <si>
    <t>Ammonium polyphosphates (APP)</t>
  </si>
  <si>
    <t>NP</t>
  </si>
  <si>
    <t>Nitrophosphates</t>
  </si>
  <si>
    <t>KP</t>
  </si>
  <si>
    <t>Potassium phosphates</t>
  </si>
  <si>
    <t>KN</t>
  </si>
  <si>
    <t>Potassium nitrate</t>
  </si>
  <si>
    <t>x8-15-15</t>
  </si>
  <si>
    <t>Complex 8-15-15</t>
  </si>
  <si>
    <t>x12-12-24</t>
  </si>
  <si>
    <t>Complex 12-12-24</t>
  </si>
  <si>
    <t>x15-15-15</t>
  </si>
  <si>
    <t>Complex 15-15-15</t>
  </si>
  <si>
    <t>x9-18-27</t>
  </si>
  <si>
    <t>Complex 9-18-27</t>
  </si>
  <si>
    <t>x8-24-8</t>
  </si>
  <si>
    <t>Complex 8-24-8</t>
  </si>
  <si>
    <t>x8-24-16</t>
  </si>
  <si>
    <t>Complex 8-24-16</t>
  </si>
  <si>
    <t>x12-24-8</t>
  </si>
  <si>
    <t>Complex 12-24-8</t>
  </si>
  <si>
    <t>x12-24-12</t>
  </si>
  <si>
    <t>Complex 12-24-12</t>
  </si>
  <si>
    <t>x9-12-24</t>
  </si>
  <si>
    <t>Complex 9-12-24</t>
  </si>
  <si>
    <t>x10-20-10</t>
  </si>
  <si>
    <t>Complex 10-20-10</t>
  </si>
  <si>
    <t>x8-16-8</t>
  </si>
  <si>
    <t>Complex 8-16-8</t>
  </si>
  <si>
    <t>x18-46-0</t>
  </si>
  <si>
    <t>Complex 18-46-0</t>
  </si>
  <si>
    <t>x10-10-17</t>
  </si>
  <si>
    <t>Complex 10-10-17</t>
  </si>
  <si>
    <t>x12-36-12</t>
  </si>
  <si>
    <t>Complex 12-36-12</t>
  </si>
  <si>
    <t>s4-16-10</t>
  </si>
  <si>
    <t>Suspension 4-16-10</t>
  </si>
  <si>
    <t>s5-10-10</t>
  </si>
  <si>
    <t>Suspension 5-10-10</t>
  </si>
  <si>
    <t>s5-20-5</t>
  </si>
  <si>
    <t>Suspension 5-20-5</t>
  </si>
  <si>
    <t>s6-12-16</t>
  </si>
  <si>
    <t>Suspension 6-12-16</t>
  </si>
  <si>
    <t>s6-16-10</t>
  </si>
  <si>
    <t>Suspension 6-16-10</t>
  </si>
  <si>
    <t>s10-20-0</t>
  </si>
  <si>
    <t>Suspension 10-20-0</t>
  </si>
  <si>
    <t>P7-15-6</t>
  </si>
  <si>
    <t>Fosfoplus 7-15-6 + 5%S + 9% PHC</t>
  </si>
  <si>
    <t>P8-8-10</t>
  </si>
  <si>
    <t>Fosfoplus 8-8-10 + 5%S + 9% PHC</t>
  </si>
  <si>
    <t>sP18</t>
  </si>
  <si>
    <t>Superphosphate 18%</t>
  </si>
  <si>
    <t>sP45</t>
  </si>
  <si>
    <t>Superphosphate 45%</t>
  </si>
  <si>
    <t>acP</t>
  </si>
  <si>
    <t>acid phosphoric</t>
  </si>
  <si>
    <t>U46</t>
  </si>
  <si>
    <t>Urea 46%</t>
  </si>
  <si>
    <t>U46i</t>
  </si>
  <si>
    <t>Urea 46%+ Inhibidor</t>
  </si>
  <si>
    <t>U40S</t>
  </si>
  <si>
    <t>Urea 40%+ Azufre (YARA Sulfamid)</t>
  </si>
  <si>
    <t>AumNS26</t>
  </si>
  <si>
    <t>ammonium nitrophosphate 26%</t>
  </si>
  <si>
    <t>AumNS21</t>
  </si>
  <si>
    <t>ammonium nitrophosphate 21%</t>
  </si>
  <si>
    <t>soN32</t>
  </si>
  <si>
    <t>Solución N-32</t>
  </si>
  <si>
    <t>soN20</t>
  </si>
  <si>
    <t>Solución N-20</t>
  </si>
  <si>
    <t>soN26</t>
  </si>
  <si>
    <t>Solución N-26</t>
  </si>
  <si>
    <t>CaNso</t>
  </si>
  <si>
    <t>Calcium nitrate solution</t>
  </si>
  <si>
    <t>MgNso</t>
  </si>
  <si>
    <t>Magnesium nitrate solution</t>
  </si>
  <si>
    <t>N33</t>
  </si>
  <si>
    <t>Nitro33</t>
  </si>
  <si>
    <t>Nplus</t>
  </si>
  <si>
    <t>Nitroplus</t>
  </si>
  <si>
    <t>Nac</t>
  </si>
  <si>
    <t>Nitric acid</t>
  </si>
  <si>
    <t>AumN33</t>
  </si>
  <si>
    <t>Ammonium nitrate 33%</t>
  </si>
  <si>
    <t>AumN27</t>
  </si>
  <si>
    <t>Ammonium nitrate 27% (NAC)</t>
  </si>
  <si>
    <t>AumN20</t>
  </si>
  <si>
    <t>Ammonium nitrate 20%</t>
  </si>
  <si>
    <t>MgS</t>
  </si>
  <si>
    <t>Magnesium sulfate</t>
  </si>
  <si>
    <t>AumS21</t>
  </si>
  <si>
    <t>Ammonium sulfate 21%</t>
  </si>
  <si>
    <t>rainfed</t>
  </si>
  <si>
    <t>irrigated</t>
  </si>
  <si>
    <t>climate_temp</t>
  </si>
  <si>
    <t>Nc_s_initial (kg N/ha)</t>
  </si>
  <si>
    <t>depth_s (m)</t>
  </si>
  <si>
    <t>PI</t>
  </si>
  <si>
    <t>SI</t>
  </si>
  <si>
    <t>LI</t>
  </si>
  <si>
    <t>Nc_leached (kg N/ha)</t>
  </si>
  <si>
    <t>depth_s (mm)</t>
  </si>
  <si>
    <r>
      <rPr>
        <sz val="11"/>
        <color rgb="FF000000"/>
        <rFont val="Calibri"/>
        <family val="2"/>
      </rPr>
      <t xml:space="preserve">Soil depth, que depende de la parcela. 300 mm. </t>
    </r>
    <r>
      <rPr>
        <b/>
        <sz val="11"/>
        <color rgb="FF000000"/>
        <rFont val="Calibri"/>
        <family val="2"/>
      </rPr>
      <t>User Input</t>
    </r>
  </si>
  <si>
    <r>
      <rPr>
        <sz val="11"/>
        <color rgb="FF000000"/>
        <rFont val="Calibri"/>
        <family val="2"/>
      </rPr>
      <t xml:space="preserve">Annual rainfall. Dato climático que afecta al suelo. </t>
    </r>
    <r>
      <rPr>
        <b/>
        <sz val="11"/>
        <color rgb="FF000000"/>
        <rFont val="Calibri"/>
        <family val="2"/>
      </rPr>
      <t>User Input</t>
    </r>
  </si>
  <si>
    <t>vol_water_s (m3m-3)</t>
  </si>
  <si>
    <r>
      <rPr>
        <sz val="11"/>
        <color rgb="FF000000"/>
        <rFont val="Calibri"/>
        <family val="2"/>
      </rPr>
      <t xml:space="preserve">Average water content during percolation. </t>
    </r>
    <r>
      <rPr>
        <b/>
        <sz val="11"/>
        <color rgb="FF000000"/>
        <rFont val="Calibri"/>
        <family val="2"/>
      </rPr>
      <t>Associated to soil texture.</t>
    </r>
  </si>
  <si>
    <r>
      <rPr>
        <sz val="11"/>
        <color rgb="FF000000"/>
        <rFont val="Calibri"/>
        <family val="2"/>
      </rPr>
      <t xml:space="preserve">Total rainfall during autumn and winter. Dato que afecta al suelo. </t>
    </r>
    <r>
      <rPr>
        <b/>
        <sz val="11"/>
        <color rgb="FF000000"/>
        <rFont val="Calibri"/>
        <family val="2"/>
      </rPr>
      <t>User Input</t>
    </r>
  </si>
  <si>
    <t>Curve number with values for hydrologic groups. Este parámetro se encuentra afectado tanto por el tipo de cultivo y por el tipo de suelo. Está en una tabla en las fichas donde se ve que afecta tanto el cultivo como datos de parcela.</t>
  </si>
  <si>
    <t>Percolation Index</t>
  </si>
  <si>
    <t>Sesonal Index</t>
  </si>
  <si>
    <t xml:space="preserve">Leaching Index. Es un resultado </t>
  </si>
  <si>
    <t>La cantidad de N que se ha lixiviado, es el resultado final de este proceso de lixiviación</t>
  </si>
  <si>
    <t>Initial N content (kg N/ha)</t>
  </si>
  <si>
    <t>Note: En el caso de que el agricultor no tenga el valor del input de contenido inicial de nitrógeno en el suelo se establece un valor por defecto: Nc_s_initial: Default value 30 kg N/ha</t>
  </si>
  <si>
    <t>Note: En el caso de que el agricultor no tenga el valor de la profundidad del cultivo, se utiza un valor por defecto de 300 mm</t>
  </si>
  <si>
    <t>Note: En el caso de que el agricultor no disponga de datos de rain_a ( lluvia anual en mm ) o rain_w ( lluvia estacional en mm) se le asigna un valor por defecto en función de la zona agroclimática (climate_zone)</t>
  </si>
  <si>
    <t>Note: Si el agricultor no dispone de información sobre el input vol_water_s se establece un valor por defecto en función de las texturas soil_texture.</t>
  </si>
  <si>
    <t>PAS/Agroasesor</t>
  </si>
  <si>
    <t>O</t>
  </si>
  <si>
    <t>O.28</t>
  </si>
  <si>
    <t>O.27</t>
  </si>
  <si>
    <t>-</t>
  </si>
  <si>
    <t>O.26</t>
  </si>
  <si>
    <t>O.25</t>
  </si>
  <si>
    <t>O.24</t>
  </si>
  <si>
    <t>O.23</t>
  </si>
  <si>
    <t>O.22</t>
  </si>
  <si>
    <t>O.21</t>
  </si>
  <si>
    <t>O.20</t>
  </si>
  <si>
    <t>O.19</t>
  </si>
  <si>
    <t>O.18</t>
  </si>
  <si>
    <t>O.17</t>
  </si>
  <si>
    <t>O.16</t>
  </si>
  <si>
    <t>O.15</t>
  </si>
  <si>
    <t>O.14</t>
  </si>
  <si>
    <t>O.13</t>
  </si>
  <si>
    <t>O.12</t>
  </si>
  <si>
    <t>O.11</t>
  </si>
  <si>
    <t>O.10</t>
  </si>
  <si>
    <t>O.09</t>
  </si>
  <si>
    <t>O.08</t>
  </si>
  <si>
    <t>O.07</t>
  </si>
  <si>
    <t>O.06</t>
  </si>
  <si>
    <t>O.05</t>
  </si>
  <si>
    <t>O.04</t>
  </si>
  <si>
    <t>O.03</t>
  </si>
  <si>
    <t>O.02</t>
  </si>
  <si>
    <t>Organic</t>
  </si>
  <si>
    <t>O.01</t>
  </si>
  <si>
    <t>https://www.agralia.es/es/agricultura/productos/categorias/aqua/solidos-solubles/sulfato-am%C3%B3nico-21-60/</t>
  </si>
  <si>
    <t>21,0%</t>
  </si>
  <si>
    <t>AS</t>
  </si>
  <si>
    <t>Inorganic</t>
  </si>
  <si>
    <t>H.43</t>
  </si>
  <si>
    <t>https://www.yara.es/nutricion-vegetal/productos/yaratera/yaratera-krista-mgs/</t>
  </si>
  <si>
    <t>9,6%</t>
  </si>
  <si>
    <t>H.42</t>
  </si>
  <si>
    <t>10,0%</t>
  </si>
  <si>
    <t>AN</t>
  </si>
  <si>
    <t>H.41</t>
  </si>
  <si>
    <t>https://www.euragro.com/productos/especial-cereal/</t>
  </si>
  <si>
    <t>16,6%</t>
  </si>
  <si>
    <t>H.40</t>
  </si>
  <si>
    <t>33,3%</t>
  </si>
  <si>
    <t>50,0%</t>
  </si>
  <si>
    <t>0,0%</t>
  </si>
  <si>
    <t>H.39</t>
  </si>
  <si>
    <t>13,0%</t>
  </si>
  <si>
    <t>H.38</t>
  </si>
  <si>
    <t>http://www.nitronor.es/service-view/nitroplus/</t>
  </si>
  <si>
    <t>3,0%</t>
  </si>
  <si>
    <t>15,0%</t>
  </si>
  <si>
    <t>H.37</t>
  </si>
  <si>
    <t>http://www.alcafert.es/producto-nitrogeno-4.html</t>
  </si>
  <si>
    <t>23,0%</t>
  </si>
  <si>
    <t>H.36</t>
  </si>
  <si>
    <t>https://www.terralia.com/vademecum_de_productos_fitosanitarios_y_nutricionales/view_trademark?trademark_id=2516</t>
  </si>
  <si>
    <t>9,5%</t>
  </si>
  <si>
    <t>5,7%</t>
  </si>
  <si>
    <t>7,0%</t>
  </si>
  <si>
    <t>Nsol</t>
  </si>
  <si>
    <t>H.35</t>
  </si>
  <si>
    <t>https://agroferti.com/es/products/Productos-industriales/1/</t>
  </si>
  <si>
    <t>9,0%</t>
  </si>
  <si>
    <t>H.34</t>
  </si>
  <si>
    <t>https://www.antoniotarazona.com/website2/wp-content/uploads/1902ATG-06-COBERLIQ-NS-26-6-FT.pdf</t>
  </si>
  <si>
    <t>26,0%</t>
  </si>
  <si>
    <t>5,0%</t>
  </si>
  <si>
    <t>14,0%</t>
  </si>
  <si>
    <t>H.33</t>
  </si>
  <si>
    <t>https://fercampo.com/catalogo-de-productos/nutricion-vegetal/fertilizantes-liquidos/</t>
  </si>
  <si>
    <t>20,0%</t>
  </si>
  <si>
    <t>H.32</t>
  </si>
  <si>
    <t>32,0%</t>
  </si>
  <si>
    <t>8,0%</t>
  </si>
  <si>
    <t>16,0%</t>
  </si>
  <si>
    <t>H.31</t>
  </si>
  <si>
    <t>H.30</t>
  </si>
  <si>
    <t>19,5%</t>
  </si>
  <si>
    <t>6,5%</t>
  </si>
  <si>
    <t>H.29</t>
  </si>
  <si>
    <t>40,0%</t>
  </si>
  <si>
    <t>H.28</t>
  </si>
  <si>
    <t>46,0%</t>
  </si>
  <si>
    <t>H.27</t>
  </si>
  <si>
    <t>H.26</t>
  </si>
  <si>
    <t>H.25</t>
  </si>
  <si>
    <t>H.24</t>
  </si>
  <si>
    <t>H.23</t>
  </si>
  <si>
    <t>H.22</t>
  </si>
  <si>
    <t>H.21</t>
  </si>
  <si>
    <t>H.20</t>
  </si>
  <si>
    <t>H.19</t>
  </si>
  <si>
    <t>H.18</t>
  </si>
  <si>
    <t>H.17</t>
  </si>
  <si>
    <t>https://icl-sf.com/es-es/products/specialty_agriculture/4088-nutri-liquid-5-10-10/</t>
  </si>
  <si>
    <t>H.16</t>
  </si>
  <si>
    <t>H.15</t>
  </si>
  <si>
    <t>https://www.tienda.sercopag.com/producto/solyorgan-12-36-12-abono-organomineral-npk-con-10mo/</t>
  </si>
  <si>
    <t>3,4%</t>
  </si>
  <si>
    <t>1,6%</t>
  </si>
  <si>
    <t>H.14</t>
  </si>
  <si>
    <t>https://www.terralia.com/vademecum_de_productos_fitosanitarios_y_nutricionales/view_composition?book_id=1&amp;composition_id=5259</t>
  </si>
  <si>
    <t>4,0%</t>
  </si>
  <si>
    <t>6,0%</t>
  </si>
  <si>
    <t>H.13</t>
  </si>
  <si>
    <t>http://www.agropalsc.com/productos_agricultura_des.shtml?idboletin=1085&amp;idarticulo=25270&amp;idseccion=5273&amp;idioma=</t>
  </si>
  <si>
    <t>18,0%</t>
  </si>
  <si>
    <t>H.12</t>
  </si>
  <si>
    <t>H.11</t>
  </si>
  <si>
    <t>H.10</t>
  </si>
  <si>
    <t>H.09</t>
  </si>
  <si>
    <t>12,0%</t>
  </si>
  <si>
    <t>H.08</t>
  </si>
  <si>
    <t>https://icl-sf.com/es-es/products/specialty_agriculture/0177-combifert/</t>
  </si>
  <si>
    <t>5,3%</t>
  </si>
  <si>
    <t>H.07</t>
  </si>
  <si>
    <t>1,5%</t>
  </si>
  <si>
    <t>H.06</t>
  </si>
  <si>
    <t>H.05</t>
  </si>
  <si>
    <t>H.04</t>
  </si>
  <si>
    <t>2,0%</t>
  </si>
  <si>
    <t>H.03</t>
  </si>
  <si>
    <t>H.02</t>
  </si>
  <si>
    <t>H.01</t>
  </si>
  <si>
    <t>https://www.agromatica.es/hablando-del-nitrato-de-potasio/</t>
  </si>
  <si>
    <t>UCN</t>
  </si>
  <si>
    <t>G.01</t>
  </si>
  <si>
    <t>https://www.haifa-group.com/es/haifa-mkp%E2%84%A2-fosfato-monopot%C3%A1sico-0-52-34</t>
  </si>
  <si>
    <t>F.01</t>
  </si>
  <si>
    <t>file:///C:/Users/germa/Desktop/Fertilizantes/nitrofosfatos.pdf</t>
  </si>
  <si>
    <t>E.04</t>
  </si>
  <si>
    <t>https://www.phosagro.com/es/production/fertilizer/9069/</t>
  </si>
  <si>
    <t>E.03</t>
  </si>
  <si>
    <t>https://www.intagri.com/articulos/cereales/los-fertilizantes-fosforicos-para-maiz</t>
  </si>
  <si>
    <t>E.02</t>
  </si>
  <si>
    <t>https://www.phosagro.com/es/production/fertilizer/9050/</t>
  </si>
  <si>
    <t>E.01</t>
  </si>
  <si>
    <t>https://www.haifa-group.com/es/sulfato-potasico-fertilizante</t>
  </si>
  <si>
    <t>D.02</t>
  </si>
  <si>
    <t>https://www.ypf.com/productosyservicios/Descargas/CLORURO-DE-POTASIO.pdf</t>
  </si>
  <si>
    <t>D.01</t>
  </si>
  <si>
    <t>https://nda.nebraska.gov/plant/fertilizer/fertilizer_codes.pdf</t>
  </si>
  <si>
    <t>C.10</t>
  </si>
  <si>
    <t>C.09</t>
  </si>
  <si>
    <t>C.08</t>
  </si>
  <si>
    <t>C.07</t>
  </si>
  <si>
    <t>https://globalrustrade.com/es/catalog/dicalcium-phosphate-dcp-18-min-feed-grade/</t>
  </si>
  <si>
    <t>C.06</t>
  </si>
  <si>
    <t>C.05</t>
  </si>
  <si>
    <t>C.04</t>
  </si>
  <si>
    <t>https://www.anasacjardin.cl/producto/fertilizantes-jarditec/superfosfato-triple-jarditec/</t>
  </si>
  <si>
    <t>C.03</t>
  </si>
  <si>
    <t>C.02</t>
  </si>
  <si>
    <t>https://www.ypf.com/productosyservicios/Descargas/Superfosfato-simple.pdf</t>
  </si>
  <si>
    <t>3,9%</t>
  </si>
  <si>
    <t>C.01</t>
  </si>
  <si>
    <t>https://www.mapa.gob.es/ministerio/pags/biblioteca/hojas/hd_1994_03.pdf</t>
  </si>
  <si>
    <t>32,5%</t>
  </si>
  <si>
    <t>3,3%</t>
  </si>
  <si>
    <t>29,3%</t>
  </si>
  <si>
    <t>B.03</t>
  </si>
  <si>
    <t>32,2%</t>
  </si>
  <si>
    <t>B.02</t>
  </si>
  <si>
    <t>38,0%</t>
  </si>
  <si>
    <t>B.01</t>
  </si>
  <si>
    <t>http://www.agropalsc.com/productos_agricultura_des.shtml?idboletin=1085&amp;idarticulo=25210&amp;idseccion=6208&amp;idioma=</t>
  </si>
  <si>
    <t>A.09</t>
  </si>
  <si>
    <t>http://www.agropalsc.com/productos_agricultura_des.shtml?idboletin=1085&amp;idarticulo=25171&amp;idseccion=5271&amp;idioma=#:~:text=El%20nitrosulfato%20am%C3%B3nico%20(NSA)%20aporta,de%20gran%20solubilidad%20y%20dureza.&amp;text=As%C3%AD%20mismo%2C%20mejora%20la%20calidad%20de%20los%20productos%20agr%C3%ADcolas.</t>
  </si>
  <si>
    <t>14,8%</t>
  </si>
  <si>
    <t>A.08</t>
  </si>
  <si>
    <t>http://www.agrarfertilizantes.es/index.php/productosagrar/solidos/abonos-solidos-simples/18-nitrato-amonico-calcico-26</t>
  </si>
  <si>
    <t>3,5%</t>
  </si>
  <si>
    <t>2,1%</t>
  </si>
  <si>
    <t>A.07</t>
  </si>
  <si>
    <t>http://www.agropalsc.com/productos_agricultura_des.shtml?idboletin=1085&amp;idarticulo=25193&amp;idseccion=5271&amp;idioma=</t>
  </si>
  <si>
    <t>33,5%</t>
  </si>
  <si>
    <t>16,7%</t>
  </si>
  <si>
    <t>16,8%</t>
  </si>
  <si>
    <t>A.06</t>
  </si>
  <si>
    <t>A.05</t>
  </si>
  <si>
    <t>http://www.ipni.net/publication/nss-es.nsf/0/794F6BDB7E84EA4785257BBA0059C154/$FILE/NSS-ES-12.pdf</t>
  </si>
  <si>
    <t>A.04</t>
  </si>
  <si>
    <t>https://www.haifa-group.com/es/magnisal%E2%84%A2-nitrato-de-magnesio-fertilizante-para-cultivos-sanos</t>
  </si>
  <si>
    <t>A.03</t>
  </si>
  <si>
    <t>http://www.agropalsc.com/productos_agricultura_des.shtml?idboletin=1085&amp;idarticulo=25264&amp;idseccion=6209&amp;idioma=</t>
  </si>
  <si>
    <t>A.02</t>
  </si>
  <si>
    <t>http://www.agropalsc.com/productos_agricultura_des.shtml?idboletin=1085&amp;idarticulo=25262&amp;idseccion=6209&amp;idioma=</t>
  </si>
  <si>
    <t>A.01</t>
  </si>
  <si>
    <t>Fuente</t>
  </si>
  <si>
    <t>Cl</t>
  </si>
  <si>
    <t>Na</t>
  </si>
  <si>
    <t>MgO</t>
  </si>
  <si>
    <t>Mg</t>
  </si>
  <si>
    <t>CaO</t>
  </si>
  <si>
    <t>Ca</t>
  </si>
  <si>
    <t>SO3</t>
  </si>
  <si>
    <t>SO4</t>
  </si>
  <si>
    <t>S</t>
  </si>
  <si>
    <t>DM</t>
  </si>
  <si>
    <t>MO</t>
  </si>
  <si>
    <t>K2O total</t>
  </si>
  <si>
    <t>K total</t>
  </si>
  <si>
    <t>P2O5 total</t>
  </si>
  <si>
    <t>P total</t>
  </si>
  <si>
    <t>Total</t>
  </si>
  <si>
    <t>Cianamidic</t>
  </si>
  <si>
    <t>Ammoniacal</t>
  </si>
  <si>
    <t>Nitric</t>
  </si>
  <si>
    <t>Ureic</t>
  </si>
  <si>
    <t>Inorganic/organic</t>
  </si>
  <si>
    <t>Cod.</t>
  </si>
  <si>
    <t>kg CO2e/kg N</t>
  </si>
  <si>
    <t>gN2O/kg N</t>
  </si>
  <si>
    <t>gCH4/kg N</t>
  </si>
  <si>
    <t>gCO2/kg N</t>
  </si>
  <si>
    <t>Chlorine</t>
  </si>
  <si>
    <t>Sodium</t>
  </si>
  <si>
    <t>Magnesium</t>
  </si>
  <si>
    <t>Calcium</t>
  </si>
  <si>
    <t>Sulphur</t>
  </si>
  <si>
    <t>Dry matter</t>
  </si>
  <si>
    <t>Potassium</t>
  </si>
  <si>
    <t>Phosphorus</t>
  </si>
  <si>
    <t>Nitrogen</t>
  </si>
  <si>
    <t>Clcf</t>
  </si>
  <si>
    <t>Nacf</t>
  </si>
  <si>
    <t>MgOcf</t>
  </si>
  <si>
    <t>Mgcf</t>
  </si>
  <si>
    <t>CAOcf</t>
  </si>
  <si>
    <t>Cacf</t>
  </si>
  <si>
    <t>SO3cf</t>
  </si>
  <si>
    <t>SO4cf</t>
  </si>
  <si>
    <t>Scf</t>
  </si>
  <si>
    <t>K2Ocf</t>
  </si>
  <si>
    <t>Kcf</t>
  </si>
  <si>
    <t>P2O5cf</t>
  </si>
  <si>
    <t>Pcf</t>
  </si>
  <si>
    <t>Ncf</t>
  </si>
  <si>
    <t>Ncf_CN2</t>
  </si>
  <si>
    <t>Ncf_NH4</t>
  </si>
  <si>
    <t>Ncf_NO3</t>
  </si>
  <si>
    <t>Ncf_ure</t>
  </si>
  <si>
    <t>price</t>
  </si>
  <si>
    <t>clasification_fm</t>
  </si>
  <si>
    <t>type_fm</t>
  </si>
  <si>
    <t>HI_est (%)</t>
  </si>
  <si>
    <t>Legume</t>
  </si>
  <si>
    <t>Biennial</t>
  </si>
  <si>
    <t>Non_legume</t>
  </si>
  <si>
    <t>Non legume</t>
  </si>
  <si>
    <t>Tilled</t>
  </si>
  <si>
    <t>Yes</t>
  </si>
  <si>
    <t xml:space="preserve">No </t>
  </si>
  <si>
    <t xml:space="preserve">Tilled </t>
  </si>
  <si>
    <t>N_bf</t>
  </si>
  <si>
    <t>Aplic.</t>
  </si>
  <si>
    <t>N. ureico</t>
  </si>
  <si>
    <t>N</t>
  </si>
  <si>
    <t>Coste (€)</t>
  </si>
  <si>
    <t>Precio UF (€/kg)</t>
  </si>
  <si>
    <t>Fertilizantes ureicos (max %)</t>
  </si>
  <si>
    <t>date</t>
  </si>
  <si>
    <t>Precio entrada</t>
  </si>
  <si>
    <t>Fórmula objetivo (t)</t>
  </si>
  <si>
    <t>Cantidad (kg)</t>
  </si>
  <si>
    <t>incorporated</t>
  </si>
  <si>
    <t>topdressing</t>
  </si>
  <si>
    <t>Application method</t>
  </si>
  <si>
    <t>vol losses</t>
  </si>
  <si>
    <t>Price (€/t)</t>
  </si>
  <si>
    <t>N from fertilizer</t>
  </si>
  <si>
    <t>N from manure</t>
  </si>
  <si>
    <t>No tillage</t>
  </si>
  <si>
    <t>Applied</t>
  </si>
  <si>
    <t>Planned</t>
  </si>
  <si>
    <t>Nureico</t>
  </si>
  <si>
    <t>N final losses</t>
  </si>
  <si>
    <t>(€)</t>
  </si>
  <si>
    <t>Default or user value. El valor de la CEC está asociado a la textura del suelo, aunque podrá ser modificado en caso que el agricultor disponga de ese dato</t>
  </si>
  <si>
    <t>SOM(nºfila que corresponde la tabla)</t>
  </si>
  <si>
    <t>Vol_coeff</t>
  </si>
  <si>
    <t>Ʃ coeff</t>
  </si>
  <si>
    <t>Table of Nmineralization_SOM:</t>
  </si>
  <si>
    <r>
      <t xml:space="preserve">Fórmula deseada (t)  </t>
    </r>
    <r>
      <rPr>
        <b/>
        <sz val="12"/>
        <color theme="0"/>
        <rFont val="Calibri"/>
        <family val="2"/>
        <scheme val="major"/>
      </rPr>
      <t>N_crop</t>
    </r>
  </si>
  <si>
    <t>Residuos que se exportan: (todos=100%, ninguno 0%, valores intermedios permitidos)</t>
  </si>
  <si>
    <t>RESULT OF ORGANIC MATTER IN THE SOIL</t>
  </si>
  <si>
    <t>RESULT OF TOTAL MINERALIZATION</t>
  </si>
  <si>
    <t>INPUTS FOR LEACHING</t>
  </si>
  <si>
    <t>RESULTS</t>
  </si>
  <si>
    <r>
      <t>vol_water_s (m</t>
    </r>
    <r>
      <rPr>
        <b/>
        <vertAlign val="superscript"/>
        <sz val="11"/>
        <color theme="0"/>
        <rFont val="Calibri"/>
        <family val="2"/>
      </rPr>
      <t>3</t>
    </r>
    <r>
      <rPr>
        <b/>
        <sz val="11"/>
        <color theme="0"/>
        <rFont val="Calibri"/>
        <family val="2"/>
      </rPr>
      <t>m</t>
    </r>
    <r>
      <rPr>
        <b/>
        <vertAlign val="superscript"/>
        <sz val="11"/>
        <color theme="0"/>
        <rFont val="Calibri"/>
        <family val="2"/>
      </rPr>
      <t>-3</t>
    </r>
    <r>
      <rPr>
        <b/>
        <sz val="11"/>
        <color theme="0"/>
        <rFont val="Calibri"/>
        <family val="2"/>
      </rPr>
      <t>)</t>
    </r>
  </si>
  <si>
    <t>drain_rate</t>
  </si>
  <si>
    <t>INPUTS OF DENITRIFICATION</t>
  </si>
  <si>
    <t>RESULT OF DENITRIFICATION</t>
  </si>
  <si>
    <t>N' (vol)</t>
  </si>
  <si>
    <t xml:space="preserve">      N fertilizer (kg/ha)</t>
  </si>
  <si>
    <t xml:space="preserve">  N denitrification (kg/ha)</t>
  </si>
  <si>
    <t>N'(vol)</t>
  </si>
  <si>
    <t>INPUTS FOR VOLATILIZATION COEFFICIENT</t>
  </si>
  <si>
    <t>RESULT</t>
  </si>
  <si>
    <t xml:space="preserve">          The values ​​of the factors in the linear regression model</t>
  </si>
  <si>
    <t>RESULT OF PK REQUERIMENTS</t>
  </si>
  <si>
    <t>PK REQUERIMENTS</t>
  </si>
  <si>
    <t>INPUTS OF UPTAKE AND PK REQUERIMENTS</t>
  </si>
  <si>
    <t>RESULT OF N UPTAKE</t>
  </si>
  <si>
    <t>INPUTS AND RESULT OF FIXATION</t>
  </si>
  <si>
    <t>INPUTS OF IRRIGATION WATER</t>
  </si>
  <si>
    <t>Fila</t>
  </si>
  <si>
    <t>Columna</t>
  </si>
  <si>
    <t>Manure</t>
  </si>
  <si>
    <t>No</t>
  </si>
  <si>
    <t>Som 2</t>
  </si>
  <si>
    <t>drain rate</t>
  </si>
  <si>
    <t>No tillage referido a sólo fertilizantes minerales.</t>
  </si>
  <si>
    <t>Si</t>
  </si>
  <si>
    <t>northern_zone</t>
  </si>
  <si>
    <t>southern_zone</t>
  </si>
  <si>
    <t>N Requeriments F4</t>
  </si>
  <si>
    <t>N Balance F4</t>
  </si>
  <si>
    <t xml:space="preserve">Maintenance </t>
  </si>
  <si>
    <t xml:space="preserve"> Not exist in 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</si>
</sst>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%"/>
    <numFmt numFmtId="166" formatCode="#.##0"/>
    <numFmt numFmtId="167" formatCode="0.000"/>
    <numFmt numFmtId="168" formatCode="#,##0&quot;€&quot;"/>
    <numFmt numFmtId="169" formatCode="#,##0.000"/>
    <numFmt numFmtId="170" formatCode="_-* #,##0.0\ &quot;€&quot;_-;\-* #,##0.0\ &quot;€&quot;_-;_-* &quot;-&quot;?\ &quot;€&quot;_-;_-@_-"/>
  </numFmts>
  <fonts count="94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sz val="11"/>
      <color rgb="FFFA7D00"/>
      <name val="Calibri"/>
      <family val="2"/>
    </font>
    <font>
      <b/>
      <sz val="11"/>
      <color rgb="FFFA7D00"/>
      <name val="Calibri"/>
      <family val="2"/>
    </font>
    <font>
      <b/>
      <sz val="11"/>
      <color rgb="FF3F3F3F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Arial"/>
      <family val="2"/>
    </font>
    <font>
      <b/>
      <sz val="12"/>
      <color theme="1"/>
      <name val="Arial"/>
      <family val="2"/>
    </font>
    <font>
      <sz val="11"/>
      <color rgb="FF3F3F76"/>
      <name val="Calibri"/>
      <family val="2"/>
    </font>
    <font>
      <b/>
      <sz val="11"/>
      <color rgb="FFFFFFFF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70C0"/>
      <name val="Calibri"/>
      <family val="2"/>
    </font>
    <font>
      <sz val="11"/>
      <color rgb="FF080808"/>
      <name val="Calibri"/>
      <family val="2"/>
    </font>
    <font>
      <sz val="11"/>
      <color rgb="FF212121"/>
      <name val="Calibri"/>
      <family val="2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theme="0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sz val="12"/>
      <color theme="1"/>
      <name val="Arial"/>
      <family val="2"/>
    </font>
    <font>
      <b/>
      <sz val="14"/>
      <color rgb="FF000000"/>
      <name val="Calibri"/>
      <family val="2"/>
    </font>
    <font>
      <sz val="12"/>
      <color rgb="FF000000"/>
      <name val="Arial"/>
      <family val="2"/>
    </font>
    <font>
      <sz val="21"/>
      <color rgb="FF202124"/>
      <name val="Arial"/>
      <family val="2"/>
    </font>
    <font>
      <vertAlign val="superscript"/>
      <sz val="11"/>
      <color theme="1"/>
      <name val="Arial"/>
      <family val="2"/>
    </font>
    <font>
      <sz val="11"/>
      <color rgb="FF3B3B3B"/>
      <name val="Calibri"/>
      <family val="2"/>
    </font>
    <font>
      <b/>
      <sz val="11"/>
      <color rgb="FF000000"/>
      <name val="Docs-Calibri"/>
    </font>
    <font>
      <sz val="7"/>
      <color theme="1"/>
      <name val="Calibri"/>
      <family val="2"/>
    </font>
    <font>
      <i/>
      <sz val="11"/>
      <color theme="1"/>
      <name val="Calibri"/>
      <family val="2"/>
    </font>
    <font>
      <sz val="18"/>
      <name val="Calibri"/>
      <family val="2"/>
      <scheme val="major"/>
    </font>
    <font>
      <sz val="12"/>
      <name val="Arial"/>
      <family val="2"/>
    </font>
    <font>
      <sz val="11"/>
      <color theme="1"/>
      <name val="Arial"/>
      <family val="2"/>
    </font>
    <font>
      <sz val="11"/>
      <color theme="0"/>
      <name val="Calibri"/>
      <family val="2"/>
    </font>
    <font>
      <b/>
      <sz val="11"/>
      <color rgb="FFFFFFFF"/>
      <name val="Calibri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</font>
    <font>
      <u/>
      <sz val="8"/>
      <color rgb="FF0000FF"/>
      <name val="Calibri"/>
      <family val="2"/>
    </font>
    <font>
      <sz val="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name val="Arial"/>
      <family val="2"/>
    </font>
    <font>
      <b/>
      <sz val="12"/>
      <color theme="0"/>
      <name val="Calibri"/>
      <family val="2"/>
    </font>
    <font>
      <b/>
      <sz val="11"/>
      <color theme="1"/>
      <name val="Calibri"/>
      <family val="2"/>
      <scheme val="major"/>
    </font>
    <font>
      <b/>
      <sz val="11"/>
      <color theme="2"/>
      <name val="Calibri"/>
      <family val="2"/>
    </font>
    <font>
      <sz val="12"/>
      <name val="Calibri"/>
      <family val="2"/>
      <scheme val="minor"/>
    </font>
    <font>
      <b/>
      <sz val="12"/>
      <name val="Calibri"/>
      <family val="2"/>
    </font>
    <font>
      <sz val="11"/>
      <name val="Calibri"/>
      <family val="2"/>
    </font>
    <font>
      <b/>
      <sz val="12"/>
      <name val="Calibri"/>
      <family val="2"/>
      <scheme val="minor"/>
    </font>
    <font>
      <sz val="12"/>
      <color rgb="FF3F3F76"/>
      <name val="Calibri"/>
      <family val="2"/>
    </font>
    <font>
      <b/>
      <sz val="12"/>
      <color theme="0"/>
      <name val="Calibri"/>
      <family val="2"/>
      <scheme val="major"/>
    </font>
    <font>
      <b/>
      <sz val="12"/>
      <color theme="2"/>
      <name val="Calibri"/>
      <family val="2"/>
      <scheme val="major"/>
    </font>
    <font>
      <b/>
      <sz val="11"/>
      <name val="Calibri"/>
      <family val="2"/>
      <scheme val="major"/>
    </font>
    <font>
      <sz val="11"/>
      <name val="Calibri"/>
      <family val="2"/>
      <scheme val="major"/>
    </font>
    <font>
      <b/>
      <sz val="11"/>
      <color theme="2"/>
      <name val="Arial"/>
      <family val="2"/>
    </font>
    <font>
      <b/>
      <sz val="18"/>
      <color theme="9" tint="-0.499984740745262"/>
      <name val="Calibri"/>
      <family val="2"/>
      <scheme val="major"/>
    </font>
    <font>
      <b/>
      <sz val="18"/>
      <color rgb="FF002060"/>
      <name val="Calibri"/>
      <family val="2"/>
      <scheme val="major"/>
    </font>
    <font>
      <b/>
      <vertAlign val="superscript"/>
      <sz val="11"/>
      <color theme="0"/>
      <name val="Calibri"/>
      <family val="2"/>
    </font>
    <font>
      <b/>
      <sz val="10"/>
      <color theme="1"/>
      <name val="Arial"/>
      <family val="2"/>
    </font>
    <font>
      <b/>
      <sz val="11"/>
      <color rgb="FF3F3F76"/>
      <name val="Calibri"/>
      <family val="2"/>
      <scheme val="minor"/>
    </font>
    <font>
      <b/>
      <sz val="11"/>
      <color theme="0"/>
      <name val="Arial"/>
      <family val="2"/>
    </font>
    <font>
      <b/>
      <sz val="14"/>
      <color theme="0"/>
      <name val="Calibri"/>
      <family val="2"/>
      <scheme val="major"/>
    </font>
    <font>
      <b/>
      <sz val="18"/>
      <color theme="2"/>
      <name val="Calibri"/>
      <family val="2"/>
      <scheme val="major"/>
    </font>
    <font>
      <b/>
      <sz val="18"/>
      <color theme="0"/>
      <name val="Calibri"/>
      <family val="2"/>
      <scheme val="major"/>
    </font>
    <font>
      <b/>
      <sz val="11"/>
      <color theme="0"/>
      <name val="Calibri"/>
      <family val="2"/>
      <scheme val="major"/>
    </font>
    <font>
      <sz val="14"/>
      <color rgb="FF3F3F76"/>
      <name val="Calibri"/>
      <family val="2"/>
    </font>
    <font>
      <sz val="14"/>
      <color rgb="FFFA7D00"/>
      <name val="Calibri"/>
      <family val="2"/>
    </font>
    <font>
      <b/>
      <sz val="14"/>
      <color rgb="FF3F3F3F"/>
      <name val="Calibri"/>
      <family val="2"/>
    </font>
    <font>
      <sz val="14"/>
      <color theme="1"/>
      <name val="Calibri"/>
      <family val="2"/>
    </font>
    <font>
      <sz val="14"/>
      <color rgb="FF000000"/>
      <name val="Calibri"/>
      <family val="2"/>
    </font>
    <font>
      <b/>
      <sz val="14"/>
      <color rgb="FFFA7D00"/>
      <name val="Calibri"/>
      <family val="2"/>
    </font>
    <font>
      <b/>
      <sz val="14"/>
      <color theme="0"/>
      <name val="Calibri"/>
      <family val="2"/>
    </font>
    <font>
      <sz val="14"/>
      <color rgb="FF9C5700"/>
      <name val="Calibri"/>
      <family val="2"/>
    </font>
    <font>
      <b/>
      <sz val="16"/>
      <color rgb="FF000000"/>
      <name val="Calibri"/>
      <family val="2"/>
    </font>
    <font>
      <sz val="16"/>
      <name val="Arial"/>
      <family val="2"/>
    </font>
    <font>
      <sz val="11"/>
      <color rgb="FF9C0006"/>
      <name val="Calibri"/>
      <family val="2"/>
      <scheme val="minor"/>
    </font>
    <font>
      <sz val="11"/>
      <color theme="3"/>
      <name val="Calibri"/>
      <family val="2"/>
    </font>
  </fonts>
  <fills count="88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  <fill>
      <patternFill patternType="solid">
        <fgColor rgb="FF385623"/>
        <bgColor rgb="FF385623"/>
      </patternFill>
    </fill>
    <fill>
      <patternFill patternType="solid">
        <fgColor rgb="FFFFFFCC"/>
        <bgColor rgb="FFFFFFCC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833C0B"/>
        <bgColor rgb="FF833C0B"/>
      </patternFill>
    </fill>
    <fill>
      <patternFill patternType="solid">
        <fgColor rgb="FF002060"/>
        <bgColor rgb="FF002060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D5B4"/>
        <bgColor rgb="FFFCD5B4"/>
      </patternFill>
    </fill>
    <fill>
      <patternFill patternType="solid">
        <fgColor rgb="FFF3F3F3"/>
        <bgColor rgb="FFF3F3F3"/>
      </patternFill>
    </fill>
    <fill>
      <patternFill patternType="solid">
        <fgColor rgb="FFFFD966"/>
        <bgColor rgb="FFFFD966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theme="6"/>
        <bgColor theme="6"/>
      </patternFill>
    </fill>
    <fill>
      <patternFill patternType="solid">
        <fgColor rgb="FFC55A11"/>
        <bgColor rgb="FFC55A11"/>
      </patternFill>
    </fill>
    <fill>
      <patternFill patternType="solid">
        <fgColor rgb="FFC00000"/>
        <bgColor rgb="FFC00000"/>
      </patternFill>
    </fill>
    <fill>
      <patternFill patternType="solid">
        <fgColor rgb="FFFFBD9F"/>
        <bgColor rgb="FFFFBD9F"/>
      </patternFill>
    </fill>
    <fill>
      <patternFill patternType="solid">
        <fgColor rgb="FF0070C0"/>
        <bgColor rgb="FF0070C0"/>
      </patternFill>
    </fill>
    <fill>
      <patternFill patternType="solid">
        <fgColor rgb="FFDEEAF6"/>
        <bgColor rgb="FFDEEAF6"/>
      </patternFill>
    </fill>
    <fill>
      <patternFill patternType="solid">
        <fgColor rgb="FFFFC000"/>
        <bgColor rgb="FFFFC000"/>
      </patternFill>
    </fill>
    <fill>
      <patternFill patternType="solid">
        <fgColor rgb="FFFEF2CB"/>
        <bgColor rgb="FFFEF2CB"/>
      </patternFill>
    </fill>
    <fill>
      <patternFill patternType="solid">
        <fgColor rgb="FFBFBFBF"/>
        <bgColor rgb="FFBFBFBF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FDE9D9"/>
        <bgColor rgb="FFFDE9D9"/>
      </patternFill>
    </fill>
    <fill>
      <patternFill patternType="solid">
        <fgColor rgb="FFA5A5A5"/>
        <bgColor rgb="FFA5A5A5"/>
      </patternFill>
    </fill>
    <fill>
      <patternFill patternType="solid">
        <fgColor rgb="FFEBF6FF"/>
        <bgColor rgb="FFEBF6FF"/>
      </patternFill>
    </fill>
    <fill>
      <patternFill patternType="solid">
        <fgColor rgb="FFE2EFDA"/>
        <bgColor rgb="FFE2EFDA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rgb="FFF4B083"/>
      </patternFill>
    </fill>
    <fill>
      <patternFill patternType="solid">
        <fgColor rgb="FFFEDCF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5" tint="0.79998168889431442"/>
        <bgColor rgb="FFCCFFCC"/>
      </patternFill>
    </fill>
    <fill>
      <patternFill patternType="solid">
        <fgColor theme="9" tint="0.79998168889431442"/>
        <bgColor rgb="FFCCFFCC"/>
      </patternFill>
    </fill>
    <fill>
      <patternFill patternType="solid">
        <fgColor theme="7" tint="0.79998168889431442"/>
        <bgColor rgb="FFFFCC99"/>
      </patternFill>
    </fill>
    <fill>
      <patternFill patternType="solid">
        <fgColor theme="4" tint="0.79998168889431442"/>
        <bgColor rgb="FFF2F2F2"/>
      </patternFill>
    </fill>
    <fill>
      <patternFill patternType="solid">
        <fgColor rgb="FF996633"/>
        <bgColor rgb="FFF2F2F2"/>
      </patternFill>
    </fill>
    <fill>
      <patternFill patternType="solid">
        <fgColor theme="7" tint="0.79998168889431442"/>
        <bgColor rgb="FFB7DEE8"/>
      </patternFill>
    </fill>
    <fill>
      <patternFill patternType="solid">
        <fgColor theme="7" tint="0.79998168889431442"/>
        <bgColor rgb="FFCCFFCC"/>
      </patternFill>
    </fill>
    <fill>
      <patternFill patternType="solid">
        <fgColor theme="7" tint="-0.249977111117893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rgb="FFF2F2F2"/>
      </patternFill>
    </fill>
    <fill>
      <patternFill patternType="solid">
        <fgColor theme="5" tint="0.79998168889431442"/>
        <bgColor rgb="FFFFFFCC"/>
      </patternFill>
    </fill>
    <fill>
      <patternFill patternType="solid">
        <fgColor theme="6" tint="0.79998168889431442"/>
        <bgColor rgb="FFFFFFCC"/>
      </patternFill>
    </fill>
    <fill>
      <patternFill patternType="solid">
        <fgColor theme="9" tint="0.79998168889431442"/>
        <bgColor rgb="FFFFFFCC"/>
      </patternFill>
    </fill>
    <fill>
      <patternFill patternType="solid">
        <fgColor rgb="FFCC0066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7B380B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2" tint="-4.9989318521683403E-2"/>
        <bgColor rgb="FFFFFFCC"/>
      </patternFill>
    </fill>
    <fill>
      <patternFill patternType="solid">
        <fgColor rgb="FF996633"/>
        <bgColor rgb="FFFFFFFF"/>
      </patternFill>
    </fill>
    <fill>
      <patternFill patternType="solid">
        <fgColor theme="8" tint="-0.249977111117893"/>
        <bgColor rgb="FFFFD965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499984740745262"/>
        <bgColor theme="6"/>
      </patternFill>
    </fill>
    <fill>
      <patternFill patternType="solid">
        <fgColor theme="5" tint="-0.499984740745262"/>
        <bgColor rgb="FFFFFFFF"/>
      </patternFill>
    </fill>
    <fill>
      <patternFill patternType="solid">
        <fgColor theme="8" tint="-0.249977111117893"/>
        <bgColor rgb="FFFFFFFF"/>
      </patternFill>
    </fill>
    <fill>
      <patternFill patternType="solid">
        <fgColor theme="4" tint="0.79998168889431442"/>
        <bgColor rgb="FFFFFFCC"/>
      </patternFill>
    </fill>
    <fill>
      <patternFill patternType="solid">
        <fgColor rgb="FFFFFF00"/>
        <bgColor rgb="FFD9EAD3"/>
      </patternFill>
    </fill>
    <fill>
      <patternFill patternType="solid">
        <fgColor rgb="FFFFFF00"/>
        <bgColor rgb="FFFFF2CC"/>
      </patternFill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FBE4D5"/>
      </patternFill>
    </fill>
    <fill>
      <patternFill patternType="solid">
        <fgColor theme="9" tint="-0.249977111117893"/>
        <bgColor rgb="FFFFD965"/>
      </patternFill>
    </fill>
    <fill>
      <patternFill patternType="solid">
        <fgColor theme="6" tint="0.79998168889431442"/>
        <bgColor indexed="64"/>
      </patternFill>
    </fill>
  </fills>
  <borders count="19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000000"/>
      </left>
      <right style="thin">
        <color rgb="FF000000"/>
      </right>
      <top style="thin">
        <color rgb="FF3F3F3F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 style="double">
        <color rgb="FFFF8001"/>
      </bottom>
      <diagonal/>
    </border>
    <border>
      <left style="medium">
        <color rgb="FF000000"/>
      </left>
      <right/>
      <top/>
      <bottom style="double">
        <color rgb="FFFF8001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FF8001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000000"/>
      </right>
      <top style="thin">
        <color rgb="FF3F3F3F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FF8001"/>
      </bottom>
      <diagonal/>
    </border>
    <border>
      <left/>
      <right/>
      <top style="medium">
        <color rgb="FF000000"/>
      </top>
      <bottom style="double">
        <color rgb="FFFF800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double">
        <color rgb="FFFF8001"/>
      </bottom>
      <diagonal/>
    </border>
    <border>
      <left style="medium">
        <color rgb="FF000000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/>
      <top style="thin">
        <color rgb="FF3F3F3F"/>
      </top>
      <bottom style="thin">
        <color rgb="FF000000"/>
      </bottom>
      <diagonal/>
    </border>
    <border>
      <left/>
      <right/>
      <top style="thin">
        <color rgb="FF3F3F3F"/>
      </top>
      <bottom style="thin">
        <color rgb="FF000000"/>
      </bottom>
      <diagonal/>
    </border>
    <border>
      <left style="medium">
        <color rgb="FF000000"/>
      </left>
      <right style="thin">
        <color rgb="FF7F7F7F"/>
      </right>
      <top style="thin">
        <color rgb="FF7F7F7F"/>
      </top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double">
        <color rgb="FFFF800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indexed="64"/>
      </bottom>
      <diagonal/>
    </border>
    <border>
      <left/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thin">
        <color rgb="FF7F7F7F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indexed="64"/>
      </right>
      <top style="thin">
        <color rgb="FF3F3F3F"/>
      </top>
      <bottom/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/>
      <top/>
      <bottom style="double">
        <color rgb="FFFF8001"/>
      </bottom>
      <diagonal/>
    </border>
    <border>
      <left style="thin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thin">
        <color indexed="64"/>
      </right>
      <top style="double">
        <color rgb="FF3F3F3F"/>
      </top>
      <bottom style="double">
        <color rgb="FF3F3F3F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000000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</borders>
  <cellStyleXfs count="10">
    <xf numFmtId="0" fontId="0" fillId="0" borderId="0"/>
    <xf numFmtId="0" fontId="25" fillId="0" borderId="24"/>
    <xf numFmtId="9" fontId="36" fillId="0" borderId="0" applyFont="0" applyFill="0" applyBorder="0" applyAlignment="0" applyProtection="0"/>
    <xf numFmtId="0" fontId="43" fillId="40" borderId="5" applyNumberFormat="0" applyAlignment="0" applyProtection="0"/>
    <xf numFmtId="0" fontId="44" fillId="41" borderId="5" applyNumberFormat="0" applyAlignment="0" applyProtection="0"/>
    <xf numFmtId="0" fontId="42" fillId="42" borderId="14" applyNumberFormat="0" applyFont="0" applyAlignment="0" applyProtection="0"/>
    <xf numFmtId="0" fontId="55" fillId="41" borderId="7" applyNumberFormat="0" applyAlignment="0" applyProtection="0"/>
    <xf numFmtId="0" fontId="56" fillId="0" borderId="53" applyNumberFormat="0" applyFill="0" applyAlignment="0" applyProtection="0"/>
    <xf numFmtId="0" fontId="1" fillId="44" borderId="0" applyNumberFormat="0" applyBorder="0" applyAlignment="0" applyProtection="0"/>
    <xf numFmtId="0" fontId="92" fillId="83" borderId="0" applyNumberFormat="0" applyBorder="0" applyAlignment="0" applyProtection="0"/>
  </cellStyleXfs>
  <cellXfs count="857">
    <xf numFmtId="0" fontId="0" fillId="0" borderId="0" xfId="0" applyFont="1" applyAlignment="1"/>
    <xf numFmtId="9" fontId="4" fillId="0" borderId="0" xfId="0" applyNumberFormat="1" applyFont="1"/>
    <xf numFmtId="0" fontId="4" fillId="0" borderId="0" xfId="0" applyFont="1"/>
    <xf numFmtId="3" fontId="0" fillId="0" borderId="0" xfId="0" applyNumberFormat="1" applyFont="1"/>
    <xf numFmtId="0" fontId="0" fillId="0" borderId="0" xfId="0" applyFont="1"/>
    <xf numFmtId="0" fontId="5" fillId="0" borderId="4" xfId="0" applyFont="1" applyBorder="1"/>
    <xf numFmtId="3" fontId="6" fillId="3" borderId="5" xfId="0" applyNumberFormat="1" applyFont="1" applyFill="1" applyBorder="1"/>
    <xf numFmtId="3" fontId="7" fillId="3" borderId="7" xfId="0" applyNumberFormat="1" applyFont="1" applyFill="1" applyBorder="1"/>
    <xf numFmtId="0" fontId="8" fillId="5" borderId="8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13" xfId="0" applyFont="1" applyFill="1" applyBorder="1" applyAlignment="1">
      <alignment horizontal="left"/>
    </xf>
    <xf numFmtId="0" fontId="13" fillId="0" borderId="0" xfId="0" applyFont="1"/>
    <xf numFmtId="0" fontId="0" fillId="0" borderId="0" xfId="0" applyFont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4" fillId="12" borderId="6" xfId="0" applyFont="1" applyFill="1" applyBorder="1"/>
    <xf numFmtId="0" fontId="4" fillId="12" borderId="6" xfId="0" applyFont="1" applyFill="1" applyBorder="1" applyAlignment="1">
      <alignment horizontal="center"/>
    </xf>
    <xf numFmtId="0" fontId="4" fillId="14" borderId="6" xfId="0" applyFont="1" applyFill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4" fillId="16" borderId="6" xfId="0" applyFont="1" applyFill="1" applyBorder="1" applyAlignment="1">
      <alignment horizontal="center"/>
    </xf>
    <xf numFmtId="0" fontId="4" fillId="15" borderId="21" xfId="0" applyFont="1" applyFill="1" applyBorder="1" applyAlignment="1">
      <alignment horizontal="center"/>
    </xf>
    <xf numFmtId="0" fontId="4" fillId="16" borderId="22" xfId="0" applyFont="1" applyFill="1" applyBorder="1" applyAlignment="1">
      <alignment horizontal="center" wrapText="1"/>
    </xf>
    <xf numFmtId="0" fontId="4" fillId="16" borderId="21" xfId="0" applyFont="1" applyFill="1" applyBorder="1" applyAlignment="1">
      <alignment horizontal="center" wrapText="1"/>
    </xf>
    <xf numFmtId="0" fontId="4" fillId="16" borderId="6" xfId="0" applyFont="1" applyFill="1" applyBorder="1" applyAlignment="1">
      <alignment horizontal="center" wrapText="1"/>
    </xf>
    <xf numFmtId="0" fontId="4" fillId="16" borderId="6" xfId="0" applyFont="1" applyFill="1" applyBorder="1"/>
    <xf numFmtId="0" fontId="14" fillId="0" borderId="0" xfId="0" applyFont="1"/>
    <xf numFmtId="0" fontId="4" fillId="0" borderId="0" xfId="0" applyFont="1" applyAlignment="1">
      <alignment horizontal="center"/>
    </xf>
    <xf numFmtId="0" fontId="4" fillId="13" borderId="6" xfId="0" applyFont="1" applyFill="1" applyBorder="1"/>
    <xf numFmtId="0" fontId="4" fillId="17" borderId="6" xfId="0" applyFont="1" applyFill="1" applyBorder="1" applyAlignment="1">
      <alignment horizontal="center"/>
    </xf>
    <xf numFmtId="0" fontId="4" fillId="13" borderId="6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4" fillId="14" borderId="6" xfId="0" applyFont="1" applyFill="1" applyBorder="1" applyAlignment="1">
      <alignment horizontal="right"/>
    </xf>
    <xf numFmtId="0" fontId="4" fillId="17" borderId="6" xfId="0" applyFont="1" applyFill="1" applyBorder="1" applyAlignment="1">
      <alignment horizontal="right"/>
    </xf>
    <xf numFmtId="0" fontId="4" fillId="0" borderId="23" xfId="0" applyFont="1" applyBorder="1" applyAlignment="1">
      <alignment horizontal="right"/>
    </xf>
    <xf numFmtId="0" fontId="4" fillId="17" borderId="22" xfId="0" applyFont="1" applyFill="1" applyBorder="1" applyAlignment="1">
      <alignment horizontal="right" wrapText="1"/>
    </xf>
    <xf numFmtId="0" fontId="4" fillId="17" borderId="21" xfId="0" applyFont="1" applyFill="1" applyBorder="1" applyAlignment="1">
      <alignment horizontal="right" wrapText="1"/>
    </xf>
    <xf numFmtId="0" fontId="4" fillId="17" borderId="6" xfId="0" applyFont="1" applyFill="1" applyBorder="1" applyAlignment="1">
      <alignment horizontal="right" wrapText="1"/>
    </xf>
    <xf numFmtId="0" fontId="4" fillId="17" borderId="6" xfId="0" applyFont="1" applyFill="1" applyBorder="1"/>
    <xf numFmtId="0" fontId="4" fillId="18" borderId="6" xfId="0" applyFont="1" applyFill="1" applyBorder="1" applyAlignment="1">
      <alignment horizontal="center"/>
    </xf>
    <xf numFmtId="0" fontId="4" fillId="18" borderId="6" xfId="0" applyFont="1" applyFill="1" applyBorder="1" applyAlignment="1">
      <alignment horizontal="right"/>
    </xf>
    <xf numFmtId="0" fontId="4" fillId="18" borderId="22" xfId="0" applyFont="1" applyFill="1" applyBorder="1" applyAlignment="1">
      <alignment horizontal="right" wrapText="1"/>
    </xf>
    <xf numFmtId="0" fontId="4" fillId="18" borderId="21" xfId="0" applyFont="1" applyFill="1" applyBorder="1" applyAlignment="1">
      <alignment horizontal="right" wrapText="1"/>
    </xf>
    <xf numFmtId="0" fontId="4" fillId="18" borderId="6" xfId="0" applyFont="1" applyFill="1" applyBorder="1" applyAlignment="1">
      <alignment horizontal="right" wrapText="1"/>
    </xf>
    <xf numFmtId="0" fontId="4" fillId="18" borderId="6" xfId="0" applyFont="1" applyFill="1" applyBorder="1"/>
    <xf numFmtId="0" fontId="4" fillId="19" borderId="6" xfId="0" applyFont="1" applyFill="1" applyBorder="1" applyAlignment="1">
      <alignment horizontal="center"/>
    </xf>
    <xf numFmtId="0" fontId="4" fillId="19" borderId="6" xfId="0" applyFont="1" applyFill="1" applyBorder="1" applyAlignment="1">
      <alignment horizontal="right"/>
    </xf>
    <xf numFmtId="0" fontId="4" fillId="19" borderId="22" xfId="0" applyFont="1" applyFill="1" applyBorder="1" applyAlignment="1">
      <alignment horizontal="right" wrapText="1"/>
    </xf>
    <xf numFmtId="0" fontId="4" fillId="19" borderId="21" xfId="0" applyFont="1" applyFill="1" applyBorder="1" applyAlignment="1">
      <alignment horizontal="right" wrapText="1"/>
    </xf>
    <xf numFmtId="0" fontId="4" fillId="19" borderId="6" xfId="0" applyFont="1" applyFill="1" applyBorder="1" applyAlignment="1">
      <alignment horizontal="right" wrapText="1"/>
    </xf>
    <xf numFmtId="0" fontId="4" fillId="19" borderId="6" xfId="0" applyFont="1" applyFill="1" applyBorder="1"/>
    <xf numFmtId="0" fontId="4" fillId="13" borderId="6" xfId="0" applyFont="1" applyFill="1" applyBorder="1" applyAlignment="1">
      <alignment horizontal="right"/>
    </xf>
    <xf numFmtId="0" fontId="4" fillId="13" borderId="22" xfId="0" applyFont="1" applyFill="1" applyBorder="1" applyAlignment="1">
      <alignment horizontal="right" wrapText="1"/>
    </xf>
    <xf numFmtId="0" fontId="4" fillId="13" borderId="21" xfId="0" applyFont="1" applyFill="1" applyBorder="1" applyAlignment="1">
      <alignment horizontal="right" wrapText="1"/>
    </xf>
    <xf numFmtId="0" fontId="4" fillId="13" borderId="6" xfId="0" applyFont="1" applyFill="1" applyBorder="1" applyAlignment="1">
      <alignment horizontal="right" wrapText="1"/>
    </xf>
    <xf numFmtId="0" fontId="4" fillId="13" borderId="22" xfId="0" applyFont="1" applyFill="1" applyBorder="1" applyAlignment="1">
      <alignment wrapText="1"/>
    </xf>
    <xf numFmtId="0" fontId="15" fillId="0" borderId="0" xfId="0" applyFont="1" applyAlignment="1">
      <alignment horizontal="right"/>
    </xf>
    <xf numFmtId="0" fontId="15" fillId="14" borderId="6" xfId="0" applyFont="1" applyFill="1" applyBorder="1" applyAlignment="1">
      <alignment horizontal="right"/>
    </xf>
    <xf numFmtId="0" fontId="15" fillId="13" borderId="6" xfId="0" applyFont="1" applyFill="1" applyBorder="1" applyAlignment="1">
      <alignment horizontal="right"/>
    </xf>
    <xf numFmtId="0" fontId="15" fillId="0" borderId="23" xfId="0" applyFont="1" applyBorder="1" applyAlignment="1">
      <alignment horizontal="right"/>
    </xf>
    <xf numFmtId="0" fontId="15" fillId="13" borderId="22" xfId="0" applyFont="1" applyFill="1" applyBorder="1" applyAlignment="1">
      <alignment horizontal="right" wrapText="1"/>
    </xf>
    <xf numFmtId="0" fontId="14" fillId="20" borderId="6" xfId="0" applyFont="1" applyFill="1" applyBorder="1" applyAlignment="1">
      <alignment horizontal="center"/>
    </xf>
    <xf numFmtId="0" fontId="15" fillId="20" borderId="6" xfId="0" applyFont="1" applyFill="1" applyBorder="1" applyAlignment="1">
      <alignment horizontal="right"/>
    </xf>
    <xf numFmtId="0" fontId="15" fillId="20" borderId="22" xfId="0" applyFont="1" applyFill="1" applyBorder="1" applyAlignment="1">
      <alignment horizontal="right" wrapText="1"/>
    </xf>
    <xf numFmtId="0" fontId="15" fillId="20" borderId="21" xfId="0" applyFont="1" applyFill="1" applyBorder="1" applyAlignment="1">
      <alignment horizontal="right" wrapText="1"/>
    </xf>
    <xf numFmtId="0" fontId="15" fillId="20" borderId="6" xfId="0" applyFont="1" applyFill="1" applyBorder="1" applyAlignment="1">
      <alignment horizontal="right" wrapText="1"/>
    </xf>
    <xf numFmtId="0" fontId="4" fillId="20" borderId="6" xfId="0" applyFont="1" applyFill="1" applyBorder="1" applyAlignment="1">
      <alignment horizontal="center"/>
    </xf>
    <xf numFmtId="0" fontId="4" fillId="20" borderId="6" xfId="0" applyFont="1" applyFill="1" applyBorder="1"/>
    <xf numFmtId="0" fontId="4" fillId="20" borderId="6" xfId="0" applyFont="1" applyFill="1" applyBorder="1" applyAlignment="1">
      <alignment horizontal="right"/>
    </xf>
    <xf numFmtId="0" fontId="4" fillId="20" borderId="22" xfId="0" applyFont="1" applyFill="1" applyBorder="1" applyAlignment="1">
      <alignment horizontal="right" wrapText="1"/>
    </xf>
    <xf numFmtId="0" fontId="4" fillId="0" borderId="25" xfId="0" applyFont="1" applyBorder="1" applyAlignment="1">
      <alignment horizontal="right"/>
    </xf>
    <xf numFmtId="0" fontId="4" fillId="0" borderId="26" xfId="0" applyFont="1" applyBorder="1" applyAlignment="1">
      <alignment horizontal="right"/>
    </xf>
    <xf numFmtId="0" fontId="4" fillId="18" borderId="27" xfId="0" applyFont="1" applyFill="1" applyBorder="1" applyAlignment="1">
      <alignment horizontal="right"/>
    </xf>
    <xf numFmtId="0" fontId="4" fillId="18" borderId="28" xfId="0" applyFont="1" applyFill="1" applyBorder="1" applyAlignment="1">
      <alignment horizontal="right" wrapText="1"/>
    </xf>
    <xf numFmtId="0" fontId="4" fillId="18" borderId="15" xfId="0" applyFont="1" applyFill="1" applyBorder="1" applyAlignment="1">
      <alignment horizontal="right" wrapText="1"/>
    </xf>
    <xf numFmtId="0" fontId="4" fillId="18" borderId="27" xfId="0" applyFont="1" applyFill="1" applyBorder="1" applyAlignment="1">
      <alignment horizontal="right" wrapText="1"/>
    </xf>
    <xf numFmtId="0" fontId="4" fillId="0" borderId="0" xfId="0" applyFont="1" applyAlignment="1">
      <alignment vertical="center"/>
    </xf>
    <xf numFmtId="0" fontId="4" fillId="0" borderId="29" xfId="0" applyFont="1" applyBorder="1"/>
    <xf numFmtId="0" fontId="4" fillId="0" borderId="30" xfId="0" applyFont="1" applyBorder="1"/>
    <xf numFmtId="0" fontId="13" fillId="0" borderId="29" xfId="0" applyFont="1" applyBorder="1"/>
    <xf numFmtId="0" fontId="4" fillId="0" borderId="31" xfId="0" applyFont="1" applyBorder="1"/>
    <xf numFmtId="0" fontId="13" fillId="0" borderId="23" xfId="0" applyFont="1" applyBorder="1" applyAlignment="1">
      <alignment vertical="center"/>
    </xf>
    <xf numFmtId="0" fontId="13" fillId="0" borderId="32" xfId="0" applyFont="1" applyBorder="1"/>
    <xf numFmtId="0" fontId="4" fillId="0" borderId="23" xfId="0" applyFont="1" applyBorder="1"/>
    <xf numFmtId="0" fontId="4" fillId="0" borderId="32" xfId="0" applyFont="1" applyBorder="1"/>
    <xf numFmtId="0" fontId="16" fillId="0" borderId="23" xfId="0" applyFont="1" applyBorder="1" applyAlignment="1">
      <alignment vertical="center"/>
    </xf>
    <xf numFmtId="0" fontId="17" fillId="0" borderId="23" xfId="0" applyFont="1" applyBorder="1" applyAlignment="1">
      <alignment vertical="center"/>
    </xf>
    <xf numFmtId="0" fontId="4" fillId="0" borderId="25" xfId="0" applyFont="1" applyBorder="1"/>
    <xf numFmtId="0" fontId="4" fillId="0" borderId="26" xfId="0" applyFont="1" applyBorder="1"/>
    <xf numFmtId="0" fontId="4" fillId="0" borderId="33" xfId="0" applyFont="1" applyBorder="1"/>
    <xf numFmtId="0" fontId="16" fillId="0" borderId="25" xfId="0" applyFont="1" applyBorder="1" applyAlignment="1">
      <alignment vertical="center"/>
    </xf>
    <xf numFmtId="0" fontId="4" fillId="7" borderId="14" xfId="0" applyFont="1" applyFill="1" applyBorder="1"/>
    <xf numFmtId="0" fontId="8" fillId="21" borderId="8" xfId="0" applyFont="1" applyFill="1" applyBorder="1" applyAlignment="1">
      <alignment horizontal="center" vertical="center"/>
    </xf>
    <xf numFmtId="0" fontId="4" fillId="22" borderId="3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3" borderId="37" xfId="0" applyFont="1" applyFill="1" applyBorder="1" applyAlignment="1">
      <alignment horizontal="center" vertical="center"/>
    </xf>
    <xf numFmtId="0" fontId="4" fillId="24" borderId="8" xfId="0" applyFont="1" applyFill="1" applyBorder="1" applyAlignment="1">
      <alignment horizontal="center" vertical="center"/>
    </xf>
    <xf numFmtId="0" fontId="4" fillId="25" borderId="37" xfId="0" applyFont="1" applyFill="1" applyBorder="1" applyAlignment="1">
      <alignment horizontal="center" vertical="center"/>
    </xf>
    <xf numFmtId="0" fontId="4" fillId="26" borderId="8" xfId="0" applyFont="1" applyFill="1" applyBorder="1" applyAlignment="1">
      <alignment horizontal="center" vertical="center"/>
    </xf>
    <xf numFmtId="0" fontId="4" fillId="27" borderId="37" xfId="0" applyFont="1" applyFill="1" applyBorder="1" applyAlignment="1">
      <alignment horizontal="center" vertical="center"/>
    </xf>
    <xf numFmtId="0" fontId="4" fillId="28" borderId="8" xfId="0" applyFont="1" applyFill="1" applyBorder="1" applyAlignment="1">
      <alignment horizontal="center" vertical="center"/>
    </xf>
    <xf numFmtId="0" fontId="4" fillId="29" borderId="38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0" borderId="0" xfId="0" applyFont="1" applyAlignment="1"/>
    <xf numFmtId="0" fontId="13" fillId="7" borderId="14" xfId="0" applyFont="1" applyFill="1" applyBorder="1"/>
    <xf numFmtId="0" fontId="19" fillId="20" borderId="8" xfId="0" applyFont="1" applyFill="1" applyBorder="1" applyAlignment="1">
      <alignment horizontal="center" wrapText="1"/>
    </xf>
    <xf numFmtId="0" fontId="19" fillId="0" borderId="8" xfId="0" applyFont="1" applyBorder="1" applyAlignment="1">
      <alignment horizontal="center" wrapText="1"/>
    </xf>
    <xf numFmtId="0" fontId="13" fillId="2" borderId="8" xfId="0" applyFont="1" applyFill="1" applyBorder="1" applyAlignment="1">
      <alignment horizontal="center"/>
    </xf>
    <xf numFmtId="0" fontId="4" fillId="0" borderId="41" xfId="0" applyFont="1" applyBorder="1" applyAlignment="1">
      <alignment horizontal="right" wrapText="1"/>
    </xf>
    <xf numFmtId="3" fontId="4" fillId="0" borderId="42" xfId="0" applyNumberFormat="1" applyFont="1" applyBorder="1" applyAlignment="1">
      <alignment horizontal="right" wrapText="1"/>
    </xf>
    <xf numFmtId="0" fontId="4" fillId="0" borderId="43" xfId="0" applyFont="1" applyBorder="1" applyAlignment="1">
      <alignment wrapText="1"/>
    </xf>
    <xf numFmtId="0" fontId="4" fillId="0" borderId="44" xfId="0" applyFont="1" applyBorder="1" applyAlignment="1">
      <alignment horizontal="right" wrapText="1"/>
    </xf>
    <xf numFmtId="0" fontId="4" fillId="0" borderId="45" xfId="0" applyFont="1" applyBorder="1" applyAlignment="1">
      <alignment horizontal="right" wrapText="1"/>
    </xf>
    <xf numFmtId="0" fontId="4" fillId="0" borderId="46" xfId="0" applyFont="1" applyBorder="1" applyAlignment="1">
      <alignment horizontal="right" wrapText="1"/>
    </xf>
    <xf numFmtId="0" fontId="4" fillId="0" borderId="45" xfId="0" applyFont="1" applyBorder="1" applyAlignment="1">
      <alignment wrapText="1"/>
    </xf>
    <xf numFmtId="0" fontId="13" fillId="30" borderId="8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9" fontId="4" fillId="4" borderId="8" xfId="0" applyNumberFormat="1" applyFont="1" applyFill="1" applyBorder="1" applyAlignment="1">
      <alignment horizontal="center"/>
    </xf>
    <xf numFmtId="0" fontId="4" fillId="17" borderId="8" xfId="0" applyFont="1" applyFill="1" applyBorder="1" applyAlignment="1">
      <alignment horizontal="center" wrapText="1"/>
    </xf>
    <xf numFmtId="0" fontId="4" fillId="18" borderId="8" xfId="0" applyFont="1" applyFill="1" applyBorder="1" applyAlignment="1">
      <alignment horizontal="center" wrapText="1"/>
    </xf>
    <xf numFmtId="0" fontId="4" fillId="18" borderId="8" xfId="0" applyFont="1" applyFill="1" applyBorder="1" applyAlignment="1">
      <alignment horizontal="center" vertical="center" wrapText="1"/>
    </xf>
    <xf numFmtId="0" fontId="4" fillId="19" borderId="8" xfId="0" applyFont="1" applyFill="1" applyBorder="1" applyAlignment="1">
      <alignment horizontal="center" wrapText="1"/>
    </xf>
    <xf numFmtId="0" fontId="4" fillId="19" borderId="8" xfId="0" applyFont="1" applyFill="1" applyBorder="1" applyAlignment="1">
      <alignment horizontal="center" vertical="center" wrapText="1"/>
    </xf>
    <xf numFmtId="0" fontId="4" fillId="13" borderId="8" xfId="0" applyFont="1" applyFill="1" applyBorder="1" applyAlignment="1">
      <alignment horizontal="center" wrapText="1"/>
    </xf>
    <xf numFmtId="0" fontId="14" fillId="20" borderId="8" xfId="0" applyFont="1" applyFill="1" applyBorder="1" applyAlignment="1">
      <alignment horizontal="center" wrapText="1"/>
    </xf>
    <xf numFmtId="0" fontId="1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21" fillId="21" borderId="8" xfId="0" applyFont="1" applyFill="1" applyBorder="1" applyAlignment="1">
      <alignment horizontal="center" vertical="center"/>
    </xf>
    <xf numFmtId="9" fontId="5" fillId="31" borderId="53" xfId="0" applyNumberFormat="1" applyFont="1" applyFill="1" applyBorder="1" applyAlignment="1">
      <alignment horizontal="center" vertical="center"/>
    </xf>
    <xf numFmtId="164" fontId="6" fillId="3" borderId="5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1" fontId="6" fillId="3" borderId="5" xfId="0" applyNumberFormat="1" applyFont="1" applyFill="1" applyBorder="1" applyAlignment="1">
      <alignment horizontal="center" vertical="center"/>
    </xf>
    <xf numFmtId="1" fontId="6" fillId="3" borderId="5" xfId="0" applyNumberFormat="1" applyFont="1" applyFill="1" applyBorder="1"/>
    <xf numFmtId="0" fontId="5" fillId="0" borderId="4" xfId="0" applyFont="1" applyBorder="1" applyAlignment="1">
      <alignment horizontal="center"/>
    </xf>
    <xf numFmtId="1" fontId="7" fillId="3" borderId="54" xfId="0" applyNumberFormat="1" applyFont="1" applyFill="1" applyBorder="1" applyAlignment="1">
      <alignment horizontal="center" vertical="center"/>
    </xf>
    <xf numFmtId="0" fontId="4" fillId="0" borderId="55" xfId="0" applyFont="1" applyBorder="1"/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0" fillId="0" borderId="55" xfId="0" applyFont="1" applyBorder="1"/>
    <xf numFmtId="0" fontId="4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2" fillId="0" borderId="0" xfId="0" applyFont="1"/>
    <xf numFmtId="0" fontId="19" fillId="7" borderId="6" xfId="0" applyFont="1" applyFill="1" applyBorder="1"/>
    <xf numFmtId="166" fontId="4" fillId="7" borderId="6" xfId="0" applyNumberFormat="1" applyFont="1" applyFill="1" applyBorder="1"/>
    <xf numFmtId="0" fontId="4" fillId="7" borderId="6" xfId="0" applyFont="1" applyFill="1" applyBorder="1"/>
    <xf numFmtId="10" fontId="6" fillId="3" borderId="5" xfId="0" applyNumberFormat="1" applyFont="1" applyFill="1" applyBorder="1"/>
    <xf numFmtId="166" fontId="4" fillId="0" borderId="0" xfId="0" applyNumberFormat="1" applyFont="1"/>
    <xf numFmtId="0" fontId="19" fillId="0" borderId="0" xfId="0" applyFont="1"/>
    <xf numFmtId="164" fontId="6" fillId="3" borderId="5" xfId="0" applyNumberFormat="1" applyFont="1" applyFill="1" applyBorder="1"/>
    <xf numFmtId="0" fontId="11" fillId="7" borderId="64" xfId="0" applyFont="1" applyFill="1" applyBorder="1"/>
    <xf numFmtId="9" fontId="7" fillId="3" borderId="7" xfId="0" applyNumberFormat="1" applyFont="1" applyFill="1" applyBorder="1"/>
    <xf numFmtId="0" fontId="11" fillId="7" borderId="14" xfId="0" applyFont="1" applyFill="1" applyBorder="1"/>
    <xf numFmtId="9" fontId="6" fillId="3" borderId="5" xfId="0" applyNumberFormat="1" applyFont="1" applyFill="1" applyBorder="1"/>
    <xf numFmtId="0" fontId="4" fillId="0" borderId="58" xfId="0" applyFont="1" applyBorder="1"/>
    <xf numFmtId="0" fontId="4" fillId="0" borderId="57" xfId="0" applyFont="1" applyBorder="1"/>
    <xf numFmtId="0" fontId="4" fillId="0" borderId="66" xfId="0" applyFont="1" applyBorder="1"/>
    <xf numFmtId="0" fontId="4" fillId="0" borderId="67" xfId="0" applyFont="1" applyBorder="1"/>
    <xf numFmtId="0" fontId="4" fillId="0" borderId="68" xfId="0" applyFont="1" applyBorder="1"/>
    <xf numFmtId="0" fontId="5" fillId="31" borderId="53" xfId="0" applyFont="1" applyFill="1" applyBorder="1" applyAlignment="1">
      <alignment horizontal="center"/>
    </xf>
    <xf numFmtId="0" fontId="5" fillId="31" borderId="53" xfId="0" applyFont="1" applyFill="1" applyBorder="1" applyAlignment="1">
      <alignment horizontal="center" vertical="center"/>
    </xf>
    <xf numFmtId="0" fontId="4" fillId="0" borderId="69" xfId="0" applyFont="1" applyBorder="1"/>
    <xf numFmtId="0" fontId="19" fillId="7" borderId="14" xfId="0" applyFont="1" applyFill="1" applyBorder="1"/>
    <xf numFmtId="0" fontId="21" fillId="21" borderId="37" xfId="0" applyFont="1" applyFill="1" applyBorder="1" applyAlignment="1">
      <alignment horizontal="center" vertical="center"/>
    </xf>
    <xf numFmtId="0" fontId="21" fillId="21" borderId="6" xfId="0" applyFont="1" applyFill="1" applyBorder="1" applyAlignment="1">
      <alignment horizontal="center" vertical="center"/>
    </xf>
    <xf numFmtId="3" fontId="6" fillId="3" borderId="5" xfId="0" applyNumberFormat="1" applyFont="1" applyFill="1" applyBorder="1" applyAlignment="1">
      <alignment horizontal="center" vertical="center"/>
    </xf>
    <xf numFmtId="3" fontId="5" fillId="0" borderId="4" xfId="0" applyNumberFormat="1" applyFont="1" applyBorder="1" applyAlignment="1">
      <alignment horizontal="center" vertical="center"/>
    </xf>
    <xf numFmtId="9" fontId="5" fillId="0" borderId="4" xfId="0" applyNumberFormat="1" applyFont="1" applyBorder="1" applyAlignment="1">
      <alignment horizontal="center" vertical="center"/>
    </xf>
    <xf numFmtId="0" fontId="0" fillId="7" borderId="14" xfId="0" applyFont="1" applyFill="1" applyBorder="1" applyAlignment="1">
      <alignment horizontal="center" vertical="center"/>
    </xf>
    <xf numFmtId="9" fontId="0" fillId="0" borderId="0" xfId="0" applyNumberFormat="1" applyFont="1"/>
    <xf numFmtId="0" fontId="14" fillId="0" borderId="0" xfId="0" applyFont="1" applyAlignment="1">
      <alignment horizontal="center" vertical="center" wrapText="1"/>
    </xf>
    <xf numFmtId="0" fontId="5" fillId="4" borderId="53" xfId="0" applyFont="1" applyFill="1" applyBorder="1" applyAlignment="1">
      <alignment horizontal="center"/>
    </xf>
    <xf numFmtId="0" fontId="6" fillId="3" borderId="5" xfId="0" applyFont="1" applyFill="1" applyBorder="1"/>
    <xf numFmtId="0" fontId="0" fillId="0" borderId="58" xfId="0" applyFont="1" applyBorder="1"/>
    <xf numFmtId="0" fontId="0" fillId="0" borderId="57" xfId="0" applyFont="1" applyBorder="1"/>
    <xf numFmtId="0" fontId="7" fillId="3" borderId="70" xfId="0" applyFont="1" applyFill="1" applyBorder="1" applyAlignment="1">
      <alignment horizontal="center"/>
    </xf>
    <xf numFmtId="0" fontId="7" fillId="3" borderId="71" xfId="0" applyFont="1" applyFill="1" applyBorder="1" applyAlignment="1">
      <alignment horizontal="center"/>
    </xf>
    <xf numFmtId="0" fontId="0" fillId="0" borderId="65" xfId="0" applyFont="1" applyBorder="1"/>
    <xf numFmtId="0" fontId="0" fillId="0" borderId="66" xfId="0" applyFont="1" applyBorder="1"/>
    <xf numFmtId="0" fontId="0" fillId="0" borderId="67" xfId="0" applyFont="1" applyBorder="1"/>
    <xf numFmtId="0" fontId="0" fillId="0" borderId="68" xfId="0" applyFont="1" applyBorder="1"/>
    <xf numFmtId="0" fontId="14" fillId="0" borderId="59" xfId="0" applyFont="1" applyBorder="1"/>
    <xf numFmtId="0" fontId="6" fillId="3" borderId="5" xfId="0" applyFont="1" applyFill="1" applyBorder="1" applyAlignment="1">
      <alignment horizontal="center"/>
    </xf>
    <xf numFmtId="0" fontId="19" fillId="0" borderId="59" xfId="0" applyFont="1" applyBorder="1" applyAlignment="1">
      <alignment horizontal="center" vertical="center"/>
    </xf>
    <xf numFmtId="0" fontId="0" fillId="0" borderId="68" xfId="0" applyFont="1" applyBorder="1" applyAlignment="1">
      <alignment horizontal="center" vertical="center"/>
    </xf>
    <xf numFmtId="0" fontId="5" fillId="0" borderId="61" xfId="0" applyFont="1" applyBorder="1" applyAlignment="1">
      <alignment horizontal="center"/>
    </xf>
    <xf numFmtId="0" fontId="5" fillId="31" borderId="60" xfId="0" applyFont="1" applyFill="1" applyBorder="1" applyAlignment="1">
      <alignment horizontal="center"/>
    </xf>
    <xf numFmtId="0" fontId="14" fillId="0" borderId="62" xfId="0" applyFont="1" applyBorder="1"/>
    <xf numFmtId="0" fontId="0" fillId="0" borderId="69" xfId="0" applyFont="1" applyBorder="1"/>
    <xf numFmtId="0" fontId="25" fillId="0" borderId="0" xfId="0" applyFont="1"/>
    <xf numFmtId="0" fontId="26" fillId="4" borderId="6" xfId="0" applyFont="1" applyFill="1" applyBorder="1"/>
    <xf numFmtId="0" fontId="27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right"/>
    </xf>
    <xf numFmtId="0" fontId="24" fillId="34" borderId="8" xfId="0" applyFont="1" applyFill="1" applyBorder="1" applyAlignment="1">
      <alignment horizontal="center"/>
    </xf>
    <xf numFmtId="0" fontId="24" fillId="34" borderId="75" xfId="0" applyFont="1" applyFill="1" applyBorder="1" applyAlignment="1">
      <alignment horizontal="center"/>
    </xf>
    <xf numFmtId="0" fontId="24" fillId="15" borderId="8" xfId="0" applyFont="1" applyFill="1" applyBorder="1" applyAlignment="1">
      <alignment horizontal="center"/>
    </xf>
    <xf numFmtId="0" fontId="24" fillId="15" borderId="75" xfId="0" applyFont="1" applyFill="1" applyBorder="1" applyAlignment="1">
      <alignment horizontal="center"/>
    </xf>
    <xf numFmtId="0" fontId="24" fillId="15" borderId="63" xfId="0" applyFont="1" applyFill="1" applyBorder="1" applyAlignment="1">
      <alignment horizontal="center"/>
    </xf>
    <xf numFmtId="0" fontId="24" fillId="20" borderId="72" xfId="0" applyFont="1" applyFill="1" applyBorder="1" applyAlignment="1">
      <alignment horizontal="center"/>
    </xf>
    <xf numFmtId="0" fontId="24" fillId="37" borderId="8" xfId="0" applyFont="1" applyFill="1" applyBorder="1" applyAlignment="1">
      <alignment horizontal="center"/>
    </xf>
    <xf numFmtId="0" fontId="24" fillId="34" borderId="28" xfId="0" applyFont="1" applyFill="1" applyBorder="1" applyAlignment="1">
      <alignment horizontal="center"/>
    </xf>
    <xf numFmtId="0" fontId="14" fillId="0" borderId="8" xfId="0" applyFont="1" applyBorder="1" applyAlignment="1">
      <alignment horizontal="left"/>
    </xf>
    <xf numFmtId="0" fontId="14" fillId="0" borderId="49" xfId="0" applyFont="1" applyBorder="1" applyAlignment="1">
      <alignment horizontal="right"/>
    </xf>
    <xf numFmtId="0" fontId="14" fillId="0" borderId="8" xfId="0" applyFont="1" applyBorder="1" applyAlignment="1">
      <alignment horizontal="right"/>
    </xf>
    <xf numFmtId="0" fontId="14" fillId="0" borderId="36" xfId="0" applyFont="1" applyBorder="1" applyAlignment="1">
      <alignment horizontal="right"/>
    </xf>
    <xf numFmtId="0" fontId="19" fillId="34" borderId="75" xfId="0" applyFont="1" applyFill="1" applyBorder="1" applyAlignment="1">
      <alignment horizontal="right"/>
    </xf>
    <xf numFmtId="0" fontId="19" fillId="35" borderId="75" xfId="0" applyFont="1" applyFill="1" applyBorder="1" applyAlignment="1">
      <alignment horizontal="right"/>
    </xf>
    <xf numFmtId="0" fontId="19" fillId="36" borderId="75" xfId="0" applyFont="1" applyFill="1" applyBorder="1" applyAlignment="1">
      <alignment horizontal="right"/>
    </xf>
    <xf numFmtId="0" fontId="14" fillId="35" borderId="75" xfId="0" applyFont="1" applyFill="1" applyBorder="1" applyAlignment="1">
      <alignment horizontal="right"/>
    </xf>
    <xf numFmtId="0" fontId="14" fillId="0" borderId="33" xfId="0" applyFont="1" applyBorder="1" applyAlignment="1">
      <alignment horizontal="right"/>
    </xf>
    <xf numFmtId="0" fontId="19" fillId="34" borderId="28" xfId="0" applyFont="1" applyFill="1" applyBorder="1" applyAlignment="1">
      <alignment horizontal="right"/>
    </xf>
    <xf numFmtId="0" fontId="19" fillId="35" borderId="28" xfId="0" applyFont="1" applyFill="1" applyBorder="1" applyAlignment="1">
      <alignment horizontal="right"/>
    </xf>
    <xf numFmtId="0" fontId="14" fillId="35" borderId="28" xfId="0" applyFont="1" applyFill="1" applyBorder="1" applyAlignment="1">
      <alignment horizontal="right"/>
    </xf>
    <xf numFmtId="0" fontId="19" fillId="36" borderId="28" xfId="0" applyFont="1" applyFill="1" applyBorder="1" applyAlignment="1">
      <alignment horizontal="right"/>
    </xf>
    <xf numFmtId="0" fontId="14" fillId="0" borderId="0" xfId="0" applyFont="1" applyAlignment="1">
      <alignment horizontal="left"/>
    </xf>
    <xf numFmtId="2" fontId="19" fillId="36" borderId="28" xfId="0" applyNumberFormat="1" applyFont="1" applyFill="1" applyBorder="1" applyAlignment="1">
      <alignment horizontal="right"/>
    </xf>
    <xf numFmtId="4" fontId="19" fillId="35" borderId="28" xfId="0" applyNumberFormat="1" applyFont="1" applyFill="1" applyBorder="1" applyAlignment="1">
      <alignment horizontal="right"/>
    </xf>
    <xf numFmtId="0" fontId="19" fillId="0" borderId="49" xfId="0" applyFont="1" applyBorder="1" applyAlignment="1">
      <alignment horizontal="right"/>
    </xf>
    <xf numFmtId="0" fontId="19" fillId="0" borderId="33" xfId="0" applyFont="1" applyBorder="1" applyAlignment="1">
      <alignment horizontal="right"/>
    </xf>
    <xf numFmtId="0" fontId="25" fillId="0" borderId="49" xfId="0" applyFont="1" applyBorder="1"/>
    <xf numFmtId="2" fontId="19" fillId="35" borderId="28" xfId="0" applyNumberFormat="1" applyFont="1" applyFill="1" applyBorder="1" applyAlignment="1">
      <alignment horizontal="right"/>
    </xf>
    <xf numFmtId="0" fontId="27" fillId="35" borderId="28" xfId="0" applyFont="1" applyFill="1" applyBorder="1"/>
    <xf numFmtId="4" fontId="19" fillId="36" borderId="28" xfId="0" applyNumberFormat="1" applyFont="1" applyFill="1" applyBorder="1" applyAlignment="1">
      <alignment horizontal="right"/>
    </xf>
    <xf numFmtId="0" fontId="2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3" fillId="0" borderId="78" xfId="0" applyFont="1" applyBorder="1" applyAlignment="1">
      <alignment horizontal="center" vertical="center"/>
    </xf>
    <xf numFmtId="0" fontId="5" fillId="31" borderId="82" xfId="0" applyFont="1" applyFill="1" applyBorder="1" applyAlignment="1">
      <alignment horizontal="center" vertical="center"/>
    </xf>
    <xf numFmtId="0" fontId="14" fillId="0" borderId="29" xfId="0" applyFont="1" applyBorder="1"/>
    <xf numFmtId="0" fontId="3" fillId="0" borderId="31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14" fillId="0" borderId="23" xfId="0" applyFont="1" applyBorder="1"/>
    <xf numFmtId="0" fontId="3" fillId="0" borderId="0" xfId="0" applyFont="1" applyAlignment="1">
      <alignment vertical="center"/>
    </xf>
    <xf numFmtId="0" fontId="3" fillId="0" borderId="32" xfId="0" applyFont="1" applyBorder="1" applyAlignment="1">
      <alignment vertical="center"/>
    </xf>
    <xf numFmtId="0" fontId="5" fillId="31" borderId="38" xfId="0" applyFont="1" applyFill="1" applyBorder="1" applyAlignment="1">
      <alignment horizontal="center" vertical="center"/>
    </xf>
    <xf numFmtId="0" fontId="7" fillId="3" borderId="83" xfId="0" applyFont="1" applyFill="1" applyBorder="1"/>
    <xf numFmtId="0" fontId="14" fillId="0" borderId="25" xfId="0" applyFont="1" applyBorder="1"/>
    <xf numFmtId="0" fontId="3" fillId="0" borderId="26" xfId="0" applyFont="1" applyBorder="1" applyAlignment="1">
      <alignment vertical="center"/>
    </xf>
    <xf numFmtId="0" fontId="3" fillId="0" borderId="33" xfId="0" applyFont="1" applyBorder="1" applyAlignment="1">
      <alignment vertical="center"/>
    </xf>
    <xf numFmtId="0" fontId="0" fillId="0" borderId="0" xfId="0" applyFont="1" applyAlignment="1"/>
    <xf numFmtId="0" fontId="28" fillId="0" borderId="0" xfId="0" applyFont="1" applyAlignment="1">
      <alignment horizontal="left" vertical="center"/>
    </xf>
    <xf numFmtId="0" fontId="14" fillId="0" borderId="52" xfId="0" applyFont="1" applyBorder="1"/>
    <xf numFmtId="0" fontId="14" fillId="0" borderId="49" xfId="0" applyFont="1" applyBorder="1"/>
    <xf numFmtId="0" fontId="4" fillId="0" borderId="0" xfId="0" applyFont="1" applyAlignment="1">
      <alignment horizontal="center" vertical="center"/>
    </xf>
    <xf numFmtId="0" fontId="4" fillId="0" borderId="52" xfId="0" applyFont="1" applyBorder="1"/>
    <xf numFmtId="0" fontId="4" fillId="0" borderId="49" xfId="0" applyFont="1" applyBorder="1"/>
    <xf numFmtId="0" fontId="4" fillId="0" borderId="8" xfId="0" applyFont="1" applyBorder="1"/>
    <xf numFmtId="0" fontId="20" fillId="21" borderId="8" xfId="0" applyFont="1" applyFill="1" applyBorder="1" applyAlignment="1">
      <alignment horizontal="center" vertical="center"/>
    </xf>
    <xf numFmtId="1" fontId="7" fillId="3" borderId="84" xfId="0" applyNumberFormat="1" applyFont="1" applyFill="1" applyBorder="1" applyAlignment="1">
      <alignment horizontal="center" vertical="center"/>
    </xf>
    <xf numFmtId="0" fontId="3" fillId="0" borderId="78" xfId="0" applyFont="1" applyBorder="1"/>
    <xf numFmtId="0" fontId="5" fillId="31" borderId="85" xfId="0" applyFont="1" applyFill="1" applyBorder="1" applyAlignment="1">
      <alignment horizontal="center" vertical="center"/>
    </xf>
    <xf numFmtId="0" fontId="5" fillId="0" borderId="86" xfId="0" applyFont="1" applyBorder="1"/>
    <xf numFmtId="0" fontId="14" fillId="0" borderId="87" xfId="0" applyFont="1" applyBorder="1"/>
    <xf numFmtId="0" fontId="4" fillId="0" borderId="87" xfId="0" applyFont="1" applyBorder="1"/>
    <xf numFmtId="0" fontId="5" fillId="31" borderId="88" xfId="0" applyFont="1" applyFill="1" applyBorder="1" applyAlignment="1">
      <alignment horizontal="center" vertical="center"/>
    </xf>
    <xf numFmtId="164" fontId="6" fillId="3" borderId="89" xfId="0" applyNumberFormat="1" applyFont="1" applyFill="1" applyBorder="1" applyAlignment="1">
      <alignment horizontal="center" vertical="center"/>
    </xf>
    <xf numFmtId="164" fontId="6" fillId="3" borderId="90" xfId="0" applyNumberFormat="1" applyFont="1" applyFill="1" applyBorder="1" applyAlignment="1">
      <alignment horizontal="left" vertical="center"/>
    </xf>
    <xf numFmtId="1" fontId="7" fillId="3" borderId="91" xfId="0" applyNumberFormat="1" applyFont="1" applyFill="1" applyBorder="1" applyAlignment="1">
      <alignment horizontal="center" vertical="center"/>
    </xf>
    <xf numFmtId="1" fontId="7" fillId="3" borderId="92" xfId="0" applyNumberFormat="1" applyFont="1" applyFill="1" applyBorder="1" applyAlignment="1">
      <alignment horizontal="left" vertical="center"/>
    </xf>
    <xf numFmtId="1" fontId="11" fillId="8" borderId="93" xfId="0" applyNumberFormat="1" applyFont="1" applyFill="1" applyBorder="1" applyAlignment="1">
      <alignment horizontal="center" vertical="center"/>
    </xf>
    <xf numFmtId="1" fontId="11" fillId="8" borderId="94" xfId="0" applyNumberFormat="1" applyFont="1" applyFill="1" applyBorder="1" applyAlignment="1">
      <alignment horizontal="left" vertical="center"/>
    </xf>
    <xf numFmtId="0" fontId="14" fillId="0" borderId="95" xfId="0" applyFont="1" applyBorder="1"/>
    <xf numFmtId="0" fontId="0" fillId="0" borderId="0" xfId="0" applyFont="1" applyAlignment="1">
      <alignment horizontal="center"/>
    </xf>
    <xf numFmtId="0" fontId="0" fillId="0" borderId="0" xfId="0" applyFont="1" applyAlignment="1"/>
    <xf numFmtId="1" fontId="6" fillId="3" borderId="103" xfId="0" applyNumberFormat="1" applyFont="1" applyFill="1" applyBorder="1"/>
    <xf numFmtId="0" fontId="0" fillId="0" borderId="0" xfId="0" applyFont="1" applyAlignment="1"/>
    <xf numFmtId="0" fontId="25" fillId="0" borderId="24" xfId="1"/>
    <xf numFmtId="0" fontId="22" fillId="0" borderId="24" xfId="1" applyFont="1"/>
    <xf numFmtId="169" fontId="7" fillId="3" borderId="24" xfId="1" applyNumberFormat="1" applyFont="1" applyFill="1" applyAlignment="1">
      <alignment horizontal="center"/>
    </xf>
    <xf numFmtId="0" fontId="7" fillId="3" borderId="24" xfId="1" applyFont="1" applyFill="1" applyAlignment="1">
      <alignment horizontal="center"/>
    </xf>
    <xf numFmtId="0" fontId="0" fillId="0" borderId="0" xfId="0" applyFont="1" applyAlignment="1"/>
    <xf numFmtId="0" fontId="37" fillId="21" borderId="6" xfId="0" applyFont="1" applyFill="1" applyBorder="1" applyAlignment="1">
      <alignment horizontal="center" vertical="center"/>
    </xf>
    <xf numFmtId="0" fontId="38" fillId="5" borderId="24" xfId="0" applyFont="1" applyFill="1" applyBorder="1" applyAlignment="1">
      <alignment horizontal="center"/>
    </xf>
    <xf numFmtId="0" fontId="14" fillId="0" borderId="0" xfId="0" applyFont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8" xfId="0" applyFont="1" applyBorder="1" applyAlignment="1">
      <alignment horizontal="left"/>
    </xf>
    <xf numFmtId="0" fontId="39" fillId="15" borderId="73" xfId="0" applyFont="1" applyFill="1" applyBorder="1" applyAlignment="1">
      <alignment horizontal="center"/>
    </xf>
    <xf numFmtId="0" fontId="37" fillId="21" borderId="8" xfId="0" applyFont="1" applyFill="1" applyBorder="1" applyAlignment="1">
      <alignment horizontal="center" vertical="center"/>
    </xf>
    <xf numFmtId="0" fontId="40" fillId="0" borderId="0" xfId="0" applyFont="1" applyAlignment="1">
      <alignment horizontal="left"/>
    </xf>
    <xf numFmtId="0" fontId="41" fillId="0" borderId="8" xfId="0" applyFont="1" applyBorder="1" applyAlignment="1">
      <alignment horizontal="left" vertical="center" wrapText="1"/>
    </xf>
    <xf numFmtId="0" fontId="41" fillId="0" borderId="0" xfId="0" applyFont="1" applyBorder="1" applyAlignment="1">
      <alignment horizontal="left" vertical="center" wrapText="1"/>
    </xf>
    <xf numFmtId="0" fontId="40" fillId="4" borderId="8" xfId="0" applyFont="1" applyFill="1" applyBorder="1" applyAlignment="1">
      <alignment horizontal="center"/>
    </xf>
    <xf numFmtId="0" fontId="4" fillId="0" borderId="10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0" fillId="0" borderId="0" xfId="0" applyFont="1" applyAlignment="1"/>
    <xf numFmtId="3" fontId="25" fillId="0" borderId="24" xfId="1" applyNumberFormat="1"/>
    <xf numFmtId="3" fontId="0" fillId="0" borderId="0" xfId="0" applyNumberFormat="1" applyFont="1" applyAlignment="1"/>
    <xf numFmtId="9" fontId="44" fillId="41" borderId="5" xfId="2" applyFont="1" applyFill="1" applyBorder="1"/>
    <xf numFmtId="170" fontId="22" fillId="0" borderId="24" xfId="1" applyNumberFormat="1" applyFont="1" applyAlignment="1">
      <alignment horizontal="right"/>
    </xf>
    <xf numFmtId="170" fontId="7" fillId="4" borderId="24" xfId="1" applyNumberFormat="1" applyFont="1" applyFill="1" applyAlignment="1">
      <alignment horizontal="right"/>
    </xf>
    <xf numFmtId="170" fontId="25" fillId="0" borderId="24" xfId="1" applyNumberFormat="1" applyAlignment="1">
      <alignment horizontal="right"/>
    </xf>
    <xf numFmtId="0" fontId="48" fillId="0" borderId="24" xfId="1" applyFont="1"/>
    <xf numFmtId="0" fontId="46" fillId="38" borderId="24" xfId="1" applyFont="1" applyFill="1"/>
    <xf numFmtId="9" fontId="46" fillId="38" borderId="24" xfId="1" applyNumberFormat="1" applyFont="1" applyFill="1" applyAlignment="1">
      <alignment horizontal="right"/>
    </xf>
    <xf numFmtId="0" fontId="0" fillId="0" borderId="0" xfId="0"/>
    <xf numFmtId="1" fontId="0" fillId="0" borderId="0" xfId="0" applyNumberFormat="1"/>
    <xf numFmtId="0" fontId="36" fillId="0" borderId="0" xfId="0" applyFont="1"/>
    <xf numFmtId="0" fontId="0" fillId="43" borderId="0" xfId="0" applyFill="1"/>
    <xf numFmtId="1" fontId="0" fillId="43" borderId="0" xfId="0" applyNumberFormat="1" applyFill="1"/>
    <xf numFmtId="0" fontId="51" fillId="0" borderId="107" xfId="0" applyFont="1" applyBorder="1" applyAlignment="1">
      <alignment horizontal="center" vertical="center"/>
    </xf>
    <xf numFmtId="0" fontId="52" fillId="0" borderId="0" xfId="0" applyFont="1"/>
    <xf numFmtId="1" fontId="52" fillId="0" borderId="0" xfId="0" applyNumberFormat="1" applyFont="1"/>
    <xf numFmtId="2" fontId="51" fillId="0" borderId="108" xfId="0" applyNumberFormat="1" applyFont="1" applyBorder="1" applyAlignment="1">
      <alignment horizontal="center" vertical="center"/>
    </xf>
    <xf numFmtId="0" fontId="51" fillId="0" borderId="108" xfId="0" applyFont="1" applyBorder="1" applyAlignment="1">
      <alignment horizontal="center" vertical="center"/>
    </xf>
    <xf numFmtId="0" fontId="53" fillId="0" borderId="108" xfId="0" applyFont="1" applyBorder="1"/>
    <xf numFmtId="0" fontId="51" fillId="0" borderId="109" xfId="0" applyFont="1" applyBorder="1"/>
    <xf numFmtId="0" fontId="53" fillId="0" borderId="109" xfId="0" applyFont="1" applyBorder="1"/>
    <xf numFmtId="1" fontId="51" fillId="0" borderId="24" xfId="0" applyNumberFormat="1" applyFont="1" applyBorder="1"/>
    <xf numFmtId="9" fontId="44" fillId="41" borderId="11" xfId="2" applyFont="1" applyFill="1" applyBorder="1"/>
    <xf numFmtId="0" fontId="22" fillId="0" borderId="104" xfId="1" applyFont="1" applyBorder="1"/>
    <xf numFmtId="169" fontId="7" fillId="3" borderId="104" xfId="1" applyNumberFormat="1" applyFont="1" applyFill="1" applyBorder="1" applyAlignment="1">
      <alignment horizontal="center"/>
    </xf>
    <xf numFmtId="170" fontId="7" fillId="4" borderId="104" xfId="1" applyNumberFormat="1" applyFont="1" applyFill="1" applyBorder="1" applyAlignment="1">
      <alignment horizontal="right"/>
    </xf>
    <xf numFmtId="0" fontId="46" fillId="38" borderId="104" xfId="1" applyFont="1" applyFill="1" applyBorder="1"/>
    <xf numFmtId="9" fontId="44" fillId="41" borderId="111" xfId="2" applyFont="1" applyFill="1" applyBorder="1"/>
    <xf numFmtId="0" fontId="25" fillId="0" borderId="104" xfId="1" applyBorder="1"/>
    <xf numFmtId="9" fontId="52" fillId="0" borderId="0" xfId="2" applyFont="1"/>
    <xf numFmtId="0" fontId="53" fillId="0" borderId="0" xfId="0" applyFont="1"/>
    <xf numFmtId="1" fontId="54" fillId="0" borderId="0" xfId="0" applyNumberFormat="1" applyFont="1"/>
    <xf numFmtId="1" fontId="0" fillId="0" borderId="0" xfId="0" applyNumberFormat="1" applyFont="1" applyAlignment="1"/>
    <xf numFmtId="0" fontId="2" fillId="0" borderId="24" xfId="0" applyFont="1" applyBorder="1"/>
    <xf numFmtId="0" fontId="8" fillId="21" borderId="47" xfId="0" applyFont="1" applyFill="1" applyBorder="1" applyAlignment="1">
      <alignment horizontal="center" vertical="center"/>
    </xf>
    <xf numFmtId="0" fontId="8" fillId="5" borderId="72" xfId="0" applyFont="1" applyFill="1" applyBorder="1" applyAlignment="1">
      <alignment horizontal="center"/>
    </xf>
    <xf numFmtId="0" fontId="12" fillId="5" borderId="72" xfId="0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25" fillId="0" borderId="24" xfId="1" applyBorder="1"/>
    <xf numFmtId="0" fontId="25" fillId="0" borderId="109" xfId="1" applyBorder="1"/>
    <xf numFmtId="0" fontId="44" fillId="41" borderId="5" xfId="4" applyAlignment="1">
      <alignment horizontal="center"/>
    </xf>
    <xf numFmtId="0" fontId="1" fillId="44" borderId="5" xfId="8" applyBorder="1" applyAlignment="1">
      <alignment horizontal="center"/>
    </xf>
    <xf numFmtId="0" fontId="1" fillId="44" borderId="103" xfId="8" applyBorder="1" applyAlignment="1">
      <alignment horizontal="center"/>
    </xf>
    <xf numFmtId="0" fontId="25" fillId="0" borderId="116" xfId="1" applyBorder="1"/>
    <xf numFmtId="0" fontId="0" fillId="0" borderId="116" xfId="0" applyFont="1" applyBorder="1" applyAlignment="1"/>
    <xf numFmtId="0" fontId="22" fillId="0" borderId="116" xfId="1" applyFont="1" applyBorder="1"/>
    <xf numFmtId="1" fontId="44" fillId="41" borderId="96" xfId="4" applyNumberFormat="1" applyBorder="1" applyProtection="1"/>
    <xf numFmtId="3" fontId="43" fillId="40" borderId="96" xfId="3" applyNumberFormat="1" applyBorder="1" applyProtection="1">
      <protection locked="0"/>
    </xf>
    <xf numFmtId="0" fontId="43" fillId="40" borderId="96" xfId="3" applyBorder="1" applyProtection="1">
      <protection locked="0"/>
    </xf>
    <xf numFmtId="2" fontId="57" fillId="46" borderId="96" xfId="5" applyNumberFormat="1" applyFont="1" applyFill="1" applyBorder="1" applyProtection="1"/>
    <xf numFmtId="0" fontId="36" fillId="7" borderId="12" xfId="0" applyFont="1" applyFill="1" applyBorder="1" applyAlignment="1">
      <alignment horizontal="left"/>
    </xf>
    <xf numFmtId="0" fontId="11" fillId="8" borderId="96" xfId="0" applyFont="1" applyFill="1" applyBorder="1" applyAlignment="1">
      <alignment horizontal="center"/>
    </xf>
    <xf numFmtId="0" fontId="8" fillId="21" borderId="8" xfId="0" applyFont="1" applyFill="1" applyBorder="1" applyAlignment="1">
      <alignment horizontal="right" vertical="center"/>
    </xf>
    <xf numFmtId="0" fontId="4" fillId="0" borderId="96" xfId="0" applyFont="1" applyBorder="1" applyAlignment="1">
      <alignment horizontal="center"/>
    </xf>
    <xf numFmtId="0" fontId="8" fillId="21" borderId="72" xfId="0" applyFont="1" applyFill="1" applyBorder="1" applyAlignment="1">
      <alignment horizontal="center" vertical="center"/>
    </xf>
    <xf numFmtId="9" fontId="0" fillId="0" borderId="0" xfId="2" applyFont="1" applyAlignment="1"/>
    <xf numFmtId="0" fontId="4" fillId="47" borderId="8" xfId="0" applyFont="1" applyFill="1" applyBorder="1"/>
    <xf numFmtId="0" fontId="58" fillId="0" borderId="24" xfId="0" applyFont="1" applyBorder="1" applyAlignment="1">
      <alignment horizontal="center" wrapText="1"/>
    </xf>
    <xf numFmtId="0" fontId="4" fillId="49" borderId="8" xfId="0" applyFont="1" applyFill="1" applyBorder="1" applyAlignment="1">
      <alignment horizontal="center" vertical="center"/>
    </xf>
    <xf numFmtId="0" fontId="4" fillId="49" borderId="6" xfId="0" applyFont="1" applyFill="1" applyBorder="1" applyAlignment="1">
      <alignment horizontal="center" vertical="center"/>
    </xf>
    <xf numFmtId="0" fontId="4" fillId="7" borderId="24" xfId="0" applyFont="1" applyFill="1" applyBorder="1"/>
    <xf numFmtId="3" fontId="7" fillId="3" borderId="120" xfId="0" applyNumberFormat="1" applyFont="1" applyFill="1" applyBorder="1"/>
    <xf numFmtId="0" fontId="60" fillId="51" borderId="96" xfId="0" applyFont="1" applyFill="1" applyBorder="1" applyAlignment="1">
      <alignment horizontal="center" vertical="center"/>
    </xf>
    <xf numFmtId="0" fontId="60" fillId="50" borderId="96" xfId="0" applyFont="1" applyFill="1" applyBorder="1" applyAlignment="1">
      <alignment horizontal="center" vertical="center"/>
    </xf>
    <xf numFmtId="0" fontId="60" fillId="48" borderId="96" xfId="0" applyFont="1" applyFill="1" applyBorder="1" applyAlignment="1">
      <alignment horizontal="center" vertical="center"/>
    </xf>
    <xf numFmtId="0" fontId="60" fillId="43" borderId="96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/>
    <xf numFmtId="166" fontId="4" fillId="0" borderId="0" xfId="0" applyNumberFormat="1" applyFont="1" applyAlignment="1">
      <alignment horizontal="center"/>
    </xf>
    <xf numFmtId="165" fontId="6" fillId="3" borderId="5" xfId="0" applyNumberFormat="1" applyFont="1" applyFill="1" applyBorder="1" applyAlignment="1">
      <alignment horizontal="center"/>
    </xf>
    <xf numFmtId="165" fontId="5" fillId="31" borderId="53" xfId="0" applyNumberFormat="1" applyFont="1" applyFill="1" applyBorder="1" applyAlignment="1">
      <alignment horizontal="center"/>
    </xf>
    <xf numFmtId="10" fontId="6" fillId="3" borderId="5" xfId="0" applyNumberFormat="1" applyFont="1" applyFill="1" applyBorder="1" applyAlignment="1">
      <alignment horizontal="center"/>
    </xf>
    <xf numFmtId="167" fontId="6" fillId="3" borderId="5" xfId="0" applyNumberFormat="1" applyFont="1" applyFill="1" applyBorder="1" applyAlignment="1">
      <alignment horizontal="center"/>
    </xf>
    <xf numFmtId="0" fontId="19" fillId="7" borderId="24" xfId="0" applyFont="1" applyFill="1" applyBorder="1"/>
    <xf numFmtId="166" fontId="4" fillId="7" borderId="24" xfId="0" applyNumberFormat="1" applyFont="1" applyFill="1" applyBorder="1"/>
    <xf numFmtId="3" fontId="55" fillId="41" borderId="7" xfId="6" applyNumberFormat="1" applyAlignment="1">
      <alignment horizontal="center" vertical="center"/>
    </xf>
    <xf numFmtId="9" fontId="5" fillId="53" borderId="53" xfId="0" applyNumberFormat="1" applyFont="1" applyFill="1" applyBorder="1" applyAlignment="1">
      <alignment horizontal="center" vertical="center"/>
    </xf>
    <xf numFmtId="9" fontId="5" fillId="53" borderId="53" xfId="2" applyFont="1" applyFill="1" applyBorder="1" applyAlignment="1">
      <alignment horizontal="center" vertical="center"/>
    </xf>
    <xf numFmtId="165" fontId="5" fillId="53" borderId="53" xfId="0" applyNumberFormat="1" applyFont="1" applyFill="1" applyBorder="1" applyAlignment="1">
      <alignment horizontal="center" vertical="center"/>
    </xf>
    <xf numFmtId="0" fontId="61" fillId="21" borderId="8" xfId="0" applyFont="1" applyFill="1" applyBorder="1" applyAlignment="1">
      <alignment horizontal="center" vertical="center"/>
    </xf>
    <xf numFmtId="3" fontId="62" fillId="54" borderId="121" xfId="0" applyNumberFormat="1" applyFont="1" applyFill="1" applyBorder="1" applyAlignment="1">
      <alignment horizontal="center" wrapText="1"/>
    </xf>
    <xf numFmtId="3" fontId="62" fillId="54" borderId="122" xfId="0" applyNumberFormat="1" applyFont="1" applyFill="1" applyBorder="1" applyAlignment="1">
      <alignment wrapText="1"/>
    </xf>
    <xf numFmtId="3" fontId="62" fillId="54" borderId="123" xfId="0" applyNumberFormat="1" applyFont="1" applyFill="1" applyBorder="1" applyAlignment="1">
      <alignment wrapText="1"/>
    </xf>
    <xf numFmtId="0" fontId="22" fillId="0" borderId="109" xfId="1" applyFont="1" applyBorder="1"/>
    <xf numFmtId="168" fontId="7" fillId="4" borderId="109" xfId="1" applyNumberFormat="1" applyFont="1" applyFill="1" applyBorder="1" applyAlignment="1">
      <alignment horizontal="center"/>
    </xf>
    <xf numFmtId="168" fontId="7" fillId="4" borderId="106" xfId="1" applyNumberFormat="1" applyFont="1" applyFill="1" applyBorder="1" applyAlignment="1">
      <alignment horizontal="center"/>
    </xf>
    <xf numFmtId="0" fontId="25" fillId="0" borderId="102" xfId="1" applyBorder="1"/>
    <xf numFmtId="0" fontId="22" fillId="56" borderId="24" xfId="1" applyFont="1" applyFill="1" applyBorder="1" applyAlignment="1">
      <alignment horizontal="right"/>
    </xf>
    <xf numFmtId="9" fontId="22" fillId="56" borderId="24" xfId="1" applyNumberFormat="1" applyFont="1" applyFill="1" applyAlignment="1">
      <alignment horizontal="right"/>
    </xf>
    <xf numFmtId="0" fontId="22" fillId="56" borderId="24" xfId="1" applyFont="1" applyFill="1"/>
    <xf numFmtId="0" fontId="22" fillId="56" borderId="109" xfId="1" applyFont="1" applyFill="1" applyBorder="1"/>
    <xf numFmtId="0" fontId="22" fillId="56" borderId="116" xfId="1" applyFont="1" applyFill="1" applyBorder="1"/>
    <xf numFmtId="0" fontId="22" fillId="56" borderId="24" xfId="1" applyFont="1" applyFill="1" applyBorder="1"/>
    <xf numFmtId="9" fontId="22" fillId="56" borderId="116" xfId="1" applyNumberFormat="1" applyFont="1" applyFill="1" applyBorder="1" applyAlignment="1">
      <alignment horizontal="right"/>
    </xf>
    <xf numFmtId="9" fontId="22" fillId="56" borderId="109" xfId="1" applyNumberFormat="1" applyFont="1" applyFill="1" applyBorder="1" applyAlignment="1">
      <alignment horizontal="right"/>
    </xf>
    <xf numFmtId="0" fontId="22" fillId="56" borderId="24" xfId="1" applyFont="1" applyFill="1" applyAlignment="1">
      <alignment horizontal="right"/>
    </xf>
    <xf numFmtId="9" fontId="22" fillId="56" borderId="24" xfId="1" applyNumberFormat="1" applyFont="1" applyFill="1" applyBorder="1" applyAlignment="1">
      <alignment horizontal="right"/>
    </xf>
    <xf numFmtId="0" fontId="22" fillId="56" borderId="109" xfId="1" applyFont="1" applyFill="1" applyBorder="1" applyAlignment="1">
      <alignment horizontal="right"/>
    </xf>
    <xf numFmtId="0" fontId="22" fillId="56" borderId="104" xfId="1" applyFont="1" applyFill="1" applyBorder="1" applyAlignment="1">
      <alignment horizontal="right"/>
    </xf>
    <xf numFmtId="0" fontId="22" fillId="56" borderId="104" xfId="1" applyFont="1" applyFill="1" applyBorder="1"/>
    <xf numFmtId="9" fontId="22" fillId="56" borderId="104" xfId="1" applyNumberFormat="1" applyFont="1" applyFill="1" applyBorder="1" applyAlignment="1">
      <alignment horizontal="right"/>
    </xf>
    <xf numFmtId="0" fontId="22" fillId="56" borderId="106" xfId="1" applyFont="1" applyFill="1" applyBorder="1"/>
    <xf numFmtId="0" fontId="22" fillId="56" borderId="118" xfId="1" applyFont="1" applyFill="1" applyBorder="1"/>
    <xf numFmtId="0" fontId="23" fillId="14" borderId="116" xfId="1" applyFont="1" applyFill="1" applyBorder="1" applyAlignment="1">
      <alignment horizontal="center"/>
    </xf>
    <xf numFmtId="0" fontId="64" fillId="57" borderId="116" xfId="1" applyFont="1" applyFill="1" applyBorder="1" applyAlignment="1">
      <alignment horizontal="center"/>
    </xf>
    <xf numFmtId="0" fontId="64" fillId="57" borderId="118" xfId="1" applyFont="1" applyFill="1" applyBorder="1" applyAlignment="1">
      <alignment horizontal="center"/>
    </xf>
    <xf numFmtId="3" fontId="65" fillId="54" borderId="121" xfId="0" applyNumberFormat="1" applyFont="1" applyFill="1" applyBorder="1" applyAlignment="1">
      <alignment horizontal="center" wrapText="1"/>
    </xf>
    <xf numFmtId="3" fontId="65" fillId="54" borderId="122" xfId="0" applyNumberFormat="1" applyFont="1" applyFill="1" applyBorder="1" applyAlignment="1">
      <alignment horizontal="center" wrapText="1"/>
    </xf>
    <xf numFmtId="0" fontId="53" fillId="0" borderId="24" xfId="1" applyFont="1"/>
    <xf numFmtId="0" fontId="4" fillId="52" borderId="24" xfId="1" applyFont="1" applyFill="1"/>
    <xf numFmtId="0" fontId="13" fillId="58" borderId="72" xfId="1" applyFont="1" applyFill="1" applyBorder="1"/>
    <xf numFmtId="0" fontId="13" fillId="58" borderId="73" xfId="1" applyFont="1" applyFill="1" applyBorder="1" applyAlignment="1">
      <alignment horizontal="center"/>
    </xf>
    <xf numFmtId="0" fontId="13" fillId="58" borderId="125" xfId="1" applyFont="1" applyFill="1" applyBorder="1" applyAlignment="1">
      <alignment horizontal="center"/>
    </xf>
    <xf numFmtId="170" fontId="13" fillId="58" borderId="73" xfId="1" applyNumberFormat="1" applyFont="1" applyFill="1" applyBorder="1" applyAlignment="1">
      <alignment horizontal="right"/>
    </xf>
    <xf numFmtId="0" fontId="13" fillId="58" borderId="124" xfId="1" applyFont="1" applyFill="1" applyBorder="1" applyAlignment="1">
      <alignment horizontal="center"/>
    </xf>
    <xf numFmtId="0" fontId="13" fillId="58" borderId="96" xfId="1" applyFont="1" applyFill="1" applyBorder="1" applyAlignment="1">
      <alignment horizontal="center"/>
    </xf>
    <xf numFmtId="0" fontId="36" fillId="52" borderId="24" xfId="1" applyFont="1" applyFill="1"/>
    <xf numFmtId="0" fontId="4" fillId="59" borderId="24" xfId="1" applyFont="1" applyFill="1" applyAlignment="1">
      <alignment horizontal="center"/>
    </xf>
    <xf numFmtId="0" fontId="23" fillId="14" borderId="118" xfId="1" applyFont="1" applyFill="1" applyBorder="1" applyAlignment="1">
      <alignment horizontal="center"/>
    </xf>
    <xf numFmtId="0" fontId="22" fillId="60" borderId="24" xfId="1" applyFont="1" applyFill="1"/>
    <xf numFmtId="0" fontId="22" fillId="60" borderId="24" xfId="1" applyFont="1" applyFill="1" applyAlignment="1">
      <alignment horizontal="right"/>
    </xf>
    <xf numFmtId="0" fontId="22" fillId="60" borderId="109" xfId="1" applyFont="1" applyFill="1" applyBorder="1"/>
    <xf numFmtId="0" fontId="22" fillId="60" borderId="116" xfId="1" applyFont="1" applyFill="1" applyBorder="1"/>
    <xf numFmtId="0" fontId="22" fillId="60" borderId="24" xfId="1" applyFont="1" applyFill="1" applyBorder="1"/>
    <xf numFmtId="9" fontId="22" fillId="56" borderId="116" xfId="1" applyNumberFormat="1" applyFont="1" applyFill="1" applyBorder="1" applyAlignment="1">
      <alignment horizontal="center"/>
    </xf>
    <xf numFmtId="0" fontId="22" fillId="56" borderId="116" xfId="1" applyFont="1" applyFill="1" applyBorder="1" applyAlignment="1">
      <alignment horizontal="center"/>
    </xf>
    <xf numFmtId="0" fontId="25" fillId="0" borderId="116" xfId="1" applyBorder="1" applyAlignment="1">
      <alignment horizontal="center"/>
    </xf>
    <xf numFmtId="0" fontId="22" fillId="56" borderId="116" xfId="1" applyFont="1" applyFill="1" applyBorder="1" applyAlignment="1">
      <alignment horizontal="right"/>
    </xf>
    <xf numFmtId="9" fontId="22" fillId="56" borderId="118" xfId="1" applyNumberFormat="1" applyFont="1" applyFill="1" applyBorder="1" applyAlignment="1">
      <alignment horizontal="right"/>
    </xf>
    <xf numFmtId="10" fontId="22" fillId="60" borderId="116" xfId="1" applyNumberFormat="1" applyFont="1" applyFill="1" applyBorder="1" applyAlignment="1">
      <alignment horizontal="right"/>
    </xf>
    <xf numFmtId="0" fontId="22" fillId="32" borderId="131" xfId="1" applyFont="1" applyFill="1" applyBorder="1" applyAlignment="1">
      <alignment wrapText="1"/>
    </xf>
    <xf numFmtId="0" fontId="22" fillId="32" borderId="132" xfId="1" applyFont="1" applyFill="1" applyBorder="1" applyAlignment="1">
      <alignment wrapText="1"/>
    </xf>
    <xf numFmtId="0" fontId="63" fillId="55" borderId="122" xfId="1" applyFont="1" applyFill="1" applyBorder="1" applyAlignment="1">
      <alignment horizontal="center" wrapText="1"/>
    </xf>
    <xf numFmtId="0" fontId="63" fillId="55" borderId="133" xfId="1" applyFont="1" applyFill="1" applyBorder="1" applyAlignment="1">
      <alignment horizontal="center" wrapText="1"/>
    </xf>
    <xf numFmtId="0" fontId="63" fillId="55" borderId="121" xfId="1" applyFont="1" applyFill="1" applyBorder="1" applyAlignment="1">
      <alignment horizontal="center" wrapText="1"/>
    </xf>
    <xf numFmtId="0" fontId="63" fillId="55" borderId="123" xfId="1" applyFont="1" applyFill="1" applyBorder="1" applyAlignment="1">
      <alignment horizontal="center" wrapText="1"/>
    </xf>
    <xf numFmtId="0" fontId="63" fillId="55" borderId="134" xfId="1" applyFont="1" applyFill="1" applyBorder="1" applyAlignment="1">
      <alignment horizontal="center" wrapText="1"/>
    </xf>
    <xf numFmtId="0" fontId="46" fillId="38" borderId="134" xfId="1" applyFont="1" applyFill="1" applyBorder="1" applyAlignment="1">
      <alignment horizontal="center" wrapText="1"/>
    </xf>
    <xf numFmtId="0" fontId="25" fillId="0" borderId="134" xfId="1" applyBorder="1" applyAlignment="1">
      <alignment wrapText="1"/>
    </xf>
    <xf numFmtId="10" fontId="22" fillId="60" borderId="24" xfId="1" applyNumberFormat="1" applyFont="1" applyFill="1" applyBorder="1" applyAlignment="1">
      <alignment horizontal="right"/>
    </xf>
    <xf numFmtId="0" fontId="25" fillId="0" borderId="24" xfId="1" applyBorder="1" applyAlignment="1">
      <alignment horizontal="center"/>
    </xf>
    <xf numFmtId="0" fontId="25" fillId="0" borderId="137" xfId="1" applyBorder="1" applyAlignment="1">
      <alignment horizontal="center"/>
    </xf>
    <xf numFmtId="0" fontId="13" fillId="58" borderId="138" xfId="1" applyFont="1" applyFill="1" applyBorder="1" applyAlignment="1">
      <alignment horizontal="center"/>
    </xf>
    <xf numFmtId="0" fontId="63" fillId="55" borderId="139" xfId="1" applyFont="1" applyFill="1" applyBorder="1" applyAlignment="1">
      <alignment horizontal="center" wrapText="1"/>
    </xf>
    <xf numFmtId="9" fontId="22" fillId="56" borderId="137" xfId="1" applyNumberFormat="1" applyFont="1" applyFill="1" applyBorder="1" applyAlignment="1">
      <alignment horizontal="right"/>
    </xf>
    <xf numFmtId="9" fontId="22" fillId="56" borderId="140" xfId="1" applyNumberFormat="1" applyFont="1" applyFill="1" applyBorder="1" applyAlignment="1">
      <alignment horizontal="right"/>
    </xf>
    <xf numFmtId="10" fontId="22" fillId="61" borderId="137" xfId="1" applyNumberFormat="1" applyFont="1" applyFill="1" applyBorder="1" applyAlignment="1">
      <alignment horizontal="right"/>
    </xf>
    <xf numFmtId="0" fontId="63" fillId="55" borderId="141" xfId="1" applyFont="1" applyFill="1" applyBorder="1" applyAlignment="1">
      <alignment horizontal="center" wrapText="1"/>
    </xf>
    <xf numFmtId="0" fontId="22" fillId="56" borderId="137" xfId="1" applyFont="1" applyFill="1" applyBorder="1" applyAlignment="1">
      <alignment horizontal="right"/>
    </xf>
    <xf numFmtId="0" fontId="22" fillId="56" borderId="140" xfId="1" applyFont="1" applyFill="1" applyBorder="1" applyAlignment="1">
      <alignment horizontal="right"/>
    </xf>
    <xf numFmtId="0" fontId="22" fillId="60" borderId="137" xfId="1" applyFont="1" applyFill="1" applyBorder="1" applyAlignment="1">
      <alignment horizontal="right"/>
    </xf>
    <xf numFmtId="0" fontId="25" fillId="0" borderId="137" xfId="1" applyBorder="1"/>
    <xf numFmtId="0" fontId="22" fillId="56" borderId="137" xfId="1" applyFont="1" applyFill="1" applyBorder="1"/>
    <xf numFmtId="0" fontId="22" fillId="56" borderId="140" xfId="1" applyFont="1" applyFill="1" applyBorder="1"/>
    <xf numFmtId="0" fontId="22" fillId="60" borderId="137" xfId="1" applyFont="1" applyFill="1" applyBorder="1"/>
    <xf numFmtId="0" fontId="23" fillId="14" borderId="142" xfId="1" applyFont="1" applyFill="1" applyBorder="1" applyAlignment="1">
      <alignment horizontal="center"/>
    </xf>
    <xf numFmtId="0" fontId="13" fillId="58" borderId="143" xfId="1" applyFont="1" applyFill="1" applyBorder="1" applyAlignment="1">
      <alignment horizontal="center"/>
    </xf>
    <xf numFmtId="0" fontId="23" fillId="14" borderId="128" xfId="1" applyFont="1" applyFill="1" applyBorder="1" applyAlignment="1">
      <alignment horizontal="center"/>
    </xf>
    <xf numFmtId="0" fontId="63" fillId="55" borderId="144" xfId="1" applyFont="1" applyFill="1" applyBorder="1" applyAlignment="1">
      <alignment horizontal="center" wrapText="1"/>
    </xf>
    <xf numFmtId="0" fontId="22" fillId="56" borderId="127" xfId="1" applyFont="1" applyFill="1" applyBorder="1"/>
    <xf numFmtId="9" fontId="22" fillId="56" borderId="127" xfId="1" applyNumberFormat="1" applyFont="1" applyFill="1" applyBorder="1" applyAlignment="1">
      <alignment horizontal="right"/>
    </xf>
    <xf numFmtId="0" fontId="22" fillId="56" borderId="129" xfId="1" applyFont="1" applyFill="1" applyBorder="1"/>
    <xf numFmtId="9" fontId="22" fillId="60" borderId="127" xfId="1" applyNumberFormat="1" applyFont="1" applyFill="1" applyBorder="1" applyAlignment="1">
      <alignment horizontal="right"/>
    </xf>
    <xf numFmtId="0" fontId="25" fillId="0" borderId="127" xfId="1" applyBorder="1"/>
    <xf numFmtId="0" fontId="13" fillId="58" borderId="145" xfId="1" applyFont="1" applyFill="1" applyBorder="1" applyAlignment="1">
      <alignment horizontal="center"/>
    </xf>
    <xf numFmtId="0" fontId="63" fillId="55" borderId="148" xfId="1" applyFont="1" applyFill="1" applyBorder="1" applyAlignment="1">
      <alignment horizontal="center" wrapText="1"/>
    </xf>
    <xf numFmtId="0" fontId="22" fillId="56" borderId="149" xfId="1" applyFont="1" applyFill="1" applyBorder="1"/>
    <xf numFmtId="9" fontId="22" fillId="56" borderId="149" xfId="1" applyNumberFormat="1" applyFont="1" applyFill="1" applyBorder="1" applyAlignment="1">
      <alignment horizontal="right"/>
    </xf>
    <xf numFmtId="0" fontId="22" fillId="56" borderId="149" xfId="1" applyFont="1" applyFill="1" applyBorder="1" applyAlignment="1">
      <alignment horizontal="right"/>
    </xf>
    <xf numFmtId="9" fontId="22" fillId="56" borderId="150" xfId="1" applyNumberFormat="1" applyFont="1" applyFill="1" applyBorder="1" applyAlignment="1">
      <alignment horizontal="right"/>
    </xf>
    <xf numFmtId="0" fontId="22" fillId="60" borderId="149" xfId="1" applyFont="1" applyFill="1" applyBorder="1"/>
    <xf numFmtId="0" fontId="25" fillId="0" borderId="149" xfId="1" applyBorder="1"/>
    <xf numFmtId="0" fontId="22" fillId="56" borderId="150" xfId="1" applyFont="1" applyFill="1" applyBorder="1"/>
    <xf numFmtId="0" fontId="48" fillId="0" borderId="137" xfId="1" applyFont="1" applyBorder="1"/>
    <xf numFmtId="0" fontId="4" fillId="59" borderId="137" xfId="1" applyFont="1" applyFill="1" applyBorder="1" applyAlignment="1">
      <alignment horizontal="center"/>
    </xf>
    <xf numFmtId="0" fontId="23" fillId="14" borderId="155" xfId="1" applyFont="1" applyFill="1" applyBorder="1" applyAlignment="1">
      <alignment horizontal="center"/>
    </xf>
    <xf numFmtId="0" fontId="46" fillId="38" borderId="137" xfId="1" applyFont="1" applyFill="1" applyBorder="1"/>
    <xf numFmtId="9" fontId="46" fillId="38" borderId="137" xfId="1" applyNumberFormat="1" applyFont="1" applyFill="1" applyBorder="1" applyAlignment="1">
      <alignment horizontal="right"/>
    </xf>
    <xf numFmtId="0" fontId="46" fillId="38" borderId="140" xfId="1" applyFont="1" applyFill="1" applyBorder="1"/>
    <xf numFmtId="0" fontId="47" fillId="0" borderId="24" xfId="1" applyFont="1" applyBorder="1"/>
    <xf numFmtId="0" fontId="45" fillId="63" borderId="149" xfId="0" applyFont="1" applyFill="1" applyBorder="1" applyProtection="1">
      <protection locked="0"/>
    </xf>
    <xf numFmtId="3" fontId="45" fillId="63" borderId="24" xfId="0" applyNumberFormat="1" applyFont="1" applyFill="1" applyBorder="1" applyAlignment="1">
      <alignment horizontal="right"/>
    </xf>
    <xf numFmtId="1" fontId="45" fillId="63" borderId="24" xfId="0" applyNumberFormat="1" applyFont="1" applyFill="1" applyBorder="1"/>
    <xf numFmtId="1" fontId="45" fillId="63" borderId="137" xfId="0" applyNumberFormat="1" applyFont="1" applyFill="1" applyBorder="1"/>
    <xf numFmtId="0" fontId="45" fillId="63" borderId="150" xfId="0" applyFont="1" applyFill="1" applyBorder="1" applyProtection="1">
      <protection locked="0"/>
    </xf>
    <xf numFmtId="3" fontId="45" fillId="63" borderId="104" xfId="0" applyNumberFormat="1" applyFont="1" applyFill="1" applyBorder="1" applyAlignment="1">
      <alignment horizontal="right"/>
    </xf>
    <xf numFmtId="1" fontId="45" fillId="63" borderId="104" xfId="0" applyNumberFormat="1" applyFont="1" applyFill="1" applyBorder="1"/>
    <xf numFmtId="1" fontId="45" fillId="63" borderId="140" xfId="0" applyNumberFormat="1" applyFont="1" applyFill="1" applyBorder="1"/>
    <xf numFmtId="0" fontId="45" fillId="63" borderId="157" xfId="0" applyFont="1" applyFill="1" applyBorder="1" applyProtection="1">
      <protection locked="0"/>
    </xf>
    <xf numFmtId="3" fontId="45" fillId="63" borderId="134" xfId="0" applyNumberFormat="1" applyFont="1" applyFill="1" applyBorder="1" applyAlignment="1">
      <alignment horizontal="right"/>
    </xf>
    <xf numFmtId="1" fontId="45" fillId="63" borderId="134" xfId="0" applyNumberFormat="1" applyFont="1" applyFill="1" applyBorder="1"/>
    <xf numFmtId="1" fontId="45" fillId="63" borderId="141" xfId="0" applyNumberFormat="1" applyFont="1" applyFill="1" applyBorder="1"/>
    <xf numFmtId="3" fontId="45" fillId="51" borderId="24" xfId="0" applyNumberFormat="1" applyFont="1" applyFill="1" applyBorder="1"/>
    <xf numFmtId="3" fontId="45" fillId="51" borderId="104" xfId="0" applyNumberFormat="1" applyFont="1" applyFill="1" applyBorder="1"/>
    <xf numFmtId="3" fontId="0" fillId="0" borderId="24" xfId="0" applyNumberFormat="1" applyFont="1" applyBorder="1" applyAlignment="1"/>
    <xf numFmtId="0" fontId="11" fillId="8" borderId="130" xfId="0" applyFont="1" applyFill="1" applyBorder="1" applyAlignment="1">
      <alignment horizontal="center" vertical="center"/>
    </xf>
    <xf numFmtId="3" fontId="25" fillId="0" borderId="127" xfId="1" applyNumberFormat="1" applyBorder="1"/>
    <xf numFmtId="0" fontId="66" fillId="8" borderId="117" xfId="0" applyFont="1" applyFill="1" applyBorder="1" applyAlignment="1">
      <alignment horizontal="center" vertical="center"/>
    </xf>
    <xf numFmtId="0" fontId="22" fillId="0" borderId="134" xfId="1" applyFont="1" applyBorder="1"/>
    <xf numFmtId="0" fontId="4" fillId="0" borderId="134" xfId="0" applyFont="1" applyBorder="1" applyAlignment="1">
      <alignment horizontal="center" vertical="center"/>
    </xf>
    <xf numFmtId="0" fontId="64" fillId="57" borderId="136" xfId="1" applyFont="1" applyFill="1" applyBorder="1" applyAlignment="1">
      <alignment horizontal="center"/>
    </xf>
    <xf numFmtId="169" fontId="7" fillId="3" borderId="134" xfId="1" applyNumberFormat="1" applyFont="1" applyFill="1" applyBorder="1" applyAlignment="1">
      <alignment horizontal="center"/>
    </xf>
    <xf numFmtId="170" fontId="7" fillId="4" borderId="134" xfId="1" applyNumberFormat="1" applyFont="1" applyFill="1" applyBorder="1" applyAlignment="1">
      <alignment horizontal="right"/>
    </xf>
    <xf numFmtId="168" fontId="7" fillId="4" borderId="135" xfId="1" applyNumberFormat="1" applyFont="1" applyFill="1" applyBorder="1" applyAlignment="1">
      <alignment horizontal="center"/>
    </xf>
    <xf numFmtId="0" fontId="22" fillId="60" borderId="134" xfId="1" applyFont="1" applyFill="1" applyBorder="1" applyAlignment="1">
      <alignment horizontal="right"/>
    </xf>
    <xf numFmtId="10" fontId="22" fillId="60" borderId="136" xfId="1" applyNumberFormat="1" applyFont="1" applyFill="1" applyBorder="1" applyAlignment="1">
      <alignment horizontal="right"/>
    </xf>
    <xf numFmtId="10" fontId="22" fillId="61" borderId="141" xfId="1" applyNumberFormat="1" applyFont="1" applyFill="1" applyBorder="1" applyAlignment="1">
      <alignment horizontal="right"/>
    </xf>
    <xf numFmtId="10" fontId="22" fillId="60" borderId="134" xfId="1" applyNumberFormat="1" applyFont="1" applyFill="1" applyBorder="1" applyAlignment="1">
      <alignment horizontal="right"/>
    </xf>
    <xf numFmtId="0" fontId="22" fillId="60" borderId="141" xfId="1" applyFont="1" applyFill="1" applyBorder="1" applyAlignment="1">
      <alignment horizontal="right"/>
    </xf>
    <xf numFmtId="0" fontId="22" fillId="60" borderId="141" xfId="1" applyFont="1" applyFill="1" applyBorder="1"/>
    <xf numFmtId="9" fontId="22" fillId="60" borderId="158" xfId="1" applyNumberFormat="1" applyFont="1" applyFill="1" applyBorder="1" applyAlignment="1">
      <alignment horizontal="right"/>
    </xf>
    <xf numFmtId="0" fontId="22" fillId="60" borderId="157" xfId="1" applyFont="1" applyFill="1" applyBorder="1"/>
    <xf numFmtId="0" fontId="22" fillId="60" borderId="134" xfId="1" applyFont="1" applyFill="1" applyBorder="1"/>
    <xf numFmtId="0" fontId="22" fillId="60" borderId="135" xfId="1" applyFont="1" applyFill="1" applyBorder="1"/>
    <xf numFmtId="0" fontId="22" fillId="60" borderId="136" xfId="1" applyFont="1" applyFill="1" applyBorder="1"/>
    <xf numFmtId="0" fontId="46" fillId="38" borderId="134" xfId="1" applyFont="1" applyFill="1" applyBorder="1"/>
    <xf numFmtId="0" fontId="46" fillId="38" borderId="141" xfId="1" applyFont="1" applyFill="1" applyBorder="1"/>
    <xf numFmtId="3" fontId="45" fillId="51" borderId="134" xfId="0" applyNumberFormat="1" applyFont="1" applyFill="1" applyBorder="1"/>
    <xf numFmtId="0" fontId="11" fillId="8" borderId="162" xfId="0" applyFont="1" applyFill="1" applyBorder="1" applyAlignment="1">
      <alignment horizontal="center" vertical="center"/>
    </xf>
    <xf numFmtId="9" fontId="44" fillId="41" borderId="163" xfId="2" applyFont="1" applyFill="1" applyBorder="1"/>
    <xf numFmtId="0" fontId="25" fillId="0" borderId="134" xfId="1" applyBorder="1"/>
    <xf numFmtId="1" fontId="45" fillId="51" borderId="24" xfId="0" applyNumberFormat="1" applyFont="1" applyFill="1" applyBorder="1"/>
    <xf numFmtId="1" fontId="45" fillId="51" borderId="104" xfId="0" applyNumberFormat="1" applyFont="1" applyFill="1" applyBorder="1"/>
    <xf numFmtId="164" fontId="45" fillId="51" borderId="24" xfId="0" applyNumberFormat="1" applyFont="1" applyFill="1" applyBorder="1"/>
    <xf numFmtId="1" fontId="45" fillId="51" borderId="134" xfId="0" applyNumberFormat="1" applyFont="1" applyFill="1" applyBorder="1"/>
    <xf numFmtId="164" fontId="45" fillId="51" borderId="134" xfId="0" applyNumberFormat="1" applyFont="1" applyFill="1" applyBorder="1"/>
    <xf numFmtId="0" fontId="1" fillId="44" borderId="96" xfId="8" applyBorder="1" applyAlignment="1">
      <alignment horizontal="center"/>
    </xf>
    <xf numFmtId="9" fontId="43" fillId="40" borderId="154" xfId="3" applyNumberFormat="1" applyFont="1" applyBorder="1" applyAlignment="1" applyProtection="1">
      <alignment horizontal="center"/>
      <protection locked="0"/>
    </xf>
    <xf numFmtId="1" fontId="45" fillId="54" borderId="96" xfId="0" applyNumberFormat="1" applyFont="1" applyFill="1" applyBorder="1" applyAlignment="1">
      <alignment horizontal="right"/>
    </xf>
    <xf numFmtId="1" fontId="44" fillId="54" borderId="96" xfId="4" applyNumberFormat="1" applyFill="1" applyBorder="1" applyProtection="1">
      <protection locked="0"/>
    </xf>
    <xf numFmtId="0" fontId="44" fillId="54" borderId="96" xfId="4" applyFill="1" applyBorder="1" applyProtection="1">
      <protection locked="0"/>
    </xf>
    <xf numFmtId="3" fontId="45" fillId="54" borderId="96" xfId="0" applyNumberFormat="1" applyFont="1" applyFill="1" applyBorder="1" applyAlignment="1">
      <alignment horizontal="right"/>
    </xf>
    <xf numFmtId="0" fontId="69" fillId="65" borderId="96" xfId="0" applyFont="1" applyFill="1" applyBorder="1"/>
    <xf numFmtId="9" fontId="70" fillId="67" borderId="96" xfId="0" applyNumberFormat="1" applyFont="1" applyFill="1" applyBorder="1" applyAlignment="1">
      <alignment horizontal="center"/>
    </xf>
    <xf numFmtId="0" fontId="70" fillId="67" borderId="96" xfId="0" applyFont="1" applyFill="1" applyBorder="1" applyAlignment="1">
      <alignment horizontal="center"/>
    </xf>
    <xf numFmtId="9" fontId="70" fillId="66" borderId="96" xfId="0" applyNumberFormat="1" applyFont="1" applyFill="1" applyBorder="1" applyAlignment="1">
      <alignment horizontal="center"/>
    </xf>
    <xf numFmtId="9" fontId="69" fillId="65" borderId="96" xfId="0" applyNumberFormat="1" applyFont="1" applyFill="1" applyBorder="1" applyAlignment="1">
      <alignment horizontal="center"/>
    </xf>
    <xf numFmtId="0" fontId="70" fillId="66" borderId="96" xfId="0" applyFont="1" applyFill="1" applyBorder="1" applyAlignment="1">
      <alignment horizontal="center"/>
    </xf>
    <xf numFmtId="0" fontId="5" fillId="0" borderId="24" xfId="0" applyFont="1" applyBorder="1" applyAlignment="1">
      <alignment horizontal="center" vertical="center"/>
    </xf>
    <xf numFmtId="3" fontId="5" fillId="0" borderId="24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4" fillId="0" borderId="2" xfId="0" applyFont="1" applyBorder="1" applyAlignment="1"/>
    <xf numFmtId="0" fontId="34" fillId="0" borderId="3" xfId="0" applyFont="1" applyBorder="1" applyAlignment="1"/>
    <xf numFmtId="0" fontId="61" fillId="71" borderId="102" xfId="0" applyFont="1" applyFill="1" applyBorder="1" applyAlignment="1">
      <alignment horizontal="center"/>
    </xf>
    <xf numFmtId="1" fontId="55" fillId="41" borderId="7" xfId="6" applyNumberFormat="1" applyAlignment="1">
      <alignment horizontal="center"/>
    </xf>
    <xf numFmtId="0" fontId="6" fillId="31" borderId="53" xfId="0" applyFont="1" applyFill="1" applyBorder="1" applyAlignment="1">
      <alignment horizontal="center" vertical="center"/>
    </xf>
    <xf numFmtId="0" fontId="24" fillId="34" borderId="49" xfId="0" applyFont="1" applyFill="1" applyBorder="1" applyAlignment="1">
      <alignment horizontal="center"/>
    </xf>
    <xf numFmtId="0" fontId="24" fillId="34" borderId="77" xfId="0" applyFont="1" applyFill="1" applyBorder="1" applyAlignment="1">
      <alignment horizontal="center"/>
    </xf>
    <xf numFmtId="9" fontId="52" fillId="0" borderId="24" xfId="2" applyFont="1" applyBorder="1"/>
    <xf numFmtId="9" fontId="52" fillId="0" borderId="104" xfId="2" applyFont="1" applyBorder="1"/>
    <xf numFmtId="0" fontId="13" fillId="39" borderId="96" xfId="0" applyFont="1" applyFill="1" applyBorder="1" applyAlignment="1">
      <alignment horizontal="center" vertical="center"/>
    </xf>
    <xf numFmtId="0" fontId="75" fillId="54" borderId="96" xfId="0" applyFont="1" applyFill="1" applyBorder="1" applyAlignment="1">
      <alignment horizontal="center" wrapText="1"/>
    </xf>
    <xf numFmtId="1" fontId="75" fillId="54" borderId="96" xfId="0" applyNumberFormat="1" applyFont="1" applyFill="1" applyBorder="1" applyAlignment="1">
      <alignment horizontal="center" wrapText="1"/>
    </xf>
    <xf numFmtId="0" fontId="13" fillId="39" borderId="102" xfId="0" applyFont="1" applyFill="1" applyBorder="1" applyAlignment="1">
      <alignment horizontal="center" vertical="center"/>
    </xf>
    <xf numFmtId="0" fontId="51" fillId="0" borderId="171" xfId="0" applyFont="1" applyBorder="1"/>
    <xf numFmtId="0" fontId="51" fillId="0" borderId="96" xfId="0" applyFont="1" applyBorder="1"/>
    <xf numFmtId="1" fontId="51" fillId="0" borderId="96" xfId="0" applyNumberFormat="1" applyFont="1" applyBorder="1" applyAlignment="1">
      <alignment horizontal="center" vertical="center"/>
    </xf>
    <xf numFmtId="0" fontId="53" fillId="0" borderId="96" xfId="0" applyFont="1" applyBorder="1"/>
    <xf numFmtId="0" fontId="51" fillId="0" borderId="24" xfId="0" applyFont="1" applyBorder="1"/>
    <xf numFmtId="0" fontId="53" fillId="0" borderId="24" xfId="0" applyFont="1" applyBorder="1"/>
    <xf numFmtId="0" fontId="44" fillId="41" borderId="96" xfId="4" applyBorder="1"/>
    <xf numFmtId="0" fontId="23" fillId="39" borderId="96" xfId="0" applyFont="1" applyFill="1" applyBorder="1" applyAlignment="1">
      <alignment horizontal="center" vertical="center"/>
    </xf>
    <xf numFmtId="0" fontId="52" fillId="0" borderId="0" xfId="0" applyFont="1" applyAlignment="1"/>
    <xf numFmtId="0" fontId="76" fillId="40" borderId="5" xfId="3" applyFont="1" applyAlignment="1">
      <alignment horizontal="center"/>
    </xf>
    <xf numFmtId="0" fontId="55" fillId="41" borderId="7" xfId="6" applyAlignment="1">
      <alignment horizontal="left"/>
    </xf>
    <xf numFmtId="0" fontId="77" fillId="70" borderId="102" xfId="0" applyFont="1" applyFill="1" applyBorder="1"/>
    <xf numFmtId="0" fontId="36" fillId="0" borderId="24" xfId="0" applyFont="1" applyBorder="1"/>
    <xf numFmtId="0" fontId="52" fillId="0" borderId="24" xfId="0" applyFont="1" applyBorder="1"/>
    <xf numFmtId="1" fontId="52" fillId="0" borderId="24" xfId="0" applyNumberFormat="1" applyFont="1" applyBorder="1"/>
    <xf numFmtId="0" fontId="52" fillId="0" borderId="24" xfId="0" applyFont="1" applyBorder="1" applyAlignment="1"/>
    <xf numFmtId="0" fontId="77" fillId="70" borderId="118" xfId="0" applyFont="1" applyFill="1" applyBorder="1"/>
    <xf numFmtId="1" fontId="54" fillId="0" borderId="24" xfId="0" applyNumberFormat="1" applyFont="1" applyBorder="1"/>
    <xf numFmtId="1" fontId="75" fillId="0" borderId="169" xfId="0" applyNumberFormat="1" applyFont="1" applyBorder="1" applyAlignment="1">
      <alignment horizontal="center"/>
    </xf>
    <xf numFmtId="0" fontId="0" fillId="0" borderId="99" xfId="0" applyBorder="1"/>
    <xf numFmtId="0" fontId="0" fillId="0" borderId="100" xfId="0" applyBorder="1"/>
    <xf numFmtId="0" fontId="52" fillId="0" borderId="100" xfId="0" applyFont="1" applyBorder="1"/>
    <xf numFmtId="9" fontId="77" fillId="70" borderId="100" xfId="2" applyFont="1" applyFill="1" applyBorder="1" applyAlignment="1">
      <alignment horizontal="center"/>
    </xf>
    <xf numFmtId="1" fontId="0" fillId="0" borderId="100" xfId="0" applyNumberFormat="1" applyBorder="1"/>
    <xf numFmtId="1" fontId="52" fillId="0" borderId="101" xfId="0" applyNumberFormat="1" applyFont="1" applyBorder="1" applyAlignment="1">
      <alignment horizontal="center"/>
    </xf>
    <xf numFmtId="1" fontId="52" fillId="0" borderId="101" xfId="2" applyNumberFormat="1" applyFont="1" applyBorder="1" applyAlignment="1">
      <alignment horizontal="center"/>
    </xf>
    <xf numFmtId="0" fontId="76" fillId="40" borderId="176" xfId="3" applyFont="1" applyBorder="1" applyAlignment="1">
      <alignment horizontal="center"/>
    </xf>
    <xf numFmtId="0" fontId="76" fillId="40" borderId="177" xfId="3" applyFont="1" applyBorder="1" applyAlignment="1">
      <alignment horizontal="center"/>
    </xf>
    <xf numFmtId="1" fontId="52" fillId="0" borderId="96" xfId="0" applyNumberFormat="1" applyFont="1" applyBorder="1" applyAlignment="1">
      <alignment horizontal="center"/>
    </xf>
    <xf numFmtId="1" fontId="52" fillId="0" borderId="96" xfId="2" applyNumberFormat="1" applyFont="1" applyBorder="1" applyAlignment="1">
      <alignment horizontal="center"/>
    </xf>
    <xf numFmtId="1" fontId="54" fillId="0" borderId="101" xfId="0" applyNumberFormat="1" applyFont="1" applyBorder="1" applyAlignment="1">
      <alignment horizontal="center"/>
    </xf>
    <xf numFmtId="1" fontId="54" fillId="0" borderId="96" xfId="0" applyNumberFormat="1" applyFont="1" applyBorder="1" applyAlignment="1">
      <alignment horizontal="center"/>
    </xf>
    <xf numFmtId="1" fontId="77" fillId="70" borderId="118" xfId="0" applyNumberFormat="1" applyFont="1" applyFill="1" applyBorder="1" applyAlignment="1">
      <alignment horizontal="center"/>
    </xf>
    <xf numFmtId="0" fontId="44" fillId="41" borderId="102" xfId="4" applyBorder="1"/>
    <xf numFmtId="0" fontId="51" fillId="0" borderId="102" xfId="0" applyFont="1" applyBorder="1"/>
    <xf numFmtId="0" fontId="53" fillId="0" borderId="171" xfId="0" applyFont="1" applyBorder="1"/>
    <xf numFmtId="1" fontId="51" fillId="0" borderId="102" xfId="0" applyNumberFormat="1" applyFont="1" applyBorder="1" applyAlignment="1">
      <alignment horizontal="center" vertical="center"/>
    </xf>
    <xf numFmtId="1" fontId="51" fillId="0" borderId="171" xfId="0" applyNumberFormat="1" applyFont="1" applyBorder="1"/>
    <xf numFmtId="0" fontId="13" fillId="0" borderId="96" xfId="0" applyFont="1" applyBorder="1" applyAlignment="1">
      <alignment horizontal="center" vertical="center"/>
    </xf>
    <xf numFmtId="2" fontId="13" fillId="0" borderId="96" xfId="0" applyNumberFormat="1" applyFont="1" applyBorder="1" applyAlignment="1">
      <alignment horizontal="center" vertical="center"/>
    </xf>
    <xf numFmtId="2" fontId="13" fillId="0" borderId="102" xfId="0" applyNumberFormat="1" applyFont="1" applyBorder="1" applyAlignment="1">
      <alignment horizontal="center" vertical="center"/>
    </xf>
    <xf numFmtId="0" fontId="3" fillId="0" borderId="96" xfId="0" applyFont="1" applyBorder="1" applyAlignment="1">
      <alignment horizontal="center"/>
    </xf>
    <xf numFmtId="0" fontId="3" fillId="0" borderId="102" xfId="0" applyFont="1" applyBorder="1" applyAlignment="1">
      <alignment horizontal="center"/>
    </xf>
    <xf numFmtId="9" fontId="55" fillId="41" borderId="7" xfId="6" applyNumberFormat="1" applyAlignment="1">
      <alignment horizontal="center"/>
    </xf>
    <xf numFmtId="0" fontId="44" fillId="0" borderId="53" xfId="7" applyFont="1"/>
    <xf numFmtId="0" fontId="76" fillId="40" borderId="96" xfId="3" applyFont="1" applyBorder="1" applyAlignment="1">
      <alignment horizontal="center"/>
    </xf>
    <xf numFmtId="0" fontId="4" fillId="47" borderId="49" xfId="0" applyFont="1" applyFill="1" applyBorder="1"/>
    <xf numFmtId="0" fontId="5" fillId="0" borderId="96" xfId="0" applyFont="1" applyBorder="1" applyAlignment="1">
      <alignment horizontal="center" vertical="center"/>
    </xf>
    <xf numFmtId="3" fontId="5" fillId="0" borderId="96" xfId="0" applyNumberFormat="1" applyFont="1" applyBorder="1" applyAlignment="1">
      <alignment horizontal="center"/>
    </xf>
    <xf numFmtId="9" fontId="5" fillId="0" borderId="96" xfId="0" applyNumberFormat="1" applyFont="1" applyBorder="1" applyAlignment="1">
      <alignment horizontal="center"/>
    </xf>
    <xf numFmtId="3" fontId="6" fillId="3" borderId="97" xfId="0" applyNumberFormat="1" applyFont="1" applyFill="1" applyBorder="1" applyAlignment="1">
      <alignment horizontal="center"/>
    </xf>
    <xf numFmtId="0" fontId="13" fillId="0" borderId="24" xfId="0" applyFont="1" applyBorder="1"/>
    <xf numFmtId="3" fontId="7" fillId="3" borderId="7" xfId="0" applyNumberFormat="1" applyFont="1" applyFill="1" applyBorder="1" applyAlignment="1">
      <alignment horizontal="center"/>
    </xf>
    <xf numFmtId="3" fontId="7" fillId="3" borderId="98" xfId="0" applyNumberFormat="1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59" fillId="77" borderId="8" xfId="0" applyFont="1" applyFill="1" applyBorder="1" applyAlignment="1">
      <alignment horizontal="left" vertical="center"/>
    </xf>
    <xf numFmtId="0" fontId="59" fillId="77" borderId="96" xfId="0" applyFont="1" applyFill="1" applyBorder="1" applyAlignment="1">
      <alignment horizontal="left" vertical="center"/>
    </xf>
    <xf numFmtId="0" fontId="8" fillId="78" borderId="8" xfId="0" applyFont="1" applyFill="1" applyBorder="1" applyAlignment="1">
      <alignment horizontal="center"/>
    </xf>
    <xf numFmtId="0" fontId="82" fillId="8" borderId="180" xfId="0" applyFont="1" applyFill="1" applyBorder="1" applyAlignment="1">
      <alignment horizontal="center" wrapText="1"/>
    </xf>
    <xf numFmtId="0" fontId="82" fillId="8" borderId="114" xfId="0" applyFont="1" applyFill="1" applyBorder="1" applyAlignment="1">
      <alignment wrapText="1"/>
    </xf>
    <xf numFmtId="0" fontId="83" fillId="0" borderId="181" xfId="0" applyFont="1" applyBorder="1" applyAlignment="1">
      <alignment horizontal="center" wrapText="1"/>
    </xf>
    <xf numFmtId="0" fontId="83" fillId="0" borderId="105" xfId="0" applyFont="1" applyBorder="1" applyAlignment="1">
      <alignment wrapText="1"/>
    </xf>
    <xf numFmtId="0" fontId="84" fillId="3" borderId="182" xfId="0" applyFont="1" applyFill="1" applyBorder="1" applyAlignment="1">
      <alignment horizontal="center" wrapText="1"/>
    </xf>
    <xf numFmtId="0" fontId="84" fillId="3" borderId="183" xfId="0" applyFont="1" applyFill="1" applyBorder="1" applyAlignment="1">
      <alignment wrapText="1"/>
    </xf>
    <xf numFmtId="0" fontId="85" fillId="7" borderId="184" xfId="0" applyFont="1" applyFill="1" applyBorder="1"/>
    <xf numFmtId="0" fontId="86" fillId="7" borderId="185" xfId="0" applyFont="1" applyFill="1" applyBorder="1" applyAlignment="1">
      <alignment wrapText="1"/>
    </xf>
    <xf numFmtId="0" fontId="87" fillId="3" borderId="186" xfId="0" applyFont="1" applyFill="1" applyBorder="1"/>
    <xf numFmtId="0" fontId="87" fillId="3" borderId="115" xfId="0" applyFont="1" applyFill="1" applyBorder="1"/>
    <xf numFmtId="0" fontId="88" fillId="33" borderId="187" xfId="0" applyFont="1" applyFill="1" applyBorder="1"/>
    <xf numFmtId="0" fontId="88" fillId="33" borderId="188" xfId="0" applyFont="1" applyFill="1" applyBorder="1"/>
    <xf numFmtId="0" fontId="89" fillId="9" borderId="110" xfId="0" applyFont="1" applyFill="1" applyBorder="1"/>
    <xf numFmtId="0" fontId="89" fillId="9" borderId="106" xfId="0" applyFont="1" applyFill="1" applyBorder="1"/>
    <xf numFmtId="0" fontId="45" fillId="51" borderId="109" xfId="0" quotePrefix="1" applyNumberFormat="1" applyFont="1" applyFill="1" applyBorder="1"/>
    <xf numFmtId="0" fontId="45" fillId="51" borderId="106" xfId="0" quotePrefix="1" applyNumberFormat="1" applyFont="1" applyFill="1" applyBorder="1"/>
    <xf numFmtId="0" fontId="45" fillId="51" borderId="135" xfId="0" quotePrefix="1" applyNumberFormat="1" applyFont="1" applyFill="1" applyBorder="1"/>
    <xf numFmtId="164" fontId="0" fillId="0" borderId="0" xfId="0" applyNumberFormat="1" applyFont="1" applyAlignment="1"/>
    <xf numFmtId="164" fontId="59" fillId="77" borderId="72" xfId="0" applyNumberFormat="1" applyFont="1" applyFill="1" applyBorder="1" applyAlignment="1">
      <alignment horizontal="left" vertical="center"/>
    </xf>
    <xf numFmtId="164" fontId="13" fillId="47" borderId="8" xfId="0" applyNumberFormat="1" applyFont="1" applyFill="1" applyBorder="1"/>
    <xf numFmtId="164" fontId="4" fillId="0" borderId="8" xfId="0" applyNumberFormat="1" applyFont="1" applyBorder="1"/>
    <xf numFmtId="164" fontId="13" fillId="47" borderId="75" xfId="0" applyNumberFormat="1" applyFont="1" applyFill="1" applyBorder="1"/>
    <xf numFmtId="164" fontId="4" fillId="0" borderId="0" xfId="0" applyNumberFormat="1" applyFont="1"/>
    <xf numFmtId="0" fontId="13" fillId="58" borderId="121" xfId="1" applyFont="1" applyFill="1" applyBorder="1" applyAlignment="1">
      <alignment horizontal="center" wrapText="1"/>
    </xf>
    <xf numFmtId="0" fontId="8" fillId="64" borderId="122" xfId="1" applyFont="1" applyFill="1" applyBorder="1" applyAlignment="1">
      <alignment horizontal="center" wrapText="1"/>
    </xf>
    <xf numFmtId="0" fontId="8" fillId="64" borderId="121" xfId="1" applyFont="1" applyFill="1" applyBorder="1" applyAlignment="1">
      <alignment horizontal="center" wrapText="1"/>
    </xf>
    <xf numFmtId="0" fontId="8" fillId="62" borderId="190" xfId="1" applyFont="1" applyFill="1" applyBorder="1" applyAlignment="1">
      <alignment horizontal="center" wrapText="1"/>
    </xf>
    <xf numFmtId="0" fontId="8" fillId="62" borderId="189" xfId="1" applyFont="1" applyFill="1" applyBorder="1" applyAlignment="1">
      <alignment horizontal="center" wrapText="1"/>
    </xf>
    <xf numFmtId="0" fontId="8" fillId="62" borderId="126" xfId="1" applyFont="1" applyFill="1" applyBorder="1" applyAlignment="1">
      <alignment horizontal="center" wrapText="1"/>
    </xf>
    <xf numFmtId="0" fontId="8" fillId="62" borderId="156" xfId="1" applyFont="1" applyFill="1" applyBorder="1" applyAlignment="1">
      <alignment horizontal="center" wrapText="1"/>
    </xf>
    <xf numFmtId="0" fontId="25" fillId="0" borderId="24" xfId="1" applyAlignment="1">
      <alignment horizontal="left"/>
    </xf>
    <xf numFmtId="0" fontId="8" fillId="62" borderId="159" xfId="1" applyFont="1" applyFill="1" applyBorder="1" applyAlignment="1">
      <alignment horizontal="left" wrapText="1"/>
    </xf>
    <xf numFmtId="0" fontId="11" fillId="8" borderId="113" xfId="0" applyFont="1" applyFill="1" applyBorder="1" applyAlignment="1">
      <alignment horizontal="left" vertical="center"/>
    </xf>
    <xf numFmtId="0" fontId="11" fillId="8" borderId="90" xfId="0" applyFont="1" applyFill="1" applyBorder="1" applyAlignment="1">
      <alignment horizontal="left" vertical="center"/>
    </xf>
    <xf numFmtId="0" fontId="11" fillId="8" borderId="161" xfId="0" applyFont="1" applyFill="1" applyBorder="1" applyAlignment="1">
      <alignment horizontal="left" vertical="center"/>
    </xf>
    <xf numFmtId="0" fontId="22" fillId="0" borderId="24" xfId="1" applyFont="1" applyAlignment="1">
      <alignment horizontal="left"/>
    </xf>
    <xf numFmtId="3" fontId="8" fillId="62" borderId="156" xfId="1" applyNumberFormat="1" applyFont="1" applyFill="1" applyBorder="1" applyAlignment="1">
      <alignment horizontal="center" wrapText="1"/>
    </xf>
    <xf numFmtId="3" fontId="44" fillId="41" borderId="11" xfId="2" applyNumberFormat="1" applyFont="1" applyFill="1" applyBorder="1"/>
    <xf numFmtId="3" fontId="44" fillId="41" borderId="5" xfId="2" applyNumberFormat="1" applyFont="1" applyFill="1" applyBorder="1"/>
    <xf numFmtId="3" fontId="44" fillId="41" borderId="163" xfId="2" applyNumberFormat="1" applyFont="1" applyFill="1" applyBorder="1"/>
    <xf numFmtId="3" fontId="22" fillId="0" borderId="24" xfId="1" applyNumberFormat="1" applyFont="1"/>
    <xf numFmtId="0" fontId="14" fillId="81" borderId="6" xfId="0" applyFont="1" applyFill="1" applyBorder="1" applyAlignment="1">
      <alignment horizontal="center"/>
    </xf>
    <xf numFmtId="0" fontId="4" fillId="82" borderId="6" xfId="0" applyFont="1" applyFill="1" applyBorder="1" applyAlignment="1">
      <alignment horizontal="center"/>
    </xf>
    <xf numFmtId="0" fontId="2" fillId="54" borderId="24" xfId="0" applyFont="1" applyFill="1" applyBorder="1"/>
    <xf numFmtId="0" fontId="2" fillId="0" borderId="24" xfId="0" applyFont="1" applyBorder="1"/>
    <xf numFmtId="0" fontId="11" fillId="8" borderId="191" xfId="0" applyFont="1" applyFill="1" applyBorder="1" applyAlignment="1">
      <alignment horizontal="center" vertical="center"/>
    </xf>
    <xf numFmtId="0" fontId="11" fillId="8" borderId="192" xfId="0" applyFont="1" applyFill="1" applyBorder="1" applyAlignment="1">
      <alignment horizontal="left" vertical="center"/>
    </xf>
    <xf numFmtId="0" fontId="11" fillId="8" borderId="96" xfId="0" applyFont="1" applyFill="1" applyBorder="1" applyAlignment="1">
      <alignment horizontal="left" vertical="center"/>
    </xf>
    <xf numFmtId="0" fontId="0" fillId="0" borderId="96" xfId="0" applyFont="1" applyBorder="1" applyAlignment="1">
      <alignment horizontal="center"/>
    </xf>
    <xf numFmtId="0" fontId="48" fillId="48" borderId="96" xfId="0" applyFont="1" applyFill="1" applyBorder="1" applyAlignment="1">
      <alignment horizontal="center"/>
    </xf>
    <xf numFmtId="0" fontId="48" fillId="0" borderId="96" xfId="0" applyFont="1" applyBorder="1" applyAlignment="1">
      <alignment horizontal="center"/>
    </xf>
    <xf numFmtId="0" fontId="11" fillId="8" borderId="191" xfId="0" applyFont="1" applyFill="1" applyBorder="1" applyAlignment="1" applyProtection="1">
      <alignment horizontal="center" vertical="center"/>
    </xf>
    <xf numFmtId="0" fontId="11" fillId="8" borderId="130" xfId="0" applyFont="1" applyFill="1" applyBorder="1" applyAlignment="1" applyProtection="1">
      <alignment horizontal="center" vertical="center"/>
    </xf>
    <xf numFmtId="0" fontId="11" fillId="8" borderId="160" xfId="0" applyFont="1" applyFill="1" applyBorder="1" applyAlignment="1" applyProtection="1">
      <alignment horizontal="center" vertical="center"/>
    </xf>
    <xf numFmtId="9" fontId="44" fillId="41" borderId="193" xfId="2" applyFont="1" applyFill="1" applyBorder="1"/>
    <xf numFmtId="3" fontId="44" fillId="41" borderId="194" xfId="4" applyNumberFormat="1" applyBorder="1"/>
    <xf numFmtId="3" fontId="55" fillId="41" borderId="7" xfId="6" applyNumberFormat="1" applyAlignment="1"/>
    <xf numFmtId="0" fontId="58" fillId="0" borderId="24" xfId="0" applyFont="1" applyBorder="1" applyAlignment="1">
      <alignment horizontal="center"/>
    </xf>
    <xf numFmtId="9" fontId="92" fillId="83" borderId="96" xfId="9" applyNumberFormat="1" applyBorder="1" applyAlignment="1">
      <alignment horizontal="center"/>
    </xf>
    <xf numFmtId="0" fontId="92" fillId="83" borderId="96" xfId="9" applyBorder="1" applyAlignment="1">
      <alignment horizontal="center" vertical="center"/>
    </xf>
    <xf numFmtId="0" fontId="92" fillId="83" borderId="96" xfId="9" applyBorder="1" applyAlignment="1">
      <alignment horizontal="center"/>
    </xf>
    <xf numFmtId="1" fontId="92" fillId="83" borderId="96" xfId="9" applyNumberFormat="1" applyBorder="1" applyAlignment="1">
      <alignment horizontal="center" vertical="center"/>
    </xf>
    <xf numFmtId="0" fontId="11" fillId="8" borderId="112" xfId="0" applyFont="1" applyFill="1" applyBorder="1" applyAlignment="1">
      <alignment horizontal="center" vertical="center"/>
    </xf>
    <xf numFmtId="3" fontId="11" fillId="8" borderId="195" xfId="0" applyNumberFormat="1" applyFont="1" applyFill="1" applyBorder="1" applyAlignment="1">
      <alignment horizontal="center"/>
    </xf>
    <xf numFmtId="0" fontId="61" fillId="84" borderId="102" xfId="0" applyFont="1" applyFill="1" applyBorder="1" applyAlignment="1">
      <alignment horizontal="center"/>
    </xf>
    <xf numFmtId="0" fontId="81" fillId="69" borderId="96" xfId="0" applyFont="1" applyFill="1" applyBorder="1" applyAlignment="1">
      <alignment horizontal="center" vertical="center"/>
    </xf>
    <xf numFmtId="0" fontId="77" fillId="69" borderId="99" xfId="0" applyFont="1" applyFill="1" applyBorder="1" applyAlignment="1">
      <alignment horizontal="center"/>
    </xf>
    <xf numFmtId="0" fontId="77" fillId="69" borderId="100" xfId="0" applyFont="1" applyFill="1" applyBorder="1" applyAlignment="1">
      <alignment horizontal="center"/>
    </xf>
    <xf numFmtId="0" fontId="77" fillId="69" borderId="101" xfId="0" applyFont="1" applyFill="1" applyBorder="1" applyAlignment="1">
      <alignment horizontal="center"/>
    </xf>
    <xf numFmtId="0" fontId="93" fillId="80" borderId="96" xfId="0" applyFont="1" applyFill="1" applyBorder="1" applyAlignment="1">
      <alignment horizontal="center"/>
    </xf>
    <xf numFmtId="0" fontId="79" fillId="85" borderId="96" xfId="0" applyFont="1" applyFill="1" applyBorder="1" applyAlignment="1">
      <alignment horizontal="center"/>
    </xf>
    <xf numFmtId="0" fontId="80" fillId="86" borderId="99" xfId="0" applyFont="1" applyFill="1" applyBorder="1" applyAlignment="1">
      <alignment horizontal="center" vertical="center"/>
    </xf>
    <xf numFmtId="0" fontId="80" fillId="86" borderId="100" xfId="0" applyFont="1" applyFill="1" applyBorder="1" applyAlignment="1">
      <alignment horizontal="center" vertical="center"/>
    </xf>
    <xf numFmtId="0" fontId="80" fillId="86" borderId="10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9" fillId="6" borderId="1" xfId="0" applyFont="1" applyFill="1" applyBorder="1" applyAlignment="1">
      <alignment horizontal="center"/>
    </xf>
    <xf numFmtId="0" fontId="4" fillId="0" borderId="167" xfId="0" applyFont="1" applyBorder="1" applyAlignment="1">
      <alignment horizontal="center"/>
    </xf>
    <xf numFmtId="0" fontId="4" fillId="0" borderId="168" xfId="0" applyFont="1" applyBorder="1" applyAlignment="1">
      <alignment horizontal="center"/>
    </xf>
    <xf numFmtId="0" fontId="0" fillId="7" borderId="12" xfId="0" applyFont="1" applyFill="1" applyBorder="1" applyAlignment="1">
      <alignment horizontal="center"/>
    </xf>
    <xf numFmtId="0" fontId="0" fillId="7" borderId="13" xfId="0" applyFont="1" applyFill="1" applyBorder="1" applyAlignment="1">
      <alignment horizontal="center"/>
    </xf>
    <xf numFmtId="0" fontId="0" fillId="7" borderId="9" xfId="0" applyFont="1" applyFill="1" applyBorder="1" applyAlignment="1">
      <alignment horizontal="left"/>
    </xf>
    <xf numFmtId="0" fontId="2" fillId="0" borderId="10" xfId="0" applyFont="1" applyBorder="1"/>
    <xf numFmtId="0" fontId="10" fillId="73" borderId="9" xfId="0" applyFont="1" applyFill="1" applyBorder="1" applyAlignment="1">
      <alignment horizontal="center"/>
    </xf>
    <xf numFmtId="0" fontId="2" fillId="54" borderId="10" xfId="0" applyFont="1" applyFill="1" applyBorder="1"/>
    <xf numFmtId="0" fontId="10" fillId="3" borderId="164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/>
    </xf>
    <xf numFmtId="0" fontId="10" fillId="73" borderId="24" xfId="0" applyFont="1" applyFill="1" applyBorder="1" applyAlignment="1">
      <alignment horizontal="center"/>
    </xf>
    <xf numFmtId="0" fontId="2" fillId="54" borderId="24" xfId="0" applyFont="1" applyFill="1" applyBorder="1"/>
    <xf numFmtId="0" fontId="0" fillId="42" borderId="14" xfId="5" applyFont="1" applyAlignment="1">
      <alignment horizontal="left"/>
    </xf>
    <xf numFmtId="0" fontId="2" fillId="42" borderId="14" xfId="5" applyFont="1"/>
    <xf numFmtId="0" fontId="0" fillId="7" borderId="165" xfId="0" applyFont="1" applyFill="1" applyBorder="1" applyAlignment="1">
      <alignment horizontal="left"/>
    </xf>
    <xf numFmtId="0" fontId="2" fillId="0" borderId="166" xfId="0" applyFont="1" applyBorder="1"/>
    <xf numFmtId="0" fontId="36" fillId="7" borderId="9" xfId="0" applyFont="1" applyFill="1" applyBorder="1" applyAlignment="1">
      <alignment horizontal="left"/>
    </xf>
    <xf numFmtId="0" fontId="4" fillId="12" borderId="17" xfId="0" applyFont="1" applyFill="1" applyBorder="1" applyAlignment="1">
      <alignment horizontal="center"/>
    </xf>
    <xf numFmtId="0" fontId="2" fillId="0" borderId="18" xfId="0" applyFont="1" applyBorder="1"/>
    <xf numFmtId="0" fontId="2" fillId="0" borderId="19" xfId="0" applyFont="1" applyBorder="1"/>
    <xf numFmtId="0" fontId="4" fillId="12" borderId="17" xfId="0" applyFont="1" applyFill="1" applyBorder="1" applyAlignment="1">
      <alignment horizontal="center" wrapText="1"/>
    </xf>
    <xf numFmtId="0" fontId="4" fillId="17" borderId="16" xfId="0" applyFont="1" applyFill="1" applyBorder="1" applyAlignment="1">
      <alignment horizontal="right" vertical="center"/>
    </xf>
    <xf numFmtId="0" fontId="2" fillId="0" borderId="20" xfId="0" applyFont="1" applyBorder="1"/>
    <xf numFmtId="0" fontId="4" fillId="13" borderId="16" xfId="0" applyFont="1" applyFill="1" applyBorder="1" applyAlignment="1">
      <alignment horizontal="right" vertical="center"/>
    </xf>
    <xf numFmtId="0" fontId="2" fillId="0" borderId="24" xfId="0" applyFont="1" applyBorder="1"/>
    <xf numFmtId="0" fontId="15" fillId="20" borderId="16" xfId="0" applyFont="1" applyFill="1" applyBorder="1" applyAlignment="1">
      <alignment horizontal="right" vertical="center"/>
    </xf>
    <xf numFmtId="0" fontId="13" fillId="12" borderId="16" xfId="0" applyFont="1" applyFill="1" applyBorder="1" applyAlignment="1">
      <alignment horizontal="center" vertical="center"/>
    </xf>
    <xf numFmtId="0" fontId="13" fillId="13" borderId="16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/>
    </xf>
    <xf numFmtId="0" fontId="4" fillId="13" borderId="16" xfId="0" applyFont="1" applyFill="1" applyBorder="1" applyAlignment="1">
      <alignment horizontal="center" vertical="center"/>
    </xf>
    <xf numFmtId="0" fontId="4" fillId="13" borderId="47" xfId="0" applyFont="1" applyFill="1" applyBorder="1" applyAlignment="1">
      <alignment horizontal="center" vertical="center" wrapText="1"/>
    </xf>
    <xf numFmtId="0" fontId="2" fillId="0" borderId="52" xfId="0" applyFont="1" applyBorder="1"/>
    <xf numFmtId="0" fontId="2" fillId="0" borderId="49" xfId="0" applyFont="1" applyBorder="1"/>
    <xf numFmtId="0" fontId="14" fillId="20" borderId="47" xfId="0" applyFont="1" applyFill="1" applyBorder="1" applyAlignment="1">
      <alignment horizontal="center" vertical="center" wrapText="1"/>
    </xf>
    <xf numFmtId="0" fontId="18" fillId="0" borderId="34" xfId="0" applyFont="1" applyBorder="1" applyAlignment="1">
      <alignment horizontal="center"/>
    </xf>
    <xf numFmtId="0" fontId="2" fillId="0" borderId="35" xfId="0" applyFont="1" applyBorder="1"/>
    <xf numFmtId="0" fontId="2" fillId="0" borderId="36" xfId="0" applyFont="1" applyBorder="1"/>
    <xf numFmtId="0" fontId="13" fillId="4" borderId="39" xfId="0" applyFont="1" applyFill="1" applyBorder="1" applyAlignment="1">
      <alignment horizontal="center" vertical="center"/>
    </xf>
    <xf numFmtId="0" fontId="2" fillId="0" borderId="31" xfId="0" applyFont="1" applyBorder="1"/>
    <xf numFmtId="0" fontId="2" fillId="0" borderId="30" xfId="0" applyFont="1" applyBorder="1"/>
    <xf numFmtId="0" fontId="2" fillId="0" borderId="40" xfId="0" applyFont="1" applyBorder="1"/>
    <xf numFmtId="0" fontId="2" fillId="0" borderId="26" xfId="0" applyFont="1" applyBorder="1"/>
    <xf numFmtId="0" fontId="2" fillId="0" borderId="33" xfId="0" applyFont="1" applyBorder="1"/>
    <xf numFmtId="0" fontId="8" fillId="21" borderId="47" xfId="0" applyFont="1" applyFill="1" applyBorder="1" applyAlignment="1">
      <alignment horizontal="center" vertical="center"/>
    </xf>
    <xf numFmtId="0" fontId="8" fillId="21" borderId="48" xfId="0" applyFont="1" applyFill="1" applyBorder="1" applyAlignment="1">
      <alignment horizontal="center" vertical="center"/>
    </xf>
    <xf numFmtId="0" fontId="4" fillId="17" borderId="50" xfId="0" applyFont="1" applyFill="1" applyBorder="1" applyAlignment="1">
      <alignment horizontal="center" vertical="center" wrapText="1"/>
    </xf>
    <xf numFmtId="0" fontId="2" fillId="0" borderId="51" xfId="0" applyFont="1" applyBorder="1"/>
    <xf numFmtId="3" fontId="62" fillId="54" borderId="122" xfId="0" applyNumberFormat="1" applyFont="1" applyFill="1" applyBorder="1" applyAlignment="1">
      <alignment horizontal="center" wrapText="1"/>
    </xf>
    <xf numFmtId="3" fontId="62" fillId="54" borderId="123" xfId="0" applyNumberFormat="1" applyFont="1" applyFill="1" applyBorder="1" applyAlignment="1">
      <alignment horizontal="center" wrapText="1"/>
    </xf>
    <xf numFmtId="0" fontId="23" fillId="14" borderId="151" xfId="1" applyFont="1" applyFill="1" applyBorder="1" applyAlignment="1">
      <alignment horizontal="center"/>
    </xf>
    <xf numFmtId="0" fontId="23" fillId="14" borderId="152" xfId="1" applyFont="1" applyFill="1" applyBorder="1" applyAlignment="1">
      <alignment horizontal="center"/>
    </xf>
    <xf numFmtId="0" fontId="23" fillId="14" borderId="153" xfId="1" applyFont="1" applyFill="1" applyBorder="1" applyAlignment="1">
      <alignment horizontal="center"/>
    </xf>
    <xf numFmtId="0" fontId="68" fillId="45" borderId="96" xfId="0" applyFont="1" applyFill="1" applyBorder="1" applyAlignment="1" applyProtection="1">
      <alignment horizontal="left"/>
      <protection locked="0"/>
    </xf>
    <xf numFmtId="0" fontId="23" fillId="14" borderId="107" xfId="1" applyFont="1" applyFill="1" applyBorder="1" applyAlignment="1">
      <alignment horizontal="center"/>
    </xf>
    <xf numFmtId="0" fontId="23" fillId="14" borderId="119" xfId="1" applyFont="1" applyFill="1" applyBorder="1" applyAlignment="1">
      <alignment horizontal="center"/>
    </xf>
    <xf numFmtId="0" fontId="23" fillId="14" borderId="145" xfId="1" applyFont="1" applyFill="1" applyBorder="1" applyAlignment="1">
      <alignment horizontal="center"/>
    </xf>
    <xf numFmtId="0" fontId="35" fillId="0" borderId="138" xfId="1" applyFont="1" applyBorder="1"/>
    <xf numFmtId="0" fontId="23" fillId="14" borderId="73" xfId="1" applyFont="1" applyFill="1" applyBorder="1" applyAlignment="1">
      <alignment horizontal="center"/>
    </xf>
    <xf numFmtId="0" fontId="35" fillId="0" borderId="124" xfId="1" applyFont="1" applyBorder="1"/>
    <xf numFmtId="0" fontId="23" fillId="14" borderId="146" xfId="1" applyFont="1" applyFill="1" applyBorder="1" applyAlignment="1">
      <alignment horizontal="center"/>
    </xf>
    <xf numFmtId="0" fontId="23" fillId="14" borderId="39" xfId="1" applyFont="1" applyFill="1" applyBorder="1" applyAlignment="1">
      <alignment horizontal="center"/>
    </xf>
    <xf numFmtId="0" fontId="23" fillId="14" borderId="147" xfId="1" applyFont="1" applyFill="1" applyBorder="1" applyAlignment="1">
      <alignment horizontal="center"/>
    </xf>
    <xf numFmtId="0" fontId="3" fillId="54" borderId="169" xfId="0" applyFont="1" applyFill="1" applyBorder="1" applyAlignment="1">
      <alignment horizontal="center" vertical="center" wrapText="1"/>
    </xf>
    <xf numFmtId="0" fontId="58" fillId="54" borderId="171" xfId="0" applyFont="1" applyFill="1" applyBorder="1" applyAlignment="1">
      <alignment horizontal="center" wrapText="1"/>
    </xf>
    <xf numFmtId="0" fontId="58" fillId="54" borderId="170" xfId="0" applyFont="1" applyFill="1" applyBorder="1" applyAlignment="1">
      <alignment horizontal="center" wrapText="1"/>
    </xf>
    <xf numFmtId="0" fontId="58" fillId="54" borderId="110" xfId="0" applyFont="1" applyFill="1" applyBorder="1" applyAlignment="1">
      <alignment horizontal="center" wrapText="1"/>
    </xf>
    <xf numFmtId="0" fontId="58" fillId="54" borderId="104" xfId="0" applyFont="1" applyFill="1" applyBorder="1" applyAlignment="1">
      <alignment horizontal="center" wrapText="1"/>
    </xf>
    <xf numFmtId="0" fontId="58" fillId="54" borderId="106" xfId="0" applyFont="1" applyFill="1" applyBorder="1" applyAlignment="1">
      <alignment horizontal="center" wrapText="1"/>
    </xf>
    <xf numFmtId="0" fontId="3" fillId="54" borderId="170" xfId="0" applyFont="1" applyFill="1" applyBorder="1" applyAlignment="1">
      <alignment horizontal="center" vertical="center" wrapText="1"/>
    </xf>
    <xf numFmtId="0" fontId="3" fillId="54" borderId="110" xfId="0" applyFont="1" applyFill="1" applyBorder="1" applyAlignment="1">
      <alignment horizontal="center" vertical="center" wrapText="1"/>
    </xf>
    <xf numFmtId="0" fontId="3" fillId="54" borderId="106" xfId="0" applyFont="1" applyFill="1" applyBorder="1" applyAlignment="1">
      <alignment horizontal="center" vertical="center" wrapText="1"/>
    </xf>
    <xf numFmtId="0" fontId="8" fillId="21" borderId="72" xfId="0" applyFont="1" applyFill="1" applyBorder="1" applyAlignment="1">
      <alignment horizontal="center" vertical="center"/>
    </xf>
    <xf numFmtId="0" fontId="8" fillId="21" borderId="73" xfId="0" applyFont="1" applyFill="1" applyBorder="1" applyAlignment="1">
      <alignment horizontal="center" vertical="center"/>
    </xf>
    <xf numFmtId="0" fontId="8" fillId="21" borderId="75" xfId="0" applyFont="1" applyFill="1" applyBorder="1" applyAlignment="1">
      <alignment horizontal="center" vertical="center"/>
    </xf>
    <xf numFmtId="0" fontId="3" fillId="51" borderId="31" xfId="0" applyFont="1" applyFill="1" applyBorder="1" applyAlignment="1">
      <alignment horizontal="center" vertical="center" wrapText="1"/>
    </xf>
    <xf numFmtId="0" fontId="58" fillId="51" borderId="31" xfId="0" applyFont="1" applyFill="1" applyBorder="1" applyAlignment="1">
      <alignment horizontal="center" wrapText="1"/>
    </xf>
    <xf numFmtId="0" fontId="58" fillId="51" borderId="30" xfId="0" applyFont="1" applyFill="1" applyBorder="1" applyAlignment="1">
      <alignment horizontal="center" wrapText="1"/>
    </xf>
    <xf numFmtId="0" fontId="58" fillId="51" borderId="26" xfId="0" applyFont="1" applyFill="1" applyBorder="1" applyAlignment="1">
      <alignment horizontal="center" wrapText="1"/>
    </xf>
    <xf numFmtId="0" fontId="58" fillId="51" borderId="33" xfId="0" applyFont="1" applyFill="1" applyBorder="1" applyAlignment="1">
      <alignment horizontal="center" wrapText="1"/>
    </xf>
    <xf numFmtId="0" fontId="8" fillId="21" borderId="96" xfId="0" applyFont="1" applyFill="1" applyBorder="1" applyAlignment="1">
      <alignment horizontal="center" vertical="center"/>
    </xf>
    <xf numFmtId="0" fontId="3" fillId="51" borderId="96" xfId="0" applyFont="1" applyFill="1" applyBorder="1" applyAlignment="1">
      <alignment horizontal="center" vertical="center" wrapText="1"/>
    </xf>
    <xf numFmtId="0" fontId="78" fillId="75" borderId="169" xfId="0" applyFont="1" applyFill="1" applyBorder="1" applyAlignment="1">
      <alignment horizontal="center" vertical="center"/>
    </xf>
    <xf numFmtId="0" fontId="78" fillId="75" borderId="171" xfId="0" applyFont="1" applyFill="1" applyBorder="1" applyAlignment="1">
      <alignment horizontal="center" vertical="center"/>
    </xf>
    <xf numFmtId="0" fontId="78" fillId="75" borderId="170" xfId="0" applyFont="1" applyFill="1" applyBorder="1" applyAlignment="1">
      <alignment horizontal="center" vertical="center"/>
    </xf>
    <xf numFmtId="0" fontId="78" fillId="75" borderId="110" xfId="0" applyFont="1" applyFill="1" applyBorder="1" applyAlignment="1">
      <alignment horizontal="center" vertical="center"/>
    </xf>
    <xf numFmtId="0" fontId="78" fillId="75" borderId="104" xfId="0" applyFont="1" applyFill="1" applyBorder="1" applyAlignment="1">
      <alignment horizontal="center" vertical="center"/>
    </xf>
    <xf numFmtId="0" fontId="78" fillId="75" borderId="106" xfId="0" applyFont="1" applyFill="1" applyBorder="1" applyAlignment="1">
      <alignment horizontal="center" vertical="center"/>
    </xf>
    <xf numFmtId="0" fontId="77" fillId="76" borderId="169" xfId="0" applyFont="1" applyFill="1" applyBorder="1" applyAlignment="1">
      <alignment horizontal="center" vertical="center" wrapText="1"/>
    </xf>
    <xf numFmtId="0" fontId="77" fillId="76" borderId="171" xfId="0" applyFont="1" applyFill="1" applyBorder="1" applyAlignment="1">
      <alignment horizontal="center" vertical="center" wrapText="1"/>
    </xf>
    <xf numFmtId="0" fontId="77" fillId="76" borderId="170" xfId="0" applyFont="1" applyFill="1" applyBorder="1" applyAlignment="1">
      <alignment horizontal="center" vertical="center" wrapText="1"/>
    </xf>
    <xf numFmtId="0" fontId="77" fillId="76" borderId="110" xfId="0" applyFont="1" applyFill="1" applyBorder="1" applyAlignment="1">
      <alignment horizontal="center" vertical="center" wrapText="1"/>
    </xf>
    <xf numFmtId="0" fontId="77" fillId="76" borderId="104" xfId="0" applyFont="1" applyFill="1" applyBorder="1" applyAlignment="1">
      <alignment horizontal="center" vertical="center" wrapText="1"/>
    </xf>
    <xf numFmtId="0" fontId="77" fillId="76" borderId="106" xfId="0" applyFont="1" applyFill="1" applyBorder="1" applyAlignment="1">
      <alignment horizontal="center" vertical="center" wrapText="1"/>
    </xf>
    <xf numFmtId="0" fontId="58" fillId="46" borderId="169" xfId="0" applyFont="1" applyFill="1" applyBorder="1" applyAlignment="1">
      <alignment horizontal="center" vertical="center" wrapText="1"/>
    </xf>
    <xf numFmtId="0" fontId="58" fillId="46" borderId="171" xfId="0" applyFont="1" applyFill="1" applyBorder="1" applyAlignment="1">
      <alignment horizontal="center" vertical="center" wrapText="1"/>
    </xf>
    <xf numFmtId="0" fontId="58" fillId="46" borderId="170" xfId="0" applyFont="1" applyFill="1" applyBorder="1" applyAlignment="1">
      <alignment horizontal="center" vertical="center" wrapText="1"/>
    </xf>
    <xf numFmtId="0" fontId="58" fillId="46" borderId="110" xfId="0" applyFont="1" applyFill="1" applyBorder="1" applyAlignment="1">
      <alignment horizontal="center" vertical="center" wrapText="1"/>
    </xf>
    <xf numFmtId="0" fontId="58" fillId="46" borderId="104" xfId="0" applyFont="1" applyFill="1" applyBorder="1" applyAlignment="1">
      <alignment horizontal="center" vertical="center" wrapText="1"/>
    </xf>
    <xf numFmtId="0" fontId="58" fillId="46" borderId="106" xfId="0" applyFont="1" applyFill="1" applyBorder="1" applyAlignment="1">
      <alignment horizontal="center" vertical="center" wrapText="1"/>
    </xf>
    <xf numFmtId="0" fontId="77" fillId="79" borderId="39" xfId="0" applyFont="1" applyFill="1" applyBorder="1" applyAlignment="1">
      <alignment horizontal="center" vertical="center"/>
    </xf>
    <xf numFmtId="0" fontId="77" fillId="76" borderId="31" xfId="0" applyFont="1" applyFill="1" applyBorder="1"/>
    <xf numFmtId="0" fontId="77" fillId="76" borderId="30" xfId="0" applyFont="1" applyFill="1" applyBorder="1"/>
    <xf numFmtId="0" fontId="77" fillId="76" borderId="40" xfId="0" applyFont="1" applyFill="1" applyBorder="1"/>
    <xf numFmtId="0" fontId="77" fillId="76" borderId="26" xfId="0" applyFont="1" applyFill="1" applyBorder="1"/>
    <xf numFmtId="0" fontId="77" fillId="76" borderId="33" xfId="0" applyFont="1" applyFill="1" applyBorder="1"/>
    <xf numFmtId="0" fontId="3" fillId="0" borderId="79" xfId="0" applyFont="1" applyBorder="1" applyAlignment="1">
      <alignment horizontal="center"/>
    </xf>
    <xf numFmtId="0" fontId="2" fillId="0" borderId="80" xfId="0" applyFont="1" applyBorder="1"/>
    <xf numFmtId="0" fontId="2" fillId="0" borderId="81" xfId="0" applyFont="1" applyBorder="1"/>
    <xf numFmtId="0" fontId="77" fillId="79" borderId="102" xfId="0" applyFont="1" applyFill="1" applyBorder="1" applyAlignment="1">
      <alignment horizontal="center" vertical="center"/>
    </xf>
    <xf numFmtId="0" fontId="77" fillId="79" borderId="118" xfId="0" applyFont="1" applyFill="1" applyBorder="1" applyAlignment="1">
      <alignment horizontal="center" vertical="center"/>
    </xf>
    <xf numFmtId="0" fontId="71" fillId="68" borderId="96" xfId="0" applyFont="1" applyFill="1" applyBorder="1" applyAlignment="1">
      <alignment horizontal="center" vertical="center"/>
    </xf>
    <xf numFmtId="0" fontId="71" fillId="68" borderId="169" xfId="0" applyFont="1" applyFill="1" applyBorder="1" applyAlignment="1">
      <alignment horizontal="center" vertical="center"/>
    </xf>
    <xf numFmtId="0" fontId="71" fillId="68" borderId="171" xfId="0" applyFont="1" applyFill="1" applyBorder="1" applyAlignment="1">
      <alignment horizontal="center" vertical="center"/>
    </xf>
    <xf numFmtId="0" fontId="71" fillId="68" borderId="170" xfId="0" applyFont="1" applyFill="1" applyBorder="1" applyAlignment="1">
      <alignment horizontal="center" vertical="center"/>
    </xf>
    <xf numFmtId="0" fontId="71" fillId="68" borderId="110" xfId="0" applyFont="1" applyFill="1" applyBorder="1" applyAlignment="1">
      <alignment horizontal="center" vertical="center"/>
    </xf>
    <xf numFmtId="0" fontId="71" fillId="68" borderId="104" xfId="0" applyFont="1" applyFill="1" applyBorder="1" applyAlignment="1">
      <alignment horizontal="center" vertical="center"/>
    </xf>
    <xf numFmtId="0" fontId="71" fillId="68" borderId="106" xfId="0" applyFont="1" applyFill="1" applyBorder="1" applyAlignment="1">
      <alignment horizontal="center" vertical="center"/>
    </xf>
    <xf numFmtId="0" fontId="76" fillId="40" borderId="5" xfId="3" applyFont="1" applyAlignment="1">
      <alignment horizontal="center" vertical="center" textRotation="90" wrapText="1"/>
    </xf>
    <xf numFmtId="0" fontId="75" fillId="0" borderId="96" xfId="0" applyFont="1" applyBorder="1" applyAlignment="1">
      <alignment horizontal="center" textRotation="90" wrapText="1"/>
    </xf>
    <xf numFmtId="0" fontId="71" fillId="74" borderId="169" xfId="0" applyFont="1" applyFill="1" applyBorder="1" applyAlignment="1">
      <alignment horizontal="center" vertical="center"/>
    </xf>
    <xf numFmtId="0" fontId="71" fillId="74" borderId="171" xfId="0" applyFont="1" applyFill="1" applyBorder="1" applyAlignment="1">
      <alignment horizontal="center" vertical="center"/>
    </xf>
    <xf numFmtId="0" fontId="71" fillId="74" borderId="108" xfId="0" applyFont="1" applyFill="1" applyBorder="1" applyAlignment="1">
      <alignment horizontal="center" vertical="center"/>
    </xf>
    <xf numFmtId="0" fontId="71" fillId="74" borderId="24" xfId="0" applyFont="1" applyFill="1" applyBorder="1" applyAlignment="1">
      <alignment horizontal="center" vertical="center"/>
    </xf>
    <xf numFmtId="0" fontId="76" fillId="40" borderId="5" xfId="3" applyFont="1" applyAlignment="1">
      <alignment horizontal="center" wrapText="1"/>
    </xf>
    <xf numFmtId="0" fontId="56" fillId="0" borderId="53" xfId="7" applyAlignment="1">
      <alignment horizontal="center" wrapText="1"/>
    </xf>
    <xf numFmtId="0" fontId="24" fillId="36" borderId="74" xfId="0" applyFont="1" applyFill="1" applyBorder="1" applyAlignment="1">
      <alignment horizontal="center" vertical="center"/>
    </xf>
    <xf numFmtId="0" fontId="2" fillId="0" borderId="76" xfId="0" applyFont="1" applyBorder="1"/>
    <xf numFmtId="0" fontId="2" fillId="0" borderId="77" xfId="0" applyFont="1" applyBorder="1"/>
    <xf numFmtId="0" fontId="26" fillId="17" borderId="34" xfId="0" applyFont="1" applyFill="1" applyBorder="1" applyAlignment="1">
      <alignment horizontal="center"/>
    </xf>
    <xf numFmtId="0" fontId="2" fillId="0" borderId="73" xfId="0" applyFont="1" applyBorder="1"/>
    <xf numFmtId="0" fontId="24" fillId="35" borderId="174" xfId="0" applyFont="1" applyFill="1" applyBorder="1" applyAlignment="1">
      <alignment horizontal="center" vertical="center"/>
    </xf>
    <xf numFmtId="0" fontId="24" fillId="35" borderId="175" xfId="0" applyFont="1" applyFill="1" applyBorder="1" applyAlignment="1">
      <alignment horizontal="center" vertical="center"/>
    </xf>
    <xf numFmtId="0" fontId="24" fillId="36" borderId="175" xfId="0" applyFont="1" applyFill="1" applyBorder="1" applyAlignment="1">
      <alignment horizontal="center" vertical="center"/>
    </xf>
    <xf numFmtId="0" fontId="24" fillId="34" borderId="172" xfId="0" applyFont="1" applyFill="1" applyBorder="1" applyAlignment="1">
      <alignment horizontal="center"/>
    </xf>
    <xf numFmtId="0" fontId="2" fillId="0" borderId="173" xfId="0" applyFont="1" applyBorder="1"/>
    <xf numFmtId="0" fontId="24" fillId="34" borderId="34" xfId="0" applyFont="1" applyFill="1" applyBorder="1" applyAlignment="1">
      <alignment horizontal="center"/>
    </xf>
    <xf numFmtId="0" fontId="24" fillId="35" borderId="47" xfId="0" applyFont="1" applyFill="1" applyBorder="1" applyAlignment="1">
      <alignment horizontal="center" vertical="center"/>
    </xf>
    <xf numFmtId="0" fontId="24" fillId="35" borderId="74" xfId="0" applyFont="1" applyFill="1" applyBorder="1" applyAlignment="1">
      <alignment horizontal="center" vertical="center"/>
    </xf>
    <xf numFmtId="0" fontId="90" fillId="31" borderId="178" xfId="0" applyFont="1" applyFill="1" applyBorder="1" applyAlignment="1">
      <alignment horizontal="center" vertical="center" wrapText="1"/>
    </xf>
    <xf numFmtId="0" fontId="91" fillId="0" borderId="179" xfId="0" applyFont="1" applyBorder="1"/>
    <xf numFmtId="0" fontId="11" fillId="8" borderId="96" xfId="0" applyFont="1" applyFill="1" applyBorder="1" applyAlignment="1" applyProtection="1">
      <alignment horizontal="center"/>
      <protection locked="0"/>
    </xf>
    <xf numFmtId="0" fontId="9" fillId="6" borderId="1" xfId="0" applyFont="1" applyFill="1" applyBorder="1" applyAlignment="1" applyProtection="1">
      <alignment horizontal="center"/>
      <protection locked="0"/>
    </xf>
    <xf numFmtId="0" fontId="2" fillId="0" borderId="2" xfId="0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2" fillId="0" borderId="24" xfId="0" applyFont="1" applyBorder="1" applyProtection="1">
      <protection locked="0"/>
    </xf>
    <xf numFmtId="0" fontId="0" fillId="0" borderId="0" xfId="0" applyFont="1" applyAlignment="1" applyProtection="1">
      <protection locked="0"/>
    </xf>
    <xf numFmtId="0" fontId="10" fillId="3" borderId="6" xfId="0" applyFont="1" applyFill="1" applyBorder="1" applyAlignment="1" applyProtection="1">
      <alignment horizontal="center"/>
      <protection locked="0"/>
    </xf>
    <xf numFmtId="0" fontId="10" fillId="3" borderId="6" xfId="0" applyFont="1" applyFill="1" applyBorder="1" applyAlignment="1" applyProtection="1">
      <alignment horizontal="center" vertical="center"/>
      <protection locked="0"/>
    </xf>
    <xf numFmtId="0" fontId="10" fillId="3" borderId="24" xfId="0" applyFont="1" applyFill="1" applyBorder="1" applyAlignment="1" applyProtection="1">
      <alignment horizontal="center" vertical="center"/>
      <protection locked="0"/>
    </xf>
    <xf numFmtId="0" fontId="8" fillId="5" borderId="8" xfId="0" applyFont="1" applyFill="1" applyBorder="1" applyAlignment="1" applyProtection="1">
      <alignment horizontal="center"/>
      <protection locked="0"/>
    </xf>
    <xf numFmtId="0" fontId="11" fillId="8" borderId="112" xfId="0" applyFont="1" applyFill="1" applyBorder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  <protection locked="0"/>
    </xf>
    <xf numFmtId="0" fontId="3" fillId="42" borderId="96" xfId="5" applyFont="1" applyBorder="1" applyAlignment="1" applyProtection="1">
      <alignment horizontal="center" vertical="center"/>
      <protection locked="0"/>
    </xf>
    <xf numFmtId="3" fontId="11" fillId="8" borderId="195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Protection="1">
      <protection locked="0"/>
    </xf>
    <xf numFmtId="0" fontId="58" fillId="0" borderId="24" xfId="0" applyFont="1" applyBorder="1" applyAlignment="1" applyProtection="1">
      <alignment horizontal="center"/>
      <protection locked="0"/>
    </xf>
    <xf numFmtId="0" fontId="9" fillId="11" borderId="1" xfId="0" applyFont="1" applyFill="1" applyBorder="1" applyAlignment="1" applyProtection="1">
      <alignment horizontal="center"/>
      <protection locked="0"/>
    </xf>
    <xf numFmtId="0" fontId="10" fillId="73" borderId="196" xfId="0" applyFont="1" applyFill="1" applyBorder="1" applyAlignment="1" applyProtection="1">
      <alignment horizontal="center"/>
      <protection locked="0"/>
    </xf>
    <xf numFmtId="0" fontId="2" fillId="54" borderId="197" xfId="0" applyFont="1" applyFill="1" applyBorder="1" applyProtection="1">
      <protection locked="0"/>
    </xf>
    <xf numFmtId="0" fontId="0" fillId="0" borderId="0" xfId="0" applyFont="1" applyProtection="1">
      <protection locked="0"/>
    </xf>
    <xf numFmtId="0" fontId="3" fillId="42" borderId="169" xfId="5" applyFont="1" applyBorder="1" applyAlignment="1" applyProtection="1">
      <alignment horizontal="center" vertical="center"/>
      <protection locked="0"/>
    </xf>
    <xf numFmtId="0" fontId="3" fillId="42" borderId="170" xfId="5" applyFont="1" applyBorder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/>
      <protection locked="0"/>
    </xf>
    <xf numFmtId="0" fontId="3" fillId="42" borderId="110" xfId="5" applyFont="1" applyBorder="1" applyAlignment="1" applyProtection="1">
      <alignment horizontal="center" vertical="center"/>
      <protection locked="0"/>
    </xf>
    <xf numFmtId="0" fontId="3" fillId="42" borderId="106" xfId="5" applyFont="1" applyBorder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0" fontId="43" fillId="40" borderId="96" xfId="3" applyBorder="1" applyAlignment="1" applyProtection="1">
      <alignment horizontal="center"/>
    </xf>
    <xf numFmtId="0" fontId="12" fillId="5" borderId="50" xfId="0" applyFont="1" applyFill="1" applyBorder="1" applyAlignment="1" applyProtection="1">
      <alignment horizontal="center"/>
      <protection locked="0"/>
    </xf>
    <xf numFmtId="0" fontId="8" fillId="5" borderId="96" xfId="0" applyFont="1" applyFill="1" applyBorder="1" applyAlignment="1" applyProtection="1">
      <alignment horizontal="center"/>
      <protection locked="0"/>
    </xf>
    <xf numFmtId="0" fontId="0" fillId="0" borderId="24" xfId="0" applyFont="1" applyBorder="1" applyAlignment="1"/>
    <xf numFmtId="0" fontId="61" fillId="69" borderId="96" xfId="0" applyFont="1" applyFill="1" applyBorder="1" applyAlignment="1">
      <alignment horizontal="center"/>
    </xf>
    <xf numFmtId="0" fontId="61" fillId="72" borderId="96" xfId="0" applyFont="1" applyFill="1" applyBorder="1" applyAlignment="1">
      <alignment horizontal="center"/>
    </xf>
    <xf numFmtId="1" fontId="6" fillId="0" borderId="96" xfId="0" applyNumberFormat="1" applyFont="1" applyBorder="1" applyAlignment="1">
      <alignment horizontal="center"/>
    </xf>
    <xf numFmtId="0" fontId="73" fillId="87" borderId="96" xfId="0" applyFont="1" applyFill="1" applyBorder="1" applyAlignment="1">
      <alignment horizontal="center"/>
    </xf>
    <xf numFmtId="0" fontId="72" fillId="87" borderId="96" xfId="0" applyFont="1" applyFill="1" applyBorder="1" applyAlignment="1">
      <alignment horizontal="center"/>
    </xf>
  </cellXfs>
  <cellStyles count="10">
    <cellStyle name="60% - Énfasis4" xfId="8" builtinId="44"/>
    <cellStyle name="Cálculo" xfId="4" builtinId="22"/>
    <cellStyle name="Celda vinculada" xfId="7" builtinId="24"/>
    <cellStyle name="Entrada" xfId="3" builtinId="20"/>
    <cellStyle name="Incorrecto" xfId="9" builtinId="27"/>
    <cellStyle name="Normal" xfId="0" builtinId="0"/>
    <cellStyle name="Normal 2" xfId="1" xr:uid="{89F351F3-B271-414F-B1FF-4E254274B313}"/>
    <cellStyle name="Notas" xfId="5" builtinId="10"/>
    <cellStyle name="Porcentaje" xfId="2" builtinId="5"/>
    <cellStyle name="Salida" xfId="6" builtinId="21"/>
  </cellStyles>
  <dxfs count="16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720462"/>
      <color rgb="FFEDFC28"/>
      <color rgb="FF996633"/>
      <color rgb="FF7B380B"/>
      <color rgb="FF0000FF"/>
      <color rgb="FFCC0066"/>
      <color rgb="FFFFE7F3"/>
      <color rgb="FFFFCDE6"/>
      <color rgb="FF003300"/>
      <color rgb="FF7777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customschemas.google.com/relationships/workbookmetadata" Target="metadata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7" Type="http://schemas.openxmlformats.org/officeDocument/2006/relationships/calcChain" Target="calcChain.xml"/><Relationship Id="rId30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561975</xdr:colOff>
      <xdr:row>16</xdr:row>
      <xdr:rowOff>104775</xdr:rowOff>
    </xdr:from>
    <xdr:ext cx="4076700" cy="5000625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133349</xdr:rowOff>
    </xdr:from>
    <xdr:to>
      <xdr:col>2</xdr:col>
      <xdr:colOff>1266825</xdr:colOff>
      <xdr:row>18</xdr:row>
      <xdr:rowOff>38100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8235226-7C8D-4A1D-9751-97803D0D86D4}"/>
            </a:ext>
          </a:extLst>
        </xdr:cNvPr>
        <xdr:cNvSpPr txBox="1"/>
      </xdr:nvSpPr>
      <xdr:spPr>
        <a:xfrm>
          <a:off x="0" y="3076574"/>
          <a:ext cx="5210175" cy="2667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En</a:t>
          </a:r>
          <a:r>
            <a:rPr lang="es-ES" sz="1100" b="1" baseline="0"/>
            <a:t> F4 </a:t>
          </a:r>
          <a:r>
            <a:rPr lang="es-ES" sz="1100" baseline="0"/>
            <a:t>no tendremos variable de </a:t>
          </a:r>
          <a:r>
            <a:rPr lang="es-ES" sz="1100" b="1" baseline="0"/>
            <a:t>type_irrigation</a:t>
          </a:r>
          <a:r>
            <a:rPr lang="es-ES" sz="1100" baseline="0"/>
            <a:t>, se añade una factor de irrigation de </a:t>
          </a:r>
          <a:r>
            <a:rPr lang="es-ES" sz="1100" b="1" baseline="0"/>
            <a:t>0,8</a:t>
          </a:r>
          <a:endParaRPr lang="es-ES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466725</xdr:colOff>
      <xdr:row>8</xdr:row>
      <xdr:rowOff>133351</xdr:rowOff>
    </xdr:from>
    <xdr:to>
      <xdr:col>22</xdr:col>
      <xdr:colOff>590550</xdr:colOff>
      <xdr:row>22</xdr:row>
      <xdr:rowOff>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FD2A4D7-7057-4118-8E12-A56DEA8AF461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14103" t="46069" r="66604" b="35455"/>
        <a:stretch/>
      </xdr:blipFill>
      <xdr:spPr bwMode="auto">
        <a:xfrm>
          <a:off x="10668000" y="1581151"/>
          <a:ext cx="7439025" cy="24955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Horacio" id="{B1451253-FD4B-4B88-A9A7-48E44E8CFCA5}" userId="e7a64fe7fb6b953a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40" dT="2021-05-01T16:39:12.98" personId="{B1451253-FD4B-4B88-A9A7-48E44E8CFCA5}" id="{A73A0DB2-0860-4043-8B4B-C45DCE41497B}">
    <text>Revisar por qué da más alto???</text>
  </threadedComment>
</ThreadedComment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ntagri.com/articulos/cereales/los-fertilizantes-fosforicos-para-maiz" TargetMode="External"/><Relationship Id="rId18" Type="http://schemas.openxmlformats.org/officeDocument/2006/relationships/hyperlink" Target="https://nda.nebraska.gov/plant/fertilizer/fertilizer_codes.pdf" TargetMode="External"/><Relationship Id="rId26" Type="http://schemas.openxmlformats.org/officeDocument/2006/relationships/hyperlink" Target="http://nitrofosfatos.pdf/" TargetMode="External"/><Relationship Id="rId39" Type="http://schemas.openxmlformats.org/officeDocument/2006/relationships/hyperlink" Target="https://www.terralia.com/vademecum_de_productos_fitosanitarios_y_nutricionales/view_trademark?trademark_id=2516" TargetMode="External"/><Relationship Id="rId21" Type="http://schemas.openxmlformats.org/officeDocument/2006/relationships/hyperlink" Target="https://www.ypf.com/productosyservicios/Descargas/CLORURO-DE-POTASIO.pdf" TargetMode="External"/><Relationship Id="rId34" Type="http://schemas.openxmlformats.org/officeDocument/2006/relationships/hyperlink" Target="https://www.agralia.es/es/agricultura/productos/categorias/aqua/solidos-solubles/sulfato-am%C3%B3nico-21-60/" TargetMode="External"/><Relationship Id="rId42" Type="http://schemas.openxmlformats.org/officeDocument/2006/relationships/hyperlink" Target="https://www.euragro.com/productos/especial-cereal/" TargetMode="External"/><Relationship Id="rId47" Type="http://schemas.openxmlformats.org/officeDocument/2006/relationships/comments" Target="../comments1.xml"/><Relationship Id="rId7" Type="http://schemas.openxmlformats.org/officeDocument/2006/relationships/hyperlink" Target="http://www.agropalsc.com/productos_agricultura_des.shtml?idboletin=1085&amp;idarticulo=25171&amp;idseccion=5271&amp;idioma=" TargetMode="External"/><Relationship Id="rId2" Type="http://schemas.openxmlformats.org/officeDocument/2006/relationships/hyperlink" Target="http://www.agropalsc.com/productos_agricultura_des.shtml?idboletin=1085&amp;idarticulo=25264&amp;idseccion=6209&amp;idioma=" TargetMode="External"/><Relationship Id="rId16" Type="http://schemas.openxmlformats.org/officeDocument/2006/relationships/hyperlink" Target="https://nda.nebraska.gov/plant/fertilizer/fertilizer_codes.pdf" TargetMode="External"/><Relationship Id="rId29" Type="http://schemas.openxmlformats.org/officeDocument/2006/relationships/hyperlink" Target="https://icl-sf.com/es-es/products/specialty_agriculture/0177-combifert/" TargetMode="External"/><Relationship Id="rId1" Type="http://schemas.openxmlformats.org/officeDocument/2006/relationships/hyperlink" Target="http://www.agropalsc.com/productos_agricultura_des.shtml?idboletin=1085&amp;idarticulo=25262&amp;idseccion=6209&amp;idioma=" TargetMode="External"/><Relationship Id="rId6" Type="http://schemas.openxmlformats.org/officeDocument/2006/relationships/hyperlink" Target="http://www.agrarfertilizantes.es/index.php/productosagrar/solidos/abonos-solidos-simples/18-nitrato-amonico-calcico-26" TargetMode="External"/><Relationship Id="rId11" Type="http://schemas.openxmlformats.org/officeDocument/2006/relationships/hyperlink" Target="https://www.mapa.gob.es/ministerio/pags/biblioteca/hojas/hd_1994_03.pdf" TargetMode="External"/><Relationship Id="rId24" Type="http://schemas.openxmlformats.org/officeDocument/2006/relationships/hyperlink" Target="https://www.intagri.com/articulos/cereales/los-fertilizantes-fosforicos-para-maiz" TargetMode="External"/><Relationship Id="rId32" Type="http://schemas.openxmlformats.org/officeDocument/2006/relationships/hyperlink" Target="https://www.tienda.sercopag.com/producto/solyorgan-12-36-12-abono-organomineral-npk-con-10mo/" TargetMode="External"/><Relationship Id="rId37" Type="http://schemas.openxmlformats.org/officeDocument/2006/relationships/hyperlink" Target="https://www.antoniotarazona.com/website2/wp-content/uploads/1902ATG-06-COBERLIQ-NS-26-6-FT.pdf" TargetMode="External"/><Relationship Id="rId40" Type="http://schemas.openxmlformats.org/officeDocument/2006/relationships/hyperlink" Target="http://www.alcafert.es/producto-nitrogeno-4.html" TargetMode="External"/><Relationship Id="rId45" Type="http://schemas.openxmlformats.org/officeDocument/2006/relationships/printerSettings" Target="../printerSettings/printerSettings3.bin"/><Relationship Id="rId5" Type="http://schemas.openxmlformats.org/officeDocument/2006/relationships/hyperlink" Target="http://www.agropalsc.com/productos_agricultura_des.shtml?idboletin=1085&amp;idarticulo=25193&amp;idseccion=5271&amp;idioma=" TargetMode="External"/><Relationship Id="rId15" Type="http://schemas.openxmlformats.org/officeDocument/2006/relationships/hyperlink" Target="https://www.intagri.com/articulos/cereales/los-fertilizantes-fosforicos-para-maiz" TargetMode="External"/><Relationship Id="rId23" Type="http://schemas.openxmlformats.org/officeDocument/2006/relationships/hyperlink" Target="https://www.phosagro.com/es/production/fertilizer/9050/" TargetMode="External"/><Relationship Id="rId28" Type="http://schemas.openxmlformats.org/officeDocument/2006/relationships/hyperlink" Target="https://www.agromatica.es/hablando-del-nitrato-de-potasio/" TargetMode="External"/><Relationship Id="rId36" Type="http://schemas.openxmlformats.org/officeDocument/2006/relationships/hyperlink" Target="https://fercampo.com/catalogo-de-productos/nutricion-vegetal/fertilizantes-liquidos/" TargetMode="External"/><Relationship Id="rId10" Type="http://schemas.openxmlformats.org/officeDocument/2006/relationships/hyperlink" Target="https://www.mapa.gob.es/ministerio/pags/biblioteca/hojas/hd_1994_03.pdf" TargetMode="External"/><Relationship Id="rId19" Type="http://schemas.openxmlformats.org/officeDocument/2006/relationships/hyperlink" Target="https://nda.nebraska.gov/plant/fertilizer/fertilizer_codes.pdf" TargetMode="External"/><Relationship Id="rId31" Type="http://schemas.openxmlformats.org/officeDocument/2006/relationships/hyperlink" Target="https://www.terralia.com/vademecum_de_productos_fitosanitarios_y_nutricionales/view_composition?book_id=1&amp;composition_id=5259" TargetMode="External"/><Relationship Id="rId44" Type="http://schemas.openxmlformats.org/officeDocument/2006/relationships/hyperlink" Target="https://www.agralia.es/es/agricultura/productos/categorias/aqua/solidos-solubles/sulfato-am%C3%B3nico-21-60/" TargetMode="External"/><Relationship Id="rId4" Type="http://schemas.openxmlformats.org/officeDocument/2006/relationships/hyperlink" Target="http://www.ipni.net/publication/nss-es.nsf/0/794F6BDB7E84EA4785257BBA0059C154/$FILE/NSS-ES-12.pdf" TargetMode="External"/><Relationship Id="rId9" Type="http://schemas.openxmlformats.org/officeDocument/2006/relationships/hyperlink" Target="https://www.mapa.gob.es/ministerio/pags/biblioteca/hojas/hd_1994_03.pdf" TargetMode="External"/><Relationship Id="rId14" Type="http://schemas.openxmlformats.org/officeDocument/2006/relationships/hyperlink" Target="https://www.anasacjardin.cl/producto/fertilizantes-jarditec/superfosfato-triple-jarditec/" TargetMode="External"/><Relationship Id="rId22" Type="http://schemas.openxmlformats.org/officeDocument/2006/relationships/hyperlink" Target="https://www.haifa-group.com/es/sulfato-potasico-fertilizante" TargetMode="External"/><Relationship Id="rId27" Type="http://schemas.openxmlformats.org/officeDocument/2006/relationships/hyperlink" Target="https://www.haifa-group.com/es/haifa-mkp%E2%84%A2-fosfato-monopot%C3%A1sico-0-52-34" TargetMode="External"/><Relationship Id="rId30" Type="http://schemas.openxmlformats.org/officeDocument/2006/relationships/hyperlink" Target="http://www.agropalsc.com/productos_agricultura_des.shtml?idboletin=1085&amp;idarticulo=25270&amp;idseccion=5273&amp;idioma=" TargetMode="External"/><Relationship Id="rId35" Type="http://schemas.openxmlformats.org/officeDocument/2006/relationships/hyperlink" Target="https://fercampo.com/catalogo-de-productos/nutricion-vegetal/fertilizantes-liquidos/" TargetMode="External"/><Relationship Id="rId43" Type="http://schemas.openxmlformats.org/officeDocument/2006/relationships/hyperlink" Target="https://www.yara.es/nutricion-vegetal/productos/yaratera/yaratera-krista-mgs/" TargetMode="External"/><Relationship Id="rId8" Type="http://schemas.openxmlformats.org/officeDocument/2006/relationships/hyperlink" Target="http://www.agropalsc.com/productos_agricultura_des.shtml?idboletin=1085&amp;idarticulo=25210&amp;idseccion=6208&amp;idioma=" TargetMode="External"/><Relationship Id="rId3" Type="http://schemas.openxmlformats.org/officeDocument/2006/relationships/hyperlink" Target="https://www.haifa-group.com/es/magnisal%E2%84%A2-nitrato-de-magnesio-fertilizante-para-cultivos-sanos" TargetMode="External"/><Relationship Id="rId12" Type="http://schemas.openxmlformats.org/officeDocument/2006/relationships/hyperlink" Target="https://www.ypf.com/productosyservicios/Descargas/Superfosfato-simple.pdf" TargetMode="External"/><Relationship Id="rId17" Type="http://schemas.openxmlformats.org/officeDocument/2006/relationships/hyperlink" Target="https://globalrustrade.com/es/catalog/dicalcium-phosphate-dcp-18-min-feed-grade/" TargetMode="External"/><Relationship Id="rId25" Type="http://schemas.openxmlformats.org/officeDocument/2006/relationships/hyperlink" Target="https://www.phosagro.com/es/production/fertilizer/9069/" TargetMode="External"/><Relationship Id="rId33" Type="http://schemas.openxmlformats.org/officeDocument/2006/relationships/hyperlink" Target="https://icl-sf.com/es-es/products/specialty_agriculture/4088-nutri-liquid-5-10-10/" TargetMode="External"/><Relationship Id="rId38" Type="http://schemas.openxmlformats.org/officeDocument/2006/relationships/hyperlink" Target="https://agroferti.com/es/products/Productos-industriales/1/" TargetMode="External"/><Relationship Id="rId46" Type="http://schemas.openxmlformats.org/officeDocument/2006/relationships/vmlDrawing" Target="../drawings/vmlDrawing1.vml"/><Relationship Id="rId20" Type="http://schemas.openxmlformats.org/officeDocument/2006/relationships/hyperlink" Target="https://nda.nebraska.gov/plant/fertilizer/fertilizer_codes.pdf" TargetMode="External"/><Relationship Id="rId41" Type="http://schemas.openxmlformats.org/officeDocument/2006/relationships/hyperlink" Target="http://www.nitronor.es/service-view/nitroplus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:N37"/>
  <sheetViews>
    <sheetView workbookViewId="0">
      <selection activeCell="F9" sqref="F9"/>
    </sheetView>
  </sheetViews>
  <sheetFormatPr baseColWidth="10" defaultColWidth="12.625" defaultRowHeight="14.25"/>
  <cols>
    <col min="1" max="1" width="4.5" customWidth="1"/>
    <col min="2" max="2" width="15.125" customWidth="1"/>
    <col min="3" max="7" width="10.625" customWidth="1"/>
    <col min="8" max="8" width="15.375" customWidth="1"/>
    <col min="9" max="9" width="8.625" customWidth="1"/>
    <col min="10" max="10" width="13.125" customWidth="1"/>
    <col min="11" max="26" width="10.625" customWidth="1"/>
  </cols>
  <sheetData>
    <row r="1" spans="1:8" s="268" customFormat="1" ht="22.5" customHeight="1">
      <c r="A1" s="674" t="s">
        <v>1814</v>
      </c>
      <c r="B1" s="674"/>
      <c r="C1" s="674"/>
      <c r="D1" s="674"/>
      <c r="E1" s="674"/>
      <c r="F1" s="674"/>
      <c r="G1" s="533"/>
      <c r="H1" s="534"/>
    </row>
    <row r="3" spans="1:8" ht="22.5" customHeight="1"/>
    <row r="4" spans="1:8">
      <c r="F4" s="3"/>
    </row>
    <row r="5" spans="1:8" s="851" customFormat="1" ht="22.5" customHeight="1">
      <c r="A5" s="856" t="s">
        <v>0</v>
      </c>
      <c r="B5" s="856"/>
      <c r="C5" s="856"/>
      <c r="D5" s="856"/>
    </row>
    <row r="6" spans="1:8" s="851" customFormat="1" ht="22.5" customHeight="1">
      <c r="A6" s="289"/>
      <c r="B6" s="289"/>
      <c r="C6" s="289"/>
      <c r="D6" s="289"/>
      <c r="E6" s="289"/>
      <c r="F6" s="289"/>
      <c r="G6" s="289"/>
    </row>
    <row r="7" spans="1:8" ht="15">
      <c r="A7" s="851"/>
      <c r="B7" s="853" t="s">
        <v>1301</v>
      </c>
      <c r="C7" s="854">
        <f>Nc_irrigation!G7</f>
        <v>11.3</v>
      </c>
    </row>
    <row r="9" spans="1:8" ht="17.25" customHeight="1">
      <c r="C9" s="596">
        <f>SUM(C7+Nc_s_initial)</f>
        <v>41.3</v>
      </c>
    </row>
    <row r="10" spans="1:8" s="289" customFormat="1" ht="12.75" customHeight="1"/>
    <row r="11" spans="1:8" s="289" customFormat="1" ht="12.75" customHeight="1"/>
    <row r="12" spans="1:8" s="289" customFormat="1" ht="18" customHeight="1"/>
    <row r="13" spans="1:8" s="289" customFormat="1" ht="18" customHeight="1"/>
    <row r="14" spans="1:8" ht="19.5" customHeight="1">
      <c r="A14" s="855" t="s">
        <v>3</v>
      </c>
      <c r="B14" s="855"/>
      <c r="C14" s="855"/>
      <c r="D14" s="855"/>
      <c r="G14" s="289"/>
    </row>
    <row r="15" spans="1:8" s="289" customFormat="1" ht="19.5" customHeight="1"/>
    <row r="16" spans="1:8" ht="15.75" customHeight="1">
      <c r="B16" s="852" t="s">
        <v>4</v>
      </c>
      <c r="C16" s="854">
        <f>'N&amp;P&amp;K'!B29</f>
        <v>257.97750000000002</v>
      </c>
      <c r="G16" s="289"/>
    </row>
    <row r="17" spans="1:14" ht="15" customHeight="1"/>
    <row r="18" spans="1:14" ht="15.75" customHeight="1">
      <c r="C18" s="596">
        <f>SUM(C16+Nc_s_end)</f>
        <v>277.97750000000002</v>
      </c>
      <c r="F18" s="323"/>
      <c r="G18" s="323"/>
    </row>
    <row r="21" spans="1:14" s="289" customFormat="1">
      <c r="A21"/>
      <c r="B21"/>
      <c r="C21"/>
      <c r="D21"/>
      <c r="E21"/>
      <c r="F21"/>
      <c r="G21"/>
      <c r="H21"/>
    </row>
    <row r="22" spans="1:14" s="289" customFormat="1">
      <c r="A22"/>
      <c r="B22"/>
      <c r="C22"/>
      <c r="D22"/>
      <c r="E22"/>
      <c r="F22"/>
      <c r="G22"/>
      <c r="H22"/>
    </row>
    <row r="24" spans="1:14" s="289" customFormat="1" ht="23.25">
      <c r="A24" s="674" t="s">
        <v>1813</v>
      </c>
      <c r="B24" s="674"/>
      <c r="C24" s="674"/>
      <c r="D24" s="674"/>
      <c r="E24" s="674"/>
      <c r="F24" s="674"/>
      <c r="I24" s="675" t="s">
        <v>8</v>
      </c>
      <c r="J24" s="676"/>
      <c r="K24" s="676"/>
      <c r="L24" s="676"/>
      <c r="M24" s="676"/>
      <c r="N24" s="677"/>
    </row>
    <row r="25" spans="1:14">
      <c r="A25" s="289"/>
      <c r="C25" s="289"/>
      <c r="D25" s="289"/>
      <c r="E25" s="289"/>
      <c r="I25" s="289"/>
      <c r="J25" s="289"/>
      <c r="K25" s="289"/>
      <c r="L25" s="289"/>
      <c r="M25" s="289"/>
      <c r="N25" s="289"/>
    </row>
    <row r="26" spans="1:14" s="289" customFormat="1" ht="15">
      <c r="G26"/>
      <c r="H26"/>
      <c r="J26"/>
      <c r="K26" s="670" t="s">
        <v>9</v>
      </c>
      <c r="L26" s="671" t="s">
        <v>10</v>
      </c>
      <c r="M26" s="671" t="s">
        <v>11</v>
      </c>
      <c r="N26" s="672" t="s">
        <v>12</v>
      </c>
    </row>
    <row r="27" spans="1:14" ht="15">
      <c r="B27" s="668" t="s">
        <v>7</v>
      </c>
      <c r="C27" s="599">
        <f>IF((C18-C9)&gt;0,C18-C9,0)</f>
        <v>236.67750000000001</v>
      </c>
      <c r="E27" s="289"/>
      <c r="I27" s="289"/>
      <c r="J27" s="669" t="s">
        <v>1815</v>
      </c>
      <c r="K27" s="598">
        <f>'N&amp;P&amp;K'!J42</f>
        <v>48.453749999999992</v>
      </c>
      <c r="L27" s="598">
        <f>'N&amp;P&amp;K'!M42</f>
        <v>250.89750000000001</v>
      </c>
      <c r="M27" s="598">
        <f t="shared" ref="M27" si="0">K27*2.293</f>
        <v>111.10444874999999</v>
      </c>
      <c r="N27" s="598">
        <f t="shared" ref="N27" si="1">L27*1.205</f>
        <v>302.33148750000004</v>
      </c>
    </row>
    <row r="28" spans="1:14" s="289" customFormat="1" ht="15">
      <c r="B28" s="597"/>
      <c r="I28"/>
    </row>
    <row r="29" spans="1:14" s="289" customFormat="1"/>
    <row r="32" spans="1:14" s="289" customFormat="1" ht="14.25" customHeight="1"/>
    <row r="33" spans="1:1" s="289" customFormat="1" ht="14.25" customHeight="1"/>
    <row r="34" spans="1:1" ht="14.25" customHeight="1"/>
    <row r="35" spans="1:1" ht="15" customHeight="1"/>
    <row r="37" spans="1:1">
      <c r="A37" s="289"/>
    </row>
  </sheetData>
  <mergeCells count="5">
    <mergeCell ref="A1:F1"/>
    <mergeCell ref="A24:F24"/>
    <mergeCell ref="I24:N24"/>
    <mergeCell ref="A5:D5"/>
    <mergeCell ref="A14:D14"/>
  </mergeCells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">
    <tabColor theme="9" tint="-0.249977111117893"/>
  </sheetPr>
  <dimension ref="A1:E1002"/>
  <sheetViews>
    <sheetView workbookViewId="0"/>
  </sheetViews>
  <sheetFormatPr baseColWidth="10" defaultColWidth="12.625" defaultRowHeight="15" customHeight="1"/>
  <cols>
    <col min="1" max="1" width="18.125" customWidth="1"/>
    <col min="2" max="6" width="10.625" customWidth="1"/>
  </cols>
  <sheetData>
    <row r="1" spans="1:5" s="289" customFormat="1" ht="15" customHeight="1"/>
    <row r="2" spans="1:5" s="289" customFormat="1" ht="15" customHeight="1"/>
    <row r="3" spans="1:5" ht="13.5" customHeight="1">
      <c r="A3" s="92" t="s">
        <v>231</v>
      </c>
      <c r="B3" s="92" t="s">
        <v>232</v>
      </c>
      <c r="C3" s="92" t="s">
        <v>31</v>
      </c>
      <c r="D3" s="92" t="s">
        <v>233</v>
      </c>
      <c r="E3" s="92" t="s">
        <v>32</v>
      </c>
    </row>
    <row r="4" spans="1:5" ht="13.5" customHeight="1">
      <c r="A4" s="289"/>
      <c r="B4" s="527">
        <v>0</v>
      </c>
      <c r="C4" s="525" t="s">
        <v>1746</v>
      </c>
      <c r="D4" s="289"/>
      <c r="E4" s="289"/>
    </row>
    <row r="5" spans="1:5" ht="13.5" customHeight="1">
      <c r="A5" s="524" t="str">
        <f t="shared" ref="A5:A8" si="0">CONCATENATE(C5,D5,E5)</f>
        <v>Legume&lt;=3Annual</v>
      </c>
      <c r="B5" s="528">
        <v>0.8</v>
      </c>
      <c r="C5" s="526" t="s">
        <v>1743</v>
      </c>
      <c r="D5" s="529" t="s">
        <v>422</v>
      </c>
      <c r="E5" s="529" t="s">
        <v>33</v>
      </c>
    </row>
    <row r="6" spans="1:5" ht="13.5" customHeight="1">
      <c r="A6" s="524" t="str">
        <f t="shared" si="0"/>
        <v>Legume&gt;3Annual</v>
      </c>
      <c r="B6" s="528">
        <v>0.5</v>
      </c>
      <c r="C6" s="526" t="s">
        <v>1743</v>
      </c>
      <c r="D6" s="529" t="s">
        <v>423</v>
      </c>
      <c r="E6" s="529" t="s">
        <v>33</v>
      </c>
    </row>
    <row r="7" spans="1:5" ht="13.5" customHeight="1">
      <c r="A7" s="524" t="str">
        <f t="shared" si="0"/>
        <v>Legume&lt;=3Pluriannual</v>
      </c>
      <c r="B7" s="528">
        <v>0.9</v>
      </c>
      <c r="C7" s="526" t="s">
        <v>1743</v>
      </c>
      <c r="D7" s="529" t="s">
        <v>422</v>
      </c>
      <c r="E7" s="529" t="s">
        <v>595</v>
      </c>
    </row>
    <row r="8" spans="1:5" ht="13.5" customHeight="1">
      <c r="A8" s="524" t="str">
        <f t="shared" si="0"/>
        <v>Legume&gt;3Pluriannual</v>
      </c>
      <c r="B8" s="528">
        <v>0.6</v>
      </c>
      <c r="C8" s="526" t="s">
        <v>1743</v>
      </c>
      <c r="D8" s="529" t="s">
        <v>423</v>
      </c>
      <c r="E8" s="529" t="s">
        <v>595</v>
      </c>
    </row>
    <row r="9" spans="1:5" ht="13.5" customHeight="1"/>
    <row r="10" spans="1:5" ht="13.5" customHeight="1"/>
    <row r="11" spans="1:5" ht="13.5" customHeight="1"/>
    <row r="12" spans="1:5" ht="13.5" customHeight="1"/>
    <row r="13" spans="1:5" ht="13.5" customHeight="1"/>
    <row r="14" spans="1:5" ht="13.5" customHeight="1"/>
    <row r="15" spans="1:5" ht="13.5" customHeight="1"/>
    <row r="16" spans="1:5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9">
    <tabColor rgb="FF0000FF"/>
  </sheetPr>
  <dimension ref="A1:Z1032"/>
  <sheetViews>
    <sheetView tabSelected="1" workbookViewId="0">
      <selection activeCell="A40" sqref="A40"/>
    </sheetView>
  </sheetViews>
  <sheetFormatPr baseColWidth="10" defaultColWidth="12.625" defaultRowHeight="15" customHeight="1"/>
  <cols>
    <col min="1" max="1" width="26.125" customWidth="1"/>
    <col min="2" max="2" width="25.625" customWidth="1"/>
    <col min="3" max="3" width="19.75" customWidth="1"/>
    <col min="4" max="4" width="12.875" customWidth="1"/>
    <col min="5" max="5" width="14.75" customWidth="1"/>
    <col min="6" max="11" width="11" customWidth="1"/>
    <col min="12" max="12" width="20.25" customWidth="1"/>
    <col min="13" max="26" width="11" customWidth="1"/>
  </cols>
  <sheetData>
    <row r="1" spans="1:26" ht="14.25" customHeight="1">
      <c r="E1" s="228"/>
      <c r="F1" s="228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E2" s="229"/>
      <c r="F2" s="229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781" t="s">
        <v>1802</v>
      </c>
      <c r="B3" s="782"/>
      <c r="C3" s="782"/>
      <c r="D3" s="783"/>
      <c r="E3" s="229"/>
      <c r="F3" s="229"/>
      <c r="G3" s="790" t="s">
        <v>1795</v>
      </c>
      <c r="H3" s="289"/>
      <c r="K3" s="125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784"/>
      <c r="B4" s="785"/>
      <c r="C4" s="785"/>
      <c r="D4" s="786"/>
      <c r="E4" s="229"/>
      <c r="F4" s="229"/>
      <c r="G4" s="791"/>
      <c r="H4" s="289"/>
      <c r="I4" s="289"/>
      <c r="K4" s="125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328"/>
      <c r="B5" s="530"/>
      <c r="C5" s="531"/>
      <c r="D5" s="530"/>
      <c r="E5" s="229"/>
      <c r="F5" s="229"/>
      <c r="G5" s="289"/>
      <c r="H5" s="289"/>
      <c r="I5" s="289"/>
      <c r="J5" s="324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>
      <c r="A6" s="128" t="s">
        <v>1299</v>
      </c>
      <c r="B6" s="128" t="s">
        <v>1300</v>
      </c>
      <c r="C6" s="128" t="s">
        <v>65</v>
      </c>
      <c r="D6" s="128" t="s">
        <v>67</v>
      </c>
      <c r="E6" s="229"/>
      <c r="F6" s="229"/>
      <c r="G6" s="128" t="s">
        <v>1301</v>
      </c>
      <c r="H6" s="289"/>
      <c r="I6" s="324"/>
      <c r="J6" s="324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thickBot="1">
      <c r="A7" s="135" t="str">
        <f>A16</f>
        <v xml:space="preserve"> Not exist in F4</v>
      </c>
      <c r="B7" s="131">
        <f>B16</f>
        <v>0.8</v>
      </c>
      <c r="C7" s="170">
        <f>'Input F4'!B11</f>
        <v>2500</v>
      </c>
      <c r="D7" s="131">
        <f>'Input F3'!B38</f>
        <v>25</v>
      </c>
      <c r="E7" s="229"/>
      <c r="F7" s="229"/>
      <c r="G7" s="136">
        <f>D7*C7*B7*22.6/100000</f>
        <v>11.3</v>
      </c>
      <c r="H7" s="289"/>
      <c r="I7" s="324"/>
      <c r="J7" s="324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thickTop="1">
      <c r="A8" s="328"/>
      <c r="D8" s="530"/>
      <c r="E8" s="229"/>
      <c r="F8" s="229"/>
      <c r="G8" s="289"/>
      <c r="H8" s="289"/>
      <c r="I8" s="324"/>
      <c r="J8" s="324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328"/>
      <c r="D9" s="530"/>
      <c r="E9" s="229"/>
      <c r="F9" s="229"/>
      <c r="G9" s="289"/>
      <c r="H9" s="289"/>
      <c r="I9" s="324"/>
      <c r="J9" s="324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328"/>
      <c r="B10" s="530"/>
      <c r="C10" s="531"/>
      <c r="D10" s="530"/>
      <c r="E10" s="229"/>
      <c r="F10" s="229"/>
      <c r="G10" s="289"/>
      <c r="H10" s="289"/>
      <c r="I10" s="324"/>
      <c r="J10" s="324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328"/>
      <c r="B11" s="530"/>
      <c r="C11" s="531"/>
      <c r="D11" s="530"/>
      <c r="E11" s="229"/>
      <c r="F11" s="229"/>
      <c r="G11" s="289"/>
      <c r="H11" s="289"/>
      <c r="I11" s="324"/>
      <c r="J11" s="324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325" t="s">
        <v>1299</v>
      </c>
      <c r="B12" s="325" t="s">
        <v>1300</v>
      </c>
      <c r="D12" s="530"/>
      <c r="E12" s="229"/>
      <c r="F12" s="229"/>
      <c r="G12" s="289"/>
      <c r="H12" s="289"/>
      <c r="I12" s="324"/>
      <c r="J12" s="324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673" t="s">
        <v>60</v>
      </c>
      <c r="B13" s="673">
        <v>0.9</v>
      </c>
      <c r="D13" s="530"/>
      <c r="E13" s="229"/>
      <c r="F13" s="229"/>
      <c r="G13" s="289"/>
      <c r="H13" s="289"/>
      <c r="I13" s="324"/>
      <c r="J13" s="324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6.5" customHeight="1">
      <c r="A14" s="673" t="s">
        <v>1311</v>
      </c>
      <c r="B14" s="673">
        <v>0.85</v>
      </c>
      <c r="D14" s="530"/>
      <c r="E14" s="229"/>
      <c r="F14" s="229"/>
      <c r="G14" s="289"/>
      <c r="H14" s="289"/>
      <c r="I14" s="324"/>
      <c r="J14" s="324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673" t="s">
        <v>1313</v>
      </c>
      <c r="B15" s="673">
        <v>0.7</v>
      </c>
      <c r="D15" s="530"/>
      <c r="E15" s="229"/>
      <c r="F15" s="229"/>
      <c r="G15" s="289"/>
      <c r="H15" s="289"/>
      <c r="I15" s="324"/>
      <c r="J15" s="324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664" t="s">
        <v>1816</v>
      </c>
      <c r="B16" s="664">
        <v>0.8</v>
      </c>
      <c r="C16" s="531"/>
      <c r="D16" s="530"/>
      <c r="E16" s="229"/>
      <c r="F16" s="229"/>
      <c r="G16" s="289"/>
      <c r="H16" s="289"/>
      <c r="I16" s="324"/>
      <c r="J16" s="324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328"/>
      <c r="B17" s="530"/>
      <c r="C17" s="531"/>
      <c r="D17" s="530"/>
      <c r="E17" s="229"/>
      <c r="F17" s="229"/>
      <c r="G17" s="289"/>
      <c r="H17" s="289"/>
      <c r="I17" s="324"/>
      <c r="J17" s="324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328"/>
      <c r="B18" s="530"/>
      <c r="C18" s="531"/>
      <c r="D18" s="530"/>
      <c r="E18" s="229"/>
      <c r="F18" s="229"/>
      <c r="G18" s="289"/>
      <c r="H18" s="289"/>
      <c r="I18" s="324"/>
      <c r="J18" s="324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328"/>
      <c r="B19" s="530"/>
      <c r="C19" s="531"/>
      <c r="D19" s="530"/>
      <c r="E19" s="229"/>
      <c r="F19" s="229"/>
      <c r="G19" s="289"/>
      <c r="H19" s="289"/>
      <c r="I19" s="324"/>
      <c r="J19" s="324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328"/>
      <c r="B20" s="530"/>
      <c r="C20" s="531"/>
      <c r="D20" s="530"/>
      <c r="E20" s="229"/>
      <c r="F20" s="229"/>
      <c r="G20" s="289"/>
      <c r="H20" s="289"/>
      <c r="I20" s="324"/>
      <c r="J20" s="32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328"/>
      <c r="B21" s="530"/>
      <c r="C21" s="531"/>
      <c r="D21" s="530"/>
      <c r="E21" s="229"/>
      <c r="F21" s="229"/>
      <c r="G21" s="289"/>
      <c r="H21" s="289"/>
      <c r="I21" s="324"/>
      <c r="J21" s="324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328"/>
      <c r="B22" s="530"/>
      <c r="C22" s="531"/>
      <c r="D22" s="530"/>
      <c r="E22" s="229"/>
      <c r="F22" s="229"/>
      <c r="G22" s="289"/>
      <c r="H22" s="289"/>
      <c r="I22" s="324"/>
      <c r="J22" s="324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A23" s="328"/>
      <c r="B23" s="530"/>
      <c r="C23" s="531"/>
      <c r="D23" s="530"/>
      <c r="E23" s="229"/>
      <c r="F23" s="229"/>
      <c r="G23" s="289"/>
      <c r="H23" s="289"/>
      <c r="I23" s="324"/>
      <c r="J23" s="324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328"/>
      <c r="B24" s="530"/>
      <c r="C24" s="531"/>
      <c r="D24" s="530"/>
      <c r="E24" s="229"/>
      <c r="F24" s="229"/>
      <c r="G24" s="289"/>
      <c r="H24" s="289"/>
      <c r="I24" s="324"/>
      <c r="J24" s="324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328"/>
      <c r="B25" s="530"/>
      <c r="C25" s="531"/>
      <c r="D25" s="530"/>
      <c r="E25" s="229"/>
      <c r="F25" s="229"/>
      <c r="G25" s="289"/>
      <c r="H25" s="289"/>
      <c r="I25" s="324"/>
      <c r="J25" s="324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328"/>
      <c r="B26" s="530"/>
      <c r="C26" s="531"/>
      <c r="D26" s="530"/>
      <c r="E26" s="229"/>
      <c r="F26" s="229"/>
      <c r="G26" s="289"/>
      <c r="H26" s="289"/>
      <c r="I26" s="324"/>
      <c r="J26" s="324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328"/>
      <c r="B27" s="530"/>
      <c r="C27" s="531"/>
      <c r="D27" s="530"/>
      <c r="E27" s="229"/>
      <c r="F27" s="229"/>
      <c r="G27" s="289"/>
      <c r="H27" s="289"/>
      <c r="I27" s="324"/>
      <c r="J27" s="324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328"/>
      <c r="B28" s="530"/>
      <c r="C28" s="531"/>
      <c r="D28" s="530"/>
      <c r="E28" s="229"/>
      <c r="F28" s="229"/>
      <c r="G28" s="289"/>
      <c r="H28" s="289"/>
      <c r="I28" s="324"/>
      <c r="J28" s="324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328"/>
      <c r="B29" s="530"/>
      <c r="C29" s="531"/>
      <c r="D29" s="530"/>
      <c r="E29" s="229"/>
      <c r="F29" s="229"/>
      <c r="G29" s="289"/>
      <c r="H29" s="289"/>
      <c r="I29" s="324"/>
      <c r="J29" s="324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328"/>
      <c r="B30" s="530"/>
      <c r="C30" s="531"/>
      <c r="D30" s="530"/>
      <c r="E30" s="229"/>
      <c r="F30" s="229"/>
      <c r="G30" s="289"/>
      <c r="H30" s="289"/>
      <c r="I30" s="324"/>
      <c r="J30" s="324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328"/>
      <c r="B31" s="530"/>
      <c r="C31" s="531"/>
      <c r="D31" s="530"/>
      <c r="E31" s="229"/>
      <c r="F31" s="229"/>
      <c r="G31" s="289"/>
      <c r="H31" s="289"/>
      <c r="I31" s="324"/>
      <c r="J31" s="324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328"/>
      <c r="B32" s="530"/>
      <c r="C32" s="531"/>
      <c r="D32" s="530"/>
      <c r="E32" s="229"/>
      <c r="F32" s="229"/>
      <c r="G32" s="289"/>
      <c r="H32" s="289"/>
      <c r="I32" s="324"/>
      <c r="J32" s="324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328"/>
      <c r="B33" s="530"/>
      <c r="C33" s="531"/>
      <c r="D33" s="530"/>
      <c r="E33" s="229"/>
      <c r="F33" s="229"/>
      <c r="G33" s="289"/>
      <c r="H33" s="289"/>
      <c r="I33" s="324"/>
      <c r="J33" s="324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328"/>
      <c r="B34" s="530"/>
      <c r="C34" s="531"/>
      <c r="D34" s="530"/>
      <c r="E34" s="229"/>
      <c r="F34" s="229"/>
      <c r="G34" s="289"/>
      <c r="H34" s="289"/>
      <c r="I34" s="324"/>
      <c r="J34" s="324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B35" s="2"/>
      <c r="C35" s="2"/>
      <c r="D35" s="2"/>
      <c r="E35" s="2"/>
      <c r="F35" s="2"/>
      <c r="G35" s="289"/>
      <c r="H35" s="289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2"/>
      <c r="B36" s="228"/>
      <c r="C36" s="228"/>
      <c r="D36" s="228"/>
      <c r="E36" s="228"/>
      <c r="F36" s="230"/>
      <c r="G36" s="76"/>
      <c r="H36" s="76"/>
      <c r="I36" s="76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231" t="s">
        <v>379</v>
      </c>
      <c r="B37" s="139" t="s">
        <v>274</v>
      </c>
      <c r="C37" s="787" t="s">
        <v>275</v>
      </c>
      <c r="D37" s="788"/>
      <c r="E37" s="788"/>
      <c r="F37" s="788"/>
      <c r="G37" s="788"/>
      <c r="H37" s="788"/>
      <c r="I37" s="788"/>
      <c r="J37" s="789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232" t="s">
        <v>276</v>
      </c>
      <c r="B38" s="5" t="s">
        <v>1299</v>
      </c>
      <c r="C38" s="233" t="s">
        <v>1302</v>
      </c>
      <c r="D38" s="80"/>
      <c r="E38" s="234"/>
      <c r="F38" s="234"/>
      <c r="G38" s="234"/>
      <c r="H38" s="234"/>
      <c r="I38" s="234"/>
      <c r="J38" s="235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232" t="s">
        <v>276</v>
      </c>
      <c r="B39" s="5" t="s">
        <v>1300</v>
      </c>
      <c r="C39" s="236" t="s">
        <v>1303</v>
      </c>
      <c r="D39" s="2"/>
      <c r="E39" s="237"/>
      <c r="F39" s="237"/>
      <c r="G39" s="237"/>
      <c r="H39" s="237"/>
      <c r="I39" s="237"/>
      <c r="J39" s="238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232" t="s">
        <v>276</v>
      </c>
      <c r="B40" s="5" t="s">
        <v>65</v>
      </c>
      <c r="C40" s="236" t="s">
        <v>1304</v>
      </c>
      <c r="D40" s="2"/>
      <c r="E40" s="237"/>
      <c r="F40" s="237"/>
      <c r="G40" s="237"/>
      <c r="H40" s="237"/>
      <c r="I40" s="237"/>
      <c r="J40" s="238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232" t="s">
        <v>276</v>
      </c>
      <c r="B41" s="5" t="s">
        <v>67</v>
      </c>
      <c r="C41" s="236" t="s">
        <v>1305</v>
      </c>
      <c r="D41" s="2"/>
      <c r="E41" s="237"/>
      <c r="F41" s="237"/>
      <c r="G41" s="237"/>
      <c r="H41" s="237"/>
      <c r="I41" s="237"/>
      <c r="J41" s="238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239" t="s">
        <v>276</v>
      </c>
      <c r="B42" s="240" t="s">
        <v>1301</v>
      </c>
      <c r="C42" s="241" t="s">
        <v>1306</v>
      </c>
      <c r="D42" s="88"/>
      <c r="E42" s="242"/>
      <c r="F42" s="242"/>
      <c r="G42" s="242"/>
      <c r="H42" s="242"/>
      <c r="I42" s="242"/>
      <c r="J42" s="243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J43" s="237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J44" s="237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J45" s="237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J46" s="237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J47" s="237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2"/>
      <c r="B51" s="2"/>
      <c r="C51" s="2"/>
      <c r="D51" s="4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2"/>
      <c r="B52" s="2"/>
      <c r="C52" s="2"/>
      <c r="D52" s="4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91" t="s">
        <v>1307</v>
      </c>
      <c r="B53" s="91"/>
      <c r="C53" s="91"/>
      <c r="D53" s="4"/>
      <c r="E53" s="4"/>
      <c r="F53" s="4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91" t="s">
        <v>1308</v>
      </c>
      <c r="B54" s="91"/>
      <c r="C54" s="91"/>
      <c r="D54" s="4"/>
      <c r="E54" s="244"/>
      <c r="F54" s="4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91" t="s">
        <v>1309</v>
      </c>
      <c r="B55" s="91">
        <v>0.9</v>
      </c>
      <c r="C55" s="91" t="s">
        <v>60</v>
      </c>
      <c r="D55" s="4"/>
      <c r="E55" s="244"/>
      <c r="F55" s="4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91" t="s">
        <v>1310</v>
      </c>
      <c r="B56" s="91">
        <v>0.85</v>
      </c>
      <c r="C56" s="91" t="s">
        <v>1311</v>
      </c>
      <c r="D56" s="4"/>
      <c r="E56" s="244"/>
      <c r="F56" s="4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91" t="s">
        <v>1312</v>
      </c>
      <c r="B57" s="91">
        <v>0.7</v>
      </c>
      <c r="C57" s="91" t="s">
        <v>1313</v>
      </c>
      <c r="D57" s="4"/>
      <c r="E57" s="244"/>
      <c r="F57" s="4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91" t="s">
        <v>1314</v>
      </c>
      <c r="B58" s="91"/>
      <c r="C58" s="91"/>
      <c r="D58" s="4"/>
      <c r="E58" s="4"/>
      <c r="F58" s="4"/>
      <c r="G58" s="245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91" t="s">
        <v>1315</v>
      </c>
      <c r="B59" s="91"/>
      <c r="C59" s="91"/>
      <c r="D59" s="4"/>
      <c r="E59" s="4"/>
      <c r="F59" s="4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91" t="s">
        <v>1316</v>
      </c>
      <c r="B60" s="91"/>
      <c r="C60" s="91"/>
      <c r="D60" s="4"/>
      <c r="E60" s="4"/>
      <c r="F60" s="4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76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26" ht="1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  <row r="1003" spans="1:26" ht="1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</row>
    <row r="1004" spans="1:26" ht="1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</row>
    <row r="1005" spans="1:26" ht="1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</row>
    <row r="1006" spans="1:26" ht="1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</row>
    <row r="1007" spans="1:26" ht="1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</row>
    <row r="1008" spans="1:26" ht="1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</row>
    <row r="1009" spans="1:10" ht="1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</row>
    <row r="1010" spans="1:10" ht="1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</row>
    <row r="1011" spans="1:10" ht="15" customHeight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</row>
    <row r="1012" spans="1:10" ht="15" customHeight="1">
      <c r="A1012" s="2"/>
      <c r="B1012" s="2"/>
      <c r="C1012" s="2"/>
      <c r="D1012" s="2"/>
      <c r="E1012" s="2"/>
      <c r="F1012" s="2"/>
      <c r="G1012" s="2"/>
      <c r="H1012" s="2"/>
      <c r="I1012" s="2"/>
      <c r="J1012" s="2"/>
    </row>
    <row r="1013" spans="1:10" ht="15" customHeight="1">
      <c r="A1013" s="2"/>
      <c r="B1013" s="2"/>
      <c r="C1013" s="2"/>
      <c r="D1013" s="2"/>
      <c r="E1013" s="2"/>
      <c r="F1013" s="2"/>
      <c r="G1013" s="2"/>
      <c r="H1013" s="2"/>
      <c r="I1013" s="2"/>
      <c r="J1013" s="2"/>
    </row>
    <row r="1014" spans="1:10" ht="15" customHeight="1">
      <c r="A1014" s="2"/>
      <c r="B1014" s="2"/>
      <c r="C1014" s="2"/>
      <c r="D1014" s="2"/>
      <c r="E1014" s="2"/>
      <c r="F1014" s="2"/>
      <c r="G1014" s="2"/>
      <c r="H1014" s="2"/>
      <c r="I1014" s="2"/>
      <c r="J1014" s="2"/>
    </row>
    <row r="1015" spans="1:10" ht="15" customHeight="1">
      <c r="A1015" s="2"/>
      <c r="B1015" s="2"/>
      <c r="C1015" s="2"/>
      <c r="D1015" s="2"/>
      <c r="E1015" s="2"/>
      <c r="F1015" s="2"/>
      <c r="G1015" s="2"/>
      <c r="H1015" s="2"/>
      <c r="I1015" s="2"/>
      <c r="J1015" s="2"/>
    </row>
    <row r="1016" spans="1:10" ht="15" customHeight="1">
      <c r="A1016" s="2"/>
      <c r="B1016" s="2"/>
      <c r="C1016" s="2"/>
      <c r="D1016" s="2"/>
      <c r="E1016" s="2"/>
      <c r="F1016" s="2"/>
      <c r="G1016" s="2"/>
      <c r="H1016" s="2"/>
      <c r="I1016" s="2"/>
      <c r="J1016" s="2"/>
    </row>
    <row r="1017" spans="1:10" ht="15" customHeight="1">
      <c r="A1017" s="2"/>
      <c r="B1017" s="2"/>
      <c r="C1017" s="2"/>
      <c r="D1017" s="2"/>
      <c r="E1017" s="2"/>
      <c r="F1017" s="2"/>
      <c r="G1017" s="2"/>
      <c r="H1017" s="2"/>
      <c r="I1017" s="2"/>
      <c r="J1017" s="2"/>
    </row>
    <row r="1018" spans="1:10" ht="15" customHeight="1">
      <c r="A1018" s="2"/>
      <c r="B1018" s="2"/>
      <c r="C1018" s="2"/>
      <c r="D1018" s="2"/>
      <c r="E1018" s="2"/>
      <c r="F1018" s="2"/>
      <c r="G1018" s="2"/>
      <c r="H1018" s="2"/>
      <c r="I1018" s="2"/>
      <c r="J1018" s="2"/>
    </row>
    <row r="1019" spans="1:10" ht="15" customHeight="1">
      <c r="A1019" s="2"/>
      <c r="B1019" s="2"/>
      <c r="C1019" s="2"/>
      <c r="D1019" s="2"/>
      <c r="E1019" s="2"/>
      <c r="F1019" s="2"/>
      <c r="G1019" s="2"/>
      <c r="H1019" s="2"/>
      <c r="I1019" s="2"/>
      <c r="J1019" s="2"/>
    </row>
    <row r="1020" spans="1:10" ht="15" customHeight="1">
      <c r="A1020" s="2"/>
      <c r="B1020" s="2"/>
      <c r="C1020" s="2"/>
      <c r="D1020" s="2"/>
      <c r="E1020" s="2"/>
      <c r="F1020" s="2"/>
      <c r="G1020" s="2"/>
      <c r="H1020" s="2"/>
      <c r="I1020" s="2"/>
      <c r="J1020" s="2"/>
    </row>
    <row r="1021" spans="1:10" ht="15" customHeight="1">
      <c r="A1021" s="2"/>
      <c r="B1021" s="2"/>
      <c r="C1021" s="2"/>
      <c r="D1021" s="2"/>
      <c r="E1021" s="2"/>
      <c r="F1021" s="2"/>
      <c r="G1021" s="2"/>
      <c r="H1021" s="2"/>
      <c r="I1021" s="2"/>
      <c r="J1021" s="2"/>
    </row>
    <row r="1022" spans="1:10" ht="15" customHeight="1">
      <c r="A1022" s="2"/>
      <c r="B1022" s="2"/>
      <c r="C1022" s="2"/>
      <c r="D1022" s="2"/>
      <c r="E1022" s="2"/>
      <c r="F1022" s="2"/>
      <c r="G1022" s="2"/>
      <c r="H1022" s="2"/>
      <c r="I1022" s="2"/>
      <c r="J1022" s="2"/>
    </row>
    <row r="1023" spans="1:10" ht="15" customHeight="1">
      <c r="A1023" s="2"/>
      <c r="B1023" s="2"/>
      <c r="C1023" s="2"/>
      <c r="D1023" s="2"/>
      <c r="E1023" s="2"/>
      <c r="F1023" s="2"/>
      <c r="G1023" s="2"/>
      <c r="H1023" s="2"/>
      <c r="I1023" s="2"/>
      <c r="J1023" s="2"/>
    </row>
    <row r="1024" spans="1:10" ht="15" customHeight="1">
      <c r="A1024" s="2"/>
      <c r="B1024" s="2"/>
      <c r="C1024" s="2"/>
      <c r="D1024" s="2"/>
      <c r="E1024" s="2"/>
      <c r="F1024" s="2"/>
      <c r="G1024" s="2"/>
      <c r="H1024" s="2"/>
      <c r="I1024" s="2"/>
      <c r="J1024" s="2"/>
    </row>
    <row r="1025" spans="1:10" ht="15" customHeight="1">
      <c r="A1025" s="2"/>
      <c r="B1025" s="2"/>
      <c r="C1025" s="2"/>
      <c r="D1025" s="2"/>
      <c r="E1025" s="2"/>
      <c r="F1025" s="2"/>
      <c r="G1025" s="2"/>
      <c r="H1025" s="2"/>
      <c r="I1025" s="2"/>
      <c r="J1025" s="2"/>
    </row>
    <row r="1026" spans="1:10" ht="15" customHeight="1">
      <c r="A1026" s="2"/>
      <c r="B1026" s="2"/>
      <c r="C1026" s="2"/>
      <c r="D1026" s="2"/>
      <c r="E1026" s="2"/>
      <c r="F1026" s="2"/>
      <c r="G1026" s="2"/>
      <c r="H1026" s="2"/>
      <c r="I1026" s="2"/>
      <c r="J1026" s="2"/>
    </row>
    <row r="1027" spans="1:10" ht="15" customHeight="1">
      <c r="A1027" s="2"/>
      <c r="B1027" s="2"/>
      <c r="C1027" s="2"/>
      <c r="D1027" s="2"/>
      <c r="E1027" s="2"/>
      <c r="F1027" s="2"/>
      <c r="G1027" s="2"/>
      <c r="H1027" s="2"/>
      <c r="I1027" s="2"/>
      <c r="J1027" s="2"/>
    </row>
    <row r="1028" spans="1:10" ht="15" customHeight="1">
      <c r="A1028" s="2"/>
      <c r="B1028" s="2"/>
      <c r="C1028" s="2"/>
      <c r="D1028" s="2"/>
      <c r="E1028" s="2"/>
      <c r="F1028" s="2"/>
      <c r="G1028" s="2"/>
      <c r="H1028" s="2"/>
      <c r="I1028" s="2"/>
      <c r="J1028" s="2"/>
    </row>
    <row r="1029" spans="1:10" ht="15" customHeight="1">
      <c r="A1029" s="2"/>
      <c r="B1029" s="2"/>
      <c r="C1029" s="2"/>
      <c r="D1029" s="2"/>
      <c r="E1029" s="2"/>
      <c r="F1029" s="2"/>
      <c r="G1029" s="2"/>
      <c r="H1029" s="2"/>
      <c r="I1029" s="2"/>
      <c r="J1029" s="2"/>
    </row>
    <row r="1030" spans="1:10" ht="15" customHeight="1">
      <c r="A1030" s="2"/>
      <c r="B1030" s="2"/>
      <c r="C1030" s="2"/>
      <c r="D1030" s="2"/>
      <c r="E1030" s="2"/>
      <c r="F1030" s="2"/>
      <c r="G1030" s="2"/>
      <c r="H1030" s="2"/>
      <c r="I1030" s="2"/>
      <c r="J1030" s="2"/>
    </row>
    <row r="1031" spans="1:10" ht="15" customHeight="1">
      <c r="A1031" s="2"/>
      <c r="B1031" s="2"/>
      <c r="C1031" s="2"/>
      <c r="D1031" s="2"/>
      <c r="E1031" s="2"/>
      <c r="F1031" s="2"/>
      <c r="G1031" s="2"/>
      <c r="H1031" s="2"/>
      <c r="I1031" s="2"/>
      <c r="J1031" s="2"/>
    </row>
    <row r="1032" spans="1:10" ht="15" customHeight="1">
      <c r="A1032" s="2"/>
      <c r="B1032" s="2"/>
      <c r="C1032" s="2"/>
      <c r="D1032" s="2"/>
      <c r="E1032" s="2"/>
      <c r="F1032" s="2"/>
      <c r="G1032" s="2"/>
      <c r="H1032" s="2"/>
      <c r="I1032" s="2"/>
      <c r="J1032" s="2"/>
    </row>
  </sheetData>
  <mergeCells count="3">
    <mergeCell ref="A3:D4"/>
    <mergeCell ref="C37:J37"/>
    <mergeCell ref="G3:G4"/>
  </mergeCells>
  <pageMargins left="0.7" right="0.7" top="0.75" bottom="0.75" header="0" footer="0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0">
    <tabColor rgb="FFCC0066"/>
  </sheetPr>
  <dimension ref="A1:Z1044"/>
  <sheetViews>
    <sheetView workbookViewId="0">
      <selection activeCell="C13" sqref="C13"/>
    </sheetView>
  </sheetViews>
  <sheetFormatPr baseColWidth="10" defaultColWidth="12.625" defaultRowHeight="15" customHeight="1"/>
  <cols>
    <col min="1" max="1" width="24.625" customWidth="1"/>
    <col min="2" max="2" width="21.125" customWidth="1"/>
    <col min="3" max="3" width="19.625" customWidth="1"/>
    <col min="4" max="4" width="31.875" customWidth="1"/>
    <col min="5" max="5" width="17.125" customWidth="1"/>
    <col min="6" max="6" width="19.125" customWidth="1"/>
    <col min="7" max="7" width="20.5" customWidth="1"/>
    <col min="8" max="8" width="26.5" customWidth="1"/>
    <col min="9" max="9" width="22.625" customWidth="1"/>
    <col min="10" max="10" width="22" customWidth="1"/>
    <col min="11" max="11" width="19.875" customWidth="1"/>
    <col min="12" max="26" width="11" customWidth="1"/>
  </cols>
  <sheetData>
    <row r="1" spans="1:26" ht="14.25" customHeight="1"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792" t="s">
        <v>1784</v>
      </c>
      <c r="B2" s="792"/>
      <c r="C2" s="792"/>
      <c r="D2" s="792"/>
      <c r="E2" s="792"/>
      <c r="F2" s="792"/>
      <c r="G2" s="792"/>
      <c r="H2" s="2"/>
      <c r="I2" s="793" t="s">
        <v>1785</v>
      </c>
      <c r="J2" s="794"/>
      <c r="K2" s="795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s="289" customFormat="1" ht="14.25" customHeight="1">
      <c r="A3" s="792"/>
      <c r="B3" s="792"/>
      <c r="C3" s="792"/>
      <c r="D3" s="792"/>
      <c r="E3" s="792"/>
      <c r="F3" s="792"/>
      <c r="G3" s="792"/>
      <c r="H3" s="2"/>
      <c r="I3" s="796"/>
      <c r="J3" s="797"/>
      <c r="K3" s="798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s="289" customFormat="1" ht="14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s="289" customFormat="1" ht="14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s="289" customFormat="1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s="289" customFormat="1" ht="14.25" customHeight="1">
      <c r="A7" s="2"/>
      <c r="B7" s="2"/>
      <c r="C7" s="2"/>
      <c r="D7" s="2"/>
      <c r="E7" s="2"/>
      <c r="F7" s="2"/>
      <c r="G7" s="2"/>
      <c r="H7" s="2"/>
      <c r="I7" s="2"/>
      <c r="J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s="289" customFormat="1" ht="14.25" customHeight="1">
      <c r="A8" s="92" t="s">
        <v>1471</v>
      </c>
      <c r="B8" s="92" t="s">
        <v>61</v>
      </c>
      <c r="C8" s="92" t="s">
        <v>1472</v>
      </c>
      <c r="D8" s="92" t="s">
        <v>62</v>
      </c>
      <c r="E8" s="92" t="s">
        <v>1786</v>
      </c>
      <c r="F8" s="92" t="s">
        <v>64</v>
      </c>
      <c r="G8" s="92" t="s">
        <v>94</v>
      </c>
      <c r="I8" s="128" t="s">
        <v>1474</v>
      </c>
      <c r="J8" s="128" t="s">
        <v>1475</v>
      </c>
      <c r="K8" s="252" t="s">
        <v>1473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s="289" customFormat="1" ht="14.25" customHeight="1" thickBot="1">
      <c r="A9" s="164">
        <f>'Input F3'!B21</f>
        <v>30</v>
      </c>
      <c r="B9" s="164" t="str">
        <f>'Input F3'!B34</f>
        <v>southern_zone</v>
      </c>
      <c r="C9" s="164">
        <f>depth_s</f>
        <v>0.5</v>
      </c>
      <c r="D9" s="164">
        <f>'Input F3'!B35</f>
        <v>500</v>
      </c>
      <c r="E9" s="537">
        <f>VLOOKUP(soil_texture,SoilData,16,0)</f>
        <v>0.13</v>
      </c>
      <c r="F9" s="164">
        <f>'Input F3'!B36</f>
        <v>300</v>
      </c>
      <c r="G9" s="537">
        <f>VLOOKUP(soil_texture,SoilData,32,0)</f>
        <v>21</v>
      </c>
      <c r="I9" s="130">
        <f>((2*F9)/D9)^(1/3)</f>
        <v>1.0626585691826111</v>
      </c>
      <c r="J9" s="130">
        <f>K9*I9</f>
        <v>13.73685119855846</v>
      </c>
      <c r="K9" s="130">
        <f>((D9-(10160/G9)+101.6)^(2))/(D9+15240/G9-152.4)</f>
        <v>12.926871901221048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289" customFormat="1" ht="14.25" customHeight="1" thickTop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s="289" customFormat="1" ht="14.25" customHeight="1"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s="289" customFormat="1" ht="14.25" customHeight="1"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s="289" customFormat="1" ht="14.25" customHeight="1">
      <c r="A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s="289" customFormat="1" ht="14.25" customHeight="1">
      <c r="A14" s="2"/>
      <c r="C14" s="2"/>
      <c r="D14" s="2"/>
      <c r="E14" s="2"/>
      <c r="F14" s="2"/>
      <c r="G14" s="2"/>
      <c r="H14" s="2"/>
      <c r="I14" s="128" t="s">
        <v>1476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s="289" customFormat="1" ht="14.25" customHeight="1">
      <c r="A15" s="2"/>
      <c r="B15" s="2"/>
      <c r="C15" s="2"/>
      <c r="D15" s="2"/>
      <c r="E15" s="2"/>
      <c r="F15" s="2"/>
      <c r="G15" s="2"/>
      <c r="H15" s="2"/>
      <c r="I15" s="253">
        <f>(A9*(1-EXP(-J9/(C9*1000*E9))))</f>
        <v>5.7149433289695022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s="289" customFormat="1" ht="14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s="289" customFormat="1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s="289" customFormat="1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s="289" customFormat="1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s="289" customFormat="1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s="289" customFormat="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s="289" customFormat="1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s="289" customFormat="1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s="289" customFormat="1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s="289" customFormat="1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s="289" customFormat="1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s="289" customFormat="1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s="289" customFormat="1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s="289" customFormat="1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s="289" customFormat="1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s="289" customFormat="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s="289" customFormat="1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s="289" customFormat="1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s="289" customFormat="1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s="289" customFormat="1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s="289" customFormat="1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s="289" customFormat="1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s="289" customFormat="1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s="289" customFormat="1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s="289" customFormat="1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s="289" customFormat="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s="289" customFormat="1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s="289" customFormat="1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s="289" customFormat="1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s="289" customFormat="1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s="289" customFormat="1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2"/>
      <c r="B49" s="2"/>
      <c r="C49" s="231" t="s">
        <v>379</v>
      </c>
      <c r="D49" s="139" t="s">
        <v>274</v>
      </c>
      <c r="E49" s="254" t="s">
        <v>275</v>
      </c>
      <c r="F49" s="158"/>
      <c r="G49" s="158"/>
      <c r="H49" s="159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2"/>
      <c r="B50" s="2"/>
      <c r="C50" s="255" t="s">
        <v>276</v>
      </c>
      <c r="D50" s="256" t="s">
        <v>1477</v>
      </c>
      <c r="E50" s="257" t="s">
        <v>1478</v>
      </c>
      <c r="F50" s="258"/>
      <c r="G50" s="160"/>
      <c r="H50" s="161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2"/>
      <c r="B51" s="2"/>
      <c r="C51" s="259" t="s">
        <v>276</v>
      </c>
      <c r="D51" s="5" t="s">
        <v>62</v>
      </c>
      <c r="E51" s="246" t="s">
        <v>1479</v>
      </c>
      <c r="F51" s="249"/>
      <c r="G51" s="2"/>
      <c r="H51" s="16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2"/>
      <c r="B52" s="2"/>
      <c r="C52" s="259" t="s">
        <v>276</v>
      </c>
      <c r="D52" s="5" t="s">
        <v>1480</v>
      </c>
      <c r="E52" s="246" t="s">
        <v>1481</v>
      </c>
      <c r="F52" s="249"/>
      <c r="G52" s="2"/>
      <c r="H52" s="16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2"/>
      <c r="B53" s="2"/>
      <c r="C53" s="259" t="s">
        <v>276</v>
      </c>
      <c r="D53" s="5" t="s">
        <v>64</v>
      </c>
      <c r="E53" s="246" t="s">
        <v>1482</v>
      </c>
      <c r="F53" s="249"/>
      <c r="G53" s="2"/>
      <c r="H53" s="16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2"/>
      <c r="B54" s="2"/>
      <c r="C54" s="259" t="s">
        <v>276</v>
      </c>
      <c r="D54" s="5" t="s">
        <v>94</v>
      </c>
      <c r="E54" s="246" t="s">
        <v>1483</v>
      </c>
      <c r="F54" s="249"/>
      <c r="G54" s="2"/>
      <c r="H54" s="16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2"/>
      <c r="B55" s="2"/>
      <c r="C55" s="260" t="s">
        <v>276</v>
      </c>
      <c r="D55" s="261" t="s">
        <v>1473</v>
      </c>
      <c r="E55" s="246" t="s">
        <v>1484</v>
      </c>
      <c r="F55" s="249"/>
      <c r="G55" s="2"/>
      <c r="H55" s="16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2"/>
      <c r="B56" s="2"/>
      <c r="C56" s="260" t="s">
        <v>276</v>
      </c>
      <c r="D56" s="261" t="s">
        <v>1474</v>
      </c>
      <c r="E56" s="246" t="s">
        <v>1485</v>
      </c>
      <c r="F56" s="249"/>
      <c r="G56" s="2"/>
      <c r="H56" s="16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2"/>
      <c r="B57" s="2"/>
      <c r="C57" s="260" t="s">
        <v>276</v>
      </c>
      <c r="D57" s="261" t="s">
        <v>1475</v>
      </c>
      <c r="E57" s="246" t="s">
        <v>1486</v>
      </c>
      <c r="F57" s="249"/>
      <c r="G57" s="2"/>
      <c r="H57" s="16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2"/>
      <c r="B58" s="2"/>
      <c r="C58" s="262" t="s">
        <v>276</v>
      </c>
      <c r="D58" s="263" t="s">
        <v>1476</v>
      </c>
      <c r="E58" s="247" t="s">
        <v>1487</v>
      </c>
      <c r="F58" s="250"/>
      <c r="G58" s="2"/>
      <c r="H58" s="16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2"/>
      <c r="B59" s="2"/>
      <c r="C59" s="264" t="s">
        <v>276</v>
      </c>
      <c r="D59" s="265" t="s">
        <v>46</v>
      </c>
      <c r="E59" s="266" t="s">
        <v>1488</v>
      </c>
      <c r="F59" s="137"/>
      <c r="G59" s="137"/>
      <c r="H59" s="165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104" t="s">
        <v>1489</v>
      </c>
      <c r="B63" s="104"/>
      <c r="C63" s="104"/>
      <c r="D63" s="104"/>
      <c r="E63" s="104"/>
      <c r="F63" s="104"/>
      <c r="G63" s="104"/>
      <c r="H63" s="104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104" t="s">
        <v>1490</v>
      </c>
      <c r="B64" s="104"/>
      <c r="C64" s="104"/>
      <c r="D64" s="104"/>
      <c r="E64" s="104"/>
      <c r="F64" s="104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104" t="s">
        <v>1491</v>
      </c>
      <c r="B65" s="104"/>
      <c r="C65" s="104"/>
      <c r="D65" s="104"/>
      <c r="E65" s="104"/>
      <c r="F65" s="104"/>
      <c r="G65" s="104"/>
      <c r="H65" s="104"/>
      <c r="I65" s="104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104" t="s">
        <v>1492</v>
      </c>
      <c r="B66" s="104"/>
      <c r="C66" s="104"/>
      <c r="D66" s="104"/>
      <c r="E66" s="104"/>
      <c r="F66" s="104"/>
      <c r="G66" s="104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4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4.2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4.2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4.2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4.2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4.2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4.2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4.25" customHeight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4.25" customHeight="1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ht="14.25" customHeight="1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ht="14.25" customHeight="1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ht="14.25" customHeight="1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ht="14.25" customHeight="1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ht="14.25" customHeight="1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ht="14.25" customHeight="1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ht="14.25" customHeight="1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ht="14.25" customHeight="1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ht="14.25" customHeight="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ht="14.25" customHeight="1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 ht="14.25" customHeight="1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 ht="14.25" customHeight="1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1:26" ht="14.25" customHeight="1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1:26" ht="14.25" customHeight="1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1:26" ht="14.25" customHeight="1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1:26" ht="14.25" customHeight="1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1:26" ht="14.25" customHeight="1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spans="1:26" ht="14.25" customHeight="1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spans="1:26" ht="14.25" customHeight="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spans="1:26" ht="14.25" customHeight="1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spans="1:26" ht="14.25" customHeight="1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spans="1:26" ht="14.25" customHeight="1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spans="1:26" ht="14.25" customHeight="1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spans="1:26" ht="14.25" customHeight="1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spans="1:26" ht="14.25" customHeight="1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spans="1:26" ht="14.25" customHeight="1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spans="1:26" ht="14.25" customHeight="1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spans="1:26" ht="14.25" customHeight="1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spans="1:26" ht="14.25" customHeight="1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spans="1:26" ht="14.25" customHeight="1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spans="1:26" ht="14.25" customHeight="1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spans="1:26" ht="14.25" customHeight="1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</sheetData>
  <mergeCells count="2">
    <mergeCell ref="A2:G3"/>
    <mergeCell ref="I2:K3"/>
  </mergeCells>
  <pageMargins left="0.7" right="0.7" top="0.75" bottom="0.75" header="0" footer="0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tabColor rgb="FF996633"/>
  </sheetPr>
  <dimension ref="A1:U998"/>
  <sheetViews>
    <sheetView topLeftCell="A18" zoomScaleNormal="100" workbookViewId="0">
      <selection activeCell="G38" sqref="G38"/>
    </sheetView>
  </sheetViews>
  <sheetFormatPr baseColWidth="10" defaultColWidth="12.625" defaultRowHeight="15" customHeight="1"/>
  <cols>
    <col min="1" max="1" width="5.625" style="299" customWidth="1"/>
    <col min="2" max="2" width="6.75" style="299" customWidth="1"/>
    <col min="3" max="3" width="13.5" style="299" customWidth="1"/>
    <col min="4" max="4" width="4" style="299" customWidth="1"/>
    <col min="5" max="5" width="12.5" style="299" customWidth="1"/>
    <col min="6" max="6" width="9.25" style="300" customWidth="1"/>
    <col min="7" max="7" width="9.125" style="300" customWidth="1"/>
    <col min="8" max="8" width="9.25" style="299" customWidth="1"/>
    <col min="9" max="9" width="8" style="299" customWidth="1"/>
    <col min="10" max="10" width="12.125" style="299" customWidth="1"/>
    <col min="11" max="11" width="7.625" style="299" customWidth="1"/>
    <col min="12" max="12" width="13" style="299" customWidth="1"/>
    <col min="13" max="13" width="7.75" style="299" customWidth="1"/>
    <col min="14" max="14" width="15.375" style="299" customWidth="1"/>
    <col min="15" max="15" width="7.625" style="299" customWidth="1"/>
    <col min="16" max="16" width="12.625" style="299"/>
  </cols>
  <sheetData>
    <row r="1" spans="1:16" ht="14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</row>
    <row r="2" spans="1:16" ht="14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</row>
    <row r="3" spans="1:16" ht="14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</row>
    <row r="4" spans="1:16" ht="14.25" customHeight="1">
      <c r="A4"/>
      <c r="B4" s="801" t="s">
        <v>1788</v>
      </c>
      <c r="C4" s="802"/>
      <c r="D4" s="802"/>
      <c r="E4" s="802"/>
      <c r="F4" s="802"/>
      <c r="G4" s="802"/>
      <c r="H4" s="802"/>
      <c r="I4" s="802"/>
      <c r="J4" s="802"/>
      <c r="K4" s="802"/>
      <c r="L4" s="802"/>
      <c r="M4" s="802"/>
      <c r="N4" s="802"/>
      <c r="O4"/>
      <c r="P4"/>
    </row>
    <row r="5" spans="1:16" ht="14.25" customHeight="1">
      <c r="A5"/>
      <c r="B5" s="803"/>
      <c r="C5" s="804"/>
      <c r="D5" s="804"/>
      <c r="E5" s="804"/>
      <c r="F5" s="804"/>
      <c r="G5" s="804"/>
      <c r="H5" s="804"/>
      <c r="I5" s="804"/>
      <c r="J5" s="804"/>
      <c r="K5" s="804"/>
      <c r="L5" s="804"/>
      <c r="M5" s="804"/>
      <c r="N5" s="804"/>
      <c r="O5"/>
      <c r="P5"/>
    </row>
    <row r="6" spans="1:16" ht="14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</row>
    <row r="7" spans="1:16" ht="14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</row>
    <row r="8" spans="1:16" ht="14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</row>
    <row r="9" spans="1:16" ht="14.25"/>
    <row r="10" spans="1:16">
      <c r="C10" s="321"/>
      <c r="D10" s="321"/>
      <c r="E10" s="805" t="s">
        <v>1319</v>
      </c>
      <c r="F10" s="805"/>
      <c r="G10" s="805"/>
      <c r="H10" s="805"/>
      <c r="I10" s="805"/>
      <c r="J10" s="805" t="s">
        <v>58</v>
      </c>
      <c r="K10" s="805"/>
      <c r="L10" s="805"/>
      <c r="M10" s="805"/>
      <c r="N10" s="805"/>
    </row>
    <row r="11" spans="1:16" ht="15.75" thickBot="1">
      <c r="C11" s="321"/>
      <c r="D11" s="321"/>
      <c r="E11" s="806" t="s">
        <v>84</v>
      </c>
      <c r="F11" s="806"/>
      <c r="G11" s="806"/>
      <c r="H11" s="806"/>
      <c r="I11" s="806"/>
      <c r="J11" s="806"/>
      <c r="K11" s="806"/>
      <c r="L11" s="806"/>
      <c r="M11" s="806"/>
      <c r="N11" s="806"/>
    </row>
    <row r="12" spans="1:16" ht="17.25" customHeight="1" thickTop="1">
      <c r="C12" s="555" t="s">
        <v>233</v>
      </c>
      <c r="D12" s="321"/>
      <c r="E12" s="543" t="s">
        <v>111</v>
      </c>
      <c r="F12" s="544" t="s">
        <v>124</v>
      </c>
      <c r="G12" s="544" t="s">
        <v>137</v>
      </c>
      <c r="H12" s="543" t="s">
        <v>152</v>
      </c>
      <c r="I12" s="543" t="s">
        <v>170</v>
      </c>
      <c r="J12" s="543" t="s">
        <v>111</v>
      </c>
      <c r="K12" s="544" t="s">
        <v>124</v>
      </c>
      <c r="L12" s="544" t="s">
        <v>137</v>
      </c>
      <c r="M12" s="543" t="s">
        <v>152</v>
      </c>
      <c r="N12" s="543" t="s">
        <v>170</v>
      </c>
    </row>
    <row r="13" spans="1:16" ht="13.5" customHeight="1">
      <c r="E13" s="302">
        <v>1</v>
      </c>
      <c r="F13" s="303">
        <v>2</v>
      </c>
      <c r="G13" s="303">
        <v>3</v>
      </c>
      <c r="H13" s="302">
        <v>4</v>
      </c>
      <c r="I13" s="302">
        <v>5</v>
      </c>
      <c r="J13" s="302">
        <v>6</v>
      </c>
      <c r="K13" s="303">
        <v>7</v>
      </c>
      <c r="L13" s="303">
        <v>8</v>
      </c>
      <c r="M13" s="302">
        <v>9</v>
      </c>
      <c r="N13" s="302">
        <v>10</v>
      </c>
    </row>
    <row r="14" spans="1:16" ht="14.25">
      <c r="A14" s="799" t="s">
        <v>1747</v>
      </c>
      <c r="B14" s="800" t="s">
        <v>1767</v>
      </c>
      <c r="C14" s="304" t="s">
        <v>1318</v>
      </c>
      <c r="D14" s="302">
        <v>1</v>
      </c>
      <c r="E14" s="540">
        <v>0.02</v>
      </c>
      <c r="F14" s="540">
        <v>0.03</v>
      </c>
      <c r="G14" s="540">
        <v>0.04</v>
      </c>
      <c r="H14" s="540">
        <v>0.06</v>
      </c>
      <c r="I14" s="540">
        <v>0.1</v>
      </c>
      <c r="J14" s="540">
        <v>0.04</v>
      </c>
      <c r="K14" s="540">
        <v>0.09</v>
      </c>
      <c r="L14" s="540">
        <v>0.14000000000000001</v>
      </c>
      <c r="M14" s="540">
        <v>0.2</v>
      </c>
      <c r="N14" s="540">
        <v>0.3</v>
      </c>
    </row>
    <row r="15" spans="1:16" ht="14.25">
      <c r="A15" s="799"/>
      <c r="B15" s="800"/>
      <c r="C15" s="307" t="s">
        <v>1320</v>
      </c>
      <c r="D15" s="303">
        <v>2</v>
      </c>
      <c r="E15" s="540">
        <v>0.03</v>
      </c>
      <c r="F15" s="540">
        <v>0.04</v>
      </c>
      <c r="G15" s="540">
        <v>0.06</v>
      </c>
      <c r="H15" s="540">
        <v>0.1</v>
      </c>
      <c r="I15" s="540">
        <v>0.15</v>
      </c>
      <c r="J15" s="540">
        <v>0.09</v>
      </c>
      <c r="K15" s="540">
        <v>0.16</v>
      </c>
      <c r="L15" s="540">
        <v>0.2</v>
      </c>
      <c r="M15" s="540">
        <v>0.25</v>
      </c>
      <c r="N15" s="540">
        <v>0.45</v>
      </c>
    </row>
    <row r="16" spans="1:16" ht="14.25">
      <c r="A16" s="799"/>
      <c r="B16" s="800"/>
      <c r="C16" s="308" t="s">
        <v>1317</v>
      </c>
      <c r="D16" s="303">
        <v>3</v>
      </c>
      <c r="E16" s="540">
        <v>0.04</v>
      </c>
      <c r="F16" s="540">
        <v>0.06</v>
      </c>
      <c r="G16" s="540">
        <v>0.1</v>
      </c>
      <c r="H16" s="540">
        <v>0.15</v>
      </c>
      <c r="I16" s="540">
        <v>0.25</v>
      </c>
      <c r="J16" s="540">
        <v>0.12</v>
      </c>
      <c r="K16" s="540">
        <v>0.2</v>
      </c>
      <c r="L16" s="540">
        <v>0.25</v>
      </c>
      <c r="M16" s="540">
        <v>0.35</v>
      </c>
      <c r="N16" s="540">
        <v>0.55000000000000004</v>
      </c>
    </row>
    <row r="17" spans="1:17" ht="14.25">
      <c r="A17" s="799"/>
      <c r="B17" s="800" t="s">
        <v>1768</v>
      </c>
      <c r="C17" s="304" t="s">
        <v>1318</v>
      </c>
      <c r="D17" s="302">
        <v>4</v>
      </c>
      <c r="E17" s="540">
        <v>0.04</v>
      </c>
      <c r="F17" s="540">
        <v>0.06</v>
      </c>
      <c r="G17" s="540">
        <v>0.08</v>
      </c>
      <c r="H17" s="540">
        <v>0.12</v>
      </c>
      <c r="I17" s="540">
        <v>0.2</v>
      </c>
      <c r="J17" s="540">
        <v>0.08</v>
      </c>
      <c r="K17" s="540">
        <v>0.18</v>
      </c>
      <c r="L17" s="540">
        <v>0.28000000000000003</v>
      </c>
      <c r="M17" s="540">
        <v>0.4</v>
      </c>
      <c r="N17" s="540">
        <v>0.6</v>
      </c>
    </row>
    <row r="18" spans="1:17" ht="14.25">
      <c r="A18" s="799"/>
      <c r="B18" s="800"/>
      <c r="C18" s="307" t="s">
        <v>1320</v>
      </c>
      <c r="D18" s="302">
        <v>5</v>
      </c>
      <c r="E18" s="540">
        <v>0.06</v>
      </c>
      <c r="F18" s="540">
        <v>0.08</v>
      </c>
      <c r="G18" s="540">
        <v>0.12</v>
      </c>
      <c r="H18" s="540">
        <v>0.2</v>
      </c>
      <c r="I18" s="540">
        <v>0.3</v>
      </c>
      <c r="J18" s="540">
        <v>0.18</v>
      </c>
      <c r="K18" s="540">
        <v>0.32</v>
      </c>
      <c r="L18" s="540">
        <v>0.4</v>
      </c>
      <c r="M18" s="540">
        <v>0.5</v>
      </c>
      <c r="N18" s="540">
        <v>0.9</v>
      </c>
    </row>
    <row r="19" spans="1:17" ht="14.25">
      <c r="A19" s="799"/>
      <c r="B19" s="800"/>
      <c r="C19" s="308" t="s">
        <v>1317</v>
      </c>
      <c r="D19" s="302">
        <v>6</v>
      </c>
      <c r="E19" s="541">
        <v>0.08</v>
      </c>
      <c r="F19" s="541">
        <v>0.12</v>
      </c>
      <c r="G19" s="541">
        <v>0.2</v>
      </c>
      <c r="H19" s="541">
        <v>0.3</v>
      </c>
      <c r="I19" s="541">
        <v>0.5</v>
      </c>
      <c r="J19" s="541">
        <v>0.24</v>
      </c>
      <c r="K19" s="541">
        <v>0.4</v>
      </c>
      <c r="L19" s="541">
        <v>0.5</v>
      </c>
      <c r="M19" s="541">
        <v>0.7</v>
      </c>
      <c r="N19" s="541">
        <v>0.95</v>
      </c>
    </row>
    <row r="20" spans="1:17" ht="14.25">
      <c r="A20" s="799" t="s">
        <v>1769</v>
      </c>
      <c r="B20" s="800" t="s">
        <v>1767</v>
      </c>
      <c r="C20" s="304" t="s">
        <v>1318</v>
      </c>
      <c r="D20" s="303">
        <v>7</v>
      </c>
      <c r="E20" s="320">
        <v>0.03</v>
      </c>
      <c r="F20" s="320">
        <v>0.04</v>
      </c>
      <c r="G20" s="320">
        <v>0.06</v>
      </c>
      <c r="H20" s="320">
        <v>0.1</v>
      </c>
      <c r="I20" s="320">
        <v>0.1</v>
      </c>
      <c r="J20" s="320">
        <v>0.09</v>
      </c>
      <c r="K20" s="320">
        <v>0.14000000000000001</v>
      </c>
      <c r="L20" s="320">
        <v>0.2</v>
      </c>
      <c r="M20" s="320">
        <v>0.3</v>
      </c>
      <c r="N20" s="320">
        <v>0.3</v>
      </c>
    </row>
    <row r="21" spans="1:17" ht="15.75" customHeight="1">
      <c r="A21" s="799"/>
      <c r="B21" s="800"/>
      <c r="C21" s="307" t="s">
        <v>1320</v>
      </c>
      <c r="D21" s="303">
        <v>8</v>
      </c>
      <c r="E21" s="320">
        <v>0.04</v>
      </c>
      <c r="F21" s="320">
        <v>0.06</v>
      </c>
      <c r="G21" s="320">
        <v>0.1</v>
      </c>
      <c r="H21" s="320">
        <v>0.15</v>
      </c>
      <c r="I21" s="320">
        <v>0.15</v>
      </c>
      <c r="J21" s="320">
        <v>0.16</v>
      </c>
      <c r="K21" s="320">
        <v>0.2</v>
      </c>
      <c r="L21" s="320">
        <v>0.25</v>
      </c>
      <c r="M21" s="320">
        <v>0.45</v>
      </c>
      <c r="N21" s="320">
        <v>0.45</v>
      </c>
    </row>
    <row r="22" spans="1:17" ht="15.75" customHeight="1">
      <c r="A22" s="799"/>
      <c r="B22" s="800"/>
      <c r="C22" s="308" t="s">
        <v>1317</v>
      </c>
      <c r="D22" s="302">
        <v>9</v>
      </c>
      <c r="E22" s="320">
        <v>0.06</v>
      </c>
      <c r="F22" s="320">
        <v>0.1</v>
      </c>
      <c r="G22" s="320">
        <v>0.15</v>
      </c>
      <c r="H22" s="320">
        <v>0.25</v>
      </c>
      <c r="I22" s="320">
        <v>0.25</v>
      </c>
      <c r="J22" s="320">
        <v>0.2</v>
      </c>
      <c r="K22" s="320">
        <v>0.25</v>
      </c>
      <c r="L22" s="320">
        <v>0.35</v>
      </c>
      <c r="M22" s="320">
        <v>0.55000000000000004</v>
      </c>
      <c r="N22" s="320">
        <v>0.55000000000000004</v>
      </c>
    </row>
    <row r="23" spans="1:17" ht="15.75" customHeight="1"/>
    <row r="24" spans="1:17" ht="15.75" customHeight="1">
      <c r="C24" s="542" t="s">
        <v>73</v>
      </c>
      <c r="D24"/>
      <c r="E24" s="553" t="s">
        <v>1750</v>
      </c>
      <c r="F24" s="552">
        <f>VLOOKUP(Tilled,E25:F26,2,0)</f>
        <v>3</v>
      </c>
      <c r="G24" s="545" t="s">
        <v>39</v>
      </c>
      <c r="H24" s="546"/>
      <c r="I24" s="579">
        <f>VLOOKUP(SOM,H25:I27,2)</f>
        <v>1</v>
      </c>
      <c r="J24" s="542" t="s">
        <v>57</v>
      </c>
      <c r="K24" s="552">
        <f>VLOOKUP(water_supply,J25:K26,2,0)</f>
        <v>2</v>
      </c>
      <c r="L24" s="542" t="s">
        <v>1787</v>
      </c>
      <c r="M24" s="552">
        <f>VLOOKUP(VLOOKUP(soil_texture,SoilData,5,FALSE),L25:M29,2,0)</f>
        <v>2</v>
      </c>
    </row>
    <row r="25" spans="1:17" ht="15.75" customHeight="1">
      <c r="C25" s="585" t="s">
        <v>1767</v>
      </c>
      <c r="D25" s="547">
        <v>1</v>
      </c>
      <c r="E25" s="587" t="s">
        <v>1748</v>
      </c>
      <c r="F25" s="547">
        <v>1</v>
      </c>
      <c r="G25" s="584" t="s">
        <v>1318</v>
      </c>
      <c r="H25" s="548">
        <v>0</v>
      </c>
      <c r="I25" s="548">
        <v>1</v>
      </c>
      <c r="J25" s="584" t="s">
        <v>58</v>
      </c>
      <c r="K25" s="547">
        <v>2</v>
      </c>
      <c r="L25" s="584" t="s">
        <v>111</v>
      </c>
      <c r="M25" s="547">
        <v>1</v>
      </c>
    </row>
    <row r="26" spans="1:17" ht="15.75" customHeight="1">
      <c r="C26" s="586" t="s">
        <v>1768</v>
      </c>
      <c r="D26" s="580">
        <v>2</v>
      </c>
      <c r="E26" s="588" t="s">
        <v>1749</v>
      </c>
      <c r="F26" s="580">
        <v>3</v>
      </c>
      <c r="G26" s="585" t="s">
        <v>1320</v>
      </c>
      <c r="H26" s="548">
        <v>2</v>
      </c>
      <c r="I26" s="548">
        <v>2</v>
      </c>
      <c r="J26" s="584" t="s">
        <v>1319</v>
      </c>
      <c r="K26" s="547">
        <v>1</v>
      </c>
      <c r="L26" s="584" t="s">
        <v>124</v>
      </c>
      <c r="M26" s="547">
        <v>2</v>
      </c>
    </row>
    <row r="27" spans="1:17" ht="15.75" customHeight="1">
      <c r="C27" s="581"/>
      <c r="D27" s="581"/>
      <c r="E27" s="581"/>
      <c r="F27" s="581"/>
      <c r="G27" s="584" t="s">
        <v>1317</v>
      </c>
      <c r="H27" s="548">
        <v>5</v>
      </c>
      <c r="I27" s="582">
        <v>3</v>
      </c>
      <c r="J27" s="309"/>
      <c r="K27" s="311"/>
      <c r="L27" s="584" t="s">
        <v>137</v>
      </c>
      <c r="M27" s="549">
        <v>3</v>
      </c>
      <c r="Q27" t="s">
        <v>1809</v>
      </c>
    </row>
    <row r="28" spans="1:17" ht="15.75" customHeight="1">
      <c r="C28" s="550"/>
      <c r="D28" s="550"/>
      <c r="E28" s="550"/>
      <c r="F28" s="550"/>
      <c r="G28" s="550"/>
      <c r="H28" s="312"/>
      <c r="I28" s="583"/>
      <c r="J28" s="551"/>
      <c r="K28" s="310"/>
      <c r="L28" s="584" t="s">
        <v>152</v>
      </c>
      <c r="M28" s="547">
        <v>4</v>
      </c>
    </row>
    <row r="29" spans="1:17" ht="15.75" customHeight="1">
      <c r="C29" s="550"/>
      <c r="D29" s="550"/>
      <c r="E29" s="550"/>
      <c r="F29" s="550"/>
      <c r="G29" s="550"/>
      <c r="H29" s="312"/>
      <c r="I29" s="312"/>
      <c r="J29" s="550"/>
      <c r="K29" s="310"/>
      <c r="L29" s="584" t="s">
        <v>170</v>
      </c>
      <c r="M29" s="547">
        <v>5</v>
      </c>
    </row>
    <row r="30" spans="1:17" ht="15.75" customHeight="1">
      <c r="C30" s="305"/>
      <c r="D30" s="305"/>
      <c r="E30" s="305"/>
      <c r="F30" s="305"/>
      <c r="G30" s="305"/>
      <c r="H30" s="305"/>
      <c r="I30" s="559"/>
      <c r="J30" s="559"/>
      <c r="K30" s="305"/>
      <c r="L30" s="305"/>
      <c r="M30" s="305"/>
      <c r="N30" s="305"/>
    </row>
    <row r="31" spans="1:17" s="289" customFormat="1" ht="15.75" customHeight="1">
      <c r="O31" s="299"/>
      <c r="P31" s="299"/>
    </row>
    <row r="32" spans="1:17" ht="15.75" customHeight="1">
      <c r="B32" s="803" t="s">
        <v>1789</v>
      </c>
      <c r="C32" s="804"/>
      <c r="D32" s="804"/>
      <c r="E32" s="804"/>
      <c r="F32" s="804"/>
      <c r="G32" s="804"/>
      <c r="H32" s="804"/>
      <c r="I32" s="804"/>
      <c r="J32" s="804"/>
      <c r="K32" s="804"/>
      <c r="L32" s="804"/>
      <c r="M32" s="804"/>
      <c r="N32" s="804"/>
    </row>
    <row r="33" spans="2:21" ht="15.75" customHeight="1">
      <c r="B33" s="803"/>
      <c r="C33" s="804"/>
      <c r="D33" s="804"/>
      <c r="E33" s="804"/>
      <c r="F33" s="804"/>
      <c r="G33" s="804"/>
      <c r="H33" s="804"/>
      <c r="I33" s="804"/>
      <c r="J33" s="804"/>
      <c r="K33" s="804"/>
      <c r="L33" s="804"/>
      <c r="M33" s="804"/>
      <c r="N33" s="804"/>
      <c r="Q33" s="652" t="s">
        <v>1805</v>
      </c>
      <c r="R33" s="652" t="s">
        <v>1806</v>
      </c>
      <c r="S33" s="652" t="s">
        <v>1807</v>
      </c>
      <c r="T33" s="652" t="s">
        <v>1469</v>
      </c>
      <c r="U33" s="652" t="s">
        <v>1808</v>
      </c>
    </row>
    <row r="34" spans="2:21" ht="15.75" customHeight="1"/>
    <row r="35" spans="2:21" ht="15.75" customHeight="1">
      <c r="D35" s="301"/>
      <c r="F35" s="305"/>
      <c r="G35" s="306"/>
      <c r="H35" s="306"/>
      <c r="I35" s="556" t="s">
        <v>1791</v>
      </c>
      <c r="J35" s="556"/>
      <c r="K35" s="554"/>
      <c r="L35" s="556" t="s">
        <v>1792</v>
      </c>
      <c r="M35" s="556"/>
      <c r="N35" s="305"/>
      <c r="O35" s="305"/>
      <c r="R35" s="652" t="s">
        <v>1810</v>
      </c>
    </row>
    <row r="36" spans="2:21" ht="15.75" customHeight="1">
      <c r="C36" s="557" t="s">
        <v>5</v>
      </c>
      <c r="D36" s="558"/>
      <c r="E36" s="653" t="s">
        <v>1803</v>
      </c>
      <c r="F36" s="653" t="s">
        <v>1804</v>
      </c>
      <c r="G36" s="560"/>
      <c r="H36" s="560"/>
      <c r="I36" s="573" t="s">
        <v>1770</v>
      </c>
      <c r="J36" s="572" t="s">
        <v>1771</v>
      </c>
      <c r="K36" s="561"/>
      <c r="L36" s="573" t="s">
        <v>1770</v>
      </c>
      <c r="M36" s="572" t="s">
        <v>1771</v>
      </c>
      <c r="N36" s="305"/>
      <c r="O36" s="305"/>
    </row>
    <row r="37" spans="2:21" ht="15.75" customHeight="1">
      <c r="C37" s="564" t="s">
        <v>1767</v>
      </c>
      <c r="D37" s="565"/>
      <c r="E37" s="654">
        <f>(D25-1)*3+'Data Deni'!$F$24*'Data Deni'!$I$24</f>
        <v>3</v>
      </c>
      <c r="F37" s="654">
        <f>('Data Deni'!$K$24-1)*5+'Data Deni'!$M$24</f>
        <v>7</v>
      </c>
      <c r="G37" s="568">
        <f>INDEX(Data_Deni,D25*'Data Deni'!$F$24*'Data Deni'!$I$24,('Data Deni'!$K$24-1)*5+'Data Deni'!$M$24)</f>
        <v>0.2</v>
      </c>
      <c r="H37" s="569"/>
      <c r="I37" s="574">
        <f>SUM(Fertilizers!AZ5:AZ77)</f>
        <v>292.74426863570022</v>
      </c>
      <c r="J37" s="570">
        <f>SUM(Fertilizers!AO5:AO77)</f>
        <v>3.5377080856817261E-15</v>
      </c>
      <c r="K37" s="567"/>
      <c r="L37" s="574">
        <f>$G37*I37</f>
        <v>58.548853727140049</v>
      </c>
      <c r="M37" s="570">
        <f>$G37*J37</f>
        <v>7.0754161713634524E-16</v>
      </c>
      <c r="N37" s="305"/>
      <c r="O37" s="305"/>
    </row>
    <row r="38" spans="2:21" ht="15.75" customHeight="1">
      <c r="C38" s="564" t="s">
        <v>1768</v>
      </c>
      <c r="D38" s="565"/>
      <c r="E38" s="654">
        <f>(D26-1)*3+'Data Deni'!$F$24*'Data Deni'!$I$24</f>
        <v>6</v>
      </c>
      <c r="F38" s="654">
        <f>('Data Deni'!$K$24-1)*5+'Data Deni'!$M$24</f>
        <v>7</v>
      </c>
      <c r="G38" s="568">
        <f>IFERROR(INDEX(Data_Deni,D26*'Data Deni'!$F$24*'Data Deni'!$I$24,('Data Deni'!$K$24-1)*5+'Data Deni'!$M$24),0)</f>
        <v>0.4</v>
      </c>
      <c r="H38" s="569"/>
      <c r="I38" s="575">
        <f>SUM(Fertilizers!AZ78:AZ105)</f>
        <v>44.272819115627726</v>
      </c>
      <c r="J38" s="571">
        <f>SUM(Fertilizers!AO78:AO105)</f>
        <v>0</v>
      </c>
      <c r="K38" s="566"/>
      <c r="L38" s="574">
        <f>$G38*I38</f>
        <v>17.70912764625109</v>
      </c>
      <c r="M38" s="570">
        <f>$G38*J38</f>
        <v>0</v>
      </c>
    </row>
    <row r="39" spans="2:21" ht="15.75" customHeight="1">
      <c r="B39" s="322"/>
      <c r="C39" s="562" t="s">
        <v>1701</v>
      </c>
      <c r="D39" s="563"/>
      <c r="E39" s="563"/>
      <c r="F39" s="563"/>
      <c r="G39" s="563"/>
      <c r="H39" s="563"/>
      <c r="I39" s="577">
        <f>SUM(I37:I38)</f>
        <v>337.01708775132795</v>
      </c>
      <c r="J39" s="576">
        <f>SUM(J37:J38)</f>
        <v>3.5377080856817261E-15</v>
      </c>
      <c r="K39" s="563"/>
      <c r="L39" s="577">
        <f>SUM(L37:L38)</f>
        <v>76.257981373391146</v>
      </c>
      <c r="M39" s="576">
        <f>SUM(M37:M38)</f>
        <v>7.0754161713634524E-16</v>
      </c>
      <c r="N39" s="578">
        <f>SUM(L39:M39)</f>
        <v>76.257981373391146</v>
      </c>
      <c r="O39" s="322"/>
    </row>
    <row r="40" spans="2:21" ht="15.75" customHeight="1">
      <c r="F40" s="299"/>
      <c r="H40" s="300"/>
    </row>
    <row r="41" spans="2:21" ht="15.75" customHeight="1">
      <c r="F41" s="299"/>
      <c r="H41" s="300"/>
    </row>
    <row r="42" spans="2:21" ht="15.75" customHeight="1"/>
    <row r="43" spans="2:21" ht="15.75" customHeight="1"/>
    <row r="44" spans="2:21" ht="15.75" customHeight="1"/>
    <row r="45" spans="2:21" ht="15.75" customHeight="1"/>
    <row r="46" spans="2:21" ht="15.75" customHeight="1"/>
    <row r="47" spans="2:21" ht="15.75" customHeight="1"/>
    <row r="48" spans="2:2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0">
    <mergeCell ref="B4:N5"/>
    <mergeCell ref="B32:N33"/>
    <mergeCell ref="E10:I10"/>
    <mergeCell ref="J10:N10"/>
    <mergeCell ref="E11:N11"/>
    <mergeCell ref="A14:A19"/>
    <mergeCell ref="A20:A22"/>
    <mergeCell ref="B14:B16"/>
    <mergeCell ref="B17:B19"/>
    <mergeCell ref="B20:B22"/>
  </mergeCells>
  <pageMargins left="0.7" right="0.7" top="0.75" bottom="0.75" header="0" footer="0"/>
  <pageSetup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3">
    <tabColor rgb="FF003300"/>
    <outlinePr summaryBelow="0" summaryRight="0"/>
  </sheetPr>
  <dimension ref="A1:AD1000"/>
  <sheetViews>
    <sheetView workbookViewId="0">
      <selection activeCell="C23" sqref="C23"/>
    </sheetView>
  </sheetViews>
  <sheetFormatPr baseColWidth="10" defaultColWidth="12.625" defaultRowHeight="15" customHeight="1"/>
  <cols>
    <col min="1" max="1" width="25.875" customWidth="1"/>
    <col min="2" max="2" width="19.5" customWidth="1"/>
    <col min="3" max="3" width="31" customWidth="1"/>
    <col min="4" max="4" width="26.125" customWidth="1"/>
    <col min="5" max="5" width="31.5" customWidth="1"/>
    <col min="6" max="6" width="17.25" customWidth="1"/>
    <col min="7" max="7" width="17.25" style="270" customWidth="1"/>
    <col min="8" max="8" width="17.25" customWidth="1"/>
    <col min="9" max="9" width="6.375" customWidth="1"/>
    <col min="10" max="10" width="21.25" customWidth="1"/>
    <col min="11" max="11" width="12.875" customWidth="1"/>
    <col min="12" max="12" width="13.625" customWidth="1"/>
    <col min="13" max="13" width="13.25" customWidth="1"/>
    <col min="14" max="14" width="13.125" customWidth="1"/>
    <col min="15" max="16" width="12.875" customWidth="1"/>
    <col min="17" max="19" width="12" customWidth="1"/>
    <col min="20" max="20" width="14.125" customWidth="1"/>
    <col min="21" max="21" width="10.5" customWidth="1"/>
    <col min="22" max="22" width="13.25" customWidth="1"/>
    <col min="23" max="26" width="12.875" customWidth="1"/>
    <col min="27" max="29" width="12" customWidth="1"/>
  </cols>
  <sheetData>
    <row r="1" spans="1:30" ht="15" customHeight="1">
      <c r="A1" s="193">
        <v>1</v>
      </c>
      <c r="B1" s="193">
        <v>2</v>
      </c>
      <c r="C1" s="193">
        <v>3</v>
      </c>
      <c r="D1" s="193">
        <v>4</v>
      </c>
      <c r="E1" s="193">
        <v>5</v>
      </c>
      <c r="F1" s="193">
        <v>6</v>
      </c>
      <c r="G1" s="193"/>
      <c r="H1" s="193">
        <v>7</v>
      </c>
      <c r="I1" s="193">
        <v>8</v>
      </c>
      <c r="J1" s="193">
        <v>9</v>
      </c>
      <c r="K1" s="193">
        <v>11</v>
      </c>
      <c r="L1" s="193">
        <v>12</v>
      </c>
      <c r="M1" s="193">
        <v>13</v>
      </c>
      <c r="N1" s="193">
        <v>14</v>
      </c>
      <c r="O1" s="193">
        <v>15</v>
      </c>
      <c r="P1" s="193">
        <v>16</v>
      </c>
      <c r="Q1" s="193">
        <v>17</v>
      </c>
      <c r="R1" s="193">
        <v>18</v>
      </c>
      <c r="S1" s="193">
        <v>19</v>
      </c>
      <c r="T1" s="193">
        <v>20</v>
      </c>
      <c r="U1" s="193">
        <v>21</v>
      </c>
      <c r="V1" s="193">
        <v>22</v>
      </c>
      <c r="W1" s="193">
        <v>23</v>
      </c>
      <c r="X1" s="193">
        <v>24</v>
      </c>
      <c r="Y1" s="193">
        <v>25</v>
      </c>
      <c r="Z1" s="193">
        <v>26</v>
      </c>
      <c r="AA1" s="193">
        <v>27</v>
      </c>
      <c r="AB1" s="193">
        <v>28</v>
      </c>
      <c r="AC1" s="193">
        <v>29</v>
      </c>
    </row>
    <row r="2" spans="1:30" ht="15" customHeight="1">
      <c r="A2" s="194"/>
      <c r="B2" s="194"/>
      <c r="C2" s="810" t="s">
        <v>565</v>
      </c>
      <c r="D2" s="717"/>
      <c r="E2" s="717"/>
      <c r="F2" s="717"/>
      <c r="G2" s="811"/>
      <c r="H2" s="717"/>
      <c r="I2" s="717"/>
      <c r="J2" s="717"/>
      <c r="K2" s="717"/>
      <c r="L2" s="717"/>
      <c r="M2" s="717"/>
      <c r="N2" s="718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</row>
    <row r="3" spans="1:30" ht="15" customHeight="1">
      <c r="A3" s="26"/>
      <c r="B3" s="26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6"/>
      <c r="P3" s="196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</row>
    <row r="4" spans="1:30" ht="15" customHeight="1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 ht="15" customHeight="1">
      <c r="A5" s="26"/>
      <c r="B5" s="26"/>
      <c r="C5" s="193"/>
      <c r="D5" s="195"/>
      <c r="E5" s="195"/>
      <c r="F5" s="26"/>
      <c r="G5" s="26"/>
      <c r="H5" s="193"/>
      <c r="I5" s="193"/>
      <c r="J5" s="193"/>
      <c r="K5" s="815" t="s">
        <v>361</v>
      </c>
      <c r="L5" s="816"/>
      <c r="M5" s="816"/>
      <c r="N5" s="816"/>
      <c r="O5" s="812" t="s">
        <v>566</v>
      </c>
      <c r="P5" s="813" t="s">
        <v>567</v>
      </c>
      <c r="Q5" s="814" t="s">
        <v>568</v>
      </c>
      <c r="R5" s="814" t="s">
        <v>569</v>
      </c>
      <c r="S5" s="814" t="s">
        <v>570</v>
      </c>
      <c r="T5" s="197"/>
      <c r="U5" s="817" t="s">
        <v>363</v>
      </c>
      <c r="V5" s="717"/>
      <c r="W5" s="717"/>
      <c r="X5" s="811"/>
      <c r="Y5" s="818" t="s">
        <v>347</v>
      </c>
      <c r="Z5" s="819" t="s">
        <v>348</v>
      </c>
      <c r="AA5" s="807" t="s">
        <v>571</v>
      </c>
      <c r="AB5" s="807" t="s">
        <v>572</v>
      </c>
      <c r="AC5" s="807" t="s">
        <v>573</v>
      </c>
    </row>
    <row r="6" spans="1:30" ht="15" customHeight="1">
      <c r="A6" s="195"/>
      <c r="B6" s="195"/>
      <c r="C6" s="195"/>
      <c r="D6" s="195"/>
      <c r="E6" s="195"/>
      <c r="F6" s="26"/>
      <c r="G6" s="26"/>
      <c r="H6" s="193"/>
      <c r="I6" s="193"/>
      <c r="J6" s="193"/>
      <c r="K6" s="198" t="s">
        <v>349</v>
      </c>
      <c r="L6" s="199" t="s">
        <v>574</v>
      </c>
      <c r="M6" s="199" t="s">
        <v>575</v>
      </c>
      <c r="N6" s="199" t="s">
        <v>576</v>
      </c>
      <c r="O6" s="713"/>
      <c r="P6" s="808"/>
      <c r="Q6" s="808"/>
      <c r="R6" s="808"/>
      <c r="S6" s="808"/>
      <c r="T6" s="195"/>
      <c r="U6" s="198" t="s">
        <v>389</v>
      </c>
      <c r="V6" s="199" t="s">
        <v>577</v>
      </c>
      <c r="W6" s="199" t="s">
        <v>578</v>
      </c>
      <c r="X6" s="199" t="s">
        <v>579</v>
      </c>
      <c r="Y6" s="713"/>
      <c r="Z6" s="808"/>
      <c r="AA6" s="808"/>
      <c r="AB6" s="808"/>
      <c r="AC6" s="808"/>
    </row>
    <row r="7" spans="1:30" ht="15" customHeight="1">
      <c r="A7" s="200" t="s">
        <v>22</v>
      </c>
      <c r="B7" s="200" t="s">
        <v>580</v>
      </c>
      <c r="C7" s="200" t="s">
        <v>581</v>
      </c>
      <c r="D7" s="201" t="s">
        <v>582</v>
      </c>
      <c r="E7" s="201" t="s">
        <v>583</v>
      </c>
      <c r="F7" s="202" t="s">
        <v>584</v>
      </c>
      <c r="G7" s="281" t="s">
        <v>31</v>
      </c>
      <c r="H7" s="203" t="s">
        <v>32</v>
      </c>
      <c r="I7" s="204" t="s">
        <v>358</v>
      </c>
      <c r="J7" s="204" t="s">
        <v>585</v>
      </c>
      <c r="K7" s="538" t="s">
        <v>28</v>
      </c>
      <c r="L7" s="539" t="s">
        <v>586</v>
      </c>
      <c r="M7" s="539" t="s">
        <v>587</v>
      </c>
      <c r="N7" s="199" t="s">
        <v>588</v>
      </c>
      <c r="O7" s="714"/>
      <c r="P7" s="809"/>
      <c r="Q7" s="809"/>
      <c r="R7" s="809"/>
      <c r="S7" s="809"/>
      <c r="T7" s="200" t="s">
        <v>589</v>
      </c>
      <c r="U7" s="205" t="s">
        <v>28</v>
      </c>
      <c r="V7" s="205" t="s">
        <v>586</v>
      </c>
      <c r="W7" s="205" t="s">
        <v>587</v>
      </c>
      <c r="X7" s="205" t="s">
        <v>588</v>
      </c>
      <c r="Y7" s="714"/>
      <c r="Z7" s="809"/>
      <c r="AA7" s="809"/>
      <c r="AB7" s="809"/>
      <c r="AC7" s="809"/>
    </row>
    <row r="8" spans="1:30">
      <c r="A8" s="26" t="s">
        <v>468</v>
      </c>
      <c r="B8" s="26" t="s">
        <v>590</v>
      </c>
      <c r="C8" s="26" t="s">
        <v>591</v>
      </c>
      <c r="D8" s="26" t="s">
        <v>592</v>
      </c>
      <c r="E8" s="26" t="s">
        <v>593</v>
      </c>
      <c r="F8" s="26" t="s">
        <v>594</v>
      </c>
      <c r="G8" s="278" t="s">
        <v>1743</v>
      </c>
      <c r="H8" s="206" t="s">
        <v>595</v>
      </c>
      <c r="I8" s="207">
        <v>90</v>
      </c>
      <c r="J8" s="207">
        <v>100</v>
      </c>
      <c r="K8" s="208">
        <v>25</v>
      </c>
      <c r="L8" s="209" t="s">
        <v>596</v>
      </c>
      <c r="M8" s="209" t="s">
        <v>597</v>
      </c>
      <c r="N8" s="210" t="s">
        <v>598</v>
      </c>
      <c r="O8" s="211"/>
      <c r="P8" s="211"/>
      <c r="Q8" s="212"/>
      <c r="R8" s="212"/>
      <c r="S8" s="212"/>
      <c r="T8" s="26"/>
      <c r="U8" s="208"/>
      <c r="V8" s="209"/>
      <c r="W8" s="209"/>
      <c r="X8" s="210"/>
      <c r="Y8" s="213"/>
      <c r="Z8" s="213"/>
      <c r="AA8" s="212"/>
      <c r="AB8" s="212"/>
      <c r="AC8" s="212"/>
    </row>
    <row r="9" spans="1:30">
      <c r="A9" s="26" t="s">
        <v>467</v>
      </c>
      <c r="B9" s="26" t="s">
        <v>590</v>
      </c>
      <c r="C9" s="26" t="s">
        <v>599</v>
      </c>
      <c r="D9" s="26" t="s">
        <v>592</v>
      </c>
      <c r="E9" s="26" t="s">
        <v>600</v>
      </c>
      <c r="F9" s="26" t="s">
        <v>594</v>
      </c>
      <c r="G9" s="278" t="s">
        <v>1743</v>
      </c>
      <c r="H9" s="206" t="s">
        <v>595</v>
      </c>
      <c r="I9" s="207">
        <v>90</v>
      </c>
      <c r="J9" s="207">
        <v>100</v>
      </c>
      <c r="K9" s="207">
        <v>25</v>
      </c>
      <c r="L9" s="214" t="s">
        <v>601</v>
      </c>
      <c r="M9" s="214" t="s">
        <v>602</v>
      </c>
      <c r="N9" s="215" t="s">
        <v>603</v>
      </c>
      <c r="O9" s="216" t="s">
        <v>604</v>
      </c>
      <c r="P9" s="216" t="s">
        <v>596</v>
      </c>
      <c r="Q9" s="212">
        <v>3.2000000000000001E-2</v>
      </c>
      <c r="R9" s="212">
        <v>2.7E-2</v>
      </c>
      <c r="S9" s="212">
        <v>0</v>
      </c>
      <c r="T9" s="26"/>
      <c r="U9" s="207"/>
      <c r="V9" s="214"/>
      <c r="W9" s="214"/>
      <c r="X9" s="215"/>
      <c r="Y9" s="217"/>
      <c r="Z9" s="217"/>
      <c r="AA9" s="218"/>
      <c r="AB9" s="218"/>
      <c r="AC9" s="218"/>
    </row>
    <row r="10" spans="1:30">
      <c r="A10" s="26" t="s">
        <v>470</v>
      </c>
      <c r="B10" s="26" t="s">
        <v>590</v>
      </c>
      <c r="C10" s="26" t="s">
        <v>605</v>
      </c>
      <c r="D10" s="26" t="s">
        <v>592</v>
      </c>
      <c r="E10" s="26" t="s">
        <v>606</v>
      </c>
      <c r="F10" s="26" t="s">
        <v>594</v>
      </c>
      <c r="G10" s="278" t="s">
        <v>1743</v>
      </c>
      <c r="H10" s="206" t="s">
        <v>595</v>
      </c>
      <c r="I10" s="207">
        <v>90</v>
      </c>
      <c r="J10" s="207">
        <v>100</v>
      </c>
      <c r="K10" s="207">
        <v>85</v>
      </c>
      <c r="L10" s="214">
        <v>2</v>
      </c>
      <c r="M10" s="214">
        <v>3</v>
      </c>
      <c r="N10" s="215" t="s">
        <v>607</v>
      </c>
      <c r="O10" s="216"/>
      <c r="P10" s="216"/>
      <c r="Q10" s="218"/>
      <c r="R10" s="218"/>
      <c r="S10" s="218"/>
      <c r="T10" s="26"/>
      <c r="U10" s="207"/>
      <c r="V10" s="214"/>
      <c r="W10" s="214"/>
      <c r="X10" s="215"/>
      <c r="Y10" s="217"/>
      <c r="Z10" s="217"/>
      <c r="AA10" s="218"/>
      <c r="AB10" s="218"/>
      <c r="AC10" s="218"/>
    </row>
    <row r="11" spans="1:30">
      <c r="A11" s="26" t="s">
        <v>469</v>
      </c>
      <c r="B11" s="26" t="s">
        <v>590</v>
      </c>
      <c r="C11" s="26" t="s">
        <v>608</v>
      </c>
      <c r="D11" s="26" t="s">
        <v>592</v>
      </c>
      <c r="E11" s="26" t="s">
        <v>609</v>
      </c>
      <c r="F11" s="26" t="s">
        <v>594</v>
      </c>
      <c r="G11" s="278" t="s">
        <v>1743</v>
      </c>
      <c r="H11" s="206" t="s">
        <v>595</v>
      </c>
      <c r="I11" s="207">
        <v>90</v>
      </c>
      <c r="J11" s="207">
        <v>100</v>
      </c>
      <c r="K11" s="207">
        <v>85</v>
      </c>
      <c r="L11" s="214" t="s">
        <v>610</v>
      </c>
      <c r="M11" s="214" t="s">
        <v>611</v>
      </c>
      <c r="N11" s="215" t="s">
        <v>612</v>
      </c>
      <c r="O11" s="216"/>
      <c r="P11" s="216"/>
      <c r="Q11" s="218"/>
      <c r="R11" s="218"/>
      <c r="S11" s="218"/>
      <c r="T11" s="26"/>
      <c r="U11" s="207"/>
      <c r="V11" s="214"/>
      <c r="W11" s="214"/>
      <c r="X11" s="215"/>
      <c r="Y11" s="217"/>
      <c r="Z11" s="217"/>
      <c r="AA11" s="218"/>
      <c r="AB11" s="218"/>
      <c r="AC11" s="218"/>
    </row>
    <row r="12" spans="1:30">
      <c r="A12" s="26" t="s">
        <v>533</v>
      </c>
      <c r="B12" s="26" t="s">
        <v>613</v>
      </c>
      <c r="C12" s="26" t="s">
        <v>614</v>
      </c>
      <c r="D12" s="219" t="s">
        <v>615</v>
      </c>
      <c r="E12" s="26" t="s">
        <v>616</v>
      </c>
      <c r="F12" s="26" t="s">
        <v>617</v>
      </c>
      <c r="G12" s="279" t="s">
        <v>1745</v>
      </c>
      <c r="H12" s="206" t="s">
        <v>595</v>
      </c>
      <c r="I12" s="207">
        <v>60</v>
      </c>
      <c r="J12" s="207">
        <v>100</v>
      </c>
      <c r="K12" s="207">
        <v>85</v>
      </c>
      <c r="L12" s="214">
        <v>3</v>
      </c>
      <c r="M12" s="214" t="s">
        <v>618</v>
      </c>
      <c r="N12" s="215" t="s">
        <v>612</v>
      </c>
      <c r="O12" s="216" t="s">
        <v>619</v>
      </c>
      <c r="P12" s="216" t="s">
        <v>620</v>
      </c>
      <c r="Q12" s="218">
        <v>0.26800000000000002</v>
      </c>
      <c r="R12" s="218">
        <v>0.27900000000000003</v>
      </c>
      <c r="S12" s="218">
        <v>0</v>
      </c>
      <c r="T12" s="26"/>
      <c r="U12" s="207"/>
      <c r="V12" s="214"/>
      <c r="W12" s="214"/>
      <c r="X12" s="215"/>
      <c r="Y12" s="217"/>
      <c r="Z12" s="217"/>
      <c r="AA12" s="218"/>
      <c r="AB12" s="218"/>
      <c r="AC12" s="218"/>
    </row>
    <row r="13" spans="1:30">
      <c r="A13" s="26" t="s">
        <v>534</v>
      </c>
      <c r="B13" s="26" t="s">
        <v>613</v>
      </c>
      <c r="C13" s="26" t="s">
        <v>621</v>
      </c>
      <c r="D13" s="219" t="s">
        <v>622</v>
      </c>
      <c r="E13" s="26" t="s">
        <v>623</v>
      </c>
      <c r="F13" s="26" t="s">
        <v>617</v>
      </c>
      <c r="G13" s="279" t="s">
        <v>1745</v>
      </c>
      <c r="H13" s="206" t="s">
        <v>595</v>
      </c>
      <c r="I13" s="207">
        <v>60</v>
      </c>
      <c r="J13" s="207">
        <v>100</v>
      </c>
      <c r="K13" s="207">
        <v>18</v>
      </c>
      <c r="L13" s="214" t="s">
        <v>624</v>
      </c>
      <c r="M13" s="214" t="s">
        <v>625</v>
      </c>
      <c r="N13" s="215" t="s">
        <v>626</v>
      </c>
      <c r="O13" s="216" t="s">
        <v>627</v>
      </c>
      <c r="P13" s="216" t="s">
        <v>620</v>
      </c>
      <c r="Q13" s="218">
        <v>6.0000000000000001E-3</v>
      </c>
      <c r="R13" s="218">
        <v>5.0000000000000001E-3</v>
      </c>
      <c r="S13" s="218">
        <v>0</v>
      </c>
      <c r="T13" s="26"/>
      <c r="U13" s="207"/>
      <c r="V13" s="214"/>
      <c r="W13" s="214"/>
      <c r="X13" s="215"/>
      <c r="Y13" s="217"/>
      <c r="Z13" s="217"/>
      <c r="AA13" s="218"/>
      <c r="AB13" s="218"/>
      <c r="AC13" s="218"/>
    </row>
    <row r="14" spans="1:30">
      <c r="A14" s="26" t="s">
        <v>535</v>
      </c>
      <c r="B14" s="26" t="s">
        <v>613</v>
      </c>
      <c r="C14" s="26" t="s">
        <v>628</v>
      </c>
      <c r="D14" s="219" t="s">
        <v>629</v>
      </c>
      <c r="E14" s="26" t="s">
        <v>630</v>
      </c>
      <c r="F14" s="26" t="s">
        <v>617</v>
      </c>
      <c r="G14" s="279" t="s">
        <v>1745</v>
      </c>
      <c r="H14" s="206" t="s">
        <v>595</v>
      </c>
      <c r="I14" s="207">
        <v>60</v>
      </c>
      <c r="J14" s="207">
        <v>100</v>
      </c>
      <c r="K14" s="207">
        <v>14</v>
      </c>
      <c r="L14" s="214" t="s">
        <v>631</v>
      </c>
      <c r="M14" s="214" t="s">
        <v>632</v>
      </c>
      <c r="N14" s="215" t="s">
        <v>633</v>
      </c>
      <c r="O14" s="216" t="s">
        <v>634</v>
      </c>
      <c r="P14" s="216" t="s">
        <v>635</v>
      </c>
      <c r="Q14" s="218">
        <v>1.2999999999999999E-2</v>
      </c>
      <c r="R14" s="218">
        <v>0.01</v>
      </c>
      <c r="S14" s="218">
        <v>0</v>
      </c>
      <c r="T14" s="26"/>
      <c r="U14" s="207"/>
      <c r="V14" s="214"/>
      <c r="W14" s="214"/>
      <c r="X14" s="215"/>
      <c r="Y14" s="217"/>
      <c r="Z14" s="217"/>
      <c r="AA14" s="218"/>
      <c r="AB14" s="218"/>
      <c r="AC14" s="218"/>
    </row>
    <row r="15" spans="1:30">
      <c r="A15" s="26" t="s">
        <v>499</v>
      </c>
      <c r="B15" s="26" t="s">
        <v>636</v>
      </c>
      <c r="C15" s="26" t="s">
        <v>637</v>
      </c>
      <c r="D15" s="26" t="s">
        <v>638</v>
      </c>
      <c r="E15" s="26" t="s">
        <v>639</v>
      </c>
      <c r="F15" s="26" t="s">
        <v>617</v>
      </c>
      <c r="G15" s="279" t="s">
        <v>1745</v>
      </c>
      <c r="H15" s="206" t="s">
        <v>595</v>
      </c>
      <c r="I15" s="207">
        <v>30</v>
      </c>
      <c r="J15" s="207">
        <v>100</v>
      </c>
      <c r="K15" s="207">
        <v>17</v>
      </c>
      <c r="L15" s="214" t="s">
        <v>640</v>
      </c>
      <c r="M15" s="214" t="s">
        <v>598</v>
      </c>
      <c r="N15" s="215" t="s">
        <v>607</v>
      </c>
      <c r="O15" s="216" t="s">
        <v>641</v>
      </c>
      <c r="P15" s="216">
        <v>2</v>
      </c>
      <c r="Q15" s="218">
        <v>1.4E-2</v>
      </c>
      <c r="R15" s="218">
        <v>1.7000000000000001E-2</v>
      </c>
      <c r="S15" s="218">
        <v>0</v>
      </c>
      <c r="T15" s="26"/>
      <c r="U15" s="207"/>
      <c r="V15" s="214"/>
      <c r="W15" s="214"/>
      <c r="X15" s="215"/>
      <c r="Y15" s="217"/>
      <c r="Z15" s="217"/>
      <c r="AA15" s="218"/>
      <c r="AB15" s="218"/>
      <c r="AC15" s="218"/>
    </row>
    <row r="16" spans="1:30">
      <c r="A16" s="26" t="s">
        <v>500</v>
      </c>
      <c r="B16" s="26" t="s">
        <v>636</v>
      </c>
      <c r="C16" s="26" t="s">
        <v>642</v>
      </c>
      <c r="D16" s="26" t="s">
        <v>643</v>
      </c>
      <c r="E16" s="26" t="s">
        <v>644</v>
      </c>
      <c r="F16" s="26" t="s">
        <v>645</v>
      </c>
      <c r="G16" s="279" t="s">
        <v>1745</v>
      </c>
      <c r="H16" s="206" t="s">
        <v>595</v>
      </c>
      <c r="I16" s="207">
        <v>35</v>
      </c>
      <c r="J16" s="207">
        <v>100</v>
      </c>
      <c r="K16" s="207">
        <v>8</v>
      </c>
      <c r="L16" s="214" t="s">
        <v>646</v>
      </c>
      <c r="M16" s="214" t="s">
        <v>647</v>
      </c>
      <c r="N16" s="215" t="s">
        <v>648</v>
      </c>
      <c r="O16" s="216" t="s">
        <v>649</v>
      </c>
      <c r="P16" s="216" t="s">
        <v>650</v>
      </c>
      <c r="Q16" s="218">
        <v>2.4E-2</v>
      </c>
      <c r="R16" s="218">
        <v>1.4E-2</v>
      </c>
      <c r="S16" s="218">
        <v>0</v>
      </c>
      <c r="T16" s="26"/>
      <c r="U16" s="207"/>
      <c r="V16" s="214"/>
      <c r="W16" s="214"/>
      <c r="X16" s="215"/>
      <c r="Y16" s="217"/>
      <c r="Z16" s="217"/>
      <c r="AA16" s="218"/>
      <c r="AB16" s="218"/>
      <c r="AC16" s="218"/>
    </row>
    <row r="17" spans="1:29">
      <c r="A17" s="26" t="s">
        <v>501</v>
      </c>
      <c r="B17" s="26" t="s">
        <v>636</v>
      </c>
      <c r="C17" s="26" t="s">
        <v>651</v>
      </c>
      <c r="D17" s="26" t="s">
        <v>643</v>
      </c>
      <c r="E17" s="26" t="s">
        <v>652</v>
      </c>
      <c r="F17" s="26" t="s">
        <v>645</v>
      </c>
      <c r="G17" s="279" t="s">
        <v>1745</v>
      </c>
      <c r="H17" s="206" t="s">
        <v>595</v>
      </c>
      <c r="I17" s="207">
        <v>35</v>
      </c>
      <c r="J17" s="207">
        <v>100</v>
      </c>
      <c r="K17" s="207">
        <v>7</v>
      </c>
      <c r="L17" s="214" t="s">
        <v>653</v>
      </c>
      <c r="M17" s="214" t="s">
        <v>654</v>
      </c>
      <c r="N17" s="215" t="s">
        <v>655</v>
      </c>
      <c r="O17" s="216" t="s">
        <v>656</v>
      </c>
      <c r="P17" s="216">
        <v>4</v>
      </c>
      <c r="Q17" s="218">
        <v>2.4E-2</v>
      </c>
      <c r="R17" s="218">
        <v>1.4E-2</v>
      </c>
      <c r="S17" s="218">
        <v>0</v>
      </c>
      <c r="T17" s="26"/>
      <c r="U17" s="207"/>
      <c r="V17" s="214"/>
      <c r="W17" s="214"/>
      <c r="X17" s="215"/>
      <c r="Y17" s="217"/>
      <c r="Z17" s="217"/>
      <c r="AA17" s="218"/>
      <c r="AB17" s="218"/>
      <c r="AC17" s="218"/>
    </row>
    <row r="18" spans="1:29">
      <c r="A18" s="26" t="s">
        <v>536</v>
      </c>
      <c r="B18" s="26" t="s">
        <v>613</v>
      </c>
      <c r="C18" s="26" t="s">
        <v>657</v>
      </c>
      <c r="D18" s="219" t="s">
        <v>658</v>
      </c>
      <c r="E18" s="26" t="s">
        <v>659</v>
      </c>
      <c r="F18" s="26" t="s">
        <v>617</v>
      </c>
      <c r="G18" s="279" t="s">
        <v>1745</v>
      </c>
      <c r="H18" s="206" t="s">
        <v>595</v>
      </c>
      <c r="I18" s="207">
        <v>60</v>
      </c>
      <c r="J18" s="207">
        <v>100</v>
      </c>
      <c r="K18" s="207">
        <v>27</v>
      </c>
      <c r="L18" s="214" t="s">
        <v>660</v>
      </c>
      <c r="M18" s="214" t="s">
        <v>661</v>
      </c>
      <c r="N18" s="215" t="s">
        <v>662</v>
      </c>
      <c r="O18" s="216" t="s">
        <v>663</v>
      </c>
      <c r="P18" s="216" t="s">
        <v>664</v>
      </c>
      <c r="Q18" s="218">
        <v>1.2E-2</v>
      </c>
      <c r="R18" s="218">
        <v>2.9000000000000001E-2</v>
      </c>
      <c r="S18" s="218">
        <v>0</v>
      </c>
      <c r="T18" s="26"/>
      <c r="U18" s="207"/>
      <c r="V18" s="214"/>
      <c r="W18" s="214"/>
      <c r="X18" s="215"/>
      <c r="Y18" s="217"/>
      <c r="Z18" s="217"/>
      <c r="AA18" s="218"/>
      <c r="AB18" s="218"/>
      <c r="AC18" s="218"/>
    </row>
    <row r="19" spans="1:29">
      <c r="A19" s="26" t="s">
        <v>537</v>
      </c>
      <c r="B19" s="26" t="s">
        <v>613</v>
      </c>
      <c r="C19" s="26" t="s">
        <v>665</v>
      </c>
      <c r="D19" s="219" t="s">
        <v>666</v>
      </c>
      <c r="E19" s="26" t="s">
        <v>667</v>
      </c>
      <c r="F19" s="26" t="s">
        <v>617</v>
      </c>
      <c r="G19" s="279" t="s">
        <v>1745</v>
      </c>
      <c r="H19" s="206" t="s">
        <v>595</v>
      </c>
      <c r="I19" s="207">
        <v>60</v>
      </c>
      <c r="J19" s="207">
        <v>100</v>
      </c>
      <c r="K19" s="207">
        <v>26</v>
      </c>
      <c r="L19" s="214" t="s">
        <v>668</v>
      </c>
      <c r="M19" s="214" t="s">
        <v>669</v>
      </c>
      <c r="N19" s="215" t="s">
        <v>670</v>
      </c>
      <c r="O19" s="216" t="s">
        <v>671</v>
      </c>
      <c r="P19" s="216" t="s">
        <v>672</v>
      </c>
      <c r="Q19" s="218">
        <v>3.0000000000000001E-3</v>
      </c>
      <c r="R19" s="218">
        <v>3.6999999999999998E-2</v>
      </c>
      <c r="S19" s="218">
        <v>0</v>
      </c>
      <c r="T19" s="26"/>
      <c r="U19" s="207"/>
      <c r="V19" s="214"/>
      <c r="W19" s="214"/>
      <c r="X19" s="215"/>
      <c r="Y19" s="217"/>
      <c r="Z19" s="217"/>
      <c r="AA19" s="218"/>
      <c r="AB19" s="218"/>
      <c r="AC19" s="218"/>
    </row>
    <row r="20" spans="1:29" ht="15" customHeight="1">
      <c r="A20" s="26" t="s">
        <v>424</v>
      </c>
      <c r="B20" s="26" t="s">
        <v>673</v>
      </c>
      <c r="C20" s="26" t="s">
        <v>674</v>
      </c>
      <c r="D20" s="26" t="s">
        <v>675</v>
      </c>
      <c r="E20" s="26" t="s">
        <v>676</v>
      </c>
      <c r="F20" s="26" t="s">
        <v>677</v>
      </c>
      <c r="G20" s="279" t="s">
        <v>1745</v>
      </c>
      <c r="H20" s="206" t="s">
        <v>33</v>
      </c>
      <c r="I20" s="207">
        <v>40</v>
      </c>
      <c r="J20" s="207">
        <v>10</v>
      </c>
      <c r="K20" s="207" t="s">
        <v>678</v>
      </c>
      <c r="L20" s="214" t="s">
        <v>679</v>
      </c>
      <c r="M20" s="214" t="s">
        <v>640</v>
      </c>
      <c r="N20" s="215" t="s">
        <v>680</v>
      </c>
      <c r="O20" s="216" t="s">
        <v>626</v>
      </c>
      <c r="P20" s="216" t="s">
        <v>681</v>
      </c>
      <c r="Q20" s="220">
        <v>3.3000000000000002E-2</v>
      </c>
      <c r="R20" s="220">
        <v>0.13300000000000001</v>
      </c>
      <c r="S20" s="218">
        <v>0</v>
      </c>
      <c r="T20" s="26" t="s">
        <v>682</v>
      </c>
      <c r="U20" s="207" t="s">
        <v>683</v>
      </c>
      <c r="V20" s="214" t="s">
        <v>684</v>
      </c>
      <c r="W20" s="214" t="s">
        <v>685</v>
      </c>
      <c r="X20" s="215" t="s">
        <v>669</v>
      </c>
      <c r="Y20" s="216" t="s">
        <v>671</v>
      </c>
      <c r="Z20" s="216" t="s">
        <v>596</v>
      </c>
      <c r="AA20" s="218"/>
      <c r="AB20" s="218"/>
      <c r="AC20" s="218"/>
    </row>
    <row r="21" spans="1:29" ht="15" customHeight="1">
      <c r="A21" s="26" t="s">
        <v>425</v>
      </c>
      <c r="B21" s="26" t="s">
        <v>673</v>
      </c>
      <c r="C21" s="26" t="s">
        <v>686</v>
      </c>
      <c r="D21" s="26" t="s">
        <v>675</v>
      </c>
      <c r="E21" s="26" t="s">
        <v>687</v>
      </c>
      <c r="F21" s="26" t="s">
        <v>677</v>
      </c>
      <c r="G21" s="279" t="s">
        <v>1745</v>
      </c>
      <c r="H21" s="206" t="s">
        <v>33</v>
      </c>
      <c r="I21" s="207">
        <v>40</v>
      </c>
      <c r="J21" s="207">
        <v>10</v>
      </c>
      <c r="K21" s="207" t="s">
        <v>688</v>
      </c>
      <c r="L21" s="214" t="s">
        <v>631</v>
      </c>
      <c r="M21" s="214" t="s">
        <v>689</v>
      </c>
      <c r="N21" s="215" t="s">
        <v>690</v>
      </c>
      <c r="O21" s="216" t="s">
        <v>691</v>
      </c>
      <c r="P21" s="216" t="s">
        <v>692</v>
      </c>
      <c r="Q21" s="220">
        <v>3.3000000000000002E-2</v>
      </c>
      <c r="R21" s="220">
        <v>0.13300000000000001</v>
      </c>
      <c r="S21" s="218">
        <v>0</v>
      </c>
      <c r="T21" s="26" t="s">
        <v>682</v>
      </c>
      <c r="U21" s="207">
        <v>90</v>
      </c>
      <c r="V21" s="214" t="s">
        <v>684</v>
      </c>
      <c r="W21" s="214" t="s">
        <v>685</v>
      </c>
      <c r="X21" s="215" t="s">
        <v>669</v>
      </c>
      <c r="Y21" s="216" t="s">
        <v>693</v>
      </c>
      <c r="Z21" s="216" t="s">
        <v>689</v>
      </c>
      <c r="AA21" s="218"/>
      <c r="AB21" s="218"/>
      <c r="AC21" s="218"/>
    </row>
    <row r="22" spans="1:29" ht="15" customHeight="1">
      <c r="A22" s="26" t="s">
        <v>457</v>
      </c>
      <c r="B22" s="26" t="s">
        <v>694</v>
      </c>
      <c r="C22" s="26" t="s">
        <v>695</v>
      </c>
      <c r="D22" s="26" t="s">
        <v>696</v>
      </c>
      <c r="E22" s="26" t="s">
        <v>697</v>
      </c>
      <c r="F22" s="26" t="s">
        <v>698</v>
      </c>
      <c r="G22" s="278" t="s">
        <v>1743</v>
      </c>
      <c r="H22" s="206" t="s">
        <v>33</v>
      </c>
      <c r="I22" s="207">
        <v>35</v>
      </c>
      <c r="J22" s="207">
        <v>100</v>
      </c>
      <c r="K22" s="207">
        <v>89</v>
      </c>
      <c r="L22" s="214" t="s">
        <v>699</v>
      </c>
      <c r="M22" s="214" t="s">
        <v>700</v>
      </c>
      <c r="N22" s="215">
        <v>4</v>
      </c>
      <c r="O22" s="216" t="s">
        <v>692</v>
      </c>
      <c r="P22" s="216" t="s">
        <v>701</v>
      </c>
      <c r="Q22" s="218">
        <v>1.2999999999999999E-2</v>
      </c>
      <c r="R22" s="218">
        <v>2.1000000000000001E-2</v>
      </c>
      <c r="S22" s="218">
        <v>0</v>
      </c>
      <c r="T22" s="26" t="s">
        <v>682</v>
      </c>
      <c r="U22" s="207">
        <v>89</v>
      </c>
      <c r="V22" s="214" t="s">
        <v>660</v>
      </c>
      <c r="W22" s="214" t="s">
        <v>702</v>
      </c>
      <c r="X22" s="215" t="s">
        <v>662</v>
      </c>
      <c r="Y22" s="216" t="s">
        <v>634</v>
      </c>
      <c r="Z22" s="216" t="s">
        <v>661</v>
      </c>
      <c r="AA22" s="218"/>
      <c r="AB22" s="218"/>
      <c r="AC22" s="218"/>
    </row>
    <row r="23" spans="1:29" ht="15" customHeight="1">
      <c r="A23" s="26" t="s">
        <v>418</v>
      </c>
      <c r="B23" s="26" t="s">
        <v>636</v>
      </c>
      <c r="C23" s="26" t="s">
        <v>703</v>
      </c>
      <c r="D23" s="26" t="s">
        <v>696</v>
      </c>
      <c r="E23" s="26" t="s">
        <v>704</v>
      </c>
      <c r="F23" s="26" t="s">
        <v>705</v>
      </c>
      <c r="G23" s="278" t="s">
        <v>1743</v>
      </c>
      <c r="H23" s="206" t="s">
        <v>33</v>
      </c>
      <c r="I23" s="197">
        <v>50</v>
      </c>
      <c r="J23" s="207">
        <v>100</v>
      </c>
      <c r="K23" s="207">
        <v>30</v>
      </c>
      <c r="L23" s="214">
        <v>3</v>
      </c>
      <c r="M23" s="214" t="s">
        <v>706</v>
      </c>
      <c r="N23" s="215" t="s">
        <v>612</v>
      </c>
      <c r="O23" s="216" t="s">
        <v>692</v>
      </c>
      <c r="P23" s="216" t="s">
        <v>701</v>
      </c>
      <c r="Q23" s="218">
        <v>2.7E-2</v>
      </c>
      <c r="R23" s="218">
        <v>1.9E-2</v>
      </c>
      <c r="S23" s="218">
        <v>0</v>
      </c>
      <c r="T23" s="26" t="s">
        <v>682</v>
      </c>
      <c r="U23" s="207">
        <v>89</v>
      </c>
      <c r="V23" s="214" t="s">
        <v>660</v>
      </c>
      <c r="W23" s="214" t="s">
        <v>702</v>
      </c>
      <c r="X23" s="215" t="s">
        <v>662</v>
      </c>
      <c r="Y23" s="216" t="s">
        <v>634</v>
      </c>
      <c r="Z23" s="216" t="s">
        <v>661</v>
      </c>
      <c r="AA23" s="218"/>
      <c r="AB23" s="218"/>
      <c r="AC23" s="218"/>
    </row>
    <row r="24" spans="1:29" ht="15" customHeight="1">
      <c r="A24" s="26" t="s">
        <v>502</v>
      </c>
      <c r="B24" s="26" t="s">
        <v>636</v>
      </c>
      <c r="C24" s="26" t="s">
        <v>707</v>
      </c>
      <c r="D24" s="26" t="s">
        <v>708</v>
      </c>
      <c r="E24" s="26" t="s">
        <v>709</v>
      </c>
      <c r="F24" s="26" t="s">
        <v>710</v>
      </c>
      <c r="G24" s="279" t="s">
        <v>1745</v>
      </c>
      <c r="H24" s="206" t="s">
        <v>33</v>
      </c>
      <c r="I24" s="207">
        <v>60</v>
      </c>
      <c r="J24" s="207">
        <v>0</v>
      </c>
      <c r="K24" s="207">
        <v>12</v>
      </c>
      <c r="L24" s="214" t="s">
        <v>596</v>
      </c>
      <c r="M24" s="214" t="s">
        <v>679</v>
      </c>
      <c r="N24" s="215" t="s">
        <v>711</v>
      </c>
      <c r="O24" s="216" t="s">
        <v>712</v>
      </c>
      <c r="P24" s="216" t="s">
        <v>713</v>
      </c>
      <c r="Q24" s="218">
        <v>1.6E-2</v>
      </c>
      <c r="R24" s="218">
        <v>2.3E-2</v>
      </c>
      <c r="S24" s="218">
        <v>0</v>
      </c>
      <c r="T24" s="26" t="s">
        <v>589</v>
      </c>
      <c r="U24" s="207">
        <v>12</v>
      </c>
      <c r="V24" s="214" t="s">
        <v>618</v>
      </c>
      <c r="W24" s="214" t="s">
        <v>611</v>
      </c>
      <c r="X24" s="215" t="s">
        <v>706</v>
      </c>
      <c r="Y24" s="216" t="s">
        <v>714</v>
      </c>
      <c r="Z24" s="216" t="s">
        <v>715</v>
      </c>
      <c r="AA24" s="218"/>
      <c r="AB24" s="218"/>
      <c r="AC24" s="218"/>
    </row>
    <row r="25" spans="1:29" ht="15" customHeight="1">
      <c r="A25" s="26" t="s">
        <v>458</v>
      </c>
      <c r="B25" s="26" t="s">
        <v>694</v>
      </c>
      <c r="C25" s="26" t="s">
        <v>716</v>
      </c>
      <c r="D25" s="26" t="s">
        <v>717</v>
      </c>
      <c r="E25" s="26" t="s">
        <v>718</v>
      </c>
      <c r="F25" s="26" t="s">
        <v>698</v>
      </c>
      <c r="G25" s="278" t="s">
        <v>1743</v>
      </c>
      <c r="H25" s="206" t="s">
        <v>33</v>
      </c>
      <c r="I25" s="207">
        <v>35</v>
      </c>
      <c r="J25" s="207">
        <v>100</v>
      </c>
      <c r="K25" s="207">
        <v>90</v>
      </c>
      <c r="L25" s="214">
        <v>4</v>
      </c>
      <c r="M25" s="214" t="s">
        <v>653</v>
      </c>
      <c r="N25" s="215" t="s">
        <v>719</v>
      </c>
      <c r="O25" s="216" t="s">
        <v>720</v>
      </c>
      <c r="P25" s="216" t="s">
        <v>631</v>
      </c>
      <c r="Q25" s="218">
        <v>3.5999999999999997E-2</v>
      </c>
      <c r="R25" s="218">
        <v>5.6000000000000001E-2</v>
      </c>
      <c r="S25" s="218">
        <v>0</v>
      </c>
      <c r="T25" s="26" t="s">
        <v>682</v>
      </c>
      <c r="U25" s="207">
        <v>90</v>
      </c>
      <c r="V25" s="214"/>
      <c r="W25" s="214"/>
      <c r="X25" s="215" t="s">
        <v>721</v>
      </c>
      <c r="Y25" s="216" t="s">
        <v>722</v>
      </c>
      <c r="Z25" s="216" t="s">
        <v>723</v>
      </c>
      <c r="AA25" s="218"/>
      <c r="AB25" s="218"/>
      <c r="AC25" s="218"/>
    </row>
    <row r="26" spans="1:29" ht="15.75" customHeight="1">
      <c r="A26" s="26" t="s">
        <v>471</v>
      </c>
      <c r="B26" s="26" t="s">
        <v>590</v>
      </c>
      <c r="C26" s="26" t="s">
        <v>724</v>
      </c>
      <c r="D26" s="26" t="s">
        <v>725</v>
      </c>
      <c r="E26" s="26" t="s">
        <v>726</v>
      </c>
      <c r="F26" s="26" t="s">
        <v>594</v>
      </c>
      <c r="G26" s="278" t="s">
        <v>1743</v>
      </c>
      <c r="H26" s="206" t="s">
        <v>33</v>
      </c>
      <c r="I26" s="207">
        <v>90</v>
      </c>
      <c r="J26" s="207">
        <v>100</v>
      </c>
      <c r="K26" s="207" t="s">
        <v>727</v>
      </c>
      <c r="L26" s="214"/>
      <c r="M26" s="214"/>
      <c r="N26" s="215" t="s">
        <v>690</v>
      </c>
      <c r="O26" s="216" t="s">
        <v>722</v>
      </c>
      <c r="P26" s="216" t="s">
        <v>728</v>
      </c>
      <c r="Q26" s="218"/>
      <c r="R26" s="218"/>
      <c r="S26" s="218"/>
      <c r="T26" s="26"/>
      <c r="U26" s="207"/>
      <c r="V26" s="214"/>
      <c r="W26" s="214"/>
      <c r="X26" s="215"/>
      <c r="Y26" s="217"/>
      <c r="Z26" s="217"/>
      <c r="AA26" s="218"/>
      <c r="AB26" s="218"/>
      <c r="AC26" s="218"/>
    </row>
    <row r="27" spans="1:29" ht="15.75" customHeight="1">
      <c r="A27" s="26" t="s">
        <v>503</v>
      </c>
      <c r="B27" s="26" t="s">
        <v>636</v>
      </c>
      <c r="C27" s="26" t="s">
        <v>729</v>
      </c>
      <c r="D27" s="26" t="s">
        <v>730</v>
      </c>
      <c r="E27" s="26" t="s">
        <v>731</v>
      </c>
      <c r="F27" s="26" t="s">
        <v>645</v>
      </c>
      <c r="G27" s="279" t="s">
        <v>1745</v>
      </c>
      <c r="H27" s="206" t="s">
        <v>33</v>
      </c>
      <c r="I27" s="207">
        <v>50</v>
      </c>
      <c r="J27" s="207">
        <v>100</v>
      </c>
      <c r="K27" s="207">
        <v>45</v>
      </c>
      <c r="L27" s="214" t="s">
        <v>612</v>
      </c>
      <c r="M27" s="214" t="s">
        <v>650</v>
      </c>
      <c r="N27" s="215" t="s">
        <v>732</v>
      </c>
      <c r="O27" s="221">
        <v>6.6000000000000003E-2</v>
      </c>
      <c r="P27" s="221">
        <v>0.316</v>
      </c>
      <c r="Q27" s="218">
        <v>4.7E-2</v>
      </c>
      <c r="R27" s="218">
        <v>2.1000000000000001E-2</v>
      </c>
      <c r="S27" s="218">
        <v>0</v>
      </c>
      <c r="T27" s="26"/>
      <c r="U27" s="207"/>
      <c r="V27" s="214"/>
      <c r="W27" s="214"/>
      <c r="X27" s="215"/>
      <c r="Y27" s="216"/>
      <c r="Z27" s="216"/>
      <c r="AA27" s="218"/>
      <c r="AB27" s="218"/>
      <c r="AC27" s="218"/>
    </row>
    <row r="28" spans="1:29" ht="15.75" customHeight="1">
      <c r="A28" s="26" t="s">
        <v>472</v>
      </c>
      <c r="B28" s="26" t="s">
        <v>590</v>
      </c>
      <c r="C28" s="26" t="s">
        <v>733</v>
      </c>
      <c r="D28" s="26" t="s">
        <v>734</v>
      </c>
      <c r="E28" s="26" t="s">
        <v>735</v>
      </c>
      <c r="F28" s="26" t="s">
        <v>594</v>
      </c>
      <c r="G28" s="278" t="s">
        <v>1743</v>
      </c>
      <c r="H28" s="206" t="s">
        <v>33</v>
      </c>
      <c r="I28" s="207">
        <v>90</v>
      </c>
      <c r="J28" s="207">
        <v>100</v>
      </c>
      <c r="K28" s="208" t="s">
        <v>736</v>
      </c>
      <c r="L28" s="209"/>
      <c r="M28" s="209"/>
      <c r="N28" s="210" t="s">
        <v>737</v>
      </c>
      <c r="O28" s="211" t="s">
        <v>738</v>
      </c>
      <c r="P28" s="211" t="s">
        <v>739</v>
      </c>
      <c r="Q28" s="218"/>
      <c r="R28" s="218"/>
      <c r="S28" s="218"/>
      <c r="T28" s="26"/>
      <c r="U28" s="208"/>
      <c r="V28" s="209"/>
      <c r="W28" s="209"/>
      <c r="X28" s="210"/>
      <c r="Y28" s="213"/>
      <c r="Z28" s="213"/>
      <c r="AA28" s="218"/>
      <c r="AB28" s="218"/>
      <c r="AC28" s="218"/>
    </row>
    <row r="29" spans="1:29" ht="15.75" customHeight="1">
      <c r="A29" s="26" t="s">
        <v>504</v>
      </c>
      <c r="B29" s="26" t="s">
        <v>636</v>
      </c>
      <c r="C29" s="26" t="s">
        <v>740</v>
      </c>
      <c r="D29" s="26" t="s">
        <v>741</v>
      </c>
      <c r="E29" s="26" t="s">
        <v>742</v>
      </c>
      <c r="F29" s="26" t="s">
        <v>743</v>
      </c>
      <c r="G29" s="279" t="s">
        <v>1745</v>
      </c>
      <c r="H29" s="206" t="s">
        <v>33</v>
      </c>
      <c r="I29" s="207">
        <v>60</v>
      </c>
      <c r="J29" s="207">
        <v>100</v>
      </c>
      <c r="K29" s="207">
        <v>13</v>
      </c>
      <c r="L29" s="214" t="s">
        <v>744</v>
      </c>
      <c r="M29" s="214" t="s">
        <v>745</v>
      </c>
      <c r="N29" s="215">
        <v>5</v>
      </c>
      <c r="O29" s="216" t="s">
        <v>641</v>
      </c>
      <c r="P29" s="216" t="s">
        <v>746</v>
      </c>
      <c r="Q29" s="218">
        <v>4.2000000000000003E-2</v>
      </c>
      <c r="R29" s="218">
        <v>2.3E-2</v>
      </c>
      <c r="S29" s="218">
        <v>0</v>
      </c>
      <c r="T29" s="26"/>
      <c r="U29" s="207"/>
      <c r="V29" s="214"/>
      <c r="W29" s="214"/>
      <c r="X29" s="215"/>
      <c r="Y29" s="216"/>
      <c r="Z29" s="216"/>
      <c r="AA29" s="218"/>
      <c r="AB29" s="218"/>
      <c r="AC29" s="218"/>
    </row>
    <row r="30" spans="1:29" ht="15.75" customHeight="1">
      <c r="A30" s="26" t="s">
        <v>426</v>
      </c>
      <c r="B30" s="26" t="s">
        <v>673</v>
      </c>
      <c r="C30" s="26" t="s">
        <v>747</v>
      </c>
      <c r="D30" s="26" t="s">
        <v>748</v>
      </c>
      <c r="E30" s="26" t="s">
        <v>749</v>
      </c>
      <c r="F30" s="26" t="s">
        <v>698</v>
      </c>
      <c r="G30" s="279" t="s">
        <v>1745</v>
      </c>
      <c r="H30" s="206" t="s">
        <v>33</v>
      </c>
      <c r="I30" s="207">
        <v>35</v>
      </c>
      <c r="J30" s="207">
        <v>10</v>
      </c>
      <c r="K30" s="207" t="s">
        <v>750</v>
      </c>
      <c r="L30" s="214"/>
      <c r="M30" s="214"/>
      <c r="N30" s="215" t="s">
        <v>751</v>
      </c>
      <c r="O30" s="216" t="s">
        <v>626</v>
      </c>
      <c r="P30" s="216" t="s">
        <v>752</v>
      </c>
      <c r="Q30" s="220">
        <v>1.7000000000000001E-2</v>
      </c>
      <c r="R30" s="220">
        <v>0.221</v>
      </c>
      <c r="S30" s="218">
        <v>0</v>
      </c>
      <c r="T30" s="26"/>
      <c r="U30" s="207"/>
      <c r="V30" s="214"/>
      <c r="W30" s="214"/>
      <c r="X30" s="215"/>
      <c r="Y30" s="216"/>
      <c r="Z30" s="216"/>
      <c r="AA30" s="218"/>
      <c r="AB30" s="218"/>
      <c r="AC30" s="218"/>
    </row>
    <row r="31" spans="1:29" ht="15.75" customHeight="1">
      <c r="A31" s="26" t="s">
        <v>505</v>
      </c>
      <c r="B31" s="26" t="s">
        <v>636</v>
      </c>
      <c r="C31" s="26" t="s">
        <v>753</v>
      </c>
      <c r="D31" s="26" t="s">
        <v>754</v>
      </c>
      <c r="E31" s="26" t="s">
        <v>755</v>
      </c>
      <c r="F31" s="26" t="s">
        <v>756</v>
      </c>
      <c r="G31" s="279" t="s">
        <v>1745</v>
      </c>
      <c r="H31" s="206" t="s">
        <v>33</v>
      </c>
      <c r="I31" s="207">
        <v>80</v>
      </c>
      <c r="J31" s="207">
        <v>100</v>
      </c>
      <c r="K31" s="207">
        <v>9</v>
      </c>
      <c r="L31" s="214">
        <v>3</v>
      </c>
      <c r="M31" s="214" t="s">
        <v>699</v>
      </c>
      <c r="N31" s="215" t="s">
        <v>612</v>
      </c>
      <c r="O31" s="216" t="s">
        <v>626</v>
      </c>
      <c r="P31" s="216" t="s">
        <v>757</v>
      </c>
      <c r="Q31" s="218">
        <v>0.04</v>
      </c>
      <c r="R31" s="218">
        <v>1.2E-2</v>
      </c>
      <c r="S31" s="218">
        <v>0</v>
      </c>
      <c r="T31" s="26" t="s">
        <v>589</v>
      </c>
      <c r="U31" s="207">
        <v>14</v>
      </c>
      <c r="V31" s="214" t="s">
        <v>598</v>
      </c>
      <c r="W31" s="214" t="s">
        <v>610</v>
      </c>
      <c r="X31" s="215" t="s">
        <v>701</v>
      </c>
      <c r="Y31" s="216"/>
      <c r="Z31" s="216"/>
      <c r="AA31" s="218"/>
      <c r="AB31" s="218"/>
      <c r="AC31" s="218"/>
    </row>
    <row r="32" spans="1:29" ht="15.75" customHeight="1">
      <c r="A32" s="26" t="s">
        <v>473</v>
      </c>
      <c r="B32" s="26" t="s">
        <v>590</v>
      </c>
      <c r="C32" s="26" t="s">
        <v>758</v>
      </c>
      <c r="D32" s="26" t="s">
        <v>759</v>
      </c>
      <c r="E32" s="26" t="s">
        <v>760</v>
      </c>
      <c r="F32" s="26" t="s">
        <v>594</v>
      </c>
      <c r="G32" s="278" t="s">
        <v>1743</v>
      </c>
      <c r="H32" s="206" t="s">
        <v>33</v>
      </c>
      <c r="I32" s="207">
        <v>90</v>
      </c>
      <c r="J32" s="207">
        <v>100</v>
      </c>
      <c r="K32" s="207">
        <v>89</v>
      </c>
      <c r="L32" s="214"/>
      <c r="M32" s="214"/>
      <c r="N32" s="215" t="s">
        <v>632</v>
      </c>
      <c r="O32" s="216" t="s">
        <v>722</v>
      </c>
      <c r="P32" s="216" t="s">
        <v>761</v>
      </c>
      <c r="Q32" s="218"/>
      <c r="R32" s="218"/>
      <c r="S32" s="218"/>
      <c r="T32" s="26"/>
      <c r="U32" s="207"/>
      <c r="V32" s="214"/>
      <c r="W32" s="214"/>
      <c r="X32" s="215"/>
      <c r="Y32" s="217"/>
      <c r="Z32" s="217"/>
      <c r="AA32" s="218"/>
      <c r="AB32" s="218"/>
      <c r="AC32" s="218"/>
    </row>
    <row r="33" spans="1:29" ht="15.75" customHeight="1">
      <c r="A33" s="26" t="s">
        <v>506</v>
      </c>
      <c r="B33" s="26" t="s">
        <v>636</v>
      </c>
      <c r="C33" s="26" t="s">
        <v>762</v>
      </c>
      <c r="D33" s="26" t="s">
        <v>763</v>
      </c>
      <c r="E33" s="26" t="s">
        <v>764</v>
      </c>
      <c r="F33" s="26" t="s">
        <v>710</v>
      </c>
      <c r="G33" s="279" t="s">
        <v>1745</v>
      </c>
      <c r="H33" s="206" t="s">
        <v>33</v>
      </c>
      <c r="I33" s="207">
        <v>80</v>
      </c>
      <c r="J33" s="207">
        <v>100</v>
      </c>
      <c r="K33" s="207">
        <v>12</v>
      </c>
      <c r="L33" s="214" t="s">
        <v>702</v>
      </c>
      <c r="M33" s="214" t="s">
        <v>690</v>
      </c>
      <c r="N33" s="215" t="s">
        <v>631</v>
      </c>
      <c r="O33" s="216" t="s">
        <v>765</v>
      </c>
      <c r="P33" s="216" t="s">
        <v>766</v>
      </c>
      <c r="Q33" s="218">
        <v>3.3000000000000002E-2</v>
      </c>
      <c r="R33" s="218">
        <v>1.2E-2</v>
      </c>
      <c r="S33" s="218">
        <v>0</v>
      </c>
      <c r="T33" s="26" t="s">
        <v>767</v>
      </c>
      <c r="U33" s="207">
        <v>16</v>
      </c>
      <c r="V33" s="214" t="s">
        <v>680</v>
      </c>
      <c r="W33" s="214" t="s">
        <v>640</v>
      </c>
      <c r="X33" s="215" t="s">
        <v>768</v>
      </c>
      <c r="Y33" s="216" t="s">
        <v>769</v>
      </c>
      <c r="Z33" s="216" t="s">
        <v>770</v>
      </c>
      <c r="AA33" s="218"/>
      <c r="AB33" s="218"/>
      <c r="AC33" s="218"/>
    </row>
    <row r="34" spans="1:29" ht="15.75" customHeight="1">
      <c r="A34" s="26" t="s">
        <v>559</v>
      </c>
      <c r="B34" s="26" t="s">
        <v>771</v>
      </c>
      <c r="C34" s="26" t="s">
        <v>772</v>
      </c>
      <c r="D34" s="219" t="s">
        <v>773</v>
      </c>
      <c r="E34" s="26" t="s">
        <v>774</v>
      </c>
      <c r="F34" s="26" t="s">
        <v>710</v>
      </c>
      <c r="G34" s="279" t="s">
        <v>1745</v>
      </c>
      <c r="H34" s="206"/>
      <c r="I34" s="207">
        <v>65</v>
      </c>
      <c r="J34" s="207">
        <v>100</v>
      </c>
      <c r="K34" s="207" t="s">
        <v>775</v>
      </c>
      <c r="L34" s="214"/>
      <c r="M34" s="214"/>
      <c r="N34" s="215" t="s">
        <v>691</v>
      </c>
      <c r="O34" s="216" t="s">
        <v>776</v>
      </c>
      <c r="P34" s="216" t="s">
        <v>777</v>
      </c>
      <c r="Q34" s="218">
        <v>1.6E-2</v>
      </c>
      <c r="R34" s="218">
        <v>2.1000000000000001E-2</v>
      </c>
      <c r="S34" s="218">
        <v>0</v>
      </c>
      <c r="T34" s="26"/>
      <c r="U34" s="207"/>
      <c r="V34" s="214"/>
      <c r="W34" s="214"/>
      <c r="X34" s="215"/>
      <c r="Y34" s="217"/>
      <c r="Z34" s="217"/>
      <c r="AA34" s="218"/>
      <c r="AB34" s="218"/>
      <c r="AC34" s="218"/>
    </row>
    <row r="35" spans="1:29" ht="15.75" customHeight="1">
      <c r="A35" s="26" t="s">
        <v>444</v>
      </c>
      <c r="B35" s="26" t="s">
        <v>778</v>
      </c>
      <c r="C35" s="26" t="s">
        <v>779</v>
      </c>
      <c r="D35" s="26" t="s">
        <v>780</v>
      </c>
      <c r="E35" s="26" t="s">
        <v>781</v>
      </c>
      <c r="F35" s="26" t="s">
        <v>698</v>
      </c>
      <c r="G35" s="279" t="s">
        <v>1745</v>
      </c>
      <c r="H35" s="206" t="s">
        <v>33</v>
      </c>
      <c r="I35" s="207">
        <v>35</v>
      </c>
      <c r="J35" s="207">
        <v>100</v>
      </c>
      <c r="K35" s="207">
        <v>95</v>
      </c>
      <c r="L35" s="214"/>
      <c r="M35" s="214"/>
      <c r="N35" s="215" t="s">
        <v>701</v>
      </c>
      <c r="O35" s="216"/>
      <c r="P35" s="216"/>
      <c r="Q35" s="218"/>
      <c r="R35" s="218"/>
      <c r="S35" s="218"/>
      <c r="T35" s="26"/>
      <c r="U35" s="207"/>
      <c r="V35" s="214"/>
      <c r="W35" s="214"/>
      <c r="X35" s="215"/>
      <c r="Y35" s="216"/>
      <c r="Z35" s="216"/>
      <c r="AA35" s="218"/>
      <c r="AB35" s="218"/>
      <c r="AC35" s="218"/>
    </row>
    <row r="36" spans="1:29" ht="15.75" customHeight="1">
      <c r="A36" s="26" t="s">
        <v>507</v>
      </c>
      <c r="B36" s="26" t="s">
        <v>636</v>
      </c>
      <c r="C36" s="26" t="s">
        <v>782</v>
      </c>
      <c r="D36" s="26" t="s">
        <v>783</v>
      </c>
      <c r="E36" s="26" t="s">
        <v>784</v>
      </c>
      <c r="F36" s="26" t="s">
        <v>743</v>
      </c>
      <c r="G36" s="279" t="s">
        <v>1745</v>
      </c>
      <c r="H36" s="206" t="s">
        <v>33</v>
      </c>
      <c r="I36" s="207">
        <v>80</v>
      </c>
      <c r="J36" s="207">
        <v>100</v>
      </c>
      <c r="K36" s="207">
        <v>9</v>
      </c>
      <c r="L36" s="214" t="s">
        <v>655</v>
      </c>
      <c r="M36" s="214" t="s">
        <v>700</v>
      </c>
      <c r="N36" s="215" t="s">
        <v>654</v>
      </c>
      <c r="O36" s="216" t="s">
        <v>785</v>
      </c>
      <c r="P36" s="216" t="s">
        <v>786</v>
      </c>
      <c r="Q36" s="218">
        <v>2.1999999999999999E-2</v>
      </c>
      <c r="R36" s="218">
        <v>1.4999999999999999E-2</v>
      </c>
      <c r="S36" s="218">
        <v>0</v>
      </c>
      <c r="T36" s="26"/>
      <c r="U36" s="207"/>
      <c r="V36" s="214"/>
      <c r="W36" s="214"/>
      <c r="X36" s="215"/>
      <c r="Y36" s="216"/>
      <c r="Z36" s="216"/>
      <c r="AA36" s="218"/>
      <c r="AB36" s="218"/>
      <c r="AC36" s="218"/>
    </row>
    <row r="37" spans="1:29" ht="15.75" customHeight="1">
      <c r="A37" s="26" t="s">
        <v>508</v>
      </c>
      <c r="B37" s="26" t="s">
        <v>636</v>
      </c>
      <c r="C37" s="26" t="s">
        <v>787</v>
      </c>
      <c r="D37" s="26" t="s">
        <v>788</v>
      </c>
      <c r="E37" s="26" t="s">
        <v>789</v>
      </c>
      <c r="F37" s="26" t="s">
        <v>767</v>
      </c>
      <c r="G37" s="279" t="s">
        <v>1745</v>
      </c>
      <c r="H37" s="206" t="s">
        <v>33</v>
      </c>
      <c r="I37" s="207">
        <v>90</v>
      </c>
      <c r="J37" s="207">
        <v>100</v>
      </c>
      <c r="K37" s="207">
        <v>5</v>
      </c>
      <c r="L37" s="214" t="s">
        <v>680</v>
      </c>
      <c r="M37" s="214" t="s">
        <v>607</v>
      </c>
      <c r="N37" s="215" t="s">
        <v>640</v>
      </c>
      <c r="O37" s="216" t="s">
        <v>785</v>
      </c>
      <c r="P37" s="216" t="s">
        <v>790</v>
      </c>
      <c r="Q37" s="218">
        <v>0.04</v>
      </c>
      <c r="R37" s="218">
        <v>1.0999999999999999E-2</v>
      </c>
      <c r="S37" s="218">
        <v>0</v>
      </c>
      <c r="T37" s="26"/>
      <c r="U37" s="207"/>
      <c r="V37" s="214"/>
      <c r="W37" s="214"/>
      <c r="X37" s="215"/>
      <c r="Y37" s="216" t="s">
        <v>785</v>
      </c>
      <c r="Z37" s="216" t="s">
        <v>790</v>
      </c>
      <c r="AA37" s="218"/>
      <c r="AB37" s="218"/>
      <c r="AC37" s="218"/>
    </row>
    <row r="38" spans="1:29" ht="15.75" customHeight="1">
      <c r="A38" s="26" t="s">
        <v>538</v>
      </c>
      <c r="B38" s="26" t="s">
        <v>613</v>
      </c>
      <c r="C38" s="26" t="s">
        <v>791</v>
      </c>
      <c r="D38" s="219" t="s">
        <v>792</v>
      </c>
      <c r="E38" s="26" t="s">
        <v>793</v>
      </c>
      <c r="F38" s="26" t="s">
        <v>617</v>
      </c>
      <c r="G38" s="283" t="s">
        <v>1745</v>
      </c>
      <c r="H38" s="206" t="s">
        <v>595</v>
      </c>
      <c r="I38" s="207">
        <v>60</v>
      </c>
      <c r="J38" s="207">
        <v>100</v>
      </c>
      <c r="K38" s="207">
        <v>26</v>
      </c>
      <c r="L38" s="214" t="s">
        <v>669</v>
      </c>
      <c r="M38" s="214" t="s">
        <v>794</v>
      </c>
      <c r="N38" s="215" t="s">
        <v>795</v>
      </c>
      <c r="O38" s="216" t="s">
        <v>663</v>
      </c>
      <c r="P38" s="216" t="s">
        <v>796</v>
      </c>
      <c r="Q38" s="218">
        <v>0.01</v>
      </c>
      <c r="R38" s="218">
        <v>1.7000000000000001E-2</v>
      </c>
      <c r="S38" s="218">
        <v>0</v>
      </c>
      <c r="T38" s="26"/>
      <c r="U38" s="207"/>
      <c r="V38" s="214"/>
      <c r="W38" s="214"/>
      <c r="X38" s="215"/>
      <c r="Y38" s="217"/>
      <c r="Z38" s="217"/>
      <c r="AA38" s="218"/>
      <c r="AB38" s="218"/>
      <c r="AC38" s="218"/>
    </row>
    <row r="39" spans="1:29" ht="15.75" customHeight="1">
      <c r="A39" s="26" t="s">
        <v>539</v>
      </c>
      <c r="B39" s="26" t="s">
        <v>613</v>
      </c>
      <c r="C39" s="26" t="s">
        <v>797</v>
      </c>
      <c r="D39" s="219" t="s">
        <v>798</v>
      </c>
      <c r="E39" s="26" t="s">
        <v>799</v>
      </c>
      <c r="F39" s="26" t="s">
        <v>617</v>
      </c>
      <c r="G39" s="279" t="s">
        <v>1745</v>
      </c>
      <c r="H39" s="206" t="s">
        <v>595</v>
      </c>
      <c r="I39" s="207">
        <v>60</v>
      </c>
      <c r="J39" s="207">
        <v>100</v>
      </c>
      <c r="K39" s="207">
        <v>19</v>
      </c>
      <c r="L39" s="214">
        <v>1</v>
      </c>
      <c r="M39" s="214" t="s">
        <v>662</v>
      </c>
      <c r="N39" s="215" t="s">
        <v>800</v>
      </c>
      <c r="O39" s="216" t="s">
        <v>801</v>
      </c>
      <c r="P39" s="216" t="s">
        <v>802</v>
      </c>
      <c r="Q39" s="218">
        <v>3.7999999999999999E-2</v>
      </c>
      <c r="R39" s="218">
        <v>2.1999999999999999E-2</v>
      </c>
      <c r="S39" s="218">
        <v>0</v>
      </c>
      <c r="T39" s="26"/>
      <c r="U39" s="207"/>
      <c r="V39" s="214"/>
      <c r="W39" s="214"/>
      <c r="X39" s="215"/>
      <c r="Y39" s="217"/>
      <c r="Z39" s="217"/>
      <c r="AA39" s="218"/>
      <c r="AB39" s="218"/>
      <c r="AC39" s="218"/>
    </row>
    <row r="40" spans="1:29" ht="15.75" customHeight="1">
      <c r="A40" s="26" t="s">
        <v>459</v>
      </c>
      <c r="B40" s="26" t="s">
        <v>694</v>
      </c>
      <c r="C40" s="26" t="s">
        <v>803</v>
      </c>
      <c r="D40" s="26" t="s">
        <v>804</v>
      </c>
      <c r="E40" s="26" t="s">
        <v>805</v>
      </c>
      <c r="F40" s="26" t="s">
        <v>806</v>
      </c>
      <c r="G40" s="278" t="s">
        <v>1743</v>
      </c>
      <c r="H40" s="206" t="s">
        <v>33</v>
      </c>
      <c r="I40" s="207">
        <v>35</v>
      </c>
      <c r="J40" s="207">
        <v>100</v>
      </c>
      <c r="K40" s="207" t="s">
        <v>807</v>
      </c>
      <c r="L40" s="214"/>
      <c r="M40" s="214"/>
      <c r="N40" s="215" t="s">
        <v>699</v>
      </c>
      <c r="O40" s="216" t="s">
        <v>808</v>
      </c>
      <c r="P40" s="216" t="s">
        <v>662</v>
      </c>
      <c r="Q40" s="218">
        <v>5.7000000000000002E-2</v>
      </c>
      <c r="R40" s="218">
        <v>7.9000000000000001E-2</v>
      </c>
      <c r="S40" s="218">
        <v>0</v>
      </c>
      <c r="T40" s="26" t="s">
        <v>682</v>
      </c>
      <c r="U40" s="207" t="s">
        <v>807</v>
      </c>
      <c r="V40" s="214"/>
      <c r="W40" s="214"/>
      <c r="X40" s="215" t="s">
        <v>809</v>
      </c>
      <c r="Y40" s="216" t="s">
        <v>738</v>
      </c>
      <c r="Z40" s="216" t="s">
        <v>680</v>
      </c>
      <c r="AA40" s="218"/>
      <c r="AB40" s="218"/>
      <c r="AC40" s="218"/>
    </row>
    <row r="41" spans="1:29" ht="15.75" customHeight="1">
      <c r="A41" s="26" t="s">
        <v>460</v>
      </c>
      <c r="B41" s="26" t="s">
        <v>694</v>
      </c>
      <c r="C41" s="26" t="s">
        <v>810</v>
      </c>
      <c r="D41" s="26" t="s">
        <v>804</v>
      </c>
      <c r="E41" s="26" t="s">
        <v>811</v>
      </c>
      <c r="F41" s="26" t="s">
        <v>806</v>
      </c>
      <c r="G41" s="278" t="s">
        <v>1743</v>
      </c>
      <c r="H41" s="206" t="s">
        <v>33</v>
      </c>
      <c r="I41" s="207">
        <v>35</v>
      </c>
      <c r="J41" s="207">
        <v>100</v>
      </c>
      <c r="K41" s="208" t="s">
        <v>807</v>
      </c>
      <c r="L41" s="209"/>
      <c r="M41" s="209"/>
      <c r="N41" s="210" t="s">
        <v>618</v>
      </c>
      <c r="O41" s="211" t="s">
        <v>808</v>
      </c>
      <c r="P41" s="211" t="s">
        <v>662</v>
      </c>
      <c r="Q41" s="218">
        <v>5.7000000000000002E-2</v>
      </c>
      <c r="R41" s="218">
        <v>7.9000000000000001E-2</v>
      </c>
      <c r="S41" s="218">
        <v>0</v>
      </c>
      <c r="T41" s="26" t="s">
        <v>682</v>
      </c>
      <c r="U41" s="208" t="s">
        <v>807</v>
      </c>
      <c r="V41" s="209"/>
      <c r="W41" s="209"/>
      <c r="X41" s="210" t="s">
        <v>809</v>
      </c>
      <c r="Y41" s="211" t="s">
        <v>738</v>
      </c>
      <c r="Z41" s="211" t="s">
        <v>680</v>
      </c>
      <c r="AA41" s="218"/>
      <c r="AB41" s="218"/>
      <c r="AC41" s="218"/>
    </row>
    <row r="42" spans="1:29" ht="15.75" customHeight="1">
      <c r="A42" s="26" t="s">
        <v>509</v>
      </c>
      <c r="B42" s="26" t="s">
        <v>636</v>
      </c>
      <c r="C42" s="26" t="s">
        <v>812</v>
      </c>
      <c r="D42" s="26" t="s">
        <v>813</v>
      </c>
      <c r="E42" s="26" t="s">
        <v>814</v>
      </c>
      <c r="F42" s="26" t="s">
        <v>767</v>
      </c>
      <c r="G42" s="280" t="s">
        <v>1745</v>
      </c>
      <c r="H42" s="206" t="s">
        <v>33</v>
      </c>
      <c r="I42" s="207">
        <v>80</v>
      </c>
      <c r="J42" s="207">
        <v>100</v>
      </c>
      <c r="K42" s="207">
        <v>6</v>
      </c>
      <c r="L42" s="214" t="s">
        <v>597</v>
      </c>
      <c r="M42" s="214" t="s">
        <v>612</v>
      </c>
      <c r="N42" s="215" t="s">
        <v>815</v>
      </c>
      <c r="O42" s="216" t="s">
        <v>816</v>
      </c>
      <c r="P42" s="216">
        <v>4</v>
      </c>
      <c r="Q42" s="218">
        <v>1.9E-2</v>
      </c>
      <c r="R42" s="218">
        <v>0.01</v>
      </c>
      <c r="S42" s="218">
        <v>0</v>
      </c>
      <c r="T42" s="26"/>
      <c r="U42" s="207"/>
      <c r="V42" s="214"/>
      <c r="W42" s="214"/>
      <c r="X42" s="215"/>
      <c r="Y42" s="217"/>
      <c r="Z42" s="217"/>
      <c r="AA42" s="218"/>
      <c r="AB42" s="218"/>
      <c r="AC42" s="218"/>
    </row>
    <row r="43" spans="1:29" ht="15.75" customHeight="1">
      <c r="A43" s="26" t="s">
        <v>560</v>
      </c>
      <c r="B43" s="26" t="s">
        <v>771</v>
      </c>
      <c r="C43" s="26" t="s">
        <v>817</v>
      </c>
      <c r="D43" s="219" t="s">
        <v>818</v>
      </c>
      <c r="E43" s="26" t="s">
        <v>819</v>
      </c>
      <c r="F43" s="26" t="s">
        <v>820</v>
      </c>
      <c r="G43" s="280" t="s">
        <v>1745</v>
      </c>
      <c r="H43" s="206"/>
      <c r="I43" s="207">
        <v>70</v>
      </c>
      <c r="J43" s="207">
        <v>100</v>
      </c>
      <c r="K43" s="207" t="s">
        <v>821</v>
      </c>
      <c r="L43" s="214"/>
      <c r="M43" s="214"/>
      <c r="N43" s="215" t="s">
        <v>822</v>
      </c>
      <c r="O43" s="216" t="s">
        <v>663</v>
      </c>
      <c r="P43" s="216" t="s">
        <v>663</v>
      </c>
      <c r="Q43" s="218">
        <v>1.2E-2</v>
      </c>
      <c r="R43" s="218">
        <v>1.2E-2</v>
      </c>
      <c r="S43" s="218">
        <v>0</v>
      </c>
      <c r="T43" s="26"/>
      <c r="U43" s="207"/>
      <c r="V43" s="214"/>
      <c r="W43" s="214"/>
      <c r="X43" s="215"/>
      <c r="Y43" s="217"/>
      <c r="Z43" s="217"/>
      <c r="AA43" s="218"/>
      <c r="AB43" s="218"/>
      <c r="AC43" s="218"/>
    </row>
    <row r="44" spans="1:29" ht="15.75" customHeight="1">
      <c r="A44" s="26" t="s">
        <v>23</v>
      </c>
      <c r="B44" s="26" t="s">
        <v>590</v>
      </c>
      <c r="C44" s="26" t="s">
        <v>823</v>
      </c>
      <c r="D44" s="26" t="s">
        <v>824</v>
      </c>
      <c r="E44" s="26" t="s">
        <v>825</v>
      </c>
      <c r="F44" s="26" t="s">
        <v>594</v>
      </c>
      <c r="G44" s="278" t="s">
        <v>1743</v>
      </c>
      <c r="H44" s="206" t="s">
        <v>826</v>
      </c>
      <c r="I44" s="207">
        <v>90</v>
      </c>
      <c r="J44" s="207">
        <v>100</v>
      </c>
      <c r="K44" s="207" t="s">
        <v>827</v>
      </c>
      <c r="L44" s="214"/>
      <c r="M44" s="214"/>
      <c r="N44" s="215" t="s">
        <v>828</v>
      </c>
      <c r="O44" s="216" t="s">
        <v>624</v>
      </c>
      <c r="P44" s="216" t="s">
        <v>829</v>
      </c>
      <c r="Q44" s="218"/>
      <c r="R44" s="218"/>
      <c r="S44" s="218"/>
      <c r="T44" s="26"/>
      <c r="U44" s="207"/>
      <c r="V44" s="214"/>
      <c r="W44" s="214"/>
      <c r="X44" s="215"/>
      <c r="Y44" s="217"/>
      <c r="Z44" s="217"/>
      <c r="AA44" s="218"/>
      <c r="AB44" s="218"/>
      <c r="AC44" s="218"/>
    </row>
    <row r="45" spans="1:29" ht="15.75" customHeight="1">
      <c r="A45" s="26" t="s">
        <v>474</v>
      </c>
      <c r="B45" s="26" t="s">
        <v>590</v>
      </c>
      <c r="C45" s="26" t="s">
        <v>830</v>
      </c>
      <c r="D45" s="26" t="s">
        <v>831</v>
      </c>
      <c r="E45" s="26" t="s">
        <v>832</v>
      </c>
      <c r="F45" s="26" t="s">
        <v>594</v>
      </c>
      <c r="G45" s="278" t="s">
        <v>1743</v>
      </c>
      <c r="H45" s="206" t="s">
        <v>826</v>
      </c>
      <c r="I45" s="207">
        <v>90</v>
      </c>
      <c r="J45" s="207">
        <v>100</v>
      </c>
      <c r="K45" s="207" t="s">
        <v>833</v>
      </c>
      <c r="L45" s="214"/>
      <c r="M45" s="214"/>
      <c r="N45" s="215" t="s">
        <v>834</v>
      </c>
      <c r="O45" s="216" t="s">
        <v>835</v>
      </c>
      <c r="P45" s="216" t="s">
        <v>836</v>
      </c>
      <c r="Q45" s="218"/>
      <c r="R45" s="218"/>
      <c r="S45" s="218"/>
      <c r="T45" s="26"/>
      <c r="U45" s="207"/>
      <c r="V45" s="214"/>
      <c r="W45" s="214"/>
      <c r="X45" s="215"/>
      <c r="Y45" s="217"/>
      <c r="Z45" s="217"/>
      <c r="AA45" s="218"/>
      <c r="AB45" s="218"/>
      <c r="AC45" s="218"/>
    </row>
    <row r="46" spans="1:29" ht="15.75" customHeight="1">
      <c r="A46" s="26" t="s">
        <v>475</v>
      </c>
      <c r="B46" s="26" t="s">
        <v>590</v>
      </c>
      <c r="C46" s="26" t="s">
        <v>837</v>
      </c>
      <c r="D46" s="26" t="s">
        <v>838</v>
      </c>
      <c r="E46" s="26" t="s">
        <v>839</v>
      </c>
      <c r="F46" s="26" t="s">
        <v>594</v>
      </c>
      <c r="G46" s="278" t="s">
        <v>1743</v>
      </c>
      <c r="H46" s="206" t="s">
        <v>826</v>
      </c>
      <c r="I46" s="207">
        <v>90</v>
      </c>
      <c r="J46" s="207">
        <v>100</v>
      </c>
      <c r="K46" s="207" t="s">
        <v>840</v>
      </c>
      <c r="L46" s="214"/>
      <c r="M46" s="214"/>
      <c r="N46" s="215" t="s">
        <v>841</v>
      </c>
      <c r="O46" s="216" t="s">
        <v>604</v>
      </c>
      <c r="P46" s="216" t="s">
        <v>842</v>
      </c>
      <c r="Q46" s="218"/>
      <c r="R46" s="218"/>
      <c r="S46" s="218"/>
      <c r="T46" s="26"/>
      <c r="U46" s="207"/>
      <c r="V46" s="214"/>
      <c r="W46" s="214"/>
      <c r="X46" s="215"/>
      <c r="Y46" s="217"/>
      <c r="Z46" s="217"/>
      <c r="AA46" s="218"/>
      <c r="AB46" s="218"/>
      <c r="AC46" s="218"/>
    </row>
    <row r="47" spans="1:29" ht="15.75" customHeight="1">
      <c r="A47" s="26" t="s">
        <v>476</v>
      </c>
      <c r="B47" s="26" t="s">
        <v>590</v>
      </c>
      <c r="C47" s="26" t="s">
        <v>843</v>
      </c>
      <c r="D47" s="26" t="s">
        <v>844</v>
      </c>
      <c r="E47" s="26" t="s">
        <v>845</v>
      </c>
      <c r="F47" s="26" t="s">
        <v>594</v>
      </c>
      <c r="G47" s="278" t="s">
        <v>1743</v>
      </c>
      <c r="H47" s="206" t="s">
        <v>826</v>
      </c>
      <c r="I47" s="207">
        <v>90</v>
      </c>
      <c r="J47" s="207">
        <v>100</v>
      </c>
      <c r="K47" s="207" t="s">
        <v>846</v>
      </c>
      <c r="L47" s="214"/>
      <c r="M47" s="214"/>
      <c r="N47" s="215" t="s">
        <v>847</v>
      </c>
      <c r="O47" s="216" t="s">
        <v>626</v>
      </c>
      <c r="P47" s="216" t="s">
        <v>680</v>
      </c>
      <c r="Q47" s="218"/>
      <c r="R47" s="218"/>
      <c r="S47" s="218"/>
      <c r="T47" s="26"/>
      <c r="U47" s="207"/>
      <c r="V47" s="214"/>
      <c r="W47" s="214"/>
      <c r="X47" s="215"/>
      <c r="Y47" s="217"/>
      <c r="Z47" s="217"/>
      <c r="AA47" s="218"/>
      <c r="AB47" s="218"/>
      <c r="AC47" s="218"/>
    </row>
    <row r="48" spans="1:29" ht="15.75" customHeight="1">
      <c r="A48" s="26" t="s">
        <v>477</v>
      </c>
      <c r="B48" s="26" t="s">
        <v>590</v>
      </c>
      <c r="C48" s="26" t="s">
        <v>848</v>
      </c>
      <c r="D48" s="26" t="s">
        <v>844</v>
      </c>
      <c r="E48" s="26" t="s">
        <v>849</v>
      </c>
      <c r="F48" s="26" t="s">
        <v>594</v>
      </c>
      <c r="G48" s="278" t="s">
        <v>1743</v>
      </c>
      <c r="H48" s="206" t="s">
        <v>826</v>
      </c>
      <c r="I48" s="207">
        <v>90</v>
      </c>
      <c r="J48" s="207">
        <v>100</v>
      </c>
      <c r="K48" s="207" t="s">
        <v>850</v>
      </c>
      <c r="L48" s="214"/>
      <c r="M48" s="214"/>
      <c r="N48" s="215" t="s">
        <v>851</v>
      </c>
      <c r="O48" s="216" t="s">
        <v>712</v>
      </c>
      <c r="P48" s="216" t="s">
        <v>766</v>
      </c>
      <c r="Q48" s="218"/>
      <c r="R48" s="218"/>
      <c r="S48" s="218"/>
      <c r="T48" s="26"/>
      <c r="U48" s="207"/>
      <c r="V48" s="214"/>
      <c r="W48" s="214"/>
      <c r="X48" s="215"/>
      <c r="Y48" s="217"/>
      <c r="Z48" s="217"/>
      <c r="AA48" s="218"/>
      <c r="AB48" s="218"/>
      <c r="AC48" s="218"/>
    </row>
    <row r="49" spans="1:29" ht="15.75" customHeight="1">
      <c r="A49" s="26" t="s">
        <v>427</v>
      </c>
      <c r="B49" s="26" t="s">
        <v>673</v>
      </c>
      <c r="C49" s="26" t="s">
        <v>852</v>
      </c>
      <c r="D49" s="26" t="s">
        <v>853</v>
      </c>
      <c r="E49" s="26" t="s">
        <v>854</v>
      </c>
      <c r="F49" s="26" t="s">
        <v>677</v>
      </c>
      <c r="G49" s="280" t="s">
        <v>1745</v>
      </c>
      <c r="H49" s="206" t="s">
        <v>33</v>
      </c>
      <c r="I49" s="207">
        <v>45</v>
      </c>
      <c r="J49" s="207">
        <v>100</v>
      </c>
      <c r="K49" s="207">
        <v>86</v>
      </c>
      <c r="L49" s="214" t="s">
        <v>855</v>
      </c>
      <c r="M49" s="214" t="s">
        <v>856</v>
      </c>
      <c r="N49" s="215" t="s">
        <v>690</v>
      </c>
      <c r="O49" s="216" t="s">
        <v>712</v>
      </c>
      <c r="P49" s="216" t="s">
        <v>857</v>
      </c>
      <c r="Q49" s="218">
        <v>7.0000000000000001E-3</v>
      </c>
      <c r="R49" s="218">
        <v>0.127</v>
      </c>
      <c r="S49" s="218">
        <v>0</v>
      </c>
      <c r="T49" s="26" t="s">
        <v>858</v>
      </c>
      <c r="U49" s="207">
        <v>87</v>
      </c>
      <c r="V49" s="214" t="s">
        <v>794</v>
      </c>
      <c r="W49" s="214" t="s">
        <v>660</v>
      </c>
      <c r="X49" s="215" t="s">
        <v>859</v>
      </c>
      <c r="Y49" s="216" t="s">
        <v>693</v>
      </c>
      <c r="Z49" s="216" t="s">
        <v>631</v>
      </c>
      <c r="AA49" s="218"/>
      <c r="AB49" s="218"/>
      <c r="AC49" s="218"/>
    </row>
    <row r="50" spans="1:29" ht="15.75" customHeight="1">
      <c r="A50" s="26" t="s">
        <v>445</v>
      </c>
      <c r="B50" s="26" t="s">
        <v>778</v>
      </c>
      <c r="C50" s="26" t="s">
        <v>860</v>
      </c>
      <c r="D50" s="26" t="s">
        <v>861</v>
      </c>
      <c r="E50" s="26" t="s">
        <v>862</v>
      </c>
      <c r="F50" s="26" t="s">
        <v>698</v>
      </c>
      <c r="G50" s="280" t="s">
        <v>1745</v>
      </c>
      <c r="H50" s="206" t="s">
        <v>33</v>
      </c>
      <c r="I50" s="207">
        <v>35</v>
      </c>
      <c r="J50" s="207">
        <v>100</v>
      </c>
      <c r="K50" s="207">
        <v>91</v>
      </c>
      <c r="L50" s="214" t="s">
        <v>863</v>
      </c>
      <c r="M50" s="214" t="s">
        <v>864</v>
      </c>
      <c r="N50" s="215" t="s">
        <v>865</v>
      </c>
      <c r="O50" s="216" t="s">
        <v>866</v>
      </c>
      <c r="P50" s="216" t="s">
        <v>681</v>
      </c>
      <c r="Q50" s="218">
        <v>0.1</v>
      </c>
      <c r="R50" s="218">
        <v>0.44</v>
      </c>
      <c r="S50" s="218">
        <v>0</v>
      </c>
      <c r="T50" s="26" t="s">
        <v>589</v>
      </c>
      <c r="U50" s="207" t="s">
        <v>867</v>
      </c>
      <c r="V50" s="214" t="s">
        <v>794</v>
      </c>
      <c r="W50" s="214">
        <v>1</v>
      </c>
      <c r="X50" s="215" t="s">
        <v>868</v>
      </c>
      <c r="Y50" s="216" t="s">
        <v>693</v>
      </c>
      <c r="Z50" s="216" t="s">
        <v>690</v>
      </c>
      <c r="AA50" s="218"/>
      <c r="AB50" s="218"/>
      <c r="AC50" s="218"/>
    </row>
    <row r="51" spans="1:29" ht="15.75" customHeight="1">
      <c r="A51" s="26" t="s">
        <v>510</v>
      </c>
      <c r="B51" s="26" t="s">
        <v>636</v>
      </c>
      <c r="C51" s="26" t="s">
        <v>869</v>
      </c>
      <c r="D51" s="26" t="s">
        <v>870</v>
      </c>
      <c r="E51" s="26" t="s">
        <v>871</v>
      </c>
      <c r="F51" s="26" t="s">
        <v>617</v>
      </c>
      <c r="G51" s="280" t="s">
        <v>1745</v>
      </c>
      <c r="H51" s="206" t="s">
        <v>33</v>
      </c>
      <c r="I51" s="207">
        <v>60</v>
      </c>
      <c r="J51" s="207">
        <v>100</v>
      </c>
      <c r="K51" s="208">
        <v>4</v>
      </c>
      <c r="L51" s="209" t="s">
        <v>640</v>
      </c>
      <c r="M51" s="209" t="s">
        <v>598</v>
      </c>
      <c r="N51" s="210" t="s">
        <v>607</v>
      </c>
      <c r="O51" s="211" t="s">
        <v>872</v>
      </c>
      <c r="P51" s="211" t="s">
        <v>873</v>
      </c>
      <c r="Q51" s="218">
        <v>1.6E-2</v>
      </c>
      <c r="R51" s="218">
        <v>1.2999999999999999E-2</v>
      </c>
      <c r="S51" s="218">
        <v>0</v>
      </c>
      <c r="T51" s="26" t="s">
        <v>589</v>
      </c>
      <c r="U51" s="208"/>
      <c r="V51" s="209"/>
      <c r="W51" s="209"/>
      <c r="X51" s="210"/>
      <c r="Y51" s="213"/>
      <c r="Z51" s="213"/>
      <c r="AA51" s="218"/>
      <c r="AB51" s="218"/>
      <c r="AC51" s="218"/>
    </row>
    <row r="52" spans="1:29" ht="15.75" customHeight="1">
      <c r="A52" s="26" t="s">
        <v>540</v>
      </c>
      <c r="B52" s="26" t="s">
        <v>613</v>
      </c>
      <c r="C52" s="26" t="s">
        <v>874</v>
      </c>
      <c r="D52" s="219" t="s">
        <v>875</v>
      </c>
      <c r="E52" s="26" t="s">
        <v>876</v>
      </c>
      <c r="F52" s="26" t="s">
        <v>617</v>
      </c>
      <c r="G52" s="280" t="s">
        <v>1745</v>
      </c>
      <c r="H52" s="206" t="s">
        <v>595</v>
      </c>
      <c r="I52" s="207">
        <v>60</v>
      </c>
      <c r="J52" s="207">
        <v>100</v>
      </c>
      <c r="K52" s="207">
        <v>77</v>
      </c>
      <c r="L52" s="214" t="s">
        <v>626</v>
      </c>
      <c r="M52" s="214" t="s">
        <v>625</v>
      </c>
      <c r="N52" s="215" t="s">
        <v>808</v>
      </c>
      <c r="O52" s="216" t="s">
        <v>627</v>
      </c>
      <c r="P52" s="216" t="s">
        <v>877</v>
      </c>
      <c r="Q52" s="218">
        <v>3.9E-2</v>
      </c>
      <c r="R52" s="218">
        <v>4.2999999999999997E-2</v>
      </c>
      <c r="S52" s="218">
        <v>0</v>
      </c>
      <c r="T52" s="26"/>
      <c r="U52" s="207"/>
      <c r="V52" s="214"/>
      <c r="W52" s="214"/>
      <c r="X52" s="215"/>
      <c r="Y52" s="217"/>
      <c r="Z52" s="217"/>
      <c r="AA52" s="218"/>
      <c r="AB52" s="218"/>
      <c r="AC52" s="218"/>
    </row>
    <row r="53" spans="1:29" ht="15.75" customHeight="1">
      <c r="A53" s="26" t="s">
        <v>511</v>
      </c>
      <c r="B53" s="26" t="s">
        <v>636</v>
      </c>
      <c r="C53" s="26" t="s">
        <v>878</v>
      </c>
      <c r="D53" s="26" t="s">
        <v>879</v>
      </c>
      <c r="E53" s="26" t="s">
        <v>880</v>
      </c>
      <c r="F53" s="26" t="s">
        <v>881</v>
      </c>
      <c r="G53" s="280" t="s">
        <v>1745</v>
      </c>
      <c r="H53" s="206" t="s">
        <v>33</v>
      </c>
      <c r="I53" s="207">
        <v>60</v>
      </c>
      <c r="J53" s="207">
        <v>100</v>
      </c>
      <c r="K53" s="207">
        <v>7</v>
      </c>
      <c r="L53" s="214" t="s">
        <v>640</v>
      </c>
      <c r="M53" s="214" t="s">
        <v>598</v>
      </c>
      <c r="N53" s="215" t="s">
        <v>607</v>
      </c>
      <c r="O53" s="216" t="s">
        <v>882</v>
      </c>
      <c r="P53" s="216">
        <v>3</v>
      </c>
      <c r="Q53" s="218">
        <v>8.9999999999999993E-3</v>
      </c>
      <c r="R53" s="218">
        <v>1.4E-2</v>
      </c>
      <c r="S53" s="218">
        <v>0</v>
      </c>
      <c r="T53" s="26"/>
      <c r="U53" s="207"/>
      <c r="V53" s="214"/>
      <c r="W53" s="214"/>
      <c r="X53" s="215"/>
      <c r="Y53" s="217"/>
      <c r="Z53" s="217"/>
      <c r="AA53" s="218"/>
      <c r="AB53" s="218"/>
      <c r="AC53" s="218"/>
    </row>
    <row r="54" spans="1:29" ht="15.75" customHeight="1">
      <c r="A54" s="26" t="s">
        <v>512</v>
      </c>
      <c r="B54" s="26" t="s">
        <v>636</v>
      </c>
      <c r="C54" s="26" t="s">
        <v>883</v>
      </c>
      <c r="D54" s="26" t="s">
        <v>884</v>
      </c>
      <c r="E54" s="26" t="s">
        <v>885</v>
      </c>
      <c r="F54" s="26" t="s">
        <v>767</v>
      </c>
      <c r="G54" s="280" t="s">
        <v>1745</v>
      </c>
      <c r="H54" s="206" t="s">
        <v>33</v>
      </c>
      <c r="I54" s="207">
        <v>80</v>
      </c>
      <c r="J54" s="207">
        <v>100</v>
      </c>
      <c r="K54" s="207">
        <v>5</v>
      </c>
      <c r="L54" s="214" t="s">
        <v>719</v>
      </c>
      <c r="M54" s="214" t="s">
        <v>653</v>
      </c>
      <c r="N54" s="215" t="s">
        <v>886</v>
      </c>
      <c r="O54" s="216" t="s">
        <v>625</v>
      </c>
      <c r="P54" s="216" t="s">
        <v>647</v>
      </c>
      <c r="Q54" s="218">
        <v>1.9E-2</v>
      </c>
      <c r="R54" s="218">
        <v>0.01</v>
      </c>
      <c r="S54" s="218">
        <v>0</v>
      </c>
      <c r="T54" s="26"/>
      <c r="U54" s="207"/>
      <c r="V54" s="214"/>
      <c r="W54" s="214"/>
      <c r="X54" s="215"/>
      <c r="Y54" s="217"/>
      <c r="Z54" s="217"/>
      <c r="AA54" s="218"/>
      <c r="AB54" s="218"/>
      <c r="AC54" s="218"/>
    </row>
    <row r="55" spans="1:29" ht="15.75" customHeight="1">
      <c r="A55" s="26" t="s">
        <v>461</v>
      </c>
      <c r="B55" s="26" t="s">
        <v>694</v>
      </c>
      <c r="C55" s="26" t="s">
        <v>887</v>
      </c>
      <c r="D55" s="26" t="s">
        <v>888</v>
      </c>
      <c r="E55" s="26" t="s">
        <v>889</v>
      </c>
      <c r="F55" s="26" t="s">
        <v>677</v>
      </c>
      <c r="G55" s="284" t="s">
        <v>1743</v>
      </c>
      <c r="H55" s="206" t="s">
        <v>33</v>
      </c>
      <c r="I55" s="207">
        <v>35</v>
      </c>
      <c r="J55" s="207">
        <v>100</v>
      </c>
      <c r="K55" s="207">
        <v>90</v>
      </c>
      <c r="L55" s="214">
        <v>3</v>
      </c>
      <c r="M55" s="214" t="s">
        <v>744</v>
      </c>
      <c r="N55" s="215" t="s">
        <v>706</v>
      </c>
      <c r="O55" s="216" t="s">
        <v>890</v>
      </c>
      <c r="P55" s="216" t="s">
        <v>662</v>
      </c>
      <c r="Q55" s="218">
        <v>0.10299999999999999</v>
      </c>
      <c r="R55" s="218">
        <v>0.192</v>
      </c>
      <c r="S55" s="218">
        <v>0</v>
      </c>
      <c r="T55" s="26" t="s">
        <v>682</v>
      </c>
      <c r="U55" s="207">
        <v>85</v>
      </c>
      <c r="V55" s="214" t="s">
        <v>891</v>
      </c>
      <c r="W55" s="214" t="s">
        <v>607</v>
      </c>
      <c r="X55" s="215" t="s">
        <v>690</v>
      </c>
      <c r="Y55" s="216" t="s">
        <v>722</v>
      </c>
      <c r="Z55" s="216" t="s">
        <v>723</v>
      </c>
      <c r="AA55" s="218"/>
      <c r="AB55" s="218"/>
      <c r="AC55" s="218"/>
    </row>
    <row r="56" spans="1:29" ht="15.75" customHeight="1">
      <c r="A56" s="26" t="s">
        <v>419</v>
      </c>
      <c r="B56" s="26" t="s">
        <v>636</v>
      </c>
      <c r="C56" s="26" t="s">
        <v>892</v>
      </c>
      <c r="D56" s="219" t="s">
        <v>893</v>
      </c>
      <c r="E56" s="26" t="s">
        <v>894</v>
      </c>
      <c r="F56" s="26" t="s">
        <v>881</v>
      </c>
      <c r="G56" s="284" t="s">
        <v>1743</v>
      </c>
      <c r="H56" s="206" t="s">
        <v>33</v>
      </c>
      <c r="I56" s="207">
        <v>40</v>
      </c>
      <c r="J56" s="207">
        <v>100</v>
      </c>
      <c r="K56" s="207">
        <v>19</v>
      </c>
      <c r="L56" s="214" t="s">
        <v>895</v>
      </c>
      <c r="M56" s="214" t="s">
        <v>790</v>
      </c>
      <c r="N56" s="215" t="s">
        <v>896</v>
      </c>
      <c r="O56" s="216" t="s">
        <v>897</v>
      </c>
      <c r="P56" s="216" t="s">
        <v>898</v>
      </c>
      <c r="Q56" s="218">
        <v>3.5999999999999997E-2</v>
      </c>
      <c r="R56" s="218">
        <v>4.2999999999999997E-2</v>
      </c>
      <c r="S56" s="218">
        <v>0</v>
      </c>
      <c r="T56" s="26" t="s">
        <v>589</v>
      </c>
      <c r="U56" s="207">
        <v>25</v>
      </c>
      <c r="V56" s="214"/>
      <c r="W56" s="214"/>
      <c r="X56" s="215" t="s">
        <v>679</v>
      </c>
      <c r="Y56" s="217"/>
      <c r="Z56" s="217"/>
      <c r="AA56" s="218"/>
      <c r="AB56" s="218"/>
      <c r="AC56" s="218"/>
    </row>
    <row r="57" spans="1:29" ht="15.75" customHeight="1">
      <c r="A57" s="26" t="s">
        <v>478</v>
      </c>
      <c r="B57" s="26" t="s">
        <v>590</v>
      </c>
      <c r="C57" s="26" t="s">
        <v>899</v>
      </c>
      <c r="D57" s="26" t="s">
        <v>900</v>
      </c>
      <c r="E57" s="26" t="s">
        <v>901</v>
      </c>
      <c r="F57" s="26" t="s">
        <v>594</v>
      </c>
      <c r="G57" s="284" t="s">
        <v>1743</v>
      </c>
      <c r="H57" s="206" t="s">
        <v>33</v>
      </c>
      <c r="I57" s="207">
        <v>90</v>
      </c>
      <c r="J57" s="207">
        <v>100</v>
      </c>
      <c r="K57" s="207">
        <v>90</v>
      </c>
      <c r="L57" s="214"/>
      <c r="M57" s="214"/>
      <c r="N57" s="215" t="s">
        <v>902</v>
      </c>
      <c r="O57" s="216"/>
      <c r="P57" s="216"/>
      <c r="Q57" s="218"/>
      <c r="R57" s="218"/>
      <c r="S57" s="218"/>
      <c r="T57" s="26"/>
      <c r="U57" s="207"/>
      <c r="V57" s="214"/>
      <c r="W57" s="214"/>
      <c r="X57" s="215"/>
      <c r="Y57" s="217"/>
      <c r="Z57" s="217"/>
      <c r="AA57" s="218"/>
      <c r="AB57" s="218"/>
      <c r="AC57" s="218"/>
    </row>
    <row r="58" spans="1:29" ht="15.75" customHeight="1">
      <c r="A58" s="26" t="s">
        <v>479</v>
      </c>
      <c r="B58" s="26" t="s">
        <v>590</v>
      </c>
      <c r="C58" s="26" t="s">
        <v>903</v>
      </c>
      <c r="D58" s="26" t="s">
        <v>904</v>
      </c>
      <c r="E58" s="26" t="s">
        <v>905</v>
      </c>
      <c r="F58" s="26" t="s">
        <v>594</v>
      </c>
      <c r="G58" s="284" t="s">
        <v>1743</v>
      </c>
      <c r="H58" s="206" t="s">
        <v>33</v>
      </c>
      <c r="I58" s="207">
        <v>90</v>
      </c>
      <c r="J58" s="207">
        <v>100</v>
      </c>
      <c r="K58" s="207" t="s">
        <v>906</v>
      </c>
      <c r="L58" s="214"/>
      <c r="M58" s="214"/>
      <c r="N58" s="215" t="s">
        <v>907</v>
      </c>
      <c r="O58" s="216"/>
      <c r="P58" s="216"/>
      <c r="Q58" s="218"/>
      <c r="R58" s="218"/>
      <c r="S58" s="218"/>
      <c r="T58" s="26"/>
      <c r="U58" s="207"/>
      <c r="V58" s="214"/>
      <c r="W58" s="214"/>
      <c r="X58" s="215"/>
      <c r="Y58" s="217"/>
      <c r="Z58" s="217"/>
      <c r="AA58" s="218"/>
      <c r="AB58" s="218"/>
      <c r="AC58" s="218"/>
    </row>
    <row r="59" spans="1:29" ht="15.75" customHeight="1">
      <c r="A59" s="26" t="s">
        <v>480</v>
      </c>
      <c r="B59" s="26" t="s">
        <v>590</v>
      </c>
      <c r="C59" s="26" t="s">
        <v>908</v>
      </c>
      <c r="D59" s="26" t="s">
        <v>909</v>
      </c>
      <c r="E59" s="26" t="s">
        <v>910</v>
      </c>
      <c r="F59" s="26" t="s">
        <v>594</v>
      </c>
      <c r="G59" s="284" t="s">
        <v>1743</v>
      </c>
      <c r="H59" s="206" t="s">
        <v>33</v>
      </c>
      <c r="I59" s="207">
        <v>90</v>
      </c>
      <c r="J59" s="207">
        <v>100</v>
      </c>
      <c r="K59" s="207" t="s">
        <v>911</v>
      </c>
      <c r="L59" s="214"/>
      <c r="M59" s="214"/>
      <c r="N59" s="215" t="s">
        <v>664</v>
      </c>
      <c r="O59" s="216"/>
      <c r="P59" s="216"/>
      <c r="Q59" s="218"/>
      <c r="R59" s="218"/>
      <c r="S59" s="218"/>
      <c r="T59" s="26"/>
      <c r="U59" s="207"/>
      <c r="V59" s="214"/>
      <c r="W59" s="214"/>
      <c r="X59" s="215"/>
      <c r="Y59" s="217"/>
      <c r="Z59" s="217"/>
      <c r="AA59" s="218"/>
      <c r="AB59" s="218"/>
      <c r="AC59" s="218"/>
    </row>
    <row r="60" spans="1:29" ht="15.75" customHeight="1">
      <c r="A60" s="26" t="s">
        <v>541</v>
      </c>
      <c r="B60" s="26" t="s">
        <v>613</v>
      </c>
      <c r="C60" s="26" t="s">
        <v>912</v>
      </c>
      <c r="D60" s="219" t="s">
        <v>913</v>
      </c>
      <c r="E60" s="26" t="s">
        <v>914</v>
      </c>
      <c r="F60" s="26" t="s">
        <v>617</v>
      </c>
      <c r="G60" s="280" t="s">
        <v>1745</v>
      </c>
      <c r="H60" s="206" t="s">
        <v>595</v>
      </c>
      <c r="I60" s="207">
        <v>60</v>
      </c>
      <c r="J60" s="207">
        <v>100</v>
      </c>
      <c r="K60" s="207">
        <v>21</v>
      </c>
      <c r="L60" s="214" t="s">
        <v>897</v>
      </c>
      <c r="M60" s="214" t="s">
        <v>668</v>
      </c>
      <c r="N60" s="215" t="s">
        <v>915</v>
      </c>
      <c r="O60" s="216" t="s">
        <v>916</v>
      </c>
      <c r="P60" s="216" t="s">
        <v>917</v>
      </c>
      <c r="Q60" s="218">
        <v>3.5000000000000003E-2</v>
      </c>
      <c r="R60" s="218">
        <v>1.7000000000000001E-2</v>
      </c>
      <c r="S60" s="218">
        <v>0</v>
      </c>
      <c r="T60" s="26"/>
      <c r="U60" s="207"/>
      <c r="V60" s="214"/>
      <c r="W60" s="214"/>
      <c r="X60" s="215"/>
      <c r="Y60" s="217"/>
      <c r="Z60" s="217"/>
      <c r="AA60" s="218"/>
      <c r="AB60" s="218"/>
      <c r="AC60" s="218"/>
    </row>
    <row r="61" spans="1:29" ht="15.75" customHeight="1">
      <c r="A61" s="26" t="s">
        <v>446</v>
      </c>
      <c r="B61" s="26" t="s">
        <v>778</v>
      </c>
      <c r="C61" s="26" t="s">
        <v>918</v>
      </c>
      <c r="D61" s="26" t="s">
        <v>919</v>
      </c>
      <c r="E61" s="26" t="s">
        <v>920</v>
      </c>
      <c r="F61" s="26" t="s">
        <v>698</v>
      </c>
      <c r="G61" s="280" t="s">
        <v>1745</v>
      </c>
      <c r="H61" s="206" t="s">
        <v>33</v>
      </c>
      <c r="I61" s="207">
        <v>35</v>
      </c>
      <c r="J61" s="207">
        <v>100</v>
      </c>
      <c r="K61" s="207" t="s">
        <v>921</v>
      </c>
      <c r="L61" s="214" t="s">
        <v>612</v>
      </c>
      <c r="M61" s="214" t="s">
        <v>655</v>
      </c>
      <c r="N61" s="215" t="s">
        <v>611</v>
      </c>
      <c r="O61" s="216" t="s">
        <v>915</v>
      </c>
      <c r="P61" s="216" t="s">
        <v>877</v>
      </c>
      <c r="Q61" s="218">
        <v>8.9999999999999993E-3</v>
      </c>
      <c r="R61" s="218">
        <v>1.4999999999999999E-2</v>
      </c>
      <c r="S61" s="218">
        <v>0</v>
      </c>
      <c r="T61" s="26" t="s">
        <v>589</v>
      </c>
      <c r="U61" s="207">
        <v>93</v>
      </c>
      <c r="V61" s="214">
        <v>1</v>
      </c>
      <c r="W61" s="214" t="s">
        <v>662</v>
      </c>
      <c r="X61" s="215" t="s">
        <v>922</v>
      </c>
      <c r="Y61" s="216" t="s">
        <v>671</v>
      </c>
      <c r="Z61" s="216" t="s">
        <v>923</v>
      </c>
      <c r="AA61" s="218"/>
      <c r="AB61" s="218"/>
      <c r="AC61" s="218"/>
    </row>
    <row r="62" spans="1:29" ht="15.75" customHeight="1">
      <c r="A62" s="26" t="s">
        <v>513</v>
      </c>
      <c r="B62" s="26" t="s">
        <v>636</v>
      </c>
      <c r="C62" s="26" t="s">
        <v>924</v>
      </c>
      <c r="D62" s="219" t="s">
        <v>925</v>
      </c>
      <c r="E62" s="26" t="s">
        <v>926</v>
      </c>
      <c r="F62" s="26" t="s">
        <v>927</v>
      </c>
      <c r="G62" s="280" t="s">
        <v>1745</v>
      </c>
      <c r="H62" s="206" t="s">
        <v>33</v>
      </c>
      <c r="I62" s="207">
        <v>60</v>
      </c>
      <c r="J62" s="207">
        <v>10</v>
      </c>
      <c r="K62" s="207">
        <v>39</v>
      </c>
      <c r="L62" s="214" t="s">
        <v>607</v>
      </c>
      <c r="M62" s="214" t="s">
        <v>610</v>
      </c>
      <c r="N62" s="215" t="s">
        <v>598</v>
      </c>
      <c r="O62" s="216" t="s">
        <v>714</v>
      </c>
      <c r="P62" s="216" t="s">
        <v>928</v>
      </c>
      <c r="Q62" s="218">
        <v>0.18099999999999999</v>
      </c>
      <c r="R62" s="218">
        <v>2.5000000000000001E-2</v>
      </c>
      <c r="S62" s="218">
        <v>0</v>
      </c>
      <c r="T62" s="26" t="s">
        <v>589</v>
      </c>
      <c r="U62" s="207"/>
      <c r="V62" s="214"/>
      <c r="W62" s="214"/>
      <c r="X62" s="215" t="s">
        <v>631</v>
      </c>
      <c r="Y62" s="216" t="s">
        <v>929</v>
      </c>
      <c r="Z62" s="216" t="s">
        <v>661</v>
      </c>
      <c r="AA62" s="218"/>
      <c r="AB62" s="218"/>
      <c r="AC62" s="218"/>
    </row>
    <row r="63" spans="1:29" ht="15.75" customHeight="1">
      <c r="A63" s="26" t="s">
        <v>542</v>
      </c>
      <c r="B63" s="26" t="s">
        <v>613</v>
      </c>
      <c r="C63" s="26" t="s">
        <v>930</v>
      </c>
      <c r="D63" s="219" t="s">
        <v>931</v>
      </c>
      <c r="E63" s="26" t="s">
        <v>932</v>
      </c>
      <c r="F63" s="26" t="s">
        <v>617</v>
      </c>
      <c r="G63" s="280" t="s">
        <v>1745</v>
      </c>
      <c r="H63" s="206" t="s">
        <v>595</v>
      </c>
      <c r="I63" s="207">
        <v>60</v>
      </c>
      <c r="J63" s="207">
        <v>100</v>
      </c>
      <c r="K63" s="207">
        <v>19</v>
      </c>
      <c r="L63" s="214" t="s">
        <v>897</v>
      </c>
      <c r="M63" s="214" t="s">
        <v>668</v>
      </c>
      <c r="N63" s="215" t="s">
        <v>915</v>
      </c>
      <c r="O63" s="216" t="s">
        <v>627</v>
      </c>
      <c r="P63" s="216" t="s">
        <v>933</v>
      </c>
      <c r="Q63" s="218">
        <v>3.6999999999999998E-2</v>
      </c>
      <c r="R63" s="218">
        <v>1.4E-2</v>
      </c>
      <c r="S63" s="218">
        <v>0</v>
      </c>
      <c r="T63" s="26"/>
      <c r="U63" s="207"/>
      <c r="V63" s="214"/>
      <c r="W63" s="214"/>
      <c r="X63" s="215"/>
      <c r="Y63" s="217"/>
      <c r="Z63" s="217"/>
      <c r="AA63" s="218"/>
      <c r="AB63" s="218"/>
      <c r="AC63" s="218"/>
    </row>
    <row r="64" spans="1:29" ht="15.75" customHeight="1">
      <c r="A64" s="26" t="s">
        <v>543</v>
      </c>
      <c r="B64" s="26" t="s">
        <v>613</v>
      </c>
      <c r="C64" s="26" t="s">
        <v>934</v>
      </c>
      <c r="D64" s="219" t="s">
        <v>931</v>
      </c>
      <c r="E64" s="26" t="s">
        <v>935</v>
      </c>
      <c r="F64" s="26" t="s">
        <v>617</v>
      </c>
      <c r="G64" s="280" t="s">
        <v>1745</v>
      </c>
      <c r="H64" s="206" t="s">
        <v>595</v>
      </c>
      <c r="I64" s="207">
        <v>60</v>
      </c>
      <c r="J64" s="207">
        <v>100</v>
      </c>
      <c r="K64" s="207"/>
      <c r="L64" s="214"/>
      <c r="M64" s="214"/>
      <c r="N64" s="215"/>
      <c r="O64" s="216" t="s">
        <v>916</v>
      </c>
      <c r="P64" s="216" t="s">
        <v>936</v>
      </c>
      <c r="Q64" s="218">
        <v>3.6999999999999998E-2</v>
      </c>
      <c r="R64" s="218">
        <v>1.4E-2</v>
      </c>
      <c r="S64" s="218">
        <v>0</v>
      </c>
      <c r="T64" s="26"/>
      <c r="U64" s="207"/>
      <c r="V64" s="214"/>
      <c r="W64" s="214"/>
      <c r="X64" s="215"/>
      <c r="Y64" s="217"/>
      <c r="Z64" s="217"/>
      <c r="AA64" s="218"/>
      <c r="AB64" s="218"/>
      <c r="AC64" s="218"/>
    </row>
    <row r="65" spans="1:29" ht="15.75" customHeight="1">
      <c r="A65" s="26" t="s">
        <v>544</v>
      </c>
      <c r="B65" s="26" t="s">
        <v>613</v>
      </c>
      <c r="C65" s="26" t="s">
        <v>937</v>
      </c>
      <c r="D65" s="219" t="s">
        <v>938</v>
      </c>
      <c r="E65" s="26" t="s">
        <v>939</v>
      </c>
      <c r="F65" s="26" t="s">
        <v>617</v>
      </c>
      <c r="G65" s="280" t="s">
        <v>1745</v>
      </c>
      <c r="H65" s="206" t="s">
        <v>595</v>
      </c>
      <c r="I65" s="207">
        <v>60</v>
      </c>
      <c r="J65" s="207">
        <v>100</v>
      </c>
      <c r="K65" s="207">
        <v>11</v>
      </c>
      <c r="L65" s="214" t="s">
        <v>669</v>
      </c>
      <c r="M65" s="214" t="s">
        <v>891</v>
      </c>
      <c r="N65" s="215" t="s">
        <v>620</v>
      </c>
      <c r="O65" s="216" t="s">
        <v>940</v>
      </c>
      <c r="P65" s="216" t="s">
        <v>928</v>
      </c>
      <c r="Q65" s="218">
        <v>1.2E-2</v>
      </c>
      <c r="R65" s="218">
        <v>8.0000000000000002E-3</v>
      </c>
      <c r="S65" s="218">
        <v>0</v>
      </c>
      <c r="T65" s="26"/>
      <c r="U65" s="207"/>
      <c r="V65" s="214"/>
      <c r="W65" s="214"/>
      <c r="X65" s="215"/>
      <c r="Y65" s="217"/>
      <c r="Z65" s="217"/>
      <c r="AA65" s="218"/>
      <c r="AB65" s="218"/>
      <c r="AC65" s="218"/>
    </row>
    <row r="66" spans="1:29" ht="15.75" customHeight="1">
      <c r="A66" s="26" t="s">
        <v>481</v>
      </c>
      <c r="B66" s="26" t="s">
        <v>590</v>
      </c>
      <c r="C66" s="26" t="s">
        <v>941</v>
      </c>
      <c r="D66" s="26" t="s">
        <v>942</v>
      </c>
      <c r="E66" s="26" t="s">
        <v>943</v>
      </c>
      <c r="F66" s="26" t="s">
        <v>594</v>
      </c>
      <c r="G66" s="284" t="s">
        <v>1743</v>
      </c>
      <c r="H66" s="206" t="s">
        <v>33</v>
      </c>
      <c r="I66" s="207">
        <v>90</v>
      </c>
      <c r="J66" s="207">
        <v>100</v>
      </c>
      <c r="K66" s="207" t="s">
        <v>727</v>
      </c>
      <c r="L66" s="214"/>
      <c r="M66" s="214"/>
      <c r="N66" s="215" t="s">
        <v>944</v>
      </c>
      <c r="O66" s="216" t="s">
        <v>835</v>
      </c>
      <c r="P66" s="216" t="s">
        <v>945</v>
      </c>
      <c r="Q66" s="218"/>
      <c r="R66" s="218"/>
      <c r="S66" s="218"/>
      <c r="T66" s="26"/>
      <c r="U66" s="207"/>
      <c r="V66" s="214"/>
      <c r="W66" s="214"/>
      <c r="X66" s="215"/>
      <c r="Y66" s="217"/>
      <c r="Z66" s="217"/>
      <c r="AA66" s="218"/>
      <c r="AB66" s="218"/>
      <c r="AC66" s="218"/>
    </row>
    <row r="67" spans="1:29" ht="15.75" customHeight="1">
      <c r="A67" s="26" t="s">
        <v>482</v>
      </c>
      <c r="B67" s="26" t="s">
        <v>590</v>
      </c>
      <c r="C67" s="26" t="s">
        <v>946</v>
      </c>
      <c r="D67" s="26" t="s">
        <v>942</v>
      </c>
      <c r="E67" s="26" t="s">
        <v>947</v>
      </c>
      <c r="F67" s="26" t="s">
        <v>594</v>
      </c>
      <c r="G67" s="279" t="s">
        <v>1745</v>
      </c>
      <c r="H67" s="206" t="s">
        <v>33</v>
      </c>
      <c r="I67" s="207">
        <v>90</v>
      </c>
      <c r="J67" s="207">
        <v>100</v>
      </c>
      <c r="K67" s="207" t="s">
        <v>948</v>
      </c>
      <c r="L67" s="214"/>
      <c r="M67" s="214"/>
      <c r="N67" s="215" t="s">
        <v>949</v>
      </c>
      <c r="O67" s="216" t="s">
        <v>712</v>
      </c>
      <c r="P67" s="216" t="s">
        <v>770</v>
      </c>
      <c r="Q67" s="218"/>
      <c r="R67" s="218"/>
      <c r="S67" s="218"/>
      <c r="T67" s="26"/>
      <c r="U67" s="207"/>
      <c r="V67" s="214"/>
      <c r="W67" s="214"/>
      <c r="X67" s="215"/>
      <c r="Y67" s="217"/>
      <c r="Z67" s="217"/>
      <c r="AA67" s="218"/>
      <c r="AB67" s="218"/>
      <c r="AC67" s="218"/>
    </row>
    <row r="68" spans="1:29" ht="15.75" customHeight="1">
      <c r="A68" s="26" t="s">
        <v>545</v>
      </c>
      <c r="B68" s="26" t="s">
        <v>613</v>
      </c>
      <c r="C68" s="26" t="s">
        <v>950</v>
      </c>
      <c r="D68" s="219" t="s">
        <v>951</v>
      </c>
      <c r="E68" s="26" t="s">
        <v>952</v>
      </c>
      <c r="F68" s="26" t="s">
        <v>617</v>
      </c>
      <c r="G68" s="279" t="s">
        <v>1745</v>
      </c>
      <c r="H68" s="206" t="s">
        <v>595</v>
      </c>
      <c r="I68" s="207">
        <v>60</v>
      </c>
      <c r="J68" s="207">
        <v>100</v>
      </c>
      <c r="K68" s="207" t="s">
        <v>953</v>
      </c>
      <c r="L68" s="214" t="s">
        <v>596</v>
      </c>
      <c r="M68" s="214" t="s">
        <v>680</v>
      </c>
      <c r="N68" s="215" t="s">
        <v>679</v>
      </c>
      <c r="O68" s="216" t="s">
        <v>765</v>
      </c>
      <c r="P68" s="216" t="s">
        <v>890</v>
      </c>
      <c r="Q68" s="218">
        <v>0.114</v>
      </c>
      <c r="R68" s="218">
        <v>0.16300000000000001</v>
      </c>
      <c r="S68" s="218">
        <v>0</v>
      </c>
      <c r="T68" s="26"/>
      <c r="U68" s="207"/>
      <c r="V68" s="214"/>
      <c r="W68" s="214"/>
      <c r="X68" s="215"/>
      <c r="Y68" s="217"/>
      <c r="Z68" s="217"/>
      <c r="AA68" s="218"/>
      <c r="AB68" s="218"/>
      <c r="AC68" s="218"/>
    </row>
    <row r="69" spans="1:29" ht="15.75" customHeight="1">
      <c r="A69" s="26" t="s">
        <v>546</v>
      </c>
      <c r="B69" s="26" t="s">
        <v>613</v>
      </c>
      <c r="C69" s="26" t="s">
        <v>954</v>
      </c>
      <c r="D69" s="219" t="s">
        <v>955</v>
      </c>
      <c r="E69" s="26" t="s">
        <v>954</v>
      </c>
      <c r="F69" s="26" t="s">
        <v>617</v>
      </c>
      <c r="G69" s="279" t="s">
        <v>1745</v>
      </c>
      <c r="H69" s="206" t="s">
        <v>595</v>
      </c>
      <c r="I69" s="207">
        <v>60</v>
      </c>
      <c r="J69" s="207">
        <v>100</v>
      </c>
      <c r="K69" s="207">
        <v>17</v>
      </c>
      <c r="L69" s="214"/>
      <c r="M69" s="214"/>
      <c r="N69" s="215" t="s">
        <v>891</v>
      </c>
      <c r="O69" s="216" t="s">
        <v>956</v>
      </c>
      <c r="P69" s="216" t="s">
        <v>957</v>
      </c>
      <c r="Q69" s="218">
        <v>3.4000000000000002E-2</v>
      </c>
      <c r="R69" s="218">
        <v>1.7000000000000001E-2</v>
      </c>
      <c r="S69" s="218">
        <v>0</v>
      </c>
      <c r="T69" s="26"/>
      <c r="U69" s="207"/>
      <c r="V69" s="214"/>
      <c r="W69" s="214"/>
      <c r="X69" s="215"/>
      <c r="Y69" s="217"/>
      <c r="Z69" s="217"/>
      <c r="AA69" s="218"/>
      <c r="AB69" s="218"/>
      <c r="AC69" s="218"/>
    </row>
    <row r="70" spans="1:29" ht="15.75" customHeight="1">
      <c r="A70" s="26" t="s">
        <v>514</v>
      </c>
      <c r="B70" s="26" t="s">
        <v>636</v>
      </c>
      <c r="C70" s="26" t="s">
        <v>958</v>
      </c>
      <c r="D70" s="219" t="s">
        <v>959</v>
      </c>
      <c r="E70" s="26" t="s">
        <v>960</v>
      </c>
      <c r="F70" s="26" t="s">
        <v>961</v>
      </c>
      <c r="G70" s="280" t="s">
        <v>1745</v>
      </c>
      <c r="H70" s="206" t="s">
        <v>33</v>
      </c>
      <c r="I70" s="207">
        <v>60</v>
      </c>
      <c r="J70" s="207">
        <v>5</v>
      </c>
      <c r="K70" s="207">
        <v>17</v>
      </c>
      <c r="L70" s="214" t="s">
        <v>661</v>
      </c>
      <c r="M70" s="214" t="s">
        <v>631</v>
      </c>
      <c r="N70" s="215" t="s">
        <v>702</v>
      </c>
      <c r="O70" s="216" t="s">
        <v>962</v>
      </c>
      <c r="P70" s="216" t="s">
        <v>922</v>
      </c>
      <c r="Q70" s="218">
        <v>0.03</v>
      </c>
      <c r="R70" s="218">
        <v>1.4E-2</v>
      </c>
      <c r="S70" s="218">
        <v>0</v>
      </c>
      <c r="T70" s="26" t="s">
        <v>767</v>
      </c>
      <c r="U70" s="207">
        <v>20</v>
      </c>
      <c r="V70" s="214"/>
      <c r="W70" s="214"/>
      <c r="X70" s="215" t="s">
        <v>794</v>
      </c>
      <c r="Y70" s="217"/>
      <c r="Z70" s="217"/>
      <c r="AA70" s="218"/>
      <c r="AB70" s="218"/>
      <c r="AC70" s="218"/>
    </row>
    <row r="71" spans="1:29" ht="15.75" customHeight="1">
      <c r="A71" s="26" t="s">
        <v>547</v>
      </c>
      <c r="B71" s="26" t="s">
        <v>613</v>
      </c>
      <c r="C71" s="26" t="s">
        <v>963</v>
      </c>
      <c r="D71" s="219" t="s">
        <v>964</v>
      </c>
      <c r="E71" s="26" t="s">
        <v>965</v>
      </c>
      <c r="F71" s="26" t="s">
        <v>617</v>
      </c>
      <c r="G71" s="279" t="s">
        <v>1745</v>
      </c>
      <c r="H71" s="206" t="s">
        <v>595</v>
      </c>
      <c r="I71" s="207">
        <v>60</v>
      </c>
      <c r="J71" s="207">
        <v>100</v>
      </c>
      <c r="K71" s="207">
        <v>13</v>
      </c>
      <c r="L71" s="214" t="s">
        <v>661</v>
      </c>
      <c r="M71" s="214" t="s">
        <v>632</v>
      </c>
      <c r="N71" s="215" t="s">
        <v>631</v>
      </c>
      <c r="O71" s="216" t="s">
        <v>776</v>
      </c>
      <c r="P71" s="216" t="s">
        <v>966</v>
      </c>
      <c r="Q71" s="218">
        <v>2.5999999999999999E-2</v>
      </c>
      <c r="R71" s="218">
        <v>8.0000000000000002E-3</v>
      </c>
      <c r="S71" s="218">
        <v>0</v>
      </c>
      <c r="T71" s="26"/>
      <c r="U71" s="207"/>
      <c r="V71" s="214"/>
      <c r="W71" s="214"/>
      <c r="X71" s="215"/>
      <c r="Y71" s="217"/>
      <c r="Z71" s="217"/>
      <c r="AA71" s="218"/>
      <c r="AB71" s="218"/>
      <c r="AC71" s="218"/>
    </row>
    <row r="72" spans="1:29" ht="15.75" customHeight="1">
      <c r="A72" s="26" t="s">
        <v>464</v>
      </c>
      <c r="B72" s="26" t="s">
        <v>694</v>
      </c>
      <c r="C72" s="26" t="s">
        <v>967</v>
      </c>
      <c r="D72" s="26" t="s">
        <v>968</v>
      </c>
      <c r="E72" s="26" t="s">
        <v>969</v>
      </c>
      <c r="F72" s="26" t="s">
        <v>677</v>
      </c>
      <c r="G72" s="284" t="s">
        <v>1743</v>
      </c>
      <c r="H72" s="206" t="s">
        <v>33</v>
      </c>
      <c r="I72" s="207">
        <v>35</v>
      </c>
      <c r="J72" s="207">
        <v>100</v>
      </c>
      <c r="K72" s="207">
        <v>89</v>
      </c>
      <c r="L72" s="214" t="s">
        <v>653</v>
      </c>
      <c r="M72" s="214" t="s">
        <v>654</v>
      </c>
      <c r="N72" s="215" t="s">
        <v>655</v>
      </c>
      <c r="O72" s="216" t="s">
        <v>970</v>
      </c>
      <c r="P72" s="216" t="s">
        <v>971</v>
      </c>
      <c r="Q72" s="218">
        <v>3.5000000000000003E-2</v>
      </c>
      <c r="R72" s="218">
        <v>4.7E-2</v>
      </c>
      <c r="S72" s="218">
        <v>0</v>
      </c>
      <c r="T72" s="26" t="s">
        <v>682</v>
      </c>
      <c r="U72" s="207">
        <v>91</v>
      </c>
      <c r="V72" s="214"/>
      <c r="W72" s="214"/>
      <c r="X72" s="215" t="s">
        <v>660</v>
      </c>
      <c r="Y72" s="216" t="s">
        <v>634</v>
      </c>
      <c r="Z72" s="216" t="s">
        <v>966</v>
      </c>
      <c r="AA72" s="218"/>
      <c r="AB72" s="218"/>
      <c r="AC72" s="218"/>
    </row>
    <row r="73" spans="1:29" ht="15.75" customHeight="1">
      <c r="A73" s="26" t="s">
        <v>515</v>
      </c>
      <c r="B73" s="26" t="s">
        <v>636</v>
      </c>
      <c r="C73" s="26" t="s">
        <v>972</v>
      </c>
      <c r="D73" s="219" t="s">
        <v>973</v>
      </c>
      <c r="E73" s="26" t="s">
        <v>974</v>
      </c>
      <c r="F73" s="26" t="s">
        <v>767</v>
      </c>
      <c r="G73" s="280" t="s">
        <v>1745</v>
      </c>
      <c r="H73" s="206" t="s">
        <v>33</v>
      </c>
      <c r="I73" s="207">
        <v>90</v>
      </c>
      <c r="J73" s="207">
        <v>100</v>
      </c>
      <c r="K73" s="207">
        <v>5</v>
      </c>
      <c r="L73" s="214" t="s">
        <v>640</v>
      </c>
      <c r="M73" s="214" t="s">
        <v>701</v>
      </c>
      <c r="N73" s="215" t="s">
        <v>975</v>
      </c>
      <c r="O73" s="216" t="s">
        <v>897</v>
      </c>
      <c r="P73" s="216">
        <v>2</v>
      </c>
      <c r="Q73" s="218">
        <v>1.7999999999999999E-2</v>
      </c>
      <c r="R73" s="218">
        <v>7.0000000000000001E-3</v>
      </c>
      <c r="S73" s="218">
        <v>0</v>
      </c>
      <c r="T73" s="26"/>
      <c r="U73" s="207"/>
      <c r="V73" s="214"/>
      <c r="W73" s="214"/>
      <c r="X73" s="215"/>
      <c r="Y73" s="217"/>
      <c r="Z73" s="217"/>
      <c r="AA73" s="218"/>
      <c r="AB73" s="218"/>
      <c r="AC73" s="218"/>
    </row>
    <row r="74" spans="1:29" ht="15.75" customHeight="1">
      <c r="A74" s="26" t="s">
        <v>516</v>
      </c>
      <c r="B74" s="26" t="s">
        <v>636</v>
      </c>
      <c r="C74" s="26" t="s">
        <v>976</v>
      </c>
      <c r="D74" s="219" t="s">
        <v>973</v>
      </c>
      <c r="E74" s="26" t="s">
        <v>977</v>
      </c>
      <c r="F74" s="26" t="s">
        <v>767</v>
      </c>
      <c r="G74" s="280" t="s">
        <v>1745</v>
      </c>
      <c r="H74" s="206" t="s">
        <v>33</v>
      </c>
      <c r="I74" s="207">
        <v>90</v>
      </c>
      <c r="J74" s="207">
        <v>100</v>
      </c>
      <c r="K74" s="207">
        <v>6</v>
      </c>
      <c r="L74" s="214">
        <v>4</v>
      </c>
      <c r="M74" s="214" t="s">
        <v>654</v>
      </c>
      <c r="N74" s="215" t="s">
        <v>978</v>
      </c>
      <c r="O74" s="216" t="s">
        <v>620</v>
      </c>
      <c r="P74" s="216" t="s">
        <v>979</v>
      </c>
      <c r="Q74" s="218">
        <v>3.3000000000000002E-2</v>
      </c>
      <c r="R74" s="218">
        <v>1.4E-2</v>
      </c>
      <c r="S74" s="218">
        <v>0</v>
      </c>
      <c r="T74" s="26"/>
      <c r="U74" s="207"/>
      <c r="V74" s="214"/>
      <c r="W74" s="214"/>
      <c r="X74" s="215"/>
      <c r="Y74" s="217"/>
      <c r="Z74" s="217"/>
      <c r="AA74" s="218"/>
      <c r="AB74" s="218"/>
      <c r="AC74" s="218"/>
    </row>
    <row r="75" spans="1:29" ht="15.75" customHeight="1">
      <c r="A75" s="26" t="s">
        <v>428</v>
      </c>
      <c r="B75" s="26" t="s">
        <v>673</v>
      </c>
      <c r="C75" s="26" t="s">
        <v>980</v>
      </c>
      <c r="D75" s="26" t="s">
        <v>853</v>
      </c>
      <c r="E75" s="26" t="s">
        <v>854</v>
      </c>
      <c r="F75" s="26" t="s">
        <v>981</v>
      </c>
      <c r="G75" s="280" t="s">
        <v>1745</v>
      </c>
      <c r="H75" s="206" t="s">
        <v>33</v>
      </c>
      <c r="I75" s="207">
        <v>90</v>
      </c>
      <c r="J75" s="207">
        <v>100</v>
      </c>
      <c r="K75" s="207">
        <v>30</v>
      </c>
      <c r="L75" s="214" t="s">
        <v>660</v>
      </c>
      <c r="M75" s="214" t="s">
        <v>945</v>
      </c>
      <c r="N75" s="215" t="s">
        <v>721</v>
      </c>
      <c r="O75" s="216"/>
      <c r="P75" s="216"/>
      <c r="Q75" s="218">
        <v>5.0000000000000001E-3</v>
      </c>
      <c r="R75" s="218">
        <v>0.13300000000000001</v>
      </c>
      <c r="S75" s="218">
        <v>0</v>
      </c>
      <c r="T75" s="152"/>
      <c r="U75" s="222"/>
      <c r="V75" s="223"/>
      <c r="W75" s="223"/>
      <c r="X75" s="215"/>
      <c r="Y75" s="216"/>
      <c r="Z75" s="216"/>
      <c r="AA75" s="218"/>
      <c r="AB75" s="218"/>
      <c r="AC75" s="218"/>
    </row>
    <row r="76" spans="1:29" ht="15.75" customHeight="1">
      <c r="A76" s="26" t="s">
        <v>548</v>
      </c>
      <c r="B76" s="26" t="s">
        <v>613</v>
      </c>
      <c r="C76" s="26" t="s">
        <v>982</v>
      </c>
      <c r="D76" s="219" t="s">
        <v>983</v>
      </c>
      <c r="E76" s="26" t="s">
        <v>982</v>
      </c>
      <c r="F76" s="26" t="s">
        <v>617</v>
      </c>
      <c r="G76" s="280" t="s">
        <v>1745</v>
      </c>
      <c r="H76" s="206" t="s">
        <v>595</v>
      </c>
      <c r="I76" s="207">
        <v>60</v>
      </c>
      <c r="J76" s="207">
        <v>100</v>
      </c>
      <c r="K76" s="207">
        <v>18</v>
      </c>
      <c r="L76" s="214"/>
      <c r="M76" s="214"/>
      <c r="N76" s="215" t="s">
        <v>897</v>
      </c>
      <c r="O76" s="216" t="s">
        <v>940</v>
      </c>
      <c r="P76" s="216" t="s">
        <v>936</v>
      </c>
      <c r="Q76" s="218">
        <v>1.0999999999999999E-2</v>
      </c>
      <c r="R76" s="218">
        <v>0.01</v>
      </c>
      <c r="S76" s="218">
        <v>0</v>
      </c>
      <c r="T76" s="26"/>
      <c r="U76" s="207"/>
      <c r="V76" s="214"/>
      <c r="W76" s="214"/>
      <c r="X76" s="215"/>
      <c r="Y76" s="217"/>
      <c r="Z76" s="217"/>
      <c r="AA76" s="218"/>
      <c r="AB76" s="218"/>
      <c r="AC76" s="218"/>
    </row>
    <row r="77" spans="1:29" ht="15.75" customHeight="1">
      <c r="A77" s="26" t="s">
        <v>517</v>
      </c>
      <c r="B77" s="26" t="s">
        <v>636</v>
      </c>
      <c r="C77" s="26" t="s">
        <v>984</v>
      </c>
      <c r="D77" s="219" t="s">
        <v>985</v>
      </c>
      <c r="E77" s="26" t="s">
        <v>986</v>
      </c>
      <c r="F77" s="26" t="s">
        <v>617</v>
      </c>
      <c r="G77" s="280" t="s">
        <v>1745</v>
      </c>
      <c r="H77" s="206" t="s">
        <v>33</v>
      </c>
      <c r="I77" s="207">
        <v>60</v>
      </c>
      <c r="J77" s="207">
        <v>100</v>
      </c>
      <c r="K77" s="207">
        <v>12</v>
      </c>
      <c r="L77" s="214" t="s">
        <v>891</v>
      </c>
      <c r="M77" s="214">
        <v>1</v>
      </c>
      <c r="N77" s="215" t="s">
        <v>794</v>
      </c>
      <c r="O77" s="216" t="s">
        <v>738</v>
      </c>
      <c r="P77" s="216" t="s">
        <v>987</v>
      </c>
      <c r="Q77" s="218">
        <v>8.9999999999999993E-3</v>
      </c>
      <c r="R77" s="218">
        <v>1.2E-2</v>
      </c>
      <c r="S77" s="218">
        <v>0</v>
      </c>
      <c r="T77" s="26"/>
      <c r="U77" s="207"/>
      <c r="V77" s="214"/>
      <c r="W77" s="214"/>
      <c r="X77" s="215"/>
      <c r="Y77" s="217"/>
      <c r="Z77" s="217"/>
      <c r="AA77" s="218"/>
      <c r="AB77" s="218"/>
      <c r="AC77" s="218"/>
    </row>
    <row r="78" spans="1:29" ht="15.75" customHeight="1">
      <c r="A78" s="26" t="s">
        <v>429</v>
      </c>
      <c r="B78" s="26" t="s">
        <v>673</v>
      </c>
      <c r="C78" s="26" t="s">
        <v>988</v>
      </c>
      <c r="D78" s="26" t="s">
        <v>989</v>
      </c>
      <c r="E78" s="26" t="s">
        <v>990</v>
      </c>
      <c r="F78" s="26" t="s">
        <v>677</v>
      </c>
      <c r="G78" s="279" t="s">
        <v>1745</v>
      </c>
      <c r="H78" s="206" t="s">
        <v>33</v>
      </c>
      <c r="I78" s="207">
        <v>40</v>
      </c>
      <c r="J78" s="207">
        <v>10</v>
      </c>
      <c r="K78" s="207">
        <v>90</v>
      </c>
      <c r="L78" s="214"/>
      <c r="M78" s="214"/>
      <c r="N78" s="215" t="s">
        <v>679</v>
      </c>
      <c r="O78" s="216" t="s">
        <v>857</v>
      </c>
      <c r="P78" s="216" t="s">
        <v>626</v>
      </c>
      <c r="Q78" s="218">
        <v>8.0000000000000002E-3</v>
      </c>
      <c r="R78" s="218">
        <v>0.114</v>
      </c>
      <c r="S78" s="218">
        <v>0</v>
      </c>
      <c r="T78" s="26" t="s">
        <v>858</v>
      </c>
      <c r="U78" s="207">
        <v>92</v>
      </c>
      <c r="V78" s="214"/>
      <c r="W78" s="214"/>
      <c r="X78" s="215" t="s">
        <v>991</v>
      </c>
      <c r="Y78" s="216"/>
      <c r="Z78" s="216" t="s">
        <v>690</v>
      </c>
      <c r="AA78" s="218"/>
      <c r="AB78" s="218"/>
      <c r="AC78" s="218"/>
    </row>
    <row r="79" spans="1:29" ht="15.75" customHeight="1">
      <c r="A79" s="26" t="s">
        <v>483</v>
      </c>
      <c r="B79" s="26" t="s">
        <v>590</v>
      </c>
      <c r="C79" s="26" t="s">
        <v>992</v>
      </c>
      <c r="D79" s="26" t="s">
        <v>993</v>
      </c>
      <c r="E79" s="26" t="s">
        <v>994</v>
      </c>
      <c r="F79" s="26" t="s">
        <v>594</v>
      </c>
      <c r="G79" s="279" t="s">
        <v>1745</v>
      </c>
      <c r="H79" s="206" t="s">
        <v>33</v>
      </c>
      <c r="I79" s="207">
        <v>90</v>
      </c>
      <c r="J79" s="207">
        <v>100</v>
      </c>
      <c r="K79" s="207" t="s">
        <v>995</v>
      </c>
      <c r="L79" s="214"/>
      <c r="M79" s="214"/>
      <c r="N79" s="215" t="s">
        <v>996</v>
      </c>
      <c r="O79" s="216" t="s">
        <v>956</v>
      </c>
      <c r="P79" s="216" t="s">
        <v>997</v>
      </c>
      <c r="Q79" s="218"/>
      <c r="R79" s="218"/>
      <c r="S79" s="218"/>
      <c r="T79" s="26"/>
      <c r="U79" s="207"/>
      <c r="V79" s="214"/>
      <c r="W79" s="214"/>
      <c r="X79" s="215"/>
      <c r="Y79" s="217"/>
      <c r="Z79" s="217"/>
      <c r="AA79" s="218"/>
      <c r="AB79" s="218"/>
      <c r="AC79" s="218"/>
    </row>
    <row r="80" spans="1:29" ht="15.75" customHeight="1">
      <c r="A80" s="26" t="s">
        <v>430</v>
      </c>
      <c r="B80" s="26" t="s">
        <v>673</v>
      </c>
      <c r="C80" s="26" t="s">
        <v>998</v>
      </c>
      <c r="D80" s="26" t="s">
        <v>999</v>
      </c>
      <c r="E80" s="26" t="s">
        <v>1000</v>
      </c>
      <c r="F80" s="26" t="s">
        <v>677</v>
      </c>
      <c r="G80" s="279" t="s">
        <v>1745</v>
      </c>
      <c r="H80" s="206" t="s">
        <v>33</v>
      </c>
      <c r="I80" s="207">
        <v>40</v>
      </c>
      <c r="J80" s="207">
        <v>10</v>
      </c>
      <c r="K80" s="207" t="s">
        <v>807</v>
      </c>
      <c r="L80" s="214"/>
      <c r="M80" s="214"/>
      <c r="N80" s="215">
        <v>2</v>
      </c>
      <c r="O80" s="216" t="s">
        <v>1001</v>
      </c>
      <c r="P80" s="216" t="s">
        <v>1002</v>
      </c>
      <c r="Q80" s="218">
        <v>8.0000000000000002E-3</v>
      </c>
      <c r="R80" s="218">
        <v>0.114</v>
      </c>
      <c r="S80" s="218">
        <v>0</v>
      </c>
      <c r="T80" s="26" t="s">
        <v>858</v>
      </c>
      <c r="U80" s="207" t="s">
        <v>1003</v>
      </c>
      <c r="V80" s="214"/>
      <c r="W80" s="214"/>
      <c r="X80" s="215" t="s">
        <v>891</v>
      </c>
      <c r="Y80" s="216" t="s">
        <v>1004</v>
      </c>
      <c r="Z80" s="216" t="s">
        <v>690</v>
      </c>
      <c r="AA80" s="218"/>
      <c r="AB80" s="218"/>
      <c r="AC80" s="218"/>
    </row>
    <row r="81" spans="1:29" ht="15.75" customHeight="1">
      <c r="A81" s="26" t="s">
        <v>431</v>
      </c>
      <c r="B81" s="26" t="s">
        <v>673</v>
      </c>
      <c r="C81" s="26" t="s">
        <v>1005</v>
      </c>
      <c r="D81" s="26" t="s">
        <v>1006</v>
      </c>
      <c r="E81" s="26" t="s">
        <v>1007</v>
      </c>
      <c r="F81" s="26" t="s">
        <v>677</v>
      </c>
      <c r="G81" s="279" t="s">
        <v>1745</v>
      </c>
      <c r="H81" s="206" t="s">
        <v>33</v>
      </c>
      <c r="I81" s="207">
        <v>40</v>
      </c>
      <c r="J81" s="207">
        <v>10</v>
      </c>
      <c r="K81" s="207" t="s">
        <v>683</v>
      </c>
      <c r="L81" s="214"/>
      <c r="M81" s="214"/>
      <c r="N81" s="215" t="s">
        <v>680</v>
      </c>
      <c r="O81" s="216" t="s">
        <v>857</v>
      </c>
      <c r="P81" s="216" t="s">
        <v>1008</v>
      </c>
      <c r="Q81" s="218">
        <v>8.0000000000000002E-3</v>
      </c>
      <c r="R81" s="218">
        <v>0.114</v>
      </c>
      <c r="S81" s="218">
        <v>0</v>
      </c>
      <c r="T81" s="26" t="s">
        <v>858</v>
      </c>
      <c r="U81" s="207">
        <v>92</v>
      </c>
      <c r="V81" s="214"/>
      <c r="W81" s="214"/>
      <c r="X81" s="215" t="s">
        <v>891</v>
      </c>
      <c r="Y81" s="216"/>
      <c r="Z81" s="216" t="s">
        <v>690</v>
      </c>
      <c r="AA81" s="218"/>
      <c r="AB81" s="218"/>
      <c r="AC81" s="218"/>
    </row>
    <row r="82" spans="1:29" ht="15.75" customHeight="1">
      <c r="A82" s="26" t="s">
        <v>484</v>
      </c>
      <c r="B82" s="26" t="s">
        <v>590</v>
      </c>
      <c r="C82" s="26" t="s">
        <v>1009</v>
      </c>
      <c r="D82" s="26" t="s">
        <v>1010</v>
      </c>
      <c r="E82" s="26" t="s">
        <v>1011</v>
      </c>
      <c r="F82" s="26" t="s">
        <v>594</v>
      </c>
      <c r="G82" s="279" t="s">
        <v>1745</v>
      </c>
      <c r="H82" s="206" t="s">
        <v>33</v>
      </c>
      <c r="I82" s="207">
        <v>90</v>
      </c>
      <c r="J82" s="207">
        <v>100</v>
      </c>
      <c r="K82" s="207" t="s">
        <v>1012</v>
      </c>
      <c r="L82" s="214"/>
      <c r="M82" s="214"/>
      <c r="N82" s="215" t="s">
        <v>672</v>
      </c>
      <c r="O82" s="216" t="s">
        <v>604</v>
      </c>
      <c r="P82" s="216" t="s">
        <v>1013</v>
      </c>
      <c r="Q82" s="218"/>
      <c r="R82" s="218"/>
      <c r="S82" s="218"/>
      <c r="T82" s="26"/>
      <c r="U82" s="207"/>
      <c r="V82" s="214"/>
      <c r="W82" s="214"/>
      <c r="X82" s="215"/>
      <c r="Y82" s="217"/>
      <c r="Z82" s="217"/>
      <c r="AA82" s="218"/>
      <c r="AB82" s="218"/>
      <c r="AC82" s="218"/>
    </row>
    <row r="83" spans="1:29" ht="15.75" customHeight="1">
      <c r="A83" s="26" t="s">
        <v>518</v>
      </c>
      <c r="B83" s="26" t="s">
        <v>636</v>
      </c>
      <c r="C83" s="26" t="s">
        <v>1014</v>
      </c>
      <c r="D83" s="219" t="s">
        <v>985</v>
      </c>
      <c r="E83" s="26" t="s">
        <v>1015</v>
      </c>
      <c r="F83" s="26" t="s">
        <v>617</v>
      </c>
      <c r="G83" s="279" t="s">
        <v>1745</v>
      </c>
      <c r="H83" s="206" t="s">
        <v>33</v>
      </c>
      <c r="I83" s="207">
        <v>60</v>
      </c>
      <c r="J83" s="207">
        <v>100</v>
      </c>
      <c r="K83" s="207">
        <v>10</v>
      </c>
      <c r="L83" s="214" t="s">
        <v>702</v>
      </c>
      <c r="M83" s="214" t="s">
        <v>690</v>
      </c>
      <c r="N83" s="215" t="s">
        <v>631</v>
      </c>
      <c r="O83" s="216" t="s">
        <v>1016</v>
      </c>
      <c r="P83" s="216" t="s">
        <v>1017</v>
      </c>
      <c r="Q83" s="218">
        <v>8.9999999999999993E-3</v>
      </c>
      <c r="R83" s="218">
        <v>1.2E-2</v>
      </c>
      <c r="S83" s="218">
        <v>0</v>
      </c>
      <c r="T83" s="26"/>
      <c r="U83" s="207"/>
      <c r="V83" s="214"/>
      <c r="W83" s="214"/>
      <c r="X83" s="215"/>
      <c r="Y83" s="217"/>
      <c r="Z83" s="217"/>
      <c r="AA83" s="218"/>
      <c r="AB83" s="218"/>
      <c r="AC83" s="218"/>
    </row>
    <row r="84" spans="1:29" ht="15.75" customHeight="1">
      <c r="A84" s="26" t="s">
        <v>432</v>
      </c>
      <c r="B84" s="26" t="s">
        <v>673</v>
      </c>
      <c r="C84" s="26" t="s">
        <v>1018</v>
      </c>
      <c r="D84" s="26" t="s">
        <v>1019</v>
      </c>
      <c r="E84" s="26" t="s">
        <v>1020</v>
      </c>
      <c r="F84" s="26" t="s">
        <v>677</v>
      </c>
      <c r="G84" s="279" t="s">
        <v>1745</v>
      </c>
      <c r="H84" s="206" t="s">
        <v>33</v>
      </c>
      <c r="I84" s="207">
        <v>40</v>
      </c>
      <c r="J84" s="207">
        <v>10</v>
      </c>
      <c r="K84" s="208">
        <v>91</v>
      </c>
      <c r="L84" s="209" t="s">
        <v>631</v>
      </c>
      <c r="M84" s="209" t="s">
        <v>689</v>
      </c>
      <c r="N84" s="210" t="s">
        <v>690</v>
      </c>
      <c r="O84" s="211" t="s">
        <v>1016</v>
      </c>
      <c r="P84" s="211" t="s">
        <v>714</v>
      </c>
      <c r="Q84" s="220">
        <v>5.3999999999999999E-2</v>
      </c>
      <c r="R84" s="220">
        <v>0.17699999999999999</v>
      </c>
      <c r="S84" s="218">
        <v>0</v>
      </c>
      <c r="T84" s="26" t="s">
        <v>682</v>
      </c>
      <c r="U84" s="208" t="s">
        <v>807</v>
      </c>
      <c r="V84" s="209" t="s">
        <v>668</v>
      </c>
      <c r="W84" s="209" t="s">
        <v>891</v>
      </c>
      <c r="X84" s="210" t="s">
        <v>669</v>
      </c>
      <c r="Y84" s="211" t="s">
        <v>693</v>
      </c>
      <c r="Z84" s="211" t="s">
        <v>680</v>
      </c>
      <c r="AA84" s="218"/>
      <c r="AB84" s="218"/>
      <c r="AC84" s="218"/>
    </row>
    <row r="85" spans="1:29" ht="15.75" customHeight="1">
      <c r="A85" s="26" t="s">
        <v>485</v>
      </c>
      <c r="B85" s="26" t="s">
        <v>590</v>
      </c>
      <c r="C85" s="26" t="s">
        <v>1021</v>
      </c>
      <c r="D85" s="26" t="s">
        <v>1019</v>
      </c>
      <c r="E85" s="26" t="s">
        <v>1022</v>
      </c>
      <c r="F85" s="26" t="s">
        <v>594</v>
      </c>
      <c r="G85" s="284" t="s">
        <v>1743</v>
      </c>
      <c r="H85" s="206" t="s">
        <v>33</v>
      </c>
      <c r="I85" s="207">
        <v>90</v>
      </c>
      <c r="J85" s="207">
        <v>100</v>
      </c>
      <c r="K85" s="207" t="s">
        <v>1023</v>
      </c>
      <c r="L85" s="214"/>
      <c r="M85" s="214"/>
      <c r="N85" s="215" t="s">
        <v>1024</v>
      </c>
      <c r="O85" s="216" t="s">
        <v>1025</v>
      </c>
      <c r="P85" s="216" t="s">
        <v>1026</v>
      </c>
      <c r="Q85" s="218"/>
      <c r="R85" s="218"/>
      <c r="S85" s="218"/>
      <c r="T85" s="26"/>
      <c r="U85" s="207"/>
      <c r="V85" s="214"/>
      <c r="W85" s="214"/>
      <c r="X85" s="215"/>
      <c r="Y85" s="217"/>
      <c r="Z85" s="217"/>
      <c r="AA85" s="218"/>
      <c r="AB85" s="218"/>
      <c r="AC85" s="218"/>
    </row>
    <row r="86" spans="1:29" ht="15.75" customHeight="1">
      <c r="A86" s="26" t="s">
        <v>549</v>
      </c>
      <c r="B86" s="26" t="s">
        <v>613</v>
      </c>
      <c r="C86" s="26" t="s">
        <v>1027</v>
      </c>
      <c r="D86" s="219" t="s">
        <v>1028</v>
      </c>
      <c r="E86" s="26" t="s">
        <v>1029</v>
      </c>
      <c r="F86" s="26" t="s">
        <v>1030</v>
      </c>
      <c r="G86" s="279" t="s">
        <v>1745</v>
      </c>
      <c r="H86" s="206" t="s">
        <v>595</v>
      </c>
      <c r="I86" s="207">
        <v>60</v>
      </c>
      <c r="J86" s="207">
        <v>100</v>
      </c>
      <c r="K86" s="207">
        <v>79</v>
      </c>
      <c r="L86" s="214"/>
      <c r="M86" s="214"/>
      <c r="N86" s="215" t="s">
        <v>721</v>
      </c>
      <c r="O86" s="216" t="s">
        <v>1031</v>
      </c>
      <c r="P86" s="216" t="s">
        <v>620</v>
      </c>
      <c r="Q86" s="218">
        <v>0</v>
      </c>
      <c r="R86" s="218">
        <v>0</v>
      </c>
      <c r="S86" s="218">
        <v>0</v>
      </c>
      <c r="T86" s="26"/>
      <c r="U86" s="207"/>
      <c r="V86" s="214"/>
      <c r="W86" s="214"/>
      <c r="X86" s="215"/>
      <c r="Y86" s="217"/>
      <c r="Z86" s="217"/>
      <c r="AA86" s="218"/>
      <c r="AB86" s="218"/>
      <c r="AC86" s="218"/>
    </row>
    <row r="87" spans="1:29" ht="15.75" customHeight="1">
      <c r="A87" s="26" t="s">
        <v>550</v>
      </c>
      <c r="B87" s="26" t="s">
        <v>613</v>
      </c>
      <c r="C87" s="26" t="s">
        <v>1032</v>
      </c>
      <c r="D87" s="219" t="s">
        <v>1033</v>
      </c>
      <c r="E87" s="26" t="s">
        <v>1034</v>
      </c>
      <c r="F87" s="26" t="s">
        <v>617</v>
      </c>
      <c r="G87" s="280" t="s">
        <v>1745</v>
      </c>
      <c r="H87" s="206" t="s">
        <v>595</v>
      </c>
      <c r="I87" s="207">
        <v>60</v>
      </c>
      <c r="J87" s="207">
        <v>100</v>
      </c>
      <c r="K87" s="207">
        <v>50</v>
      </c>
      <c r="L87" s="214" t="s">
        <v>929</v>
      </c>
      <c r="M87" s="214" t="s">
        <v>808</v>
      </c>
      <c r="N87" s="215" t="s">
        <v>1035</v>
      </c>
      <c r="O87" s="216" t="s">
        <v>634</v>
      </c>
      <c r="P87" s="216" t="s">
        <v>721</v>
      </c>
      <c r="Q87" s="218">
        <v>5.1999999999999998E-2</v>
      </c>
      <c r="R87" s="218">
        <v>1.0999999999999999E-2</v>
      </c>
      <c r="S87" s="218">
        <v>0</v>
      </c>
      <c r="T87" s="26"/>
      <c r="U87" s="207">
        <v>70</v>
      </c>
      <c r="V87" s="214">
        <v>1</v>
      </c>
      <c r="W87" s="214">
        <v>2</v>
      </c>
      <c r="X87" s="215" t="s">
        <v>631</v>
      </c>
      <c r="Y87" s="217"/>
      <c r="Z87" s="217"/>
      <c r="AA87" s="218"/>
      <c r="AB87" s="218"/>
      <c r="AC87" s="218"/>
    </row>
    <row r="88" spans="1:29" ht="15.75" customHeight="1">
      <c r="A88" s="26" t="s">
        <v>519</v>
      </c>
      <c r="B88" s="26" t="s">
        <v>636</v>
      </c>
      <c r="C88" s="26" t="s">
        <v>1036</v>
      </c>
      <c r="D88" s="219" t="s">
        <v>1037</v>
      </c>
      <c r="E88" s="26" t="s">
        <v>1038</v>
      </c>
      <c r="F88" s="26" t="s">
        <v>961</v>
      </c>
      <c r="G88" s="279" t="s">
        <v>1745</v>
      </c>
      <c r="H88" s="206" t="s">
        <v>33</v>
      </c>
      <c r="I88" s="207">
        <v>70</v>
      </c>
      <c r="J88" s="207">
        <v>0</v>
      </c>
      <c r="K88" s="207">
        <v>10</v>
      </c>
      <c r="L88" s="214" t="s">
        <v>1039</v>
      </c>
      <c r="M88" s="214" t="s">
        <v>607</v>
      </c>
      <c r="N88" s="215" t="s">
        <v>679</v>
      </c>
      <c r="O88" s="216" t="s">
        <v>626</v>
      </c>
      <c r="P88" s="216" t="s">
        <v>662</v>
      </c>
      <c r="Q88" s="218">
        <v>2.3E-2</v>
      </c>
      <c r="R88" s="218">
        <v>0.01</v>
      </c>
      <c r="S88" s="218">
        <v>0</v>
      </c>
      <c r="T88" s="26" t="s">
        <v>1040</v>
      </c>
      <c r="U88" s="207">
        <v>8</v>
      </c>
      <c r="V88" s="214" t="s">
        <v>611</v>
      </c>
      <c r="W88" s="214" t="s">
        <v>719</v>
      </c>
      <c r="X88" s="215">
        <v>4</v>
      </c>
      <c r="Y88" s="216" t="s">
        <v>1001</v>
      </c>
      <c r="Z88" s="216" t="s">
        <v>864</v>
      </c>
      <c r="AA88" s="218"/>
      <c r="AB88" s="218"/>
      <c r="AC88" s="218"/>
    </row>
    <row r="89" spans="1:29" ht="15.75" customHeight="1">
      <c r="A89" s="26" t="s">
        <v>447</v>
      </c>
      <c r="B89" s="26" t="s">
        <v>778</v>
      </c>
      <c r="C89" s="26" t="s">
        <v>1041</v>
      </c>
      <c r="D89" s="26" t="s">
        <v>1042</v>
      </c>
      <c r="E89" s="26" t="s">
        <v>1043</v>
      </c>
      <c r="F89" s="26" t="s">
        <v>1044</v>
      </c>
      <c r="G89" s="279" t="s">
        <v>1745</v>
      </c>
      <c r="H89" s="206" t="s">
        <v>33</v>
      </c>
      <c r="I89" s="207">
        <v>35</v>
      </c>
      <c r="J89" s="207">
        <v>100</v>
      </c>
      <c r="K89" s="207" t="s">
        <v>1045</v>
      </c>
      <c r="L89" s="214" t="s">
        <v>680</v>
      </c>
      <c r="M89" s="214" t="s">
        <v>597</v>
      </c>
      <c r="N89" s="215" t="s">
        <v>598</v>
      </c>
      <c r="O89" s="216" t="s">
        <v>668</v>
      </c>
      <c r="P89" s="216" t="s">
        <v>640</v>
      </c>
      <c r="Q89" s="218"/>
      <c r="R89" s="218"/>
      <c r="S89" s="218"/>
      <c r="T89" s="26" t="s">
        <v>1046</v>
      </c>
      <c r="U89" s="207">
        <v>90</v>
      </c>
      <c r="V89" s="214" t="s">
        <v>891</v>
      </c>
      <c r="W89" s="214" t="s">
        <v>662</v>
      </c>
      <c r="X89" s="215">
        <v>1</v>
      </c>
      <c r="Y89" s="216" t="s">
        <v>1035</v>
      </c>
      <c r="Z89" s="216" t="s">
        <v>597</v>
      </c>
      <c r="AA89" s="218"/>
      <c r="AB89" s="218"/>
      <c r="AC89" s="218"/>
    </row>
    <row r="90" spans="1:29" ht="15.75" customHeight="1">
      <c r="A90" s="26" t="s">
        <v>551</v>
      </c>
      <c r="B90" s="26" t="s">
        <v>613</v>
      </c>
      <c r="C90" s="26" t="s">
        <v>1047</v>
      </c>
      <c r="D90" s="219" t="s">
        <v>1048</v>
      </c>
      <c r="E90" s="26" t="s">
        <v>1049</v>
      </c>
      <c r="F90" s="26" t="s">
        <v>617</v>
      </c>
      <c r="G90" s="279" t="s">
        <v>1745</v>
      </c>
      <c r="H90" s="206" t="s">
        <v>595</v>
      </c>
      <c r="I90" s="207">
        <v>60</v>
      </c>
      <c r="J90" s="207">
        <v>100</v>
      </c>
      <c r="K90" s="207">
        <v>18</v>
      </c>
      <c r="L90" s="214">
        <v>1</v>
      </c>
      <c r="M90" s="214" t="s">
        <v>702</v>
      </c>
      <c r="N90" s="215" t="s">
        <v>662</v>
      </c>
      <c r="O90" s="216" t="s">
        <v>634</v>
      </c>
      <c r="P90" s="216" t="s">
        <v>855</v>
      </c>
      <c r="Q90" s="218">
        <v>0.04</v>
      </c>
      <c r="R90" s="218">
        <v>0.01</v>
      </c>
      <c r="S90" s="218">
        <v>0</v>
      </c>
      <c r="T90" s="26"/>
      <c r="U90" s="207"/>
      <c r="V90" s="214"/>
      <c r="W90" s="214"/>
      <c r="X90" s="215"/>
      <c r="Y90" s="217"/>
      <c r="Z90" s="217"/>
      <c r="AA90" s="218"/>
      <c r="AB90" s="218"/>
      <c r="AC90" s="218"/>
    </row>
    <row r="91" spans="1:29" ht="15.75" customHeight="1">
      <c r="A91" s="26" t="s">
        <v>486</v>
      </c>
      <c r="B91" s="26" t="s">
        <v>590</v>
      </c>
      <c r="C91" s="26" t="s">
        <v>1050</v>
      </c>
      <c r="D91" s="26" t="s">
        <v>1051</v>
      </c>
      <c r="E91" s="26" t="s">
        <v>1052</v>
      </c>
      <c r="F91" s="26" t="s">
        <v>594</v>
      </c>
      <c r="G91" s="279" t="s">
        <v>1745</v>
      </c>
      <c r="H91" s="206" t="s">
        <v>33</v>
      </c>
      <c r="I91" s="207">
        <v>90</v>
      </c>
      <c r="J91" s="207">
        <v>100</v>
      </c>
      <c r="K91" s="207" t="s">
        <v>1053</v>
      </c>
      <c r="L91" s="214"/>
      <c r="M91" s="214"/>
      <c r="N91" s="215" t="s">
        <v>1054</v>
      </c>
      <c r="O91" s="216" t="s">
        <v>956</v>
      </c>
      <c r="P91" s="216" t="s">
        <v>1055</v>
      </c>
      <c r="Q91" s="218"/>
      <c r="R91" s="218"/>
      <c r="S91" s="218"/>
      <c r="T91" s="26"/>
      <c r="U91" s="207"/>
      <c r="V91" s="214"/>
      <c r="W91" s="214"/>
      <c r="X91" s="215"/>
      <c r="Y91" s="217"/>
      <c r="Z91" s="217"/>
      <c r="AA91" s="218"/>
      <c r="AB91" s="218"/>
      <c r="AC91" s="218"/>
    </row>
    <row r="92" spans="1:29" ht="15.75" customHeight="1">
      <c r="A92" s="26" t="s">
        <v>487</v>
      </c>
      <c r="B92" s="26" t="s">
        <v>590</v>
      </c>
      <c r="C92" s="26" t="s">
        <v>1056</v>
      </c>
      <c r="D92" s="26" t="s">
        <v>1051</v>
      </c>
      <c r="E92" s="26" t="s">
        <v>1057</v>
      </c>
      <c r="F92" s="26" t="s">
        <v>594</v>
      </c>
      <c r="G92" s="284" t="s">
        <v>1743</v>
      </c>
      <c r="H92" s="206" t="s">
        <v>33</v>
      </c>
      <c r="I92" s="207">
        <v>90</v>
      </c>
      <c r="J92" s="207">
        <v>100</v>
      </c>
      <c r="K92" s="207" t="s">
        <v>850</v>
      </c>
      <c r="L92" s="214"/>
      <c r="M92" s="214"/>
      <c r="N92" s="215" t="s">
        <v>1058</v>
      </c>
      <c r="O92" s="216" t="s">
        <v>624</v>
      </c>
      <c r="P92" s="216" t="s">
        <v>1055</v>
      </c>
      <c r="Q92" s="218"/>
      <c r="R92" s="218"/>
      <c r="S92" s="218"/>
      <c r="T92" s="26"/>
      <c r="U92" s="207"/>
      <c r="V92" s="214"/>
      <c r="W92" s="214"/>
      <c r="X92" s="215"/>
      <c r="Y92" s="217"/>
      <c r="Z92" s="217"/>
      <c r="AA92" s="218"/>
      <c r="AB92" s="218"/>
      <c r="AC92" s="218"/>
    </row>
    <row r="93" spans="1:29" ht="15.75" customHeight="1">
      <c r="A93" s="26" t="s">
        <v>520</v>
      </c>
      <c r="B93" s="26" t="s">
        <v>636</v>
      </c>
      <c r="C93" s="26" t="s">
        <v>1059</v>
      </c>
      <c r="D93" s="219" t="s">
        <v>1060</v>
      </c>
      <c r="E93" s="26" t="s">
        <v>1061</v>
      </c>
      <c r="F93" s="26" t="s">
        <v>767</v>
      </c>
      <c r="G93" s="279" t="s">
        <v>1745</v>
      </c>
      <c r="H93" s="206" t="s">
        <v>33</v>
      </c>
      <c r="I93" s="207">
        <v>80</v>
      </c>
      <c r="J93" s="207">
        <v>100</v>
      </c>
      <c r="K93" s="207">
        <v>10</v>
      </c>
      <c r="L93" s="214" t="s">
        <v>612</v>
      </c>
      <c r="M93" s="214" t="s">
        <v>618</v>
      </c>
      <c r="N93" s="215" t="s">
        <v>699</v>
      </c>
      <c r="O93" s="216" t="s">
        <v>808</v>
      </c>
      <c r="P93" s="216" t="s">
        <v>701</v>
      </c>
      <c r="Q93" s="218">
        <v>0.13800000000000001</v>
      </c>
      <c r="R93" s="218">
        <v>0.05</v>
      </c>
      <c r="S93" s="218">
        <v>0</v>
      </c>
      <c r="T93" s="26"/>
      <c r="U93" s="207"/>
      <c r="V93" s="214"/>
      <c r="W93" s="214"/>
      <c r="X93" s="215"/>
      <c r="Y93" s="217"/>
      <c r="Z93" s="217"/>
      <c r="AA93" s="218"/>
      <c r="AB93" s="218"/>
      <c r="AC93" s="218"/>
    </row>
    <row r="94" spans="1:29" ht="15.75" customHeight="1">
      <c r="A94" s="26" t="s">
        <v>465</v>
      </c>
      <c r="B94" s="26" t="s">
        <v>694</v>
      </c>
      <c r="C94" s="26" t="s">
        <v>1062</v>
      </c>
      <c r="D94" s="26" t="s">
        <v>1063</v>
      </c>
      <c r="E94" s="26" t="s">
        <v>1064</v>
      </c>
      <c r="F94" s="26" t="s">
        <v>698</v>
      </c>
      <c r="G94" s="284" t="s">
        <v>1743</v>
      </c>
      <c r="H94" s="206" t="s">
        <v>33</v>
      </c>
      <c r="I94" s="207">
        <v>35</v>
      </c>
      <c r="J94" s="207">
        <v>100</v>
      </c>
      <c r="K94" s="207">
        <v>90</v>
      </c>
      <c r="L94" s="214">
        <v>4</v>
      </c>
      <c r="M94" s="214" t="s">
        <v>655</v>
      </c>
      <c r="N94" s="215" t="s">
        <v>653</v>
      </c>
      <c r="O94" s="216" t="s">
        <v>1008</v>
      </c>
      <c r="P94" s="216" t="s">
        <v>661</v>
      </c>
      <c r="Q94" s="218">
        <v>3.5999999999999997E-2</v>
      </c>
      <c r="R94" s="218">
        <v>5.6000000000000001E-2</v>
      </c>
      <c r="S94" s="218">
        <v>0</v>
      </c>
      <c r="T94" s="26" t="s">
        <v>682</v>
      </c>
      <c r="U94" s="207" t="s">
        <v>688</v>
      </c>
      <c r="V94" s="214" t="s">
        <v>662</v>
      </c>
      <c r="W94" s="214" t="s">
        <v>702</v>
      </c>
      <c r="X94" s="215" t="s">
        <v>661</v>
      </c>
      <c r="Y94" s="216" t="s">
        <v>1035</v>
      </c>
      <c r="Z94" s="216" t="s">
        <v>662</v>
      </c>
      <c r="AA94" s="218"/>
      <c r="AB94" s="218"/>
      <c r="AC94" s="218"/>
    </row>
    <row r="95" spans="1:29" ht="15.75" customHeight="1">
      <c r="A95" s="26" t="s">
        <v>420</v>
      </c>
      <c r="B95" s="26" t="s">
        <v>636</v>
      </c>
      <c r="C95" s="26" t="s">
        <v>1065</v>
      </c>
      <c r="D95" s="219" t="s">
        <v>1063</v>
      </c>
      <c r="E95" s="26" t="s">
        <v>1066</v>
      </c>
      <c r="F95" s="26" t="s">
        <v>881</v>
      </c>
      <c r="G95" s="284" t="s">
        <v>1743</v>
      </c>
      <c r="H95" s="206" t="s">
        <v>33</v>
      </c>
      <c r="I95" s="207">
        <v>35</v>
      </c>
      <c r="J95" s="207">
        <v>100</v>
      </c>
      <c r="K95" s="207" t="s">
        <v>1067</v>
      </c>
      <c r="L95" s="214" t="s">
        <v>679</v>
      </c>
      <c r="M95" s="214" t="s">
        <v>706</v>
      </c>
      <c r="N95" s="215">
        <v>3</v>
      </c>
      <c r="O95" s="217">
        <v>0.32100000000000001</v>
      </c>
      <c r="P95" s="217">
        <v>0.82299999999999995</v>
      </c>
      <c r="Q95" s="218">
        <v>3.6999999999999998E-2</v>
      </c>
      <c r="R95" s="218">
        <v>4.9000000000000002E-2</v>
      </c>
      <c r="S95" s="218">
        <v>0</v>
      </c>
      <c r="T95" s="26" t="s">
        <v>682</v>
      </c>
      <c r="U95" s="207">
        <v>25</v>
      </c>
      <c r="V95" s="214" t="s">
        <v>1039</v>
      </c>
      <c r="W95" s="214" t="s">
        <v>596</v>
      </c>
      <c r="X95" s="215">
        <v>2</v>
      </c>
      <c r="Y95" s="217"/>
      <c r="Z95" s="217"/>
      <c r="AA95" s="218"/>
      <c r="AB95" s="218"/>
      <c r="AC95" s="218"/>
    </row>
    <row r="96" spans="1:29" ht="15.75" customHeight="1">
      <c r="A96" s="26" t="s">
        <v>421</v>
      </c>
      <c r="B96" s="26" t="s">
        <v>636</v>
      </c>
      <c r="C96" s="26" t="s">
        <v>1065</v>
      </c>
      <c r="D96" s="219" t="s">
        <v>1063</v>
      </c>
      <c r="E96" s="26" t="s">
        <v>1066</v>
      </c>
      <c r="F96" s="26" t="s">
        <v>806</v>
      </c>
      <c r="G96" s="284" t="s">
        <v>1743</v>
      </c>
      <c r="H96" s="206" t="s">
        <v>33</v>
      </c>
      <c r="I96" s="207">
        <v>35</v>
      </c>
      <c r="J96" s="207">
        <v>100</v>
      </c>
      <c r="K96" s="207">
        <v>21</v>
      </c>
      <c r="L96" s="214" t="s">
        <v>655</v>
      </c>
      <c r="M96" s="214" t="s">
        <v>700</v>
      </c>
      <c r="N96" s="215" t="s">
        <v>654</v>
      </c>
      <c r="O96" s="217">
        <v>0.16500000000000001</v>
      </c>
      <c r="P96" s="217">
        <v>0.38100000000000001</v>
      </c>
      <c r="Q96" s="218">
        <v>3.5999999999999997E-2</v>
      </c>
      <c r="R96" s="218">
        <v>5.6000000000000001E-2</v>
      </c>
      <c r="S96" s="218">
        <v>0</v>
      </c>
      <c r="T96" s="26" t="s">
        <v>682</v>
      </c>
      <c r="U96" s="207">
        <v>25</v>
      </c>
      <c r="V96" s="214" t="s">
        <v>1039</v>
      </c>
      <c r="W96" s="214" t="s">
        <v>596</v>
      </c>
      <c r="X96" s="215">
        <v>2</v>
      </c>
      <c r="Y96" s="217"/>
      <c r="Z96" s="217"/>
      <c r="AA96" s="218"/>
      <c r="AB96" s="218"/>
      <c r="AC96" s="218"/>
    </row>
    <row r="97" spans="1:29" ht="15.75" customHeight="1">
      <c r="A97" s="26" t="s">
        <v>552</v>
      </c>
      <c r="B97" s="26" t="s">
        <v>613</v>
      </c>
      <c r="C97" s="26" t="s">
        <v>1068</v>
      </c>
      <c r="D97" s="219" t="s">
        <v>1069</v>
      </c>
      <c r="E97" s="26" t="s">
        <v>1070</v>
      </c>
      <c r="F97" s="26" t="s">
        <v>617</v>
      </c>
      <c r="G97" s="279" t="s">
        <v>1745</v>
      </c>
      <c r="H97" s="206" t="s">
        <v>595</v>
      </c>
      <c r="I97" s="207">
        <v>60</v>
      </c>
      <c r="J97" s="207">
        <v>100</v>
      </c>
      <c r="K97" s="207">
        <v>12</v>
      </c>
      <c r="L97" s="214" t="s">
        <v>891</v>
      </c>
      <c r="M97" s="214" t="s">
        <v>662</v>
      </c>
      <c r="N97" s="215">
        <v>1</v>
      </c>
      <c r="O97" s="216" t="s">
        <v>776</v>
      </c>
      <c r="P97" s="216" t="s">
        <v>723</v>
      </c>
      <c r="Q97" s="218">
        <v>6.0000000000000001E-3</v>
      </c>
      <c r="R97" s="218">
        <v>8.9999999999999993E-3</v>
      </c>
      <c r="S97" s="218">
        <v>0</v>
      </c>
      <c r="T97" s="26"/>
      <c r="U97" s="207"/>
      <c r="V97" s="214"/>
      <c r="W97" s="214"/>
      <c r="X97" s="215"/>
      <c r="Y97" s="217"/>
      <c r="Z97" s="217"/>
      <c r="AA97" s="218"/>
      <c r="AB97" s="218"/>
      <c r="AC97" s="218"/>
    </row>
    <row r="98" spans="1:29" ht="15.75" customHeight="1">
      <c r="A98" s="26" t="s">
        <v>462</v>
      </c>
      <c r="B98" s="26" t="s">
        <v>694</v>
      </c>
      <c r="C98" s="26" t="s">
        <v>1071</v>
      </c>
      <c r="D98" s="26" t="s">
        <v>1072</v>
      </c>
      <c r="E98" s="26" t="s">
        <v>1073</v>
      </c>
      <c r="F98" s="26" t="s">
        <v>881</v>
      </c>
      <c r="G98" s="284" t="s">
        <v>1743</v>
      </c>
      <c r="H98" s="206" t="s">
        <v>826</v>
      </c>
      <c r="I98" s="207">
        <v>35</v>
      </c>
      <c r="J98" s="207">
        <v>100</v>
      </c>
      <c r="K98" s="207">
        <v>93</v>
      </c>
      <c r="L98" s="214" t="s">
        <v>719</v>
      </c>
      <c r="M98" s="214" t="s">
        <v>655</v>
      </c>
      <c r="N98" s="215" t="s">
        <v>873</v>
      </c>
      <c r="O98" s="216" t="s">
        <v>626</v>
      </c>
      <c r="P98" s="216" t="s">
        <v>1074</v>
      </c>
      <c r="Q98" s="218">
        <v>5.8000000000000003E-2</v>
      </c>
      <c r="R98" s="218">
        <v>0.17799999999999999</v>
      </c>
      <c r="S98" s="218">
        <v>0</v>
      </c>
      <c r="T98" s="26" t="s">
        <v>682</v>
      </c>
      <c r="U98" s="207" t="s">
        <v>683</v>
      </c>
      <c r="V98" s="214" t="s">
        <v>631</v>
      </c>
      <c r="W98" s="214" t="s">
        <v>632</v>
      </c>
      <c r="X98" s="215" t="s">
        <v>633</v>
      </c>
      <c r="Y98" s="216" t="s">
        <v>634</v>
      </c>
      <c r="Z98" s="216" t="s">
        <v>928</v>
      </c>
      <c r="AA98" s="218"/>
      <c r="AB98" s="218"/>
      <c r="AC98" s="218"/>
    </row>
    <row r="99" spans="1:29" ht="15.75" customHeight="1">
      <c r="A99" s="26" t="s">
        <v>463</v>
      </c>
      <c r="B99" s="26" t="s">
        <v>694</v>
      </c>
      <c r="C99" s="26" t="s">
        <v>1075</v>
      </c>
      <c r="D99" s="26" t="s">
        <v>1072</v>
      </c>
      <c r="E99" s="26" t="s">
        <v>1076</v>
      </c>
      <c r="F99" s="26" t="s">
        <v>806</v>
      </c>
      <c r="G99" s="284" t="s">
        <v>1743</v>
      </c>
      <c r="H99" s="206" t="s">
        <v>826</v>
      </c>
      <c r="I99" s="207">
        <v>35</v>
      </c>
      <c r="J99" s="207">
        <v>100</v>
      </c>
      <c r="K99" s="207">
        <v>92</v>
      </c>
      <c r="L99" s="214" t="s">
        <v>896</v>
      </c>
      <c r="M99" s="214" t="s">
        <v>744</v>
      </c>
      <c r="N99" s="215" t="s">
        <v>1077</v>
      </c>
      <c r="O99" s="216">
        <v>0.38800000000000001</v>
      </c>
      <c r="P99" s="216">
        <v>0.74399999999999999</v>
      </c>
      <c r="Q99" s="218">
        <v>0.106</v>
      </c>
      <c r="R99" s="218">
        <v>0.188</v>
      </c>
      <c r="S99" s="218">
        <v>0</v>
      </c>
      <c r="T99" s="26" t="s">
        <v>589</v>
      </c>
      <c r="U99" s="207" t="s">
        <v>683</v>
      </c>
      <c r="V99" s="214" t="s">
        <v>631</v>
      </c>
      <c r="W99" s="214" t="s">
        <v>632</v>
      </c>
      <c r="X99" s="215" t="s">
        <v>633</v>
      </c>
      <c r="Y99" s="216"/>
      <c r="Z99" s="216"/>
      <c r="AA99" s="218"/>
      <c r="AB99" s="218"/>
      <c r="AC99" s="218"/>
    </row>
    <row r="100" spans="1:29" ht="15.75" customHeight="1">
      <c r="A100" s="26" t="s">
        <v>553</v>
      </c>
      <c r="B100" s="26" t="s">
        <v>613</v>
      </c>
      <c r="C100" s="26" t="s">
        <v>1078</v>
      </c>
      <c r="D100" s="219" t="s">
        <v>1079</v>
      </c>
      <c r="E100" s="26" t="s">
        <v>1080</v>
      </c>
      <c r="F100" s="26" t="s">
        <v>617</v>
      </c>
      <c r="G100" s="279" t="s">
        <v>1745</v>
      </c>
      <c r="H100" s="206" t="s">
        <v>595</v>
      </c>
      <c r="I100" s="207">
        <v>60</v>
      </c>
      <c r="J100" s="207">
        <v>100</v>
      </c>
      <c r="K100" s="207">
        <v>18</v>
      </c>
      <c r="L100" s="214" t="s">
        <v>1035</v>
      </c>
      <c r="M100" s="214" t="s">
        <v>897</v>
      </c>
      <c r="N100" s="215" t="s">
        <v>808</v>
      </c>
      <c r="O100" s="216" t="s">
        <v>916</v>
      </c>
      <c r="P100" s="216" t="s">
        <v>777</v>
      </c>
      <c r="Q100" s="218">
        <v>8.9999999999999993E-3</v>
      </c>
      <c r="R100" s="218">
        <v>6.0000000000000001E-3</v>
      </c>
      <c r="S100" s="218">
        <v>0</v>
      </c>
      <c r="T100" s="26"/>
      <c r="U100" s="207"/>
      <c r="V100" s="214"/>
      <c r="W100" s="214"/>
      <c r="X100" s="215"/>
      <c r="Y100" s="217"/>
      <c r="Z100" s="217"/>
      <c r="AA100" s="218"/>
      <c r="AB100" s="218"/>
      <c r="AC100" s="218"/>
    </row>
    <row r="101" spans="1:29" ht="15.75" customHeight="1">
      <c r="A101" s="26" t="s">
        <v>521</v>
      </c>
      <c r="B101" s="26" t="s">
        <v>636</v>
      </c>
      <c r="C101" s="26" t="s">
        <v>1081</v>
      </c>
      <c r="D101" s="219" t="s">
        <v>1082</v>
      </c>
      <c r="E101" s="26" t="s">
        <v>1083</v>
      </c>
      <c r="F101" s="26" t="s">
        <v>617</v>
      </c>
      <c r="G101" s="279" t="s">
        <v>1745</v>
      </c>
      <c r="H101" s="206" t="s">
        <v>33</v>
      </c>
      <c r="I101" s="207">
        <v>60</v>
      </c>
      <c r="J101" s="207">
        <v>100</v>
      </c>
      <c r="K101" s="207" t="s">
        <v>1084</v>
      </c>
      <c r="L101" s="214" t="s">
        <v>596</v>
      </c>
      <c r="M101" s="214" t="s">
        <v>640</v>
      </c>
      <c r="N101" s="215" t="s">
        <v>680</v>
      </c>
      <c r="O101" s="216" t="s">
        <v>626</v>
      </c>
      <c r="P101" s="216">
        <v>2</v>
      </c>
      <c r="Q101" s="218">
        <v>1.4E-2</v>
      </c>
      <c r="R101" s="218">
        <v>1.7000000000000001E-2</v>
      </c>
      <c r="S101" s="218">
        <v>0</v>
      </c>
      <c r="T101" s="26" t="s">
        <v>589</v>
      </c>
      <c r="U101" s="207"/>
      <c r="V101" s="214"/>
      <c r="W101" s="214"/>
      <c r="X101" s="215"/>
      <c r="Y101" s="217"/>
      <c r="Z101" s="217"/>
      <c r="AA101" s="218"/>
      <c r="AB101" s="218"/>
      <c r="AC101" s="218"/>
    </row>
    <row r="102" spans="1:29" ht="15.75" customHeight="1">
      <c r="A102" s="26" t="s">
        <v>522</v>
      </c>
      <c r="B102" s="26" t="s">
        <v>636</v>
      </c>
      <c r="C102" s="26" t="s">
        <v>1085</v>
      </c>
      <c r="D102" s="219" t="s">
        <v>1082</v>
      </c>
      <c r="E102" s="26" t="s">
        <v>1086</v>
      </c>
      <c r="F102" s="26" t="s">
        <v>617</v>
      </c>
      <c r="G102" s="279" t="s">
        <v>1745</v>
      </c>
      <c r="H102" s="206" t="s">
        <v>33</v>
      </c>
      <c r="I102" s="207">
        <v>60</v>
      </c>
      <c r="J102" s="207">
        <v>100</v>
      </c>
      <c r="K102" s="207" t="s">
        <v>1067</v>
      </c>
      <c r="L102" s="214" t="s">
        <v>702</v>
      </c>
      <c r="M102" s="214">
        <v>2</v>
      </c>
      <c r="N102" s="215" t="s">
        <v>1039</v>
      </c>
      <c r="O102" s="216" t="s">
        <v>1035</v>
      </c>
      <c r="P102" s="216" t="s">
        <v>640</v>
      </c>
      <c r="Q102" s="218">
        <v>1.4E-2</v>
      </c>
      <c r="R102" s="218">
        <v>1.7000000000000001E-2</v>
      </c>
      <c r="S102" s="218">
        <v>0</v>
      </c>
      <c r="T102" s="26" t="s">
        <v>589</v>
      </c>
      <c r="U102" s="207"/>
      <c r="V102" s="214"/>
      <c r="W102" s="214"/>
      <c r="X102" s="215"/>
      <c r="Y102" s="217"/>
      <c r="Z102" s="217"/>
      <c r="AA102" s="218"/>
      <c r="AB102" s="218"/>
      <c r="AC102" s="218"/>
    </row>
    <row r="103" spans="1:29" ht="15.75" customHeight="1">
      <c r="A103" s="26" t="s">
        <v>554</v>
      </c>
      <c r="B103" s="26" t="s">
        <v>613</v>
      </c>
      <c r="C103" s="26" t="s">
        <v>1087</v>
      </c>
      <c r="D103" s="219" t="s">
        <v>1088</v>
      </c>
      <c r="E103" s="26" t="s">
        <v>1089</v>
      </c>
      <c r="F103" s="26" t="s">
        <v>617</v>
      </c>
      <c r="G103" s="279" t="s">
        <v>1745</v>
      </c>
      <c r="H103" s="206" t="s">
        <v>595</v>
      </c>
      <c r="I103" s="207">
        <v>60</v>
      </c>
      <c r="J103" s="207">
        <v>100</v>
      </c>
      <c r="K103" s="207">
        <v>20</v>
      </c>
      <c r="L103" s="214"/>
      <c r="M103" s="214"/>
      <c r="N103" s="215" t="s">
        <v>1090</v>
      </c>
      <c r="O103" s="216" t="s">
        <v>916</v>
      </c>
      <c r="P103" s="216" t="s">
        <v>1091</v>
      </c>
      <c r="Q103" s="218">
        <v>2.7E-2</v>
      </c>
      <c r="R103" s="218">
        <v>0</v>
      </c>
      <c r="S103" s="218">
        <v>0</v>
      </c>
      <c r="T103" s="26"/>
      <c r="U103" s="207"/>
      <c r="V103" s="214"/>
      <c r="W103" s="214"/>
      <c r="X103" s="215"/>
      <c r="Y103" s="217"/>
      <c r="Z103" s="217"/>
      <c r="AA103" s="218"/>
      <c r="AB103" s="218"/>
      <c r="AC103" s="218"/>
    </row>
    <row r="104" spans="1:29" ht="15.75" customHeight="1">
      <c r="A104" s="26" t="s">
        <v>555</v>
      </c>
      <c r="B104" s="26" t="s">
        <v>613</v>
      </c>
      <c r="C104" s="26" t="s">
        <v>1092</v>
      </c>
      <c r="D104" s="219" t="s">
        <v>1093</v>
      </c>
      <c r="E104" s="26" t="s">
        <v>1094</v>
      </c>
      <c r="F104" s="26" t="s">
        <v>617</v>
      </c>
      <c r="G104" s="279" t="s">
        <v>1745</v>
      </c>
      <c r="H104" s="206" t="s">
        <v>595</v>
      </c>
      <c r="I104" s="207">
        <v>60</v>
      </c>
      <c r="J104" s="207">
        <v>100</v>
      </c>
      <c r="K104" s="207">
        <v>15</v>
      </c>
      <c r="L104" s="214" t="s">
        <v>891</v>
      </c>
      <c r="M104" s="214" t="s">
        <v>794</v>
      </c>
      <c r="N104" s="215" t="s">
        <v>809</v>
      </c>
      <c r="O104" s="216" t="s">
        <v>916</v>
      </c>
      <c r="P104" s="216" t="s">
        <v>802</v>
      </c>
      <c r="Q104" s="218">
        <v>7.0000000000000001E-3</v>
      </c>
      <c r="R104" s="218">
        <v>5.0000000000000001E-3</v>
      </c>
      <c r="S104" s="218">
        <v>0</v>
      </c>
      <c r="T104" s="26"/>
      <c r="U104" s="207"/>
      <c r="V104" s="214"/>
      <c r="W104" s="214"/>
      <c r="X104" s="215"/>
      <c r="Y104" s="217"/>
      <c r="Z104" s="217"/>
      <c r="AA104" s="218"/>
      <c r="AB104" s="218"/>
      <c r="AC104" s="218"/>
    </row>
    <row r="105" spans="1:29" ht="15.75" customHeight="1">
      <c r="A105" s="26" t="s">
        <v>556</v>
      </c>
      <c r="B105" s="26" t="s">
        <v>613</v>
      </c>
      <c r="C105" s="26" t="s">
        <v>1095</v>
      </c>
      <c r="D105" s="219" t="s">
        <v>1096</v>
      </c>
      <c r="E105" s="26" t="s">
        <v>1097</v>
      </c>
      <c r="F105" s="26" t="s">
        <v>617</v>
      </c>
      <c r="G105" s="279" t="s">
        <v>1745</v>
      </c>
      <c r="H105" s="206" t="s">
        <v>595</v>
      </c>
      <c r="I105" s="207">
        <v>60</v>
      </c>
      <c r="J105" s="207">
        <v>100</v>
      </c>
      <c r="K105" s="207">
        <v>25</v>
      </c>
      <c r="L105" s="214"/>
      <c r="M105" s="214"/>
      <c r="N105" s="215" t="s">
        <v>668</v>
      </c>
      <c r="O105" s="216" t="s">
        <v>693</v>
      </c>
      <c r="P105" s="216" t="s">
        <v>1098</v>
      </c>
      <c r="Q105" s="218">
        <v>0.01</v>
      </c>
      <c r="R105" s="218">
        <v>1.2E-2</v>
      </c>
      <c r="S105" s="218">
        <v>0</v>
      </c>
      <c r="T105" s="26"/>
      <c r="U105" s="207"/>
      <c r="V105" s="214"/>
      <c r="W105" s="214"/>
      <c r="X105" s="215"/>
      <c r="Y105" s="217"/>
      <c r="Z105" s="217"/>
      <c r="AA105" s="218"/>
      <c r="AB105" s="218"/>
      <c r="AC105" s="218"/>
    </row>
    <row r="106" spans="1:29" ht="15.75" customHeight="1">
      <c r="A106" s="26" t="s">
        <v>561</v>
      </c>
      <c r="B106" s="26" t="s">
        <v>771</v>
      </c>
      <c r="C106" s="26" t="s">
        <v>1099</v>
      </c>
      <c r="D106" s="219" t="s">
        <v>1100</v>
      </c>
      <c r="E106" s="26" t="s">
        <v>1101</v>
      </c>
      <c r="F106" s="26" t="s">
        <v>820</v>
      </c>
      <c r="G106" s="279" t="s">
        <v>1745</v>
      </c>
      <c r="H106" s="206" t="s">
        <v>33</v>
      </c>
      <c r="I106" s="207">
        <v>70</v>
      </c>
      <c r="J106" s="207">
        <v>100</v>
      </c>
      <c r="K106" s="207" t="s">
        <v>1102</v>
      </c>
      <c r="L106" s="214" t="s">
        <v>662</v>
      </c>
      <c r="M106" s="214" t="s">
        <v>1039</v>
      </c>
      <c r="N106" s="215" t="s">
        <v>690</v>
      </c>
      <c r="O106" s="216" t="s">
        <v>624</v>
      </c>
      <c r="P106" s="216">
        <v>2</v>
      </c>
      <c r="Q106" s="218">
        <v>1.2E-2</v>
      </c>
      <c r="R106" s="218">
        <v>2.3E-2</v>
      </c>
      <c r="S106" s="218">
        <v>0</v>
      </c>
      <c r="T106" s="26" t="s">
        <v>1040</v>
      </c>
      <c r="U106" s="207">
        <v>51</v>
      </c>
      <c r="V106" s="214">
        <v>2</v>
      </c>
      <c r="W106" s="214" t="s">
        <v>640</v>
      </c>
      <c r="X106" s="215" t="s">
        <v>679</v>
      </c>
      <c r="Y106" s="216" t="s">
        <v>929</v>
      </c>
      <c r="Z106" s="216" t="s">
        <v>1103</v>
      </c>
      <c r="AA106" s="218"/>
      <c r="AB106" s="218"/>
      <c r="AC106" s="218"/>
    </row>
    <row r="107" spans="1:29" ht="15.75" customHeight="1">
      <c r="A107" s="26" t="s">
        <v>523</v>
      </c>
      <c r="B107" s="26" t="s">
        <v>636</v>
      </c>
      <c r="C107" s="26" t="s">
        <v>1104</v>
      </c>
      <c r="D107" s="219" t="s">
        <v>1105</v>
      </c>
      <c r="E107" s="26" t="s">
        <v>1106</v>
      </c>
      <c r="F107" s="26" t="s">
        <v>617</v>
      </c>
      <c r="G107" s="279" t="s">
        <v>1745</v>
      </c>
      <c r="H107" s="206" t="s">
        <v>33</v>
      </c>
      <c r="I107" s="207">
        <v>60</v>
      </c>
      <c r="J107" s="207">
        <v>100</v>
      </c>
      <c r="K107" s="207">
        <v>9</v>
      </c>
      <c r="L107" s="214" t="s">
        <v>607</v>
      </c>
      <c r="M107" s="214" t="s">
        <v>701</v>
      </c>
      <c r="N107" s="215" t="s">
        <v>598</v>
      </c>
      <c r="O107" s="216" t="s">
        <v>1002</v>
      </c>
      <c r="P107" s="216" t="s">
        <v>1107</v>
      </c>
      <c r="Q107" s="218">
        <v>2.1000000000000001E-2</v>
      </c>
      <c r="R107" s="218">
        <v>1.2E-2</v>
      </c>
      <c r="S107" s="218">
        <v>0</v>
      </c>
      <c r="T107" s="26" t="s">
        <v>589</v>
      </c>
      <c r="U107" s="207"/>
      <c r="V107" s="214"/>
      <c r="W107" s="214"/>
      <c r="X107" s="215"/>
      <c r="Y107" s="217"/>
      <c r="Z107" s="217"/>
      <c r="AA107" s="218"/>
      <c r="AB107" s="218"/>
      <c r="AC107" s="218"/>
    </row>
    <row r="108" spans="1:29" ht="15.75" customHeight="1">
      <c r="A108" s="26" t="s">
        <v>557</v>
      </c>
      <c r="B108" s="26" t="s">
        <v>613</v>
      </c>
      <c r="C108" s="26" t="s">
        <v>1108</v>
      </c>
      <c r="D108" s="219" t="s">
        <v>1109</v>
      </c>
      <c r="E108" s="26" t="s">
        <v>1110</v>
      </c>
      <c r="F108" s="26" t="s">
        <v>617</v>
      </c>
      <c r="G108" s="280" t="s">
        <v>1745</v>
      </c>
      <c r="H108" s="206" t="s">
        <v>595</v>
      </c>
      <c r="I108" s="207">
        <v>60</v>
      </c>
      <c r="J108" s="207">
        <v>100</v>
      </c>
      <c r="K108" s="207">
        <v>16</v>
      </c>
      <c r="L108" s="214"/>
      <c r="M108" s="214"/>
      <c r="N108" s="215" t="s">
        <v>692</v>
      </c>
      <c r="O108" s="216" t="s">
        <v>693</v>
      </c>
      <c r="P108" s="216" t="s">
        <v>936</v>
      </c>
      <c r="Q108" s="218">
        <v>1.0999999999999999E-2</v>
      </c>
      <c r="R108" s="218">
        <v>8.0000000000000002E-3</v>
      </c>
      <c r="S108" s="218">
        <v>0</v>
      </c>
      <c r="T108" s="26"/>
      <c r="U108" s="207"/>
      <c r="V108" s="214"/>
      <c r="W108" s="214"/>
      <c r="X108" s="215"/>
      <c r="Y108" s="217"/>
      <c r="Z108" s="217"/>
      <c r="AA108" s="218"/>
      <c r="AB108" s="218"/>
      <c r="AC108" s="218"/>
    </row>
    <row r="109" spans="1:29" ht="15.75" customHeight="1">
      <c r="A109" s="26" t="s">
        <v>433</v>
      </c>
      <c r="B109" s="26" t="s">
        <v>673</v>
      </c>
      <c r="C109" s="26" t="s">
        <v>1111</v>
      </c>
      <c r="D109" s="26" t="s">
        <v>1112</v>
      </c>
      <c r="E109" s="26" t="s">
        <v>1113</v>
      </c>
      <c r="F109" s="26" t="s">
        <v>698</v>
      </c>
      <c r="G109" s="280" t="s">
        <v>1745</v>
      </c>
      <c r="H109" s="206" t="s">
        <v>33</v>
      </c>
      <c r="I109" s="207">
        <v>40</v>
      </c>
      <c r="J109" s="207">
        <v>10</v>
      </c>
      <c r="K109" s="207" t="s">
        <v>953</v>
      </c>
      <c r="L109" s="214"/>
      <c r="M109" s="214"/>
      <c r="N109" s="215" t="s">
        <v>766</v>
      </c>
      <c r="O109" s="216" t="s">
        <v>866</v>
      </c>
      <c r="P109" s="216" t="s">
        <v>1114</v>
      </c>
      <c r="Q109" s="218">
        <v>4.7E-2</v>
      </c>
      <c r="R109" s="218">
        <v>0.19700000000000001</v>
      </c>
      <c r="S109" s="218">
        <v>0</v>
      </c>
      <c r="T109" s="26"/>
      <c r="U109" s="207"/>
      <c r="V109" s="214"/>
      <c r="W109" s="214"/>
      <c r="X109" s="215"/>
      <c r="Y109" s="216"/>
      <c r="Z109" s="216"/>
      <c r="AA109" s="218"/>
      <c r="AB109" s="218"/>
      <c r="AC109" s="218"/>
    </row>
    <row r="110" spans="1:29" ht="15.75" customHeight="1">
      <c r="A110" s="26" t="s">
        <v>524</v>
      </c>
      <c r="B110" s="26" t="s">
        <v>636</v>
      </c>
      <c r="C110" s="26" t="s">
        <v>1115</v>
      </c>
      <c r="D110" s="219" t="s">
        <v>1116</v>
      </c>
      <c r="E110" s="26" t="s">
        <v>1117</v>
      </c>
      <c r="F110" s="26" t="s">
        <v>710</v>
      </c>
      <c r="G110" s="279" t="s">
        <v>1745</v>
      </c>
      <c r="H110" s="206" t="s">
        <v>33</v>
      </c>
      <c r="I110" s="207">
        <v>60</v>
      </c>
      <c r="J110" s="207">
        <v>100</v>
      </c>
      <c r="K110" s="207">
        <v>6</v>
      </c>
      <c r="L110" s="214" t="s">
        <v>631</v>
      </c>
      <c r="M110" s="214" t="s">
        <v>632</v>
      </c>
      <c r="N110" s="215" t="s">
        <v>690</v>
      </c>
      <c r="O110" s="216" t="s">
        <v>808</v>
      </c>
      <c r="P110" s="216" t="s">
        <v>1118</v>
      </c>
      <c r="Q110" s="218">
        <v>2.5000000000000001E-2</v>
      </c>
      <c r="R110" s="218">
        <v>0.01</v>
      </c>
      <c r="S110" s="218">
        <v>0</v>
      </c>
      <c r="T110" s="26" t="s">
        <v>589</v>
      </c>
      <c r="U110" s="207"/>
      <c r="V110" s="214"/>
      <c r="W110" s="214"/>
      <c r="X110" s="215"/>
      <c r="Y110" s="217"/>
      <c r="Z110" s="217"/>
      <c r="AA110" s="218"/>
      <c r="AB110" s="218"/>
      <c r="AC110" s="218"/>
    </row>
    <row r="111" spans="1:29" ht="15.75" customHeight="1">
      <c r="A111" s="26" t="s">
        <v>448</v>
      </c>
      <c r="B111" s="26" t="s">
        <v>778</v>
      </c>
      <c r="C111" s="26" t="s">
        <v>1119</v>
      </c>
      <c r="D111" s="26" t="s">
        <v>1120</v>
      </c>
      <c r="E111" s="26" t="s">
        <v>1121</v>
      </c>
      <c r="F111" s="26" t="s">
        <v>677</v>
      </c>
      <c r="G111" s="279" t="s">
        <v>1745</v>
      </c>
      <c r="H111" s="206" t="s">
        <v>33</v>
      </c>
      <c r="I111" s="207">
        <v>35</v>
      </c>
      <c r="J111" s="207">
        <v>100</v>
      </c>
      <c r="K111" s="207">
        <v>91</v>
      </c>
      <c r="L111" s="214" t="s">
        <v>650</v>
      </c>
      <c r="M111" s="214" t="s">
        <v>655</v>
      </c>
      <c r="N111" s="215" t="s">
        <v>1122</v>
      </c>
      <c r="O111" s="216" t="s">
        <v>1123</v>
      </c>
      <c r="P111" s="216" t="s">
        <v>868</v>
      </c>
      <c r="Q111" s="218"/>
      <c r="R111" s="218"/>
      <c r="S111" s="218"/>
      <c r="T111" s="26" t="s">
        <v>589</v>
      </c>
      <c r="U111" s="207" t="s">
        <v>1124</v>
      </c>
      <c r="V111" s="214" t="s">
        <v>1090</v>
      </c>
      <c r="W111" s="214" t="s">
        <v>794</v>
      </c>
      <c r="X111" s="215" t="s">
        <v>891</v>
      </c>
      <c r="Y111" s="216" t="s">
        <v>693</v>
      </c>
      <c r="Z111" s="216" t="s">
        <v>891</v>
      </c>
      <c r="AA111" s="218"/>
      <c r="AB111" s="218"/>
      <c r="AC111" s="218"/>
    </row>
    <row r="112" spans="1:29" ht="15.75" customHeight="1">
      <c r="A112" s="26" t="s">
        <v>434</v>
      </c>
      <c r="B112" s="26" t="s">
        <v>673</v>
      </c>
      <c r="C112" s="26" t="s">
        <v>1125</v>
      </c>
      <c r="D112" s="26" t="s">
        <v>1126</v>
      </c>
      <c r="E112" s="26" t="s">
        <v>1127</v>
      </c>
      <c r="F112" s="26" t="s">
        <v>677</v>
      </c>
      <c r="G112" s="279" t="s">
        <v>1745</v>
      </c>
      <c r="H112" s="206" t="s">
        <v>33</v>
      </c>
      <c r="I112" s="207">
        <v>40</v>
      </c>
      <c r="J112" s="207">
        <v>10</v>
      </c>
      <c r="K112" s="207">
        <v>94</v>
      </c>
      <c r="L112" s="214"/>
      <c r="M112" s="214"/>
      <c r="N112" s="215" t="s">
        <v>1128</v>
      </c>
      <c r="O112" s="216" t="s">
        <v>1129</v>
      </c>
      <c r="P112" s="216" t="s">
        <v>722</v>
      </c>
      <c r="Q112" s="218">
        <v>2.8000000000000001E-2</v>
      </c>
      <c r="R112" s="218">
        <v>2.5000000000000001E-2</v>
      </c>
      <c r="S112" s="218">
        <v>0</v>
      </c>
      <c r="T112" s="26" t="s">
        <v>682</v>
      </c>
      <c r="U112" s="207"/>
      <c r="V112" s="214"/>
      <c r="W112" s="214"/>
      <c r="X112" s="215"/>
      <c r="Y112" s="216" t="s">
        <v>1031</v>
      </c>
      <c r="Z112" s="216" t="s">
        <v>631</v>
      </c>
      <c r="AA112" s="218"/>
      <c r="AB112" s="218"/>
      <c r="AC112" s="218"/>
    </row>
    <row r="113" spans="1:29" ht="15.75" customHeight="1">
      <c r="A113" s="26" t="s">
        <v>435</v>
      </c>
      <c r="B113" s="26" t="s">
        <v>673</v>
      </c>
      <c r="C113" s="26" t="s">
        <v>1130</v>
      </c>
      <c r="D113" s="26" t="s">
        <v>1126</v>
      </c>
      <c r="E113" s="26" t="s">
        <v>1131</v>
      </c>
      <c r="F113" s="26" t="s">
        <v>677</v>
      </c>
      <c r="G113" s="279" t="s">
        <v>1745</v>
      </c>
      <c r="H113" s="206" t="s">
        <v>33</v>
      </c>
      <c r="I113" s="207">
        <v>40</v>
      </c>
      <c r="J113" s="207">
        <v>10</v>
      </c>
      <c r="K113" s="207" t="s">
        <v>1045</v>
      </c>
      <c r="L113" s="214" t="s">
        <v>1132</v>
      </c>
      <c r="M113" s="214" t="s">
        <v>633</v>
      </c>
      <c r="N113" s="215" t="s">
        <v>702</v>
      </c>
      <c r="O113" s="216" t="s">
        <v>1035</v>
      </c>
      <c r="P113" s="216" t="s">
        <v>625</v>
      </c>
      <c r="Q113" s="218">
        <v>5.7000000000000002E-2</v>
      </c>
      <c r="R113" s="218">
        <v>0.78100000000000003</v>
      </c>
      <c r="S113" s="218">
        <v>0</v>
      </c>
      <c r="T113" s="26" t="s">
        <v>682</v>
      </c>
      <c r="U113" s="207">
        <v>90</v>
      </c>
      <c r="V113" s="214" t="s">
        <v>897</v>
      </c>
      <c r="W113" s="214" t="s">
        <v>891</v>
      </c>
      <c r="X113" s="215" t="s">
        <v>669</v>
      </c>
      <c r="Y113" s="216" t="s">
        <v>1031</v>
      </c>
      <c r="Z113" s="216" t="s">
        <v>631</v>
      </c>
      <c r="AA113" s="218"/>
      <c r="AB113" s="218"/>
      <c r="AC113" s="218"/>
    </row>
    <row r="114" spans="1:29" ht="15.75" customHeight="1">
      <c r="A114" s="26" t="s">
        <v>436</v>
      </c>
      <c r="B114" s="26" t="s">
        <v>673</v>
      </c>
      <c r="C114" s="26" t="s">
        <v>1133</v>
      </c>
      <c r="D114" s="26" t="s">
        <v>1134</v>
      </c>
      <c r="E114" s="26" t="s">
        <v>1135</v>
      </c>
      <c r="F114" s="26" t="s">
        <v>677</v>
      </c>
      <c r="G114" s="279" t="s">
        <v>1745</v>
      </c>
      <c r="H114" s="206" t="s">
        <v>33</v>
      </c>
      <c r="I114" s="207">
        <v>40</v>
      </c>
      <c r="J114" s="207">
        <v>10</v>
      </c>
      <c r="K114" s="207">
        <v>87</v>
      </c>
      <c r="L114" s="214">
        <v>2</v>
      </c>
      <c r="M114" s="214" t="s">
        <v>640</v>
      </c>
      <c r="N114" s="215" t="s">
        <v>679</v>
      </c>
      <c r="O114" s="216" t="s">
        <v>1001</v>
      </c>
      <c r="P114" s="216" t="s">
        <v>720</v>
      </c>
      <c r="Q114" s="218">
        <v>2.4E-2</v>
      </c>
      <c r="R114" s="218">
        <v>0.11</v>
      </c>
      <c r="S114" s="218">
        <v>0</v>
      </c>
      <c r="T114" s="26" t="s">
        <v>682</v>
      </c>
      <c r="U114" s="207" t="s">
        <v>683</v>
      </c>
      <c r="V114" s="214" t="s">
        <v>626</v>
      </c>
      <c r="W114" s="214" t="s">
        <v>670</v>
      </c>
      <c r="X114" s="215" t="s">
        <v>897</v>
      </c>
      <c r="Y114" s="216" t="s">
        <v>1031</v>
      </c>
      <c r="Z114" s="216" t="s">
        <v>859</v>
      </c>
      <c r="AA114" s="218"/>
      <c r="AB114" s="218"/>
      <c r="AC114" s="218"/>
    </row>
    <row r="115" spans="1:29" ht="15.75" customHeight="1">
      <c r="A115" s="26" t="s">
        <v>488</v>
      </c>
      <c r="B115" s="26" t="s">
        <v>590</v>
      </c>
      <c r="C115" s="26" t="s">
        <v>1136</v>
      </c>
      <c r="D115" s="26" t="s">
        <v>1134</v>
      </c>
      <c r="E115" s="26" t="s">
        <v>1137</v>
      </c>
      <c r="F115" s="26" t="s">
        <v>594</v>
      </c>
      <c r="G115" s="285" t="s">
        <v>1743</v>
      </c>
      <c r="H115" s="206" t="s">
        <v>33</v>
      </c>
      <c r="I115" s="207">
        <v>90</v>
      </c>
      <c r="J115" s="207">
        <v>100</v>
      </c>
      <c r="K115" s="207" t="s">
        <v>1138</v>
      </c>
      <c r="L115" s="214"/>
      <c r="M115" s="214"/>
      <c r="N115" s="215" t="s">
        <v>1139</v>
      </c>
      <c r="O115" s="216" t="s">
        <v>835</v>
      </c>
      <c r="P115" s="216" t="s">
        <v>1140</v>
      </c>
      <c r="Q115" s="218"/>
      <c r="R115" s="218"/>
      <c r="S115" s="218"/>
      <c r="T115" s="26"/>
      <c r="U115" s="207"/>
      <c r="V115" s="214"/>
      <c r="W115" s="214"/>
      <c r="X115" s="215"/>
      <c r="Y115" s="217"/>
      <c r="Z115" s="217"/>
      <c r="AA115" s="218"/>
      <c r="AB115" s="218"/>
      <c r="AC115" s="218"/>
    </row>
    <row r="116" spans="1:29" ht="15" customHeight="1">
      <c r="A116" s="146" t="s">
        <v>489</v>
      </c>
      <c r="B116" s="26" t="s">
        <v>590</v>
      </c>
      <c r="C116" s="26" t="s">
        <v>1141</v>
      </c>
      <c r="D116" s="26" t="s">
        <v>1142</v>
      </c>
      <c r="E116" s="26" t="s">
        <v>1143</v>
      </c>
      <c r="F116" s="26" t="s">
        <v>594</v>
      </c>
      <c r="G116" s="285" t="s">
        <v>1743</v>
      </c>
      <c r="H116" s="206" t="s">
        <v>33</v>
      </c>
      <c r="I116" s="207">
        <v>90</v>
      </c>
      <c r="J116" s="207">
        <v>100</v>
      </c>
      <c r="K116" s="207" t="s">
        <v>1144</v>
      </c>
      <c r="L116" s="214"/>
      <c r="M116" s="214"/>
      <c r="N116" s="215" t="s">
        <v>1145</v>
      </c>
      <c r="O116" s="216" t="s">
        <v>929</v>
      </c>
      <c r="P116" s="216" t="s">
        <v>1146</v>
      </c>
      <c r="Q116" s="218"/>
      <c r="R116" s="218"/>
      <c r="S116" s="218"/>
      <c r="T116" s="26"/>
      <c r="U116" s="207"/>
      <c r="V116" s="214"/>
      <c r="W116" s="214"/>
      <c r="X116" s="215"/>
      <c r="Y116" s="217"/>
      <c r="Z116" s="217"/>
      <c r="AA116" s="218"/>
      <c r="AB116" s="218"/>
      <c r="AC116" s="218"/>
    </row>
    <row r="117" spans="1:29" ht="15.75" customHeight="1">
      <c r="A117" s="26" t="s">
        <v>449</v>
      </c>
      <c r="B117" s="26" t="s">
        <v>778</v>
      </c>
      <c r="C117" s="26" t="s">
        <v>1147</v>
      </c>
      <c r="D117" s="26" t="s">
        <v>1148</v>
      </c>
      <c r="E117" s="26" t="s">
        <v>1149</v>
      </c>
      <c r="F117" s="26" t="s">
        <v>698</v>
      </c>
      <c r="G117" s="279" t="s">
        <v>1745</v>
      </c>
      <c r="H117" s="206" t="s">
        <v>33</v>
      </c>
      <c r="I117" s="207">
        <v>35</v>
      </c>
      <c r="J117" s="207">
        <v>100</v>
      </c>
      <c r="K117" s="207">
        <v>92</v>
      </c>
      <c r="L117" s="214" t="s">
        <v>598</v>
      </c>
      <c r="M117" s="214" t="s">
        <v>610</v>
      </c>
      <c r="N117" s="215" t="s">
        <v>701</v>
      </c>
      <c r="O117" s="216" t="s">
        <v>624</v>
      </c>
      <c r="P117" s="216">
        <v>0.68700000000000006</v>
      </c>
      <c r="Q117" s="218">
        <v>7.8E-2</v>
      </c>
      <c r="R117" s="218">
        <v>0.35299999999999998</v>
      </c>
      <c r="S117" s="218">
        <v>0</v>
      </c>
      <c r="T117" s="26" t="s">
        <v>589</v>
      </c>
      <c r="U117" s="207">
        <v>90</v>
      </c>
      <c r="V117" s="214"/>
      <c r="W117" s="214"/>
      <c r="X117" s="215" t="s">
        <v>668</v>
      </c>
      <c r="Y117" s="216"/>
      <c r="Z117" s="216"/>
      <c r="AA117" s="218"/>
      <c r="AB117" s="218"/>
      <c r="AC117" s="218"/>
    </row>
    <row r="118" spans="1:29" ht="15.75" customHeight="1">
      <c r="A118" s="26" t="s">
        <v>437</v>
      </c>
      <c r="B118" s="26" t="s">
        <v>673</v>
      </c>
      <c r="C118" s="26" t="s">
        <v>1150</v>
      </c>
      <c r="D118" s="26" t="s">
        <v>1151</v>
      </c>
      <c r="E118" s="26" t="s">
        <v>1152</v>
      </c>
      <c r="F118" s="26" t="s">
        <v>677</v>
      </c>
      <c r="G118" s="279" t="s">
        <v>1745</v>
      </c>
      <c r="H118" s="206" t="s">
        <v>33</v>
      </c>
      <c r="I118" s="207">
        <v>40</v>
      </c>
      <c r="J118" s="207">
        <v>100</v>
      </c>
      <c r="K118" s="207" t="s">
        <v>1045</v>
      </c>
      <c r="L118" s="214" t="s">
        <v>945</v>
      </c>
      <c r="M118" s="214">
        <v>2</v>
      </c>
      <c r="N118" s="215" t="s">
        <v>1039</v>
      </c>
      <c r="O118" s="216" t="s">
        <v>765</v>
      </c>
      <c r="P118" s="216" t="s">
        <v>1002</v>
      </c>
      <c r="Q118" s="218">
        <v>1.2999999999999999E-2</v>
      </c>
      <c r="R118" s="218">
        <v>0.16500000000000001</v>
      </c>
      <c r="S118" s="218">
        <v>0</v>
      </c>
      <c r="T118" s="26" t="s">
        <v>858</v>
      </c>
      <c r="U118" s="207">
        <v>92</v>
      </c>
      <c r="V118" s="214" t="s">
        <v>668</v>
      </c>
      <c r="W118" s="214" t="s">
        <v>891</v>
      </c>
      <c r="X118" s="215" t="s">
        <v>669</v>
      </c>
      <c r="Y118" s="216" t="s">
        <v>1153</v>
      </c>
      <c r="Z118" s="216" t="s">
        <v>1154</v>
      </c>
      <c r="AA118" s="218"/>
      <c r="AB118" s="218"/>
      <c r="AC118" s="218"/>
    </row>
    <row r="119" spans="1:29" ht="15.75" customHeight="1">
      <c r="A119" s="26" t="s">
        <v>439</v>
      </c>
      <c r="B119" s="26" t="s">
        <v>673</v>
      </c>
      <c r="C119" s="26" t="s">
        <v>1155</v>
      </c>
      <c r="D119" s="26" t="s">
        <v>1151</v>
      </c>
      <c r="E119" s="26" t="s">
        <v>1152</v>
      </c>
      <c r="F119" s="26" t="s">
        <v>1156</v>
      </c>
      <c r="G119" s="279" t="s">
        <v>1745</v>
      </c>
      <c r="H119" s="206" t="s">
        <v>33</v>
      </c>
      <c r="I119" s="224"/>
      <c r="J119" s="207">
        <v>100</v>
      </c>
      <c r="K119" s="207">
        <v>20</v>
      </c>
      <c r="L119" s="214" t="s">
        <v>661</v>
      </c>
      <c r="M119" s="214" t="s">
        <v>702</v>
      </c>
      <c r="N119" s="215" t="s">
        <v>1024</v>
      </c>
      <c r="O119" s="216"/>
      <c r="P119" s="216"/>
      <c r="Q119" s="218"/>
      <c r="R119" s="218"/>
      <c r="S119" s="218"/>
      <c r="T119" s="152"/>
      <c r="U119" s="207"/>
      <c r="V119" s="214"/>
      <c r="W119" s="214"/>
      <c r="X119" s="215"/>
      <c r="Y119" s="216"/>
      <c r="Z119" s="216"/>
      <c r="AA119" s="218"/>
      <c r="AB119" s="218"/>
      <c r="AC119" s="218"/>
    </row>
    <row r="120" spans="1:29" ht="15.75" customHeight="1">
      <c r="A120" s="26" t="s">
        <v>438</v>
      </c>
      <c r="B120" s="26" t="s">
        <v>673</v>
      </c>
      <c r="C120" s="26" t="s">
        <v>1157</v>
      </c>
      <c r="D120" s="26" t="s">
        <v>1151</v>
      </c>
      <c r="E120" s="26" t="s">
        <v>1152</v>
      </c>
      <c r="F120" s="26" t="s">
        <v>981</v>
      </c>
      <c r="G120" s="279" t="s">
        <v>1745</v>
      </c>
      <c r="H120" s="206" t="s">
        <v>33</v>
      </c>
      <c r="I120" s="207">
        <v>90</v>
      </c>
      <c r="J120" s="207">
        <v>100</v>
      </c>
      <c r="K120" s="207">
        <v>26</v>
      </c>
      <c r="L120" s="214" t="s">
        <v>669</v>
      </c>
      <c r="M120" s="214" t="s">
        <v>661</v>
      </c>
      <c r="N120" s="215">
        <v>1</v>
      </c>
      <c r="O120" s="225">
        <v>0.27800000000000002</v>
      </c>
      <c r="P120" s="225">
        <v>0.32400000000000001</v>
      </c>
      <c r="Q120" s="218">
        <v>1.2E-2</v>
      </c>
      <c r="R120" s="218">
        <v>0.123</v>
      </c>
      <c r="S120" s="218">
        <v>0</v>
      </c>
      <c r="T120" s="152"/>
      <c r="U120" s="207"/>
      <c r="V120" s="214"/>
      <c r="W120" s="214"/>
      <c r="X120" s="215"/>
      <c r="Y120" s="216"/>
      <c r="Z120" s="216"/>
      <c r="AA120" s="218"/>
      <c r="AB120" s="218"/>
      <c r="AC120" s="218"/>
    </row>
    <row r="121" spans="1:29" ht="15.75" customHeight="1">
      <c r="A121" s="26" t="s">
        <v>466</v>
      </c>
      <c r="B121" s="26" t="s">
        <v>694</v>
      </c>
      <c r="C121" s="26" t="s">
        <v>1158</v>
      </c>
      <c r="D121" s="26" t="s">
        <v>1159</v>
      </c>
      <c r="E121" s="26" t="s">
        <v>1160</v>
      </c>
      <c r="F121" s="26" t="s">
        <v>677</v>
      </c>
      <c r="G121" s="285" t="s">
        <v>1743</v>
      </c>
      <c r="H121" s="206" t="s">
        <v>33</v>
      </c>
      <c r="I121" s="207">
        <v>40</v>
      </c>
      <c r="J121" s="207">
        <v>100</v>
      </c>
      <c r="K121" s="208" t="s">
        <v>1045</v>
      </c>
      <c r="L121" s="209" t="s">
        <v>1161</v>
      </c>
      <c r="M121" s="209" t="s">
        <v>1162</v>
      </c>
      <c r="N121" s="210" t="s">
        <v>1163</v>
      </c>
      <c r="O121" s="211" t="s">
        <v>785</v>
      </c>
      <c r="P121" s="211" t="s">
        <v>631</v>
      </c>
      <c r="Q121" s="218">
        <v>6.7000000000000004E-2</v>
      </c>
      <c r="R121" s="218">
        <v>7.1999999999999995E-2</v>
      </c>
      <c r="S121" s="218">
        <v>0</v>
      </c>
      <c r="T121" s="26" t="s">
        <v>589</v>
      </c>
      <c r="U121" s="208">
        <v>89</v>
      </c>
      <c r="V121" s="209">
        <v>1</v>
      </c>
      <c r="W121" s="209">
        <v>1</v>
      </c>
      <c r="X121" s="210" t="s">
        <v>809</v>
      </c>
      <c r="Y121" s="211" t="s">
        <v>1164</v>
      </c>
      <c r="Z121" s="211" t="s">
        <v>915</v>
      </c>
      <c r="AA121" s="218"/>
      <c r="AB121" s="218"/>
      <c r="AC121" s="218"/>
    </row>
    <row r="122" spans="1:29" ht="15.75" customHeight="1">
      <c r="A122" s="26" t="s">
        <v>525</v>
      </c>
      <c r="B122" s="26" t="s">
        <v>636</v>
      </c>
      <c r="C122" s="26" t="s">
        <v>1165</v>
      </c>
      <c r="D122" s="219" t="s">
        <v>1166</v>
      </c>
      <c r="E122" s="26" t="s">
        <v>1167</v>
      </c>
      <c r="F122" s="26" t="s">
        <v>767</v>
      </c>
      <c r="G122" s="279" t="s">
        <v>1745</v>
      </c>
      <c r="H122" s="206" t="s">
        <v>33</v>
      </c>
      <c r="I122" s="207">
        <v>90</v>
      </c>
      <c r="J122" s="207">
        <v>100</v>
      </c>
      <c r="K122" s="207">
        <v>9</v>
      </c>
      <c r="L122" s="214" t="s">
        <v>745</v>
      </c>
      <c r="M122" s="214" t="s">
        <v>1168</v>
      </c>
      <c r="N122" s="215" t="s">
        <v>1169</v>
      </c>
      <c r="O122" s="216" t="s">
        <v>1074</v>
      </c>
      <c r="P122" s="216" t="s">
        <v>1170</v>
      </c>
      <c r="Q122" s="218">
        <v>9.9000000000000005E-2</v>
      </c>
      <c r="R122" s="218">
        <v>7.9000000000000001E-2</v>
      </c>
      <c r="S122" s="218">
        <v>0</v>
      </c>
      <c r="T122" s="26"/>
      <c r="U122" s="207"/>
      <c r="V122" s="214"/>
      <c r="W122" s="214"/>
      <c r="X122" s="215"/>
      <c r="Y122" s="217"/>
      <c r="Z122" s="217"/>
      <c r="AA122" s="218"/>
      <c r="AB122" s="218"/>
      <c r="AC122" s="218"/>
    </row>
    <row r="123" spans="1:29" ht="15.75" customHeight="1">
      <c r="A123" s="26" t="s">
        <v>526</v>
      </c>
      <c r="B123" s="26" t="s">
        <v>636</v>
      </c>
      <c r="C123" s="26" t="s">
        <v>1171</v>
      </c>
      <c r="D123" s="219" t="s">
        <v>1172</v>
      </c>
      <c r="E123" s="26" t="s">
        <v>1173</v>
      </c>
      <c r="F123" s="26" t="s">
        <v>617</v>
      </c>
      <c r="G123" s="279" t="s">
        <v>1745</v>
      </c>
      <c r="H123" s="206" t="s">
        <v>33</v>
      </c>
      <c r="I123" s="207">
        <v>60</v>
      </c>
      <c r="J123" s="207">
        <v>100</v>
      </c>
      <c r="K123" s="207" t="s">
        <v>648</v>
      </c>
      <c r="L123" s="214" t="s">
        <v>701</v>
      </c>
      <c r="M123" s="214" t="s">
        <v>1174</v>
      </c>
      <c r="N123" s="215" t="s">
        <v>815</v>
      </c>
      <c r="O123" s="216" t="s">
        <v>808</v>
      </c>
      <c r="P123" s="216" t="s">
        <v>699</v>
      </c>
      <c r="Q123" s="218">
        <v>2.1000000000000001E-2</v>
      </c>
      <c r="R123" s="218">
        <v>1.2E-2</v>
      </c>
      <c r="S123" s="218">
        <v>0</v>
      </c>
      <c r="T123" s="26" t="s">
        <v>589</v>
      </c>
      <c r="U123" s="207"/>
      <c r="V123" s="214"/>
      <c r="W123" s="214"/>
      <c r="X123" s="215"/>
      <c r="Y123" s="217"/>
      <c r="Z123" s="217"/>
      <c r="AA123" s="218"/>
      <c r="AB123" s="218"/>
      <c r="AC123" s="218"/>
    </row>
    <row r="124" spans="1:29" ht="15.75" customHeight="1">
      <c r="A124" s="26" t="s">
        <v>527</v>
      </c>
      <c r="B124" s="26" t="s">
        <v>636</v>
      </c>
      <c r="C124" s="26" t="s">
        <v>1175</v>
      </c>
      <c r="D124" s="219" t="s">
        <v>1172</v>
      </c>
      <c r="E124" s="26" t="s">
        <v>1176</v>
      </c>
      <c r="F124" s="26" t="s">
        <v>617</v>
      </c>
      <c r="G124" s="279" t="s">
        <v>1745</v>
      </c>
      <c r="H124" s="206" t="s">
        <v>33</v>
      </c>
      <c r="I124" s="207">
        <v>60</v>
      </c>
      <c r="J124" s="207">
        <v>100</v>
      </c>
      <c r="K124" s="207">
        <v>14</v>
      </c>
      <c r="L124" s="214" t="s">
        <v>794</v>
      </c>
      <c r="M124" s="214">
        <v>1</v>
      </c>
      <c r="N124" s="215" t="s">
        <v>1177</v>
      </c>
      <c r="O124" s="216" t="s">
        <v>808</v>
      </c>
      <c r="P124" s="216" t="s">
        <v>699</v>
      </c>
      <c r="Q124" s="218">
        <v>2.1000000000000001E-2</v>
      </c>
      <c r="R124" s="218">
        <v>1.2E-2</v>
      </c>
      <c r="S124" s="218">
        <v>0</v>
      </c>
      <c r="T124" s="26"/>
      <c r="U124" s="207"/>
      <c r="V124" s="214"/>
      <c r="W124" s="214"/>
      <c r="X124" s="215"/>
      <c r="Y124" s="217"/>
      <c r="Z124" s="217"/>
      <c r="AA124" s="218"/>
      <c r="AB124" s="218"/>
      <c r="AC124" s="218"/>
    </row>
    <row r="125" spans="1:29" ht="15.75" customHeight="1">
      <c r="A125" s="26" t="s">
        <v>528</v>
      </c>
      <c r="B125" s="26" t="s">
        <v>636</v>
      </c>
      <c r="C125" s="26" t="s">
        <v>1178</v>
      </c>
      <c r="D125" s="219" t="s">
        <v>1179</v>
      </c>
      <c r="E125" s="26" t="s">
        <v>1180</v>
      </c>
      <c r="F125" s="26" t="s">
        <v>617</v>
      </c>
      <c r="G125" s="279" t="s">
        <v>1745</v>
      </c>
      <c r="H125" s="206" t="s">
        <v>33</v>
      </c>
      <c r="I125" s="207">
        <v>40</v>
      </c>
      <c r="J125" s="207">
        <v>100</v>
      </c>
      <c r="K125" s="207">
        <v>9</v>
      </c>
      <c r="L125" s="214" t="s">
        <v>660</v>
      </c>
      <c r="M125" s="214" t="s">
        <v>690</v>
      </c>
      <c r="N125" s="215" t="s">
        <v>855</v>
      </c>
      <c r="O125" s="217">
        <v>2.4E-2</v>
      </c>
      <c r="P125" s="217">
        <v>0.153</v>
      </c>
      <c r="Q125" s="218">
        <v>1.6E-2</v>
      </c>
      <c r="R125" s="218">
        <v>1.2999999999999999E-2</v>
      </c>
      <c r="S125" s="218">
        <v>0</v>
      </c>
      <c r="T125" s="26"/>
      <c r="U125" s="207"/>
      <c r="V125" s="214"/>
      <c r="W125" s="214"/>
      <c r="X125" s="215"/>
      <c r="Y125" s="217"/>
      <c r="Z125" s="217"/>
      <c r="AA125" s="218"/>
      <c r="AB125" s="218"/>
      <c r="AC125" s="218"/>
    </row>
    <row r="126" spans="1:29" ht="15.75" customHeight="1">
      <c r="A126" s="26" t="s">
        <v>454</v>
      </c>
      <c r="B126" s="26" t="s">
        <v>778</v>
      </c>
      <c r="C126" s="26" t="s">
        <v>1181</v>
      </c>
      <c r="D126" s="26" t="s">
        <v>1182</v>
      </c>
      <c r="E126" s="26" t="s">
        <v>1183</v>
      </c>
      <c r="F126" s="26" t="s">
        <v>698</v>
      </c>
      <c r="G126" s="279" t="s">
        <v>1745</v>
      </c>
      <c r="H126" s="206" t="s">
        <v>33</v>
      </c>
      <c r="I126" s="207">
        <v>35</v>
      </c>
      <c r="J126" s="207">
        <v>100</v>
      </c>
      <c r="K126" s="207" t="s">
        <v>1003</v>
      </c>
      <c r="L126" s="214" t="s">
        <v>610</v>
      </c>
      <c r="M126" s="214" t="s">
        <v>618</v>
      </c>
      <c r="N126" s="215" t="s">
        <v>815</v>
      </c>
      <c r="O126" s="216" t="s">
        <v>1184</v>
      </c>
      <c r="P126" s="216" t="s">
        <v>1185</v>
      </c>
      <c r="Q126" s="218">
        <v>7.8E-2</v>
      </c>
      <c r="R126" s="218">
        <v>0.32500000000000001</v>
      </c>
      <c r="S126" s="218"/>
      <c r="T126" s="26" t="s">
        <v>589</v>
      </c>
      <c r="U126" s="207">
        <v>87</v>
      </c>
      <c r="V126" s="214" t="s">
        <v>808</v>
      </c>
      <c r="W126" s="214" t="s">
        <v>660</v>
      </c>
      <c r="X126" s="215" t="s">
        <v>891</v>
      </c>
      <c r="Y126" s="216" t="s">
        <v>634</v>
      </c>
      <c r="Z126" s="216" t="s">
        <v>1186</v>
      </c>
      <c r="AA126" s="218"/>
      <c r="AB126" s="218"/>
      <c r="AC126" s="218"/>
    </row>
    <row r="127" spans="1:29" ht="15.75" customHeight="1">
      <c r="A127" s="26" t="s">
        <v>451</v>
      </c>
      <c r="B127" s="26" t="s">
        <v>778</v>
      </c>
      <c r="C127" s="26" t="s">
        <v>1187</v>
      </c>
      <c r="D127" s="26" t="s">
        <v>1188</v>
      </c>
      <c r="E127" s="26" t="s">
        <v>1189</v>
      </c>
      <c r="F127" s="26" t="s">
        <v>1190</v>
      </c>
      <c r="G127" s="279" t="s">
        <v>1745</v>
      </c>
      <c r="H127" s="206" t="s">
        <v>33</v>
      </c>
      <c r="I127" s="207">
        <v>70</v>
      </c>
      <c r="J127" s="207">
        <v>100</v>
      </c>
      <c r="K127" s="207">
        <v>21</v>
      </c>
      <c r="L127" s="214" t="s">
        <v>794</v>
      </c>
      <c r="M127" s="214" t="s">
        <v>660</v>
      </c>
      <c r="N127" s="215" t="s">
        <v>1132</v>
      </c>
      <c r="O127" s="216" t="s">
        <v>624</v>
      </c>
      <c r="P127" s="216" t="s">
        <v>672</v>
      </c>
      <c r="Q127" s="218">
        <v>1.6E-2</v>
      </c>
      <c r="R127" s="218">
        <v>2.3E-2</v>
      </c>
      <c r="S127" s="218">
        <v>0</v>
      </c>
      <c r="T127" s="26" t="s">
        <v>589</v>
      </c>
      <c r="U127" s="207">
        <v>18</v>
      </c>
      <c r="V127" s="214" t="s">
        <v>689</v>
      </c>
      <c r="W127" s="214" t="s">
        <v>610</v>
      </c>
      <c r="X127" s="215" t="s">
        <v>680</v>
      </c>
      <c r="Y127" s="216" t="s">
        <v>835</v>
      </c>
      <c r="Z127" s="216" t="s">
        <v>1191</v>
      </c>
      <c r="AA127" s="218"/>
      <c r="AB127" s="218"/>
      <c r="AC127" s="218"/>
    </row>
    <row r="128" spans="1:29" ht="15.75" customHeight="1">
      <c r="A128" s="26" t="s">
        <v>450</v>
      </c>
      <c r="B128" s="26" t="s">
        <v>778</v>
      </c>
      <c r="C128" s="26" t="s">
        <v>1192</v>
      </c>
      <c r="D128" s="26" t="s">
        <v>1193</v>
      </c>
      <c r="E128" s="26" t="s">
        <v>1189</v>
      </c>
      <c r="F128" s="26" t="s">
        <v>1194</v>
      </c>
      <c r="G128" s="279" t="s">
        <v>1745</v>
      </c>
      <c r="H128" s="206" t="s">
        <v>33</v>
      </c>
      <c r="I128" s="207">
        <v>70</v>
      </c>
      <c r="J128" s="207">
        <v>100</v>
      </c>
      <c r="K128" s="207">
        <v>20</v>
      </c>
      <c r="L128" s="214" t="s">
        <v>662</v>
      </c>
      <c r="M128" s="214" t="s">
        <v>702</v>
      </c>
      <c r="N128" s="215" t="s">
        <v>661</v>
      </c>
      <c r="O128" s="216" t="s">
        <v>712</v>
      </c>
      <c r="P128" s="216" t="s">
        <v>713</v>
      </c>
      <c r="Q128" s="218">
        <v>1.6E-2</v>
      </c>
      <c r="R128" s="218">
        <v>2.3E-2</v>
      </c>
      <c r="S128" s="218">
        <v>0</v>
      </c>
      <c r="T128" s="26" t="s">
        <v>589</v>
      </c>
      <c r="U128" s="207">
        <v>18</v>
      </c>
      <c r="V128" s="214" t="s">
        <v>689</v>
      </c>
      <c r="W128" s="214" t="s">
        <v>610</v>
      </c>
      <c r="X128" s="215" t="s">
        <v>680</v>
      </c>
      <c r="Y128" s="216" t="s">
        <v>714</v>
      </c>
      <c r="Z128" s="216" t="s">
        <v>715</v>
      </c>
      <c r="AA128" s="218"/>
      <c r="AB128" s="218"/>
      <c r="AC128" s="218"/>
    </row>
    <row r="129" spans="1:29" ht="15.75" customHeight="1">
      <c r="A129" s="26" t="s">
        <v>452</v>
      </c>
      <c r="B129" s="26" t="s">
        <v>778</v>
      </c>
      <c r="C129" s="26" t="s">
        <v>1195</v>
      </c>
      <c r="D129" s="26" t="s">
        <v>1196</v>
      </c>
      <c r="E129" s="26" t="s">
        <v>1197</v>
      </c>
      <c r="F129" s="26" t="s">
        <v>1198</v>
      </c>
      <c r="G129" s="279" t="s">
        <v>1745</v>
      </c>
      <c r="H129" s="206" t="s">
        <v>595</v>
      </c>
      <c r="I129" s="207">
        <v>70</v>
      </c>
      <c r="J129" s="207">
        <v>100</v>
      </c>
      <c r="K129" s="207">
        <v>25</v>
      </c>
      <c r="L129" s="214"/>
      <c r="M129" s="214"/>
      <c r="N129" s="215" t="s">
        <v>1153</v>
      </c>
      <c r="O129" s="216" t="s">
        <v>801</v>
      </c>
      <c r="P129" s="216" t="s">
        <v>929</v>
      </c>
      <c r="Q129" s="218">
        <v>1E-3</v>
      </c>
      <c r="R129" s="218">
        <v>0</v>
      </c>
      <c r="S129" s="218">
        <v>0</v>
      </c>
      <c r="T129" s="26" t="s">
        <v>589</v>
      </c>
      <c r="U129" s="207">
        <v>26</v>
      </c>
      <c r="V129" s="214"/>
      <c r="W129" s="214"/>
      <c r="X129" s="215" t="s">
        <v>866</v>
      </c>
      <c r="Y129" s="216" t="s">
        <v>916</v>
      </c>
      <c r="Z129" s="216" t="s">
        <v>776</v>
      </c>
      <c r="AA129" s="218"/>
      <c r="AB129" s="218"/>
      <c r="AC129" s="218"/>
    </row>
    <row r="130" spans="1:29" ht="15.75" customHeight="1">
      <c r="A130" s="26" t="s">
        <v>453</v>
      </c>
      <c r="B130" s="26" t="s">
        <v>778</v>
      </c>
      <c r="C130" s="26" t="s">
        <v>1199</v>
      </c>
      <c r="D130" s="26" t="s">
        <v>1182</v>
      </c>
      <c r="E130" s="26" t="s">
        <v>1200</v>
      </c>
      <c r="F130" s="26" t="s">
        <v>698</v>
      </c>
      <c r="G130" s="279" t="s">
        <v>1745</v>
      </c>
      <c r="H130" s="206" t="s">
        <v>33</v>
      </c>
      <c r="I130" s="207">
        <v>35</v>
      </c>
      <c r="J130" s="207">
        <v>100</v>
      </c>
      <c r="K130" s="207" t="s">
        <v>1003</v>
      </c>
      <c r="L130" s="214" t="s">
        <v>679</v>
      </c>
      <c r="M130" s="214" t="s">
        <v>815</v>
      </c>
      <c r="N130" s="215" t="s">
        <v>1201</v>
      </c>
      <c r="O130" s="216">
        <v>0</v>
      </c>
      <c r="P130" s="216">
        <v>0</v>
      </c>
      <c r="Q130" s="218">
        <v>0</v>
      </c>
      <c r="R130" s="218">
        <v>0</v>
      </c>
      <c r="S130" s="218">
        <v>0</v>
      </c>
      <c r="T130" s="26" t="s">
        <v>589</v>
      </c>
      <c r="U130" s="207">
        <v>87</v>
      </c>
      <c r="V130" s="214" t="s">
        <v>808</v>
      </c>
      <c r="W130" s="214" t="s">
        <v>660</v>
      </c>
      <c r="X130" s="215" t="s">
        <v>891</v>
      </c>
      <c r="Y130" s="216"/>
      <c r="Z130" s="216"/>
      <c r="AA130" s="218"/>
      <c r="AB130" s="218"/>
      <c r="AC130" s="218"/>
    </row>
    <row r="131" spans="1:29" ht="15.75" customHeight="1">
      <c r="A131" s="26" t="s">
        <v>529</v>
      </c>
      <c r="B131" s="26" t="s">
        <v>636</v>
      </c>
      <c r="C131" s="26" t="s">
        <v>1202</v>
      </c>
      <c r="D131" s="219" t="s">
        <v>853</v>
      </c>
      <c r="E131" s="26" t="s">
        <v>1203</v>
      </c>
      <c r="F131" s="26" t="s">
        <v>677</v>
      </c>
      <c r="G131" s="279" t="s">
        <v>1745</v>
      </c>
      <c r="H131" s="206" t="s">
        <v>33</v>
      </c>
      <c r="I131" s="207">
        <v>50</v>
      </c>
      <c r="J131" s="207">
        <v>100</v>
      </c>
      <c r="K131" s="207" t="s">
        <v>683</v>
      </c>
      <c r="L131" s="214" t="s">
        <v>1039</v>
      </c>
      <c r="M131" s="214" t="s">
        <v>596</v>
      </c>
      <c r="N131" s="215">
        <v>2</v>
      </c>
      <c r="O131" s="217">
        <v>9.1999999999999998E-2</v>
      </c>
      <c r="P131" s="217">
        <v>0.252</v>
      </c>
      <c r="Q131" s="218">
        <v>2E-3</v>
      </c>
      <c r="R131" s="218">
        <v>3.1E-2</v>
      </c>
      <c r="S131" s="218">
        <v>0</v>
      </c>
      <c r="T131" s="26" t="s">
        <v>858</v>
      </c>
      <c r="U131" s="207">
        <v>91</v>
      </c>
      <c r="V131" s="214" t="s">
        <v>794</v>
      </c>
      <c r="W131" s="214" t="s">
        <v>660</v>
      </c>
      <c r="X131" s="215" t="s">
        <v>1132</v>
      </c>
      <c r="Y131" s="217"/>
      <c r="Z131" s="217"/>
      <c r="AA131" s="218"/>
      <c r="AB131" s="218"/>
      <c r="AC131" s="218"/>
    </row>
    <row r="132" spans="1:29" ht="15.75" customHeight="1">
      <c r="A132" s="26" t="s">
        <v>530</v>
      </c>
      <c r="B132" s="26" t="s">
        <v>636</v>
      </c>
      <c r="C132" s="26" t="s">
        <v>1204</v>
      </c>
      <c r="D132" s="219" t="s">
        <v>853</v>
      </c>
      <c r="E132" s="26" t="s">
        <v>1205</v>
      </c>
      <c r="F132" s="26" t="s">
        <v>677</v>
      </c>
      <c r="G132" s="279" t="s">
        <v>1745</v>
      </c>
      <c r="H132" s="206" t="s">
        <v>33</v>
      </c>
      <c r="I132" s="207">
        <v>50</v>
      </c>
      <c r="J132" s="207">
        <v>100</v>
      </c>
      <c r="K132" s="207">
        <v>35</v>
      </c>
      <c r="L132" s="214" t="s">
        <v>631</v>
      </c>
      <c r="M132" s="214" t="s">
        <v>632</v>
      </c>
      <c r="N132" s="215" t="s">
        <v>690</v>
      </c>
      <c r="O132" s="217">
        <v>8.8999999999999996E-2</v>
      </c>
      <c r="P132" s="217">
        <v>0.27</v>
      </c>
      <c r="Q132" s="218">
        <v>2E-3</v>
      </c>
      <c r="R132" s="218">
        <v>3.6999999999999998E-2</v>
      </c>
      <c r="S132" s="218">
        <v>0</v>
      </c>
      <c r="T132" s="26" t="s">
        <v>858</v>
      </c>
      <c r="U132" s="207">
        <v>23</v>
      </c>
      <c r="V132" s="214" t="s">
        <v>660</v>
      </c>
      <c r="W132" s="214" t="s">
        <v>661</v>
      </c>
      <c r="X132" s="215" t="s">
        <v>662</v>
      </c>
      <c r="Y132" s="217"/>
      <c r="Z132" s="217"/>
      <c r="AA132" s="218"/>
      <c r="AB132" s="218"/>
      <c r="AC132" s="218"/>
    </row>
    <row r="133" spans="1:29" ht="15.75" customHeight="1">
      <c r="A133" s="26" t="s">
        <v>562</v>
      </c>
      <c r="B133" s="26" t="s">
        <v>771</v>
      </c>
      <c r="C133" s="26" t="s">
        <v>1206</v>
      </c>
      <c r="D133" s="219" t="s">
        <v>1207</v>
      </c>
      <c r="E133" s="26" t="s">
        <v>1208</v>
      </c>
      <c r="F133" s="26" t="s">
        <v>820</v>
      </c>
      <c r="G133" s="279" t="s">
        <v>1745</v>
      </c>
      <c r="H133" s="206"/>
      <c r="I133" s="207">
        <v>70</v>
      </c>
      <c r="J133" s="207">
        <v>100</v>
      </c>
      <c r="K133" s="207">
        <v>65</v>
      </c>
      <c r="L133" s="214"/>
      <c r="M133" s="214"/>
      <c r="N133" s="215" t="s">
        <v>685</v>
      </c>
      <c r="O133" s="216" t="s">
        <v>663</v>
      </c>
      <c r="P133" s="216" t="s">
        <v>1209</v>
      </c>
      <c r="Q133" s="218">
        <v>1.7000000000000001E-2</v>
      </c>
      <c r="R133" s="218">
        <v>2.1000000000000001E-2</v>
      </c>
      <c r="S133" s="218">
        <v>0</v>
      </c>
      <c r="T133" s="26"/>
      <c r="U133" s="207"/>
      <c r="V133" s="214"/>
      <c r="W133" s="214"/>
      <c r="X133" s="215"/>
      <c r="Y133" s="226"/>
      <c r="Z133" s="217"/>
      <c r="AA133" s="218"/>
      <c r="AB133" s="218"/>
      <c r="AC133" s="218"/>
    </row>
    <row r="134" spans="1:29" ht="15.75" customHeight="1">
      <c r="A134" s="26" t="s">
        <v>490</v>
      </c>
      <c r="B134" s="26" t="s">
        <v>590</v>
      </c>
      <c r="C134" s="26" t="s">
        <v>1210</v>
      </c>
      <c r="D134" s="26" t="s">
        <v>1211</v>
      </c>
      <c r="E134" s="26" t="s">
        <v>1212</v>
      </c>
      <c r="F134" s="26" t="s">
        <v>594</v>
      </c>
      <c r="G134" s="285" t="s">
        <v>1743</v>
      </c>
      <c r="H134" s="206" t="s">
        <v>826</v>
      </c>
      <c r="I134" s="207">
        <v>90</v>
      </c>
      <c r="J134" s="207">
        <v>100</v>
      </c>
      <c r="K134" s="207" t="s">
        <v>1213</v>
      </c>
      <c r="L134" s="214"/>
      <c r="M134" s="214"/>
      <c r="N134" s="215" t="s">
        <v>834</v>
      </c>
      <c r="O134" s="216" t="s">
        <v>1025</v>
      </c>
      <c r="P134" s="216" t="s">
        <v>633</v>
      </c>
      <c r="Q134" s="218"/>
      <c r="R134" s="218"/>
      <c r="S134" s="218"/>
      <c r="T134" s="26"/>
      <c r="U134" s="207"/>
      <c r="V134" s="214"/>
      <c r="W134" s="214"/>
      <c r="X134" s="215"/>
      <c r="Y134" s="217"/>
      <c r="Z134" s="217"/>
      <c r="AA134" s="218"/>
      <c r="AB134" s="218"/>
      <c r="AC134" s="218"/>
    </row>
    <row r="135" spans="1:29" ht="15.75" customHeight="1">
      <c r="A135" s="26" t="s">
        <v>491</v>
      </c>
      <c r="B135" s="26" t="s">
        <v>590</v>
      </c>
      <c r="C135" s="26" t="s">
        <v>1214</v>
      </c>
      <c r="D135" s="26" t="s">
        <v>1215</v>
      </c>
      <c r="E135" s="26" t="s">
        <v>1216</v>
      </c>
      <c r="F135" s="26" t="s">
        <v>594</v>
      </c>
      <c r="G135" s="285" t="s">
        <v>1743</v>
      </c>
      <c r="H135" s="206" t="s">
        <v>33</v>
      </c>
      <c r="I135" s="207">
        <v>90</v>
      </c>
      <c r="J135" s="207">
        <v>100</v>
      </c>
      <c r="K135" s="207" t="s">
        <v>683</v>
      </c>
      <c r="L135" s="214"/>
      <c r="M135" s="214"/>
      <c r="N135" s="215" t="s">
        <v>662</v>
      </c>
      <c r="O135" s="216" t="s">
        <v>1217</v>
      </c>
      <c r="P135" s="216" t="s">
        <v>1013</v>
      </c>
      <c r="Q135" s="218"/>
      <c r="R135" s="218"/>
      <c r="S135" s="218"/>
      <c r="T135" s="26"/>
      <c r="U135" s="207"/>
      <c r="V135" s="214"/>
      <c r="W135" s="214"/>
      <c r="X135" s="215"/>
      <c r="Y135" s="217"/>
      <c r="Z135" s="217"/>
      <c r="AA135" s="218"/>
      <c r="AB135" s="218"/>
      <c r="AC135" s="218"/>
    </row>
    <row r="136" spans="1:29" ht="15.75" customHeight="1">
      <c r="A136" s="26" t="s">
        <v>455</v>
      </c>
      <c r="B136" s="26" t="s">
        <v>778</v>
      </c>
      <c r="C136" s="26" t="s">
        <v>1218</v>
      </c>
      <c r="D136" s="26" t="s">
        <v>1219</v>
      </c>
      <c r="E136" s="26" t="s">
        <v>1220</v>
      </c>
      <c r="F136" s="26" t="s">
        <v>1221</v>
      </c>
      <c r="G136" s="279" t="s">
        <v>1745</v>
      </c>
      <c r="H136" s="206" t="s">
        <v>1222</v>
      </c>
      <c r="I136" s="207">
        <v>80</v>
      </c>
      <c r="J136" s="207">
        <v>100</v>
      </c>
      <c r="K136" s="207">
        <v>75</v>
      </c>
      <c r="L136" s="214" t="s">
        <v>611</v>
      </c>
      <c r="M136" s="214" t="s">
        <v>653</v>
      </c>
      <c r="N136" s="215">
        <v>4</v>
      </c>
      <c r="O136" s="216" t="s">
        <v>882</v>
      </c>
      <c r="P136" s="216" t="s">
        <v>1223</v>
      </c>
      <c r="Q136" s="218"/>
      <c r="R136" s="218"/>
      <c r="S136" s="218"/>
      <c r="T136" s="26" t="s">
        <v>1224</v>
      </c>
      <c r="U136" s="207"/>
      <c r="V136" s="214"/>
      <c r="W136" s="214"/>
      <c r="X136" s="215"/>
      <c r="Y136" s="216" t="s">
        <v>882</v>
      </c>
      <c r="Z136" s="216" t="s">
        <v>1223</v>
      </c>
      <c r="AA136" s="218"/>
      <c r="AB136" s="218"/>
      <c r="AC136" s="218"/>
    </row>
    <row r="137" spans="1:29" ht="15.75" customHeight="1">
      <c r="A137" s="26" t="s">
        <v>456</v>
      </c>
      <c r="B137" s="26" t="s">
        <v>778</v>
      </c>
      <c r="C137" s="26" t="s">
        <v>1225</v>
      </c>
      <c r="D137" s="26" t="s">
        <v>1219</v>
      </c>
      <c r="E137" s="26" t="s">
        <v>1226</v>
      </c>
      <c r="F137" s="26" t="s">
        <v>767</v>
      </c>
      <c r="G137" s="279" t="s">
        <v>1745</v>
      </c>
      <c r="H137" s="206" t="s">
        <v>1222</v>
      </c>
      <c r="I137" s="207">
        <v>80</v>
      </c>
      <c r="J137" s="207">
        <v>100</v>
      </c>
      <c r="K137" s="207">
        <v>8</v>
      </c>
      <c r="L137" s="214">
        <v>2</v>
      </c>
      <c r="M137" s="214" t="s">
        <v>680</v>
      </c>
      <c r="N137" s="215" t="s">
        <v>596</v>
      </c>
      <c r="O137" s="216" t="s">
        <v>1227</v>
      </c>
      <c r="P137" s="216">
        <v>2</v>
      </c>
      <c r="Q137" s="218"/>
      <c r="R137" s="218"/>
      <c r="S137" s="218"/>
      <c r="T137" s="26" t="s">
        <v>1224</v>
      </c>
      <c r="U137" s="207">
        <v>9</v>
      </c>
      <c r="V137" s="214" t="s">
        <v>620</v>
      </c>
      <c r="W137" s="214">
        <v>1</v>
      </c>
      <c r="X137" s="215" t="s">
        <v>891</v>
      </c>
      <c r="Y137" s="216" t="s">
        <v>1227</v>
      </c>
      <c r="Z137" s="216">
        <v>2</v>
      </c>
      <c r="AA137" s="218"/>
      <c r="AB137" s="218"/>
      <c r="AC137" s="218"/>
    </row>
    <row r="138" spans="1:29" ht="15.75" customHeight="1">
      <c r="A138" s="26" t="s">
        <v>531</v>
      </c>
      <c r="B138" s="26" t="s">
        <v>636</v>
      </c>
      <c r="C138" s="26" t="s">
        <v>1228</v>
      </c>
      <c r="D138" s="219" t="s">
        <v>1229</v>
      </c>
      <c r="E138" s="26" t="s">
        <v>1230</v>
      </c>
      <c r="F138" s="26" t="s">
        <v>617</v>
      </c>
      <c r="G138" s="279" t="s">
        <v>1745</v>
      </c>
      <c r="H138" s="206" t="s">
        <v>33</v>
      </c>
      <c r="I138" s="207">
        <v>60</v>
      </c>
      <c r="J138" s="207">
        <v>100</v>
      </c>
      <c r="K138" s="207">
        <v>6</v>
      </c>
      <c r="L138" s="214" t="s">
        <v>680</v>
      </c>
      <c r="M138" s="214" t="s">
        <v>597</v>
      </c>
      <c r="N138" s="215" t="s">
        <v>598</v>
      </c>
      <c r="O138" s="216" t="s">
        <v>890</v>
      </c>
      <c r="P138" s="216" t="s">
        <v>1231</v>
      </c>
      <c r="Q138" s="218">
        <v>1.2999999999999999E-2</v>
      </c>
      <c r="R138" s="218">
        <v>0.01</v>
      </c>
      <c r="S138" s="218">
        <v>0</v>
      </c>
      <c r="T138" s="26" t="s">
        <v>589</v>
      </c>
      <c r="U138" s="207">
        <v>20</v>
      </c>
      <c r="V138" s="214"/>
      <c r="W138" s="214"/>
      <c r="X138" s="215" t="s">
        <v>689</v>
      </c>
      <c r="Y138" s="216" t="s">
        <v>693</v>
      </c>
      <c r="Z138" s="216" t="s">
        <v>1039</v>
      </c>
      <c r="AA138" s="218"/>
      <c r="AB138" s="218"/>
      <c r="AC138" s="218"/>
    </row>
    <row r="139" spans="1:29" ht="15.75" customHeight="1">
      <c r="A139" s="26" t="s">
        <v>492</v>
      </c>
      <c r="B139" s="26" t="s">
        <v>590</v>
      </c>
      <c r="C139" s="26" t="s">
        <v>1232</v>
      </c>
      <c r="D139" s="26" t="s">
        <v>1233</v>
      </c>
      <c r="E139" s="26" t="s">
        <v>1234</v>
      </c>
      <c r="F139" s="26" t="s">
        <v>594</v>
      </c>
      <c r="G139" s="285" t="s">
        <v>1743</v>
      </c>
      <c r="H139" s="206" t="s">
        <v>826</v>
      </c>
      <c r="I139" s="207">
        <v>90</v>
      </c>
      <c r="J139" s="207">
        <v>100</v>
      </c>
      <c r="K139" s="207">
        <v>90</v>
      </c>
      <c r="L139" s="214"/>
      <c r="M139" s="214"/>
      <c r="N139" s="215" t="s">
        <v>1186</v>
      </c>
      <c r="O139" s="216" t="s">
        <v>816</v>
      </c>
      <c r="P139" s="216" t="s">
        <v>842</v>
      </c>
      <c r="Q139" s="218"/>
      <c r="R139" s="218"/>
      <c r="S139" s="218"/>
      <c r="T139" s="26"/>
      <c r="U139" s="207"/>
      <c r="V139" s="214"/>
      <c r="W139" s="214"/>
      <c r="X139" s="215"/>
      <c r="Y139" s="217"/>
      <c r="Z139" s="217"/>
      <c r="AA139" s="218"/>
      <c r="AB139" s="218"/>
      <c r="AC139" s="218"/>
    </row>
    <row r="140" spans="1:29" ht="15.75" customHeight="1">
      <c r="A140" s="26" t="s">
        <v>440</v>
      </c>
      <c r="B140" s="26" t="s">
        <v>673</v>
      </c>
      <c r="C140" s="26" t="s">
        <v>1235</v>
      </c>
      <c r="D140" s="26" t="s">
        <v>1236</v>
      </c>
      <c r="E140" s="26" t="s">
        <v>1235</v>
      </c>
      <c r="F140" s="26" t="s">
        <v>677</v>
      </c>
      <c r="G140" s="279" t="s">
        <v>1745</v>
      </c>
      <c r="H140" s="206" t="s">
        <v>33</v>
      </c>
      <c r="I140" s="207">
        <v>35</v>
      </c>
      <c r="J140" s="207">
        <v>10</v>
      </c>
      <c r="K140" s="207">
        <v>89</v>
      </c>
      <c r="L140" s="214" t="s">
        <v>679</v>
      </c>
      <c r="M140" s="214" t="s">
        <v>607</v>
      </c>
      <c r="N140" s="215" t="s">
        <v>1237</v>
      </c>
      <c r="O140" s="216" t="s">
        <v>857</v>
      </c>
      <c r="P140" s="216" t="s">
        <v>915</v>
      </c>
      <c r="Q140" s="227">
        <v>2.5000000000000001E-2</v>
      </c>
      <c r="R140" s="220">
        <v>0.124</v>
      </c>
      <c r="S140" s="218">
        <v>0</v>
      </c>
      <c r="T140" s="26" t="s">
        <v>682</v>
      </c>
      <c r="U140" s="207">
        <v>90</v>
      </c>
      <c r="V140" s="214" t="s">
        <v>668</v>
      </c>
      <c r="W140" s="214" t="s">
        <v>794</v>
      </c>
      <c r="X140" s="215" t="s">
        <v>669</v>
      </c>
      <c r="Y140" s="216" t="s">
        <v>1238</v>
      </c>
      <c r="Z140" s="216" t="s">
        <v>662</v>
      </c>
      <c r="AA140" s="218"/>
      <c r="AB140" s="218"/>
      <c r="AC140" s="218"/>
    </row>
    <row r="141" spans="1:29" ht="15.75" customHeight="1">
      <c r="A141" s="26" t="s">
        <v>493</v>
      </c>
      <c r="B141" s="26" t="s">
        <v>590</v>
      </c>
      <c r="C141" s="26" t="s">
        <v>1239</v>
      </c>
      <c r="D141" s="26" t="s">
        <v>1240</v>
      </c>
      <c r="E141" s="26" t="s">
        <v>1241</v>
      </c>
      <c r="F141" s="26" t="s">
        <v>710</v>
      </c>
      <c r="G141" s="279" t="s">
        <v>1745</v>
      </c>
      <c r="H141" s="206" t="s">
        <v>33</v>
      </c>
      <c r="I141" s="207">
        <v>90</v>
      </c>
      <c r="J141" s="207">
        <v>100</v>
      </c>
      <c r="K141" s="207" t="s">
        <v>1242</v>
      </c>
      <c r="L141" s="214"/>
      <c r="M141" s="214"/>
      <c r="N141" s="215" t="s">
        <v>612</v>
      </c>
      <c r="O141" s="216" t="s">
        <v>691</v>
      </c>
      <c r="P141" s="216" t="s">
        <v>1243</v>
      </c>
      <c r="Q141" s="218"/>
      <c r="R141" s="218"/>
      <c r="S141" s="218"/>
      <c r="T141" s="26"/>
      <c r="U141" s="207"/>
      <c r="V141" s="214"/>
      <c r="W141" s="214"/>
      <c r="X141" s="215"/>
      <c r="Y141" s="217"/>
      <c r="Z141" s="217"/>
      <c r="AA141" s="218"/>
      <c r="AB141" s="218"/>
      <c r="AC141" s="218"/>
    </row>
    <row r="142" spans="1:29" ht="15.75" customHeight="1">
      <c r="A142" s="26" t="s">
        <v>494</v>
      </c>
      <c r="B142" s="26" t="s">
        <v>590</v>
      </c>
      <c r="C142" s="26" t="s">
        <v>1244</v>
      </c>
      <c r="D142" s="219" t="s">
        <v>1245</v>
      </c>
      <c r="E142" s="26" t="s">
        <v>1246</v>
      </c>
      <c r="F142" s="26" t="s">
        <v>594</v>
      </c>
      <c r="G142" s="279" t="s">
        <v>1745</v>
      </c>
      <c r="H142" s="206" t="s">
        <v>33</v>
      </c>
      <c r="I142" s="207">
        <v>90</v>
      </c>
      <c r="J142" s="207">
        <v>100</v>
      </c>
      <c r="K142" s="207">
        <v>25</v>
      </c>
      <c r="L142" s="214" t="s">
        <v>598</v>
      </c>
      <c r="M142" s="214" t="s">
        <v>650</v>
      </c>
      <c r="N142" s="215">
        <v>3</v>
      </c>
      <c r="O142" s="216"/>
      <c r="P142" s="216"/>
      <c r="Q142" s="218"/>
      <c r="R142" s="218"/>
      <c r="S142" s="218"/>
      <c r="T142" s="26"/>
      <c r="U142" s="207"/>
      <c r="V142" s="214"/>
      <c r="W142" s="214"/>
      <c r="X142" s="215"/>
      <c r="Y142" s="217"/>
      <c r="Z142" s="217"/>
      <c r="AA142" s="218"/>
      <c r="AB142" s="218"/>
      <c r="AC142" s="218"/>
    </row>
    <row r="143" spans="1:29" ht="15.75" customHeight="1">
      <c r="A143" s="26" t="s">
        <v>497</v>
      </c>
      <c r="B143" s="26" t="s">
        <v>590</v>
      </c>
      <c r="C143" s="26" t="s">
        <v>1247</v>
      </c>
      <c r="D143" s="219" t="s">
        <v>1248</v>
      </c>
      <c r="E143" s="26" t="s">
        <v>1249</v>
      </c>
      <c r="F143" s="26" t="s">
        <v>594</v>
      </c>
      <c r="G143" s="279" t="s">
        <v>1745</v>
      </c>
      <c r="H143" s="206" t="s">
        <v>33</v>
      </c>
      <c r="I143" s="207">
        <v>90</v>
      </c>
      <c r="J143" s="207">
        <v>100</v>
      </c>
      <c r="K143" s="207" t="s">
        <v>1250</v>
      </c>
      <c r="L143" s="214"/>
      <c r="M143" s="214"/>
      <c r="N143" s="215" t="s">
        <v>1251</v>
      </c>
      <c r="O143" s="216" t="s">
        <v>1016</v>
      </c>
      <c r="P143" s="216" t="s">
        <v>1252</v>
      </c>
      <c r="Q143" s="218"/>
      <c r="R143" s="218"/>
      <c r="S143" s="218"/>
      <c r="T143" s="26"/>
      <c r="U143" s="207"/>
      <c r="V143" s="214"/>
      <c r="W143" s="214"/>
      <c r="X143" s="215"/>
      <c r="Y143" s="217"/>
      <c r="Z143" s="217"/>
      <c r="AA143" s="218"/>
      <c r="AB143" s="218"/>
      <c r="AC143" s="218"/>
    </row>
    <row r="144" spans="1:29" ht="15.75" customHeight="1">
      <c r="A144" s="26" t="s">
        <v>495</v>
      </c>
      <c r="B144" s="26" t="s">
        <v>590</v>
      </c>
      <c r="C144" s="26" t="s">
        <v>1253</v>
      </c>
      <c r="D144" s="219" t="s">
        <v>1245</v>
      </c>
      <c r="E144" s="26" t="s">
        <v>1254</v>
      </c>
      <c r="F144" s="26" t="s">
        <v>594</v>
      </c>
      <c r="G144" s="279" t="s">
        <v>1745</v>
      </c>
      <c r="H144" s="206" t="s">
        <v>33</v>
      </c>
      <c r="I144" s="207">
        <v>90</v>
      </c>
      <c r="J144" s="207">
        <v>100</v>
      </c>
      <c r="K144" s="207" t="s">
        <v>1255</v>
      </c>
      <c r="L144" s="214"/>
      <c r="M144" s="214"/>
      <c r="N144" s="215" t="s">
        <v>598</v>
      </c>
      <c r="O144" s="216" t="s">
        <v>1016</v>
      </c>
      <c r="P144" s="216" t="s">
        <v>1256</v>
      </c>
      <c r="Q144" s="218"/>
      <c r="R144" s="218"/>
      <c r="S144" s="218"/>
      <c r="T144" s="26"/>
      <c r="U144" s="207"/>
      <c r="V144" s="214"/>
      <c r="W144" s="214"/>
      <c r="X144" s="215"/>
      <c r="Y144" s="217"/>
      <c r="Z144" s="217"/>
      <c r="AA144" s="218"/>
      <c r="AB144" s="218"/>
      <c r="AC144" s="218"/>
    </row>
    <row r="145" spans="1:29" ht="15.75" customHeight="1">
      <c r="A145" s="26" t="s">
        <v>496</v>
      </c>
      <c r="B145" s="26" t="s">
        <v>590</v>
      </c>
      <c r="C145" s="26" t="s">
        <v>1257</v>
      </c>
      <c r="D145" s="219" t="s">
        <v>1245</v>
      </c>
      <c r="E145" s="26" t="s">
        <v>1258</v>
      </c>
      <c r="F145" s="26" t="s">
        <v>594</v>
      </c>
      <c r="G145" s="279" t="s">
        <v>1745</v>
      </c>
      <c r="H145" s="206" t="s">
        <v>33</v>
      </c>
      <c r="I145" s="207">
        <v>90</v>
      </c>
      <c r="J145" s="207">
        <v>100</v>
      </c>
      <c r="K145" s="207">
        <v>85</v>
      </c>
      <c r="L145" s="214" t="s">
        <v>607</v>
      </c>
      <c r="M145" s="214" t="s">
        <v>612</v>
      </c>
      <c r="N145" s="215" t="s">
        <v>1259</v>
      </c>
      <c r="O145" s="216"/>
      <c r="P145" s="216"/>
      <c r="Q145" s="218"/>
      <c r="R145" s="218"/>
      <c r="S145" s="218"/>
      <c r="T145" s="26"/>
      <c r="U145" s="207"/>
      <c r="V145" s="214"/>
      <c r="W145" s="214"/>
      <c r="X145" s="215"/>
      <c r="Y145" s="217"/>
      <c r="Z145" s="217"/>
      <c r="AA145" s="218"/>
      <c r="AB145" s="218"/>
      <c r="AC145" s="218"/>
    </row>
    <row r="146" spans="1:29" ht="15.75" customHeight="1">
      <c r="A146" s="26" t="s">
        <v>558</v>
      </c>
      <c r="B146" s="26" t="s">
        <v>613</v>
      </c>
      <c r="C146" s="26" t="s">
        <v>1260</v>
      </c>
      <c r="D146" s="219" t="s">
        <v>1261</v>
      </c>
      <c r="E146" s="26" t="s">
        <v>1262</v>
      </c>
      <c r="F146" s="26" t="s">
        <v>617</v>
      </c>
      <c r="G146" s="279" t="s">
        <v>1745</v>
      </c>
      <c r="H146" s="206" t="s">
        <v>595</v>
      </c>
      <c r="I146" s="207">
        <v>60</v>
      </c>
      <c r="J146" s="207">
        <v>100</v>
      </c>
      <c r="K146" s="207">
        <v>93</v>
      </c>
      <c r="L146" s="214"/>
      <c r="M146" s="214"/>
      <c r="N146" s="215" t="s">
        <v>929</v>
      </c>
      <c r="O146" s="216" t="s">
        <v>835</v>
      </c>
      <c r="P146" s="216" t="s">
        <v>866</v>
      </c>
      <c r="Q146" s="218">
        <v>6.0999999999999999E-2</v>
      </c>
      <c r="R146" s="218">
        <v>0.20100000000000001</v>
      </c>
      <c r="S146" s="218">
        <v>0</v>
      </c>
      <c r="T146" s="26"/>
      <c r="U146" s="207"/>
      <c r="V146" s="214"/>
      <c r="W146" s="214"/>
      <c r="X146" s="215"/>
      <c r="Y146" s="217"/>
      <c r="Z146" s="217"/>
      <c r="AA146" s="218"/>
      <c r="AB146" s="218"/>
      <c r="AC146" s="218"/>
    </row>
    <row r="147" spans="1:29" ht="15.75" customHeight="1">
      <c r="A147" s="26" t="s">
        <v>532</v>
      </c>
      <c r="B147" s="26" t="s">
        <v>613</v>
      </c>
      <c r="C147" s="26" t="s">
        <v>1263</v>
      </c>
      <c r="D147" s="219" t="s">
        <v>1264</v>
      </c>
      <c r="E147" s="26" t="s">
        <v>1265</v>
      </c>
      <c r="F147" s="26" t="s">
        <v>617</v>
      </c>
      <c r="G147" s="279" t="s">
        <v>1745</v>
      </c>
      <c r="H147" s="206" t="s">
        <v>33</v>
      </c>
      <c r="I147" s="207">
        <v>60</v>
      </c>
      <c r="J147" s="207">
        <v>100</v>
      </c>
      <c r="K147" s="207">
        <v>9</v>
      </c>
      <c r="L147" s="214">
        <v>1</v>
      </c>
      <c r="M147" s="214" t="s">
        <v>631</v>
      </c>
      <c r="N147" s="215" t="s">
        <v>721</v>
      </c>
      <c r="O147" s="216" t="s">
        <v>940</v>
      </c>
      <c r="P147" s="216" t="s">
        <v>1128</v>
      </c>
      <c r="Q147" s="218">
        <v>7.0000000000000001E-3</v>
      </c>
      <c r="R147" s="218">
        <v>0.01</v>
      </c>
      <c r="S147" s="218">
        <v>0</v>
      </c>
      <c r="T147" s="26" t="s">
        <v>589</v>
      </c>
      <c r="U147" s="207"/>
      <c r="V147" s="214"/>
      <c r="W147" s="214"/>
      <c r="X147" s="215"/>
      <c r="Y147" s="217"/>
      <c r="Z147" s="217"/>
      <c r="AA147" s="218"/>
      <c r="AB147" s="218"/>
      <c r="AC147" s="218"/>
    </row>
    <row r="148" spans="1:29" ht="15.75" customHeight="1">
      <c r="A148" s="26" t="s">
        <v>441</v>
      </c>
      <c r="B148" s="26" t="s">
        <v>673</v>
      </c>
      <c r="C148" s="26" t="s">
        <v>1266</v>
      </c>
      <c r="D148" s="26" t="s">
        <v>1267</v>
      </c>
      <c r="E148" s="26" t="s">
        <v>1268</v>
      </c>
      <c r="F148" s="26" t="s">
        <v>677</v>
      </c>
      <c r="G148" s="279" t="s">
        <v>1745</v>
      </c>
      <c r="H148" s="206" t="s">
        <v>33</v>
      </c>
      <c r="I148" s="207">
        <v>40</v>
      </c>
      <c r="J148" s="207">
        <v>10</v>
      </c>
      <c r="K148" s="208" t="s">
        <v>1045</v>
      </c>
      <c r="L148" s="209" t="s">
        <v>1269</v>
      </c>
      <c r="M148" s="209" t="s">
        <v>679</v>
      </c>
      <c r="N148" s="210" t="s">
        <v>596</v>
      </c>
      <c r="O148" s="211" t="s">
        <v>970</v>
      </c>
      <c r="P148" s="211" t="s">
        <v>625</v>
      </c>
      <c r="Q148" s="227">
        <v>2.7E-2</v>
      </c>
      <c r="R148" s="220">
        <v>0.126</v>
      </c>
      <c r="S148" s="218">
        <v>0</v>
      </c>
      <c r="T148" s="26" t="s">
        <v>682</v>
      </c>
      <c r="U148" s="208" t="s">
        <v>1270</v>
      </c>
      <c r="V148" s="209" t="s">
        <v>1035</v>
      </c>
      <c r="W148" s="209" t="s">
        <v>877</v>
      </c>
      <c r="X148" s="210" t="s">
        <v>1271</v>
      </c>
      <c r="Y148" s="211" t="s">
        <v>1164</v>
      </c>
      <c r="Z148" s="211" t="s">
        <v>662</v>
      </c>
      <c r="AA148" s="218"/>
      <c r="AB148" s="218"/>
      <c r="AC148" s="218"/>
    </row>
    <row r="149" spans="1:29" ht="15.75" customHeight="1">
      <c r="A149" s="26" t="s">
        <v>442</v>
      </c>
      <c r="B149" s="26" t="s">
        <v>673</v>
      </c>
      <c r="C149" s="26" t="s">
        <v>1272</v>
      </c>
      <c r="D149" s="26" t="s">
        <v>1267</v>
      </c>
      <c r="E149" s="26" t="s">
        <v>1273</v>
      </c>
      <c r="F149" s="26" t="s">
        <v>677</v>
      </c>
      <c r="G149" s="279" t="s">
        <v>1745</v>
      </c>
      <c r="H149" s="206" t="s">
        <v>33</v>
      </c>
      <c r="I149" s="207">
        <v>40</v>
      </c>
      <c r="J149" s="207">
        <v>10</v>
      </c>
      <c r="K149" s="207" t="s">
        <v>1045</v>
      </c>
      <c r="L149" s="214" t="s">
        <v>1269</v>
      </c>
      <c r="M149" s="214" t="s">
        <v>680</v>
      </c>
      <c r="N149" s="215" t="s">
        <v>679</v>
      </c>
      <c r="O149" s="216" t="s">
        <v>619</v>
      </c>
      <c r="P149" s="216" t="s">
        <v>752</v>
      </c>
      <c r="Q149" s="220">
        <v>2.5000000000000001E-2</v>
      </c>
      <c r="R149" s="220">
        <v>0.124</v>
      </c>
      <c r="S149" s="218">
        <v>0</v>
      </c>
      <c r="T149" s="26" t="s">
        <v>682</v>
      </c>
      <c r="U149" s="207" t="s">
        <v>683</v>
      </c>
      <c r="V149" s="214" t="s">
        <v>808</v>
      </c>
      <c r="W149" s="214" t="s">
        <v>809</v>
      </c>
      <c r="X149" s="215" t="s">
        <v>670</v>
      </c>
      <c r="Y149" s="216" t="s">
        <v>1164</v>
      </c>
      <c r="Z149" s="216" t="s">
        <v>662</v>
      </c>
      <c r="AA149" s="218"/>
      <c r="AB149" s="218"/>
      <c r="AC149" s="218"/>
    </row>
    <row r="150" spans="1:29" ht="15.75" customHeight="1">
      <c r="A150" s="26" t="s">
        <v>443</v>
      </c>
      <c r="B150" s="26" t="s">
        <v>673</v>
      </c>
      <c r="C150" s="26" t="s">
        <v>1274</v>
      </c>
      <c r="D150" s="26" t="s">
        <v>1275</v>
      </c>
      <c r="E150" s="26" t="s">
        <v>1276</v>
      </c>
      <c r="F150" s="26" t="s">
        <v>677</v>
      </c>
      <c r="G150" s="279" t="s">
        <v>1745</v>
      </c>
      <c r="H150" s="206" t="s">
        <v>33</v>
      </c>
      <c r="I150" s="207">
        <v>40</v>
      </c>
      <c r="J150" s="207">
        <v>10</v>
      </c>
      <c r="K150" s="207" t="s">
        <v>1045</v>
      </c>
      <c r="L150" s="214" t="s">
        <v>1277</v>
      </c>
      <c r="M150" s="214" t="s">
        <v>701</v>
      </c>
      <c r="N150" s="215" t="s">
        <v>640</v>
      </c>
      <c r="O150" s="216" t="s">
        <v>691</v>
      </c>
      <c r="P150" s="216" t="s">
        <v>897</v>
      </c>
      <c r="Q150" s="220">
        <v>3.4000000000000002E-2</v>
      </c>
      <c r="R150" s="220">
        <v>0.14399999999999999</v>
      </c>
      <c r="S150" s="218">
        <v>0</v>
      </c>
      <c r="T150" s="26" t="s">
        <v>682</v>
      </c>
      <c r="U150" s="207" t="s">
        <v>683</v>
      </c>
      <c r="V150" s="214" t="s">
        <v>808</v>
      </c>
      <c r="W150" s="214" t="s">
        <v>809</v>
      </c>
      <c r="X150" s="215" t="s">
        <v>670</v>
      </c>
      <c r="Y150" s="216" t="s">
        <v>1164</v>
      </c>
      <c r="Z150" s="216" t="s">
        <v>662</v>
      </c>
      <c r="AA150" s="218"/>
      <c r="AB150" s="218"/>
      <c r="AC150" s="218"/>
    </row>
    <row r="151" spans="1:29" ht="15.75" customHeight="1">
      <c r="A151" s="26" t="s">
        <v>498</v>
      </c>
      <c r="B151" s="26" t="s">
        <v>590</v>
      </c>
      <c r="C151" s="26" t="s">
        <v>1278</v>
      </c>
      <c r="D151" s="219" t="s">
        <v>1279</v>
      </c>
      <c r="E151" s="26" t="s">
        <v>1280</v>
      </c>
      <c r="F151" s="26" t="s">
        <v>594</v>
      </c>
      <c r="G151" s="279" t="s">
        <v>1745</v>
      </c>
      <c r="H151" s="206" t="s">
        <v>33</v>
      </c>
      <c r="I151" s="207">
        <v>90</v>
      </c>
      <c r="J151" s="207">
        <v>100</v>
      </c>
      <c r="K151" s="207" t="s">
        <v>911</v>
      </c>
      <c r="L151" s="214"/>
      <c r="M151" s="214"/>
      <c r="N151" s="215" t="s">
        <v>1281</v>
      </c>
      <c r="O151" s="216" t="s">
        <v>916</v>
      </c>
      <c r="P151" s="216" t="s">
        <v>701</v>
      </c>
      <c r="Q151" s="218"/>
      <c r="R151" s="218"/>
      <c r="S151" s="218"/>
      <c r="T151" s="26"/>
      <c r="U151" s="207"/>
      <c r="V151" s="214"/>
      <c r="W151" s="214"/>
      <c r="X151" s="215"/>
      <c r="Y151" s="217"/>
      <c r="Z151" s="217"/>
      <c r="AA151" s="218"/>
      <c r="AB151" s="218"/>
      <c r="AC151" s="218"/>
    </row>
    <row r="152" spans="1:29" ht="15.75" customHeight="1">
      <c r="A152" s="26" t="s">
        <v>563</v>
      </c>
      <c r="B152" s="26" t="s">
        <v>771</v>
      </c>
      <c r="C152" s="26" t="s">
        <v>1282</v>
      </c>
      <c r="D152" s="219" t="s">
        <v>1283</v>
      </c>
      <c r="E152" s="26" t="s">
        <v>1284</v>
      </c>
      <c r="F152" s="26" t="s">
        <v>820</v>
      </c>
      <c r="G152" s="279" t="s">
        <v>1745</v>
      </c>
      <c r="H152" s="206"/>
      <c r="I152" s="207">
        <v>70</v>
      </c>
      <c r="J152" s="207">
        <v>100</v>
      </c>
      <c r="K152" s="207" t="s">
        <v>1285</v>
      </c>
      <c r="L152" s="214"/>
      <c r="M152" s="214"/>
      <c r="N152" s="215" t="s">
        <v>1286</v>
      </c>
      <c r="O152" s="216" t="s">
        <v>624</v>
      </c>
      <c r="P152" s="216" t="s">
        <v>680</v>
      </c>
      <c r="Q152" s="218">
        <v>1.2E-2</v>
      </c>
      <c r="R152" s="218">
        <v>1.2E-2</v>
      </c>
      <c r="S152" s="218">
        <v>0</v>
      </c>
      <c r="T152" s="26"/>
      <c r="U152" s="207"/>
      <c r="V152" s="214"/>
      <c r="W152" s="214"/>
      <c r="X152" s="215"/>
      <c r="Y152" s="226"/>
      <c r="Z152" s="217"/>
      <c r="AA152" s="218"/>
      <c r="AB152" s="218"/>
      <c r="AC152" s="218"/>
    </row>
    <row r="153" spans="1:29" ht="15.75" customHeight="1">
      <c r="A153" s="26" t="s">
        <v>564</v>
      </c>
      <c r="B153" s="26" t="s">
        <v>771</v>
      </c>
      <c r="C153" s="26" t="s">
        <v>1287</v>
      </c>
      <c r="D153" s="219" t="s">
        <v>1288</v>
      </c>
      <c r="E153" s="26" t="s">
        <v>1289</v>
      </c>
      <c r="F153" s="26" t="s">
        <v>820</v>
      </c>
      <c r="G153" s="279" t="s">
        <v>1745</v>
      </c>
      <c r="H153" s="206"/>
      <c r="I153" s="207">
        <v>70</v>
      </c>
      <c r="J153" s="207">
        <v>100</v>
      </c>
      <c r="K153" s="207" t="s">
        <v>1290</v>
      </c>
      <c r="L153" s="214"/>
      <c r="M153" s="214"/>
      <c r="N153" s="215" t="s">
        <v>1291</v>
      </c>
      <c r="O153" s="226"/>
      <c r="P153" s="217"/>
      <c r="Q153" s="218"/>
      <c r="R153" s="218"/>
      <c r="S153" s="218"/>
      <c r="T153" s="26"/>
      <c r="U153" s="207"/>
      <c r="V153" s="214"/>
      <c r="W153" s="214"/>
      <c r="X153" s="215"/>
      <c r="Y153" s="226"/>
      <c r="Z153" s="217"/>
      <c r="AA153" s="218"/>
      <c r="AB153" s="218"/>
      <c r="AC153" s="218"/>
    </row>
    <row r="154" spans="1:29" ht="15.75" customHeight="1">
      <c r="A154" s="193"/>
      <c r="B154" s="193"/>
      <c r="C154" s="193"/>
      <c r="D154" s="193"/>
      <c r="E154" s="193"/>
      <c r="F154" s="193"/>
      <c r="G154" s="193"/>
      <c r="H154" s="193"/>
      <c r="I154" s="193"/>
      <c r="J154" s="193"/>
      <c r="K154" s="193"/>
      <c r="L154" s="193"/>
      <c r="M154" s="193"/>
      <c r="N154" s="193"/>
      <c r="O154" s="193"/>
      <c r="P154" s="193"/>
      <c r="Q154" s="193"/>
      <c r="R154" s="193"/>
      <c r="S154" s="193"/>
      <c r="T154" s="193"/>
      <c r="U154" s="193"/>
      <c r="V154" s="193"/>
      <c r="W154" s="193"/>
      <c r="X154" s="193"/>
      <c r="Y154" s="193"/>
      <c r="Z154" s="193"/>
      <c r="AA154" s="193"/>
      <c r="AB154" s="193"/>
      <c r="AC154" s="193"/>
    </row>
    <row r="155" spans="1:29" ht="15.75" customHeight="1">
      <c r="A155" s="193"/>
      <c r="B155" s="193"/>
      <c r="C155" s="193"/>
      <c r="D155" s="193"/>
      <c r="E155" s="193"/>
      <c r="F155" s="193"/>
      <c r="G155" s="193"/>
      <c r="H155" s="193"/>
      <c r="I155" s="193"/>
      <c r="J155" s="193"/>
      <c r="K155" s="193"/>
      <c r="L155" s="193"/>
      <c r="M155" s="193"/>
      <c r="N155" s="193"/>
      <c r="O155" s="193"/>
      <c r="P155" s="193"/>
      <c r="Q155" s="193"/>
      <c r="R155" s="193"/>
      <c r="S155" s="193"/>
      <c r="T155" s="193"/>
      <c r="U155" s="193"/>
      <c r="V155" s="193"/>
      <c r="W155" s="193"/>
      <c r="X155" s="193"/>
      <c r="Y155" s="193"/>
      <c r="Z155" s="193"/>
      <c r="AA155" s="193"/>
      <c r="AB155" s="193"/>
      <c r="AC155" s="193"/>
    </row>
    <row r="156" spans="1:29" ht="15.75" customHeight="1">
      <c r="A156" s="193"/>
      <c r="B156" s="193"/>
      <c r="C156" s="193"/>
      <c r="D156" s="193"/>
      <c r="E156" s="193"/>
      <c r="F156" s="193"/>
      <c r="G156" s="193"/>
      <c r="H156" s="193"/>
      <c r="I156" s="193"/>
      <c r="J156" s="193"/>
      <c r="K156" s="193"/>
      <c r="L156" s="193"/>
      <c r="M156" s="193"/>
      <c r="N156" s="193"/>
      <c r="O156" s="193"/>
      <c r="P156" s="193"/>
      <c r="Q156" s="193"/>
      <c r="R156" s="193"/>
      <c r="S156" s="193"/>
      <c r="T156" s="193"/>
      <c r="U156" s="193"/>
      <c r="V156" s="193"/>
      <c r="W156" s="193"/>
      <c r="X156" s="193"/>
      <c r="Y156" s="193"/>
      <c r="Z156" s="193"/>
      <c r="AA156" s="193"/>
      <c r="AB156" s="193"/>
      <c r="AC156" s="193"/>
    </row>
    <row r="157" spans="1:29" ht="15.75" customHeight="1">
      <c r="A157" s="193"/>
      <c r="B157" s="193"/>
      <c r="C157" s="193"/>
      <c r="D157" s="193"/>
      <c r="E157" s="193"/>
      <c r="F157" s="193"/>
      <c r="G157" s="193"/>
      <c r="H157" s="193"/>
      <c r="I157" s="193"/>
      <c r="J157" s="193"/>
      <c r="K157" s="193"/>
      <c r="L157" s="193"/>
      <c r="M157" s="193"/>
      <c r="N157" s="193"/>
      <c r="O157" s="193"/>
      <c r="P157" s="193"/>
      <c r="Q157" s="193"/>
      <c r="R157" s="193"/>
      <c r="S157" s="193"/>
      <c r="T157" s="193"/>
      <c r="U157" s="193"/>
      <c r="V157" s="193"/>
      <c r="W157" s="193"/>
      <c r="X157" s="193"/>
      <c r="Y157" s="193"/>
      <c r="Z157" s="193"/>
      <c r="AA157" s="193"/>
      <c r="AB157" s="193"/>
      <c r="AC157" s="193"/>
    </row>
    <row r="158" spans="1:29" ht="15.75" customHeight="1">
      <c r="A158" s="193"/>
      <c r="B158" s="193"/>
      <c r="C158" s="193"/>
      <c r="D158" s="193"/>
      <c r="E158" s="193"/>
      <c r="F158" s="193"/>
      <c r="G158" s="193"/>
      <c r="H158" s="193"/>
      <c r="I158" s="193"/>
      <c r="J158" s="193"/>
      <c r="K158" s="193"/>
      <c r="L158" s="193"/>
      <c r="M158" s="193"/>
      <c r="N158" s="193"/>
      <c r="O158" s="193"/>
      <c r="P158" s="193"/>
      <c r="Q158" s="193"/>
      <c r="R158" s="193"/>
      <c r="S158" s="193"/>
      <c r="T158" s="193"/>
      <c r="U158" s="193"/>
      <c r="V158" s="193"/>
      <c r="W158" s="193"/>
      <c r="X158" s="193"/>
      <c r="Y158" s="193"/>
      <c r="Z158" s="193"/>
      <c r="AA158" s="193"/>
      <c r="AB158" s="193"/>
      <c r="AC158" s="193"/>
    </row>
    <row r="159" spans="1:29" ht="15.75" customHeight="1">
      <c r="A159" s="193"/>
      <c r="B159" s="193"/>
      <c r="C159" s="193"/>
      <c r="D159" s="193"/>
      <c r="E159" s="193"/>
      <c r="F159" s="193"/>
      <c r="G159" s="193"/>
      <c r="H159" s="193"/>
      <c r="I159" s="193"/>
      <c r="J159" s="193"/>
      <c r="K159" s="193"/>
      <c r="L159" s="193"/>
      <c r="M159" s="193"/>
      <c r="N159" s="193"/>
      <c r="O159" s="193"/>
      <c r="P159" s="193"/>
      <c r="Q159" s="193"/>
      <c r="R159" s="193"/>
      <c r="S159" s="193"/>
      <c r="T159" s="193"/>
      <c r="U159" s="193"/>
      <c r="V159" s="193"/>
      <c r="W159" s="193"/>
      <c r="X159" s="193"/>
      <c r="Y159" s="193"/>
      <c r="Z159" s="193"/>
      <c r="AA159" s="193"/>
      <c r="AB159" s="193"/>
      <c r="AC159" s="193"/>
    </row>
    <row r="160" spans="1:29" ht="15.75" customHeight="1">
      <c r="A160" s="193"/>
      <c r="B160" s="193"/>
      <c r="C160" s="193"/>
      <c r="D160" s="193"/>
      <c r="E160" s="193"/>
      <c r="F160" s="193"/>
      <c r="G160" s="193"/>
      <c r="H160" s="193"/>
      <c r="I160" s="193"/>
      <c r="J160" s="193"/>
      <c r="K160" s="193"/>
      <c r="L160" s="193"/>
      <c r="M160" s="193"/>
      <c r="N160" s="193"/>
      <c r="O160" s="193"/>
      <c r="P160" s="193"/>
      <c r="Q160" s="193"/>
      <c r="R160" s="193"/>
      <c r="S160" s="193"/>
      <c r="T160" s="193"/>
      <c r="U160" s="193"/>
      <c r="V160" s="193"/>
      <c r="W160" s="193"/>
      <c r="X160" s="193"/>
      <c r="Y160" s="193"/>
      <c r="Z160" s="193"/>
      <c r="AA160" s="193"/>
      <c r="AB160" s="193"/>
      <c r="AC160" s="193"/>
    </row>
    <row r="161" spans="1:29" ht="15.75" customHeight="1">
      <c r="A161" s="193"/>
      <c r="B161" s="193"/>
      <c r="C161" s="193"/>
      <c r="D161" s="193"/>
      <c r="E161" s="193"/>
      <c r="F161" s="193"/>
      <c r="G161" s="193"/>
      <c r="H161" s="193"/>
      <c r="I161" s="193"/>
      <c r="J161" s="193"/>
      <c r="K161" s="193"/>
      <c r="L161" s="193"/>
      <c r="M161" s="193"/>
      <c r="N161" s="193"/>
      <c r="O161" s="193"/>
      <c r="P161" s="193"/>
      <c r="Q161" s="193"/>
      <c r="R161" s="193"/>
      <c r="S161" s="193"/>
      <c r="T161" s="193"/>
      <c r="U161" s="193"/>
      <c r="V161" s="193"/>
      <c r="W161" s="193"/>
      <c r="X161" s="193"/>
      <c r="Y161" s="193"/>
      <c r="Z161" s="193"/>
      <c r="AA161" s="193"/>
      <c r="AB161" s="193"/>
      <c r="AC161" s="193"/>
    </row>
    <row r="162" spans="1:29" ht="15.75" customHeight="1">
      <c r="A162" s="193"/>
      <c r="B162" s="193"/>
      <c r="C162" s="193"/>
      <c r="D162" s="193"/>
      <c r="E162" s="193"/>
      <c r="F162" s="193"/>
      <c r="G162" s="193"/>
      <c r="H162" s="193"/>
      <c r="I162" s="193"/>
      <c r="J162" s="193"/>
      <c r="K162" s="193"/>
      <c r="L162" s="193"/>
      <c r="M162" s="193"/>
      <c r="N162" s="193"/>
      <c r="O162" s="193"/>
      <c r="P162" s="193"/>
      <c r="Q162" s="193"/>
      <c r="R162" s="193"/>
      <c r="S162" s="193"/>
      <c r="T162" s="193"/>
      <c r="U162" s="193"/>
      <c r="V162" s="193"/>
      <c r="W162" s="193"/>
      <c r="X162" s="193"/>
      <c r="Y162" s="193"/>
      <c r="Z162" s="193"/>
      <c r="AA162" s="193"/>
      <c r="AB162" s="193"/>
      <c r="AC162" s="193"/>
    </row>
    <row r="163" spans="1:29" ht="15.75" customHeight="1">
      <c r="A163" s="193"/>
      <c r="B163" s="193"/>
      <c r="C163" s="193"/>
      <c r="D163" s="193"/>
      <c r="E163" s="193"/>
      <c r="F163" s="193"/>
      <c r="G163" s="193"/>
      <c r="H163" s="193"/>
      <c r="I163" s="193"/>
      <c r="J163" s="193"/>
      <c r="K163" s="193"/>
      <c r="L163" s="193"/>
      <c r="M163" s="193"/>
      <c r="N163" s="193"/>
      <c r="O163" s="193"/>
      <c r="P163" s="193"/>
      <c r="Q163" s="193"/>
      <c r="R163" s="193"/>
      <c r="S163" s="193"/>
      <c r="T163" s="193"/>
      <c r="U163" s="193"/>
      <c r="V163" s="193"/>
      <c r="W163" s="193"/>
      <c r="X163" s="193"/>
      <c r="Y163" s="193"/>
      <c r="Z163" s="193"/>
      <c r="AA163" s="193"/>
      <c r="AB163" s="193"/>
      <c r="AC163" s="193"/>
    </row>
    <row r="164" spans="1:29" ht="15.75" customHeight="1">
      <c r="A164" s="193"/>
      <c r="B164" s="193"/>
      <c r="C164" s="193"/>
      <c r="D164" s="193"/>
      <c r="E164" s="193"/>
      <c r="F164" s="193"/>
      <c r="G164" s="193"/>
      <c r="H164" s="193"/>
      <c r="I164" s="193"/>
      <c r="J164" s="193"/>
      <c r="K164" s="193"/>
      <c r="L164" s="193"/>
      <c r="M164" s="193"/>
      <c r="N164" s="193"/>
      <c r="O164" s="193"/>
      <c r="P164" s="193"/>
      <c r="Q164" s="193"/>
      <c r="R164" s="193"/>
      <c r="S164" s="193"/>
      <c r="T164" s="193"/>
      <c r="U164" s="193"/>
      <c r="V164" s="193"/>
      <c r="W164" s="193"/>
      <c r="X164" s="193"/>
      <c r="Y164" s="193"/>
      <c r="Z164" s="193"/>
      <c r="AA164" s="193"/>
      <c r="AB164" s="193"/>
      <c r="AC164" s="193"/>
    </row>
    <row r="165" spans="1:29" ht="15.75" customHeight="1">
      <c r="A165" s="193"/>
      <c r="B165" s="193"/>
      <c r="C165" s="193"/>
      <c r="D165" s="193"/>
      <c r="E165" s="193"/>
      <c r="F165" s="193"/>
      <c r="G165" s="193"/>
      <c r="H165" s="193"/>
      <c r="I165" s="193"/>
      <c r="J165" s="193"/>
      <c r="K165" s="193"/>
      <c r="L165" s="193"/>
      <c r="M165" s="193"/>
      <c r="N165" s="193"/>
      <c r="O165" s="193"/>
      <c r="P165" s="193"/>
      <c r="Q165" s="193"/>
      <c r="R165" s="193"/>
      <c r="S165" s="193"/>
      <c r="T165" s="193"/>
      <c r="U165" s="193"/>
      <c r="V165" s="193"/>
      <c r="W165" s="193"/>
      <c r="X165" s="193"/>
      <c r="Y165" s="193"/>
      <c r="Z165" s="193"/>
      <c r="AA165" s="193"/>
      <c r="AB165" s="193"/>
      <c r="AC165" s="193"/>
    </row>
    <row r="166" spans="1:29" ht="15.75" customHeight="1">
      <c r="A166" s="193"/>
      <c r="B166" s="193"/>
      <c r="C166" s="193"/>
      <c r="D166" s="193"/>
      <c r="E166" s="193"/>
      <c r="F166" s="193"/>
      <c r="G166" s="193"/>
      <c r="H166" s="193"/>
      <c r="I166" s="193"/>
      <c r="J166" s="193"/>
      <c r="K166" s="193"/>
      <c r="L166" s="193"/>
      <c r="M166" s="193"/>
      <c r="N166" s="193"/>
      <c r="O166" s="193"/>
      <c r="P166" s="193"/>
      <c r="Q166" s="193"/>
      <c r="R166" s="193"/>
      <c r="S166" s="193"/>
      <c r="T166" s="193"/>
      <c r="U166" s="193"/>
      <c r="V166" s="193"/>
      <c r="W166" s="193"/>
      <c r="X166" s="193"/>
      <c r="Y166" s="193"/>
      <c r="Z166" s="193"/>
      <c r="AA166" s="193"/>
      <c r="AB166" s="193"/>
      <c r="AC166" s="193"/>
    </row>
    <row r="167" spans="1:29" ht="15.75" customHeight="1">
      <c r="A167" s="193"/>
      <c r="B167" s="193"/>
      <c r="C167" s="193"/>
      <c r="D167" s="193"/>
      <c r="E167" s="193"/>
      <c r="F167" s="193"/>
      <c r="G167" s="193"/>
      <c r="H167" s="193"/>
      <c r="I167" s="193"/>
      <c r="J167" s="193"/>
      <c r="K167" s="193"/>
      <c r="L167" s="193"/>
      <c r="M167" s="193"/>
      <c r="N167" s="193"/>
      <c r="O167" s="193"/>
      <c r="P167" s="193"/>
      <c r="Q167" s="193"/>
      <c r="R167" s="193"/>
      <c r="S167" s="193"/>
      <c r="T167" s="193"/>
      <c r="U167" s="193"/>
      <c r="V167" s="193"/>
      <c r="W167" s="193"/>
      <c r="X167" s="193"/>
      <c r="Y167" s="193"/>
      <c r="Z167" s="193"/>
      <c r="AA167" s="193"/>
      <c r="AB167" s="193"/>
      <c r="AC167" s="193"/>
    </row>
    <row r="168" spans="1:29" ht="15.75" customHeight="1">
      <c r="A168" s="193"/>
      <c r="B168" s="193"/>
      <c r="C168" s="193"/>
      <c r="D168" s="193"/>
      <c r="E168" s="193"/>
      <c r="F168" s="193"/>
      <c r="G168" s="193"/>
      <c r="H168" s="193"/>
      <c r="I168" s="193"/>
      <c r="J168" s="193"/>
      <c r="K168" s="193"/>
      <c r="L168" s="193"/>
      <c r="M168" s="193"/>
      <c r="N168" s="193"/>
      <c r="O168" s="193"/>
      <c r="P168" s="193"/>
      <c r="Q168" s="193"/>
      <c r="R168" s="193"/>
      <c r="S168" s="193"/>
      <c r="T168" s="193"/>
      <c r="U168" s="193"/>
      <c r="V168" s="193"/>
      <c r="W168" s="193"/>
      <c r="X168" s="193"/>
      <c r="Y168" s="193"/>
      <c r="Z168" s="193"/>
      <c r="AA168" s="193"/>
      <c r="AB168" s="193"/>
      <c r="AC168" s="193"/>
    </row>
    <row r="169" spans="1:29" ht="15.75" customHeight="1">
      <c r="A169" s="193"/>
      <c r="B169" s="193"/>
      <c r="C169" s="193"/>
      <c r="D169" s="193"/>
      <c r="E169" s="193"/>
      <c r="F169" s="193"/>
      <c r="G169" s="193"/>
      <c r="H169" s="193"/>
      <c r="I169" s="193"/>
      <c r="J169" s="193"/>
      <c r="K169" s="193"/>
      <c r="L169" s="193"/>
      <c r="M169" s="193"/>
      <c r="N169" s="193"/>
      <c r="O169" s="193"/>
      <c r="P169" s="193"/>
      <c r="Q169" s="193"/>
      <c r="R169" s="193"/>
      <c r="S169" s="193"/>
      <c r="T169" s="193"/>
      <c r="U169" s="193"/>
      <c r="V169" s="193"/>
      <c r="W169" s="193"/>
      <c r="X169" s="193"/>
      <c r="Y169" s="193"/>
      <c r="Z169" s="193"/>
      <c r="AA169" s="193"/>
      <c r="AB169" s="193"/>
      <c r="AC169" s="193"/>
    </row>
    <row r="170" spans="1:29" ht="15.75" customHeight="1">
      <c r="A170" s="193"/>
      <c r="B170" s="193"/>
      <c r="C170" s="193"/>
      <c r="D170" s="193"/>
      <c r="E170" s="193"/>
      <c r="F170" s="193"/>
      <c r="G170" s="193"/>
      <c r="H170" s="193"/>
      <c r="I170" s="193"/>
      <c r="J170" s="193"/>
      <c r="K170" s="193"/>
      <c r="L170" s="193"/>
      <c r="M170" s="193"/>
      <c r="N170" s="193"/>
      <c r="O170" s="193"/>
      <c r="P170" s="193"/>
      <c r="Q170" s="193"/>
      <c r="R170" s="193"/>
      <c r="S170" s="193"/>
      <c r="T170" s="193"/>
      <c r="U170" s="193"/>
      <c r="V170" s="193"/>
      <c r="W170" s="193"/>
      <c r="X170" s="193"/>
      <c r="Y170" s="193"/>
      <c r="Z170" s="193"/>
      <c r="AA170" s="193"/>
      <c r="AB170" s="193"/>
      <c r="AC170" s="193"/>
    </row>
    <row r="171" spans="1:29" ht="15.75" customHeight="1">
      <c r="A171" s="193"/>
      <c r="B171" s="193"/>
      <c r="C171" s="193"/>
      <c r="D171" s="193"/>
      <c r="E171" s="193"/>
      <c r="F171" s="193"/>
      <c r="G171" s="193"/>
      <c r="H171" s="193"/>
      <c r="I171" s="193"/>
      <c r="J171" s="193"/>
      <c r="K171" s="193"/>
      <c r="L171" s="193"/>
      <c r="M171" s="193"/>
      <c r="N171" s="193"/>
      <c r="O171" s="193"/>
      <c r="P171" s="193"/>
      <c r="Q171" s="193"/>
      <c r="R171" s="193"/>
      <c r="S171" s="193"/>
      <c r="T171" s="193"/>
      <c r="U171" s="193"/>
      <c r="V171" s="193"/>
      <c r="W171" s="193"/>
      <c r="X171" s="193"/>
      <c r="Y171" s="193"/>
      <c r="Z171" s="193"/>
      <c r="AA171" s="193"/>
      <c r="AB171" s="193"/>
      <c r="AC171" s="193"/>
    </row>
    <row r="172" spans="1:29" ht="15.75" customHeight="1">
      <c r="A172" s="193"/>
      <c r="B172" s="193"/>
      <c r="C172" s="193"/>
      <c r="D172" s="193"/>
      <c r="E172" s="193"/>
      <c r="F172" s="193"/>
      <c r="G172" s="193"/>
      <c r="H172" s="193"/>
      <c r="I172" s="193"/>
      <c r="J172" s="193"/>
      <c r="K172" s="193"/>
      <c r="L172" s="193"/>
      <c r="M172" s="193"/>
      <c r="N172" s="193"/>
      <c r="O172" s="193"/>
      <c r="P172" s="193"/>
      <c r="Q172" s="193"/>
      <c r="R172" s="193"/>
      <c r="S172" s="193"/>
      <c r="T172" s="193"/>
      <c r="U172" s="193"/>
      <c r="V172" s="193"/>
      <c r="W172" s="193"/>
      <c r="X172" s="193"/>
      <c r="Y172" s="193"/>
      <c r="Z172" s="193"/>
      <c r="AA172" s="193"/>
      <c r="AB172" s="193"/>
      <c r="AC172" s="193"/>
    </row>
    <row r="173" spans="1:29" ht="15.75" customHeight="1">
      <c r="A173" s="193"/>
      <c r="B173" s="193"/>
      <c r="C173" s="193"/>
      <c r="D173" s="193"/>
      <c r="E173" s="193"/>
      <c r="F173" s="193"/>
      <c r="G173" s="193"/>
      <c r="H173" s="193"/>
      <c r="I173" s="193"/>
      <c r="J173" s="193"/>
      <c r="K173" s="193"/>
      <c r="L173" s="193"/>
      <c r="M173" s="193"/>
      <c r="N173" s="193"/>
      <c r="O173" s="193"/>
      <c r="P173" s="193"/>
      <c r="Q173" s="193"/>
      <c r="R173" s="193"/>
      <c r="S173" s="193"/>
      <c r="T173" s="193"/>
      <c r="U173" s="193"/>
      <c r="V173" s="193"/>
      <c r="W173" s="193"/>
      <c r="X173" s="193"/>
      <c r="Y173" s="193"/>
      <c r="Z173" s="193"/>
      <c r="AA173" s="193"/>
      <c r="AB173" s="193"/>
      <c r="AC173" s="193"/>
    </row>
    <row r="174" spans="1:29" ht="15.75" customHeight="1">
      <c r="A174" s="193"/>
      <c r="B174" s="193"/>
      <c r="C174" s="193"/>
      <c r="D174" s="193"/>
      <c r="E174" s="193"/>
      <c r="F174" s="193"/>
      <c r="G174" s="193"/>
      <c r="H174" s="193"/>
      <c r="I174" s="193"/>
      <c r="J174" s="193"/>
      <c r="K174" s="193"/>
      <c r="L174" s="193"/>
      <c r="M174" s="193"/>
      <c r="N174" s="193"/>
      <c r="O174" s="193"/>
      <c r="P174" s="193"/>
      <c r="Q174" s="193"/>
      <c r="R174" s="193"/>
      <c r="S174" s="193"/>
      <c r="T174" s="193"/>
      <c r="U174" s="193"/>
      <c r="V174" s="193"/>
      <c r="W174" s="193"/>
      <c r="X174" s="193"/>
      <c r="Y174" s="193"/>
      <c r="Z174" s="193"/>
      <c r="AA174" s="193"/>
      <c r="AB174" s="193"/>
      <c r="AC174" s="193"/>
    </row>
    <row r="175" spans="1:29" ht="15.75" customHeight="1">
      <c r="A175" s="193"/>
      <c r="B175" s="193"/>
      <c r="C175" s="193"/>
      <c r="D175" s="193"/>
      <c r="E175" s="193"/>
      <c r="F175" s="193"/>
      <c r="G175" s="193"/>
      <c r="H175" s="193"/>
      <c r="I175" s="193"/>
      <c r="J175" s="193"/>
      <c r="K175" s="193"/>
      <c r="L175" s="193"/>
      <c r="M175" s="193"/>
      <c r="N175" s="193"/>
      <c r="O175" s="193"/>
      <c r="P175" s="193"/>
      <c r="Q175" s="193"/>
      <c r="R175" s="193"/>
      <c r="S175" s="193"/>
      <c r="T175" s="193"/>
      <c r="U175" s="193"/>
      <c r="V175" s="193"/>
      <c r="W175" s="193"/>
      <c r="X175" s="193"/>
      <c r="Y175" s="193"/>
      <c r="Z175" s="193"/>
      <c r="AA175" s="193"/>
      <c r="AB175" s="193"/>
      <c r="AC175" s="193"/>
    </row>
    <row r="176" spans="1:29" ht="15.75" customHeight="1">
      <c r="A176" s="193"/>
      <c r="B176" s="193"/>
      <c r="C176" s="193"/>
      <c r="D176" s="193"/>
      <c r="E176" s="193"/>
      <c r="F176" s="193"/>
      <c r="G176" s="193"/>
      <c r="H176" s="193"/>
      <c r="I176" s="193"/>
      <c r="J176" s="193"/>
      <c r="K176" s="193"/>
      <c r="L176" s="193"/>
      <c r="M176" s="193"/>
      <c r="N176" s="193"/>
      <c r="O176" s="193"/>
      <c r="P176" s="193"/>
      <c r="Q176" s="193"/>
      <c r="R176" s="193"/>
      <c r="S176" s="193"/>
      <c r="T176" s="193"/>
      <c r="U176" s="193"/>
      <c r="V176" s="193"/>
      <c r="W176" s="193"/>
      <c r="X176" s="193"/>
      <c r="Y176" s="193"/>
      <c r="Z176" s="193"/>
      <c r="AA176" s="193"/>
      <c r="AB176" s="193"/>
      <c r="AC176" s="193"/>
    </row>
    <row r="177" spans="1:29" ht="15.75" customHeight="1">
      <c r="A177" s="193"/>
      <c r="B177" s="193"/>
      <c r="C177" s="193"/>
      <c r="D177" s="193"/>
      <c r="E177" s="193"/>
      <c r="F177" s="193"/>
      <c r="G177" s="193"/>
      <c r="H177" s="193"/>
      <c r="I177" s="193"/>
      <c r="J177" s="193"/>
      <c r="K177" s="193"/>
      <c r="L177" s="193"/>
      <c r="M177" s="193"/>
      <c r="N177" s="193"/>
      <c r="O177" s="193"/>
      <c r="P177" s="193"/>
      <c r="Q177" s="193"/>
      <c r="R177" s="193"/>
      <c r="S177" s="193"/>
      <c r="T177" s="193"/>
      <c r="U177" s="193"/>
      <c r="V177" s="193"/>
      <c r="W177" s="193"/>
      <c r="X177" s="193"/>
      <c r="Y177" s="193"/>
      <c r="Z177" s="193"/>
      <c r="AA177" s="193"/>
      <c r="AB177" s="193"/>
      <c r="AC177" s="193"/>
    </row>
    <row r="178" spans="1:29" ht="15.75" customHeight="1">
      <c r="A178" s="193"/>
      <c r="B178" s="193"/>
      <c r="C178" s="193"/>
      <c r="D178" s="193"/>
      <c r="E178" s="193"/>
      <c r="F178" s="193"/>
      <c r="G178" s="193"/>
      <c r="H178" s="193"/>
      <c r="I178" s="193"/>
      <c r="J178" s="193"/>
      <c r="K178" s="193"/>
      <c r="L178" s="193"/>
      <c r="M178" s="193"/>
      <c r="N178" s="193"/>
      <c r="O178" s="193"/>
      <c r="P178" s="193"/>
      <c r="Q178" s="193"/>
      <c r="R178" s="193"/>
      <c r="S178" s="193"/>
      <c r="T178" s="193"/>
      <c r="U178" s="193"/>
      <c r="V178" s="193"/>
      <c r="W178" s="193"/>
      <c r="X178" s="193"/>
      <c r="Y178" s="193"/>
      <c r="Z178" s="193"/>
      <c r="AA178" s="193"/>
      <c r="AB178" s="193"/>
      <c r="AC178" s="193"/>
    </row>
    <row r="179" spans="1:29" ht="15.75" customHeight="1">
      <c r="A179" s="193"/>
      <c r="B179" s="193"/>
      <c r="C179" s="193"/>
      <c r="D179" s="193"/>
      <c r="E179" s="193"/>
      <c r="F179" s="193"/>
      <c r="G179" s="193"/>
      <c r="H179" s="193"/>
      <c r="I179" s="193"/>
      <c r="J179" s="193"/>
      <c r="K179" s="193"/>
      <c r="L179" s="193"/>
      <c r="M179" s="193"/>
      <c r="N179" s="193"/>
      <c r="O179" s="193"/>
      <c r="P179" s="193"/>
      <c r="Q179" s="193"/>
      <c r="R179" s="193"/>
      <c r="S179" s="193"/>
      <c r="T179" s="193"/>
      <c r="U179" s="193"/>
      <c r="V179" s="193"/>
      <c r="W179" s="193"/>
      <c r="X179" s="193"/>
      <c r="Y179" s="193"/>
      <c r="Z179" s="193"/>
      <c r="AA179" s="193"/>
      <c r="AB179" s="193"/>
      <c r="AC179" s="193"/>
    </row>
    <row r="180" spans="1:29" ht="15.75" customHeight="1">
      <c r="A180" s="193"/>
      <c r="B180" s="193"/>
      <c r="C180" s="193"/>
      <c r="D180" s="193"/>
      <c r="E180" s="193"/>
      <c r="F180" s="193"/>
      <c r="G180" s="193"/>
      <c r="H180" s="193"/>
      <c r="I180" s="193"/>
      <c r="J180" s="193"/>
      <c r="K180" s="193"/>
      <c r="L180" s="193"/>
      <c r="M180" s="193"/>
      <c r="N180" s="193"/>
      <c r="O180" s="193"/>
      <c r="P180" s="193"/>
      <c r="Q180" s="193"/>
      <c r="R180" s="193"/>
      <c r="S180" s="193"/>
      <c r="T180" s="193"/>
      <c r="U180" s="193"/>
      <c r="V180" s="193"/>
      <c r="W180" s="193"/>
      <c r="X180" s="193"/>
      <c r="Y180" s="193"/>
      <c r="Z180" s="193"/>
      <c r="AA180" s="193"/>
      <c r="AB180" s="193"/>
      <c r="AC180" s="193"/>
    </row>
    <row r="181" spans="1:29" ht="15.75" customHeight="1">
      <c r="A181" s="193"/>
      <c r="B181" s="193"/>
      <c r="C181" s="193"/>
      <c r="D181" s="193"/>
      <c r="E181" s="193"/>
      <c r="F181" s="193"/>
      <c r="G181" s="193"/>
      <c r="H181" s="193"/>
      <c r="I181" s="193"/>
      <c r="J181" s="193"/>
      <c r="K181" s="193"/>
      <c r="L181" s="193"/>
      <c r="M181" s="193"/>
      <c r="N181" s="193"/>
      <c r="O181" s="193"/>
      <c r="P181" s="193"/>
      <c r="Q181" s="193"/>
      <c r="R181" s="193"/>
      <c r="S181" s="193"/>
      <c r="T181" s="193"/>
      <c r="U181" s="193"/>
      <c r="V181" s="193"/>
      <c r="W181" s="193"/>
      <c r="X181" s="193"/>
      <c r="Y181" s="193"/>
      <c r="Z181" s="193"/>
      <c r="AA181" s="193"/>
      <c r="AB181" s="193"/>
      <c r="AC181" s="193"/>
    </row>
    <row r="182" spans="1:29" ht="15.75" customHeight="1">
      <c r="A182" s="193"/>
      <c r="B182" s="193"/>
      <c r="C182" s="193"/>
      <c r="D182" s="193"/>
      <c r="E182" s="193"/>
      <c r="F182" s="193"/>
      <c r="G182" s="193"/>
      <c r="H182" s="193"/>
      <c r="I182" s="193"/>
      <c r="J182" s="193"/>
      <c r="K182" s="193"/>
      <c r="L182" s="193"/>
      <c r="M182" s="193"/>
      <c r="N182" s="193"/>
      <c r="O182" s="193"/>
      <c r="P182" s="193"/>
      <c r="Q182" s="193"/>
      <c r="R182" s="193"/>
      <c r="S182" s="193"/>
      <c r="T182" s="193"/>
      <c r="U182" s="193"/>
      <c r="V182" s="193"/>
      <c r="W182" s="193"/>
      <c r="X182" s="193"/>
      <c r="Y182" s="193"/>
      <c r="Z182" s="193"/>
      <c r="AA182" s="193"/>
      <c r="AB182" s="193"/>
      <c r="AC182" s="193"/>
    </row>
    <row r="183" spans="1:29" ht="15.75" customHeight="1">
      <c r="A183" s="193"/>
      <c r="B183" s="193"/>
      <c r="C183" s="193"/>
      <c r="D183" s="193"/>
      <c r="E183" s="193"/>
      <c r="F183" s="193"/>
      <c r="G183" s="193"/>
      <c r="H183" s="193"/>
      <c r="I183" s="193"/>
      <c r="J183" s="193"/>
      <c r="K183" s="193"/>
      <c r="L183" s="193"/>
      <c r="M183" s="193"/>
      <c r="N183" s="193"/>
      <c r="O183" s="193"/>
      <c r="P183" s="193"/>
      <c r="Q183" s="193"/>
      <c r="R183" s="193"/>
      <c r="S183" s="193"/>
      <c r="T183" s="193"/>
      <c r="U183" s="193"/>
      <c r="V183" s="193"/>
      <c r="W183" s="193"/>
      <c r="X183" s="193"/>
      <c r="Y183" s="193"/>
      <c r="Z183" s="193"/>
      <c r="AA183" s="193"/>
      <c r="AB183" s="193"/>
      <c r="AC183" s="193"/>
    </row>
    <row r="184" spans="1:29" ht="15.75" customHeight="1">
      <c r="A184" s="193"/>
      <c r="B184" s="193"/>
      <c r="C184" s="193"/>
      <c r="D184" s="193"/>
      <c r="E184" s="193"/>
      <c r="F184" s="193"/>
      <c r="G184" s="193"/>
      <c r="H184" s="193"/>
      <c r="I184" s="193"/>
      <c r="J184" s="193"/>
      <c r="K184" s="193"/>
      <c r="L184" s="193"/>
      <c r="M184" s="193"/>
      <c r="N184" s="193"/>
      <c r="O184" s="193"/>
      <c r="P184" s="193"/>
      <c r="Q184" s="193"/>
      <c r="R184" s="193"/>
      <c r="S184" s="193"/>
      <c r="T184" s="193"/>
      <c r="U184" s="193"/>
      <c r="V184" s="193"/>
      <c r="W184" s="193"/>
      <c r="X184" s="193"/>
      <c r="Y184" s="193"/>
      <c r="Z184" s="193"/>
      <c r="AA184" s="193"/>
      <c r="AB184" s="193"/>
      <c r="AC184" s="193"/>
    </row>
    <row r="185" spans="1:29" ht="15.75" customHeight="1">
      <c r="A185" s="193"/>
      <c r="B185" s="193"/>
      <c r="C185" s="193"/>
      <c r="D185" s="193"/>
      <c r="E185" s="193"/>
      <c r="F185" s="193"/>
      <c r="G185" s="193"/>
      <c r="H185" s="193"/>
      <c r="I185" s="193"/>
      <c r="J185" s="193"/>
      <c r="K185" s="193"/>
      <c r="L185" s="193"/>
      <c r="M185" s="193"/>
      <c r="N185" s="193"/>
      <c r="O185" s="193"/>
      <c r="P185" s="193"/>
      <c r="Q185" s="193"/>
      <c r="R185" s="193"/>
      <c r="S185" s="193"/>
      <c r="T185" s="193"/>
      <c r="U185" s="193"/>
      <c r="V185" s="193"/>
      <c r="W185" s="193"/>
      <c r="X185" s="193"/>
      <c r="Y185" s="193"/>
      <c r="Z185" s="193"/>
      <c r="AA185" s="193"/>
      <c r="AB185" s="193"/>
      <c r="AC185" s="193"/>
    </row>
    <row r="186" spans="1:29" ht="15.75" customHeight="1">
      <c r="A186" s="193"/>
      <c r="B186" s="193"/>
      <c r="C186" s="193"/>
      <c r="D186" s="193"/>
      <c r="E186" s="193"/>
      <c r="F186" s="193"/>
      <c r="G186" s="193"/>
      <c r="H186" s="193"/>
      <c r="I186" s="193"/>
      <c r="J186" s="193"/>
      <c r="K186" s="193"/>
      <c r="L186" s="193"/>
      <c r="M186" s="193"/>
      <c r="N186" s="193"/>
      <c r="O186" s="193"/>
      <c r="P186" s="193"/>
      <c r="Q186" s="193"/>
      <c r="R186" s="193"/>
      <c r="S186" s="193"/>
      <c r="T186" s="193"/>
      <c r="U186" s="193"/>
      <c r="V186" s="193"/>
      <c r="W186" s="193"/>
      <c r="X186" s="193"/>
      <c r="Y186" s="193"/>
      <c r="Z186" s="193"/>
      <c r="AA186" s="193"/>
      <c r="AB186" s="193"/>
      <c r="AC186" s="193"/>
    </row>
    <row r="187" spans="1:29" ht="15.75" customHeight="1">
      <c r="A187" s="193"/>
      <c r="B187" s="193"/>
      <c r="C187" s="193"/>
      <c r="D187" s="193"/>
      <c r="E187" s="193"/>
      <c r="F187" s="193"/>
      <c r="G187" s="193"/>
      <c r="H187" s="193"/>
      <c r="I187" s="193"/>
      <c r="J187" s="193"/>
      <c r="K187" s="193"/>
      <c r="L187" s="193"/>
      <c r="M187" s="193"/>
      <c r="N187" s="193"/>
      <c r="O187" s="193"/>
      <c r="P187" s="193"/>
      <c r="Q187" s="193"/>
      <c r="R187" s="193"/>
      <c r="S187" s="193"/>
      <c r="T187" s="193"/>
      <c r="U187" s="193"/>
      <c r="V187" s="193"/>
      <c r="W187" s="193"/>
      <c r="X187" s="193"/>
      <c r="Y187" s="193"/>
      <c r="Z187" s="193"/>
      <c r="AA187" s="193"/>
      <c r="AB187" s="193"/>
      <c r="AC187" s="193"/>
    </row>
    <row r="188" spans="1:29" ht="15.75" customHeight="1">
      <c r="A188" s="193"/>
      <c r="B188" s="193"/>
      <c r="C188" s="193"/>
      <c r="D188" s="193"/>
      <c r="E188" s="193"/>
      <c r="F188" s="193"/>
      <c r="G188" s="193"/>
      <c r="H188" s="193"/>
      <c r="I188" s="193"/>
      <c r="J188" s="193"/>
      <c r="K188" s="193"/>
      <c r="L188" s="193"/>
      <c r="M188" s="193"/>
      <c r="N188" s="193"/>
      <c r="O188" s="193"/>
      <c r="P188" s="193"/>
      <c r="Q188" s="193"/>
      <c r="R188" s="193"/>
      <c r="S188" s="193"/>
      <c r="T188" s="193"/>
      <c r="U188" s="193"/>
      <c r="V188" s="193"/>
      <c r="W188" s="193"/>
      <c r="X188" s="193"/>
      <c r="Y188" s="193"/>
      <c r="Z188" s="193"/>
      <c r="AA188" s="193"/>
      <c r="AB188" s="193"/>
      <c r="AC188" s="193"/>
    </row>
    <row r="189" spans="1:29" ht="15.75" customHeight="1">
      <c r="A189" s="193"/>
      <c r="B189" s="193"/>
      <c r="C189" s="193"/>
      <c r="D189" s="193"/>
      <c r="E189" s="193"/>
      <c r="F189" s="193"/>
      <c r="G189" s="193"/>
      <c r="H189" s="193"/>
      <c r="I189" s="193"/>
      <c r="J189" s="193"/>
      <c r="K189" s="193"/>
      <c r="L189" s="193"/>
      <c r="M189" s="193"/>
      <c r="N189" s="193"/>
      <c r="O189" s="193"/>
      <c r="P189" s="193"/>
      <c r="Q189" s="193"/>
      <c r="R189" s="193"/>
      <c r="S189" s="193"/>
      <c r="T189" s="193"/>
      <c r="U189" s="193"/>
      <c r="V189" s="193"/>
      <c r="W189" s="193"/>
      <c r="X189" s="193"/>
      <c r="Y189" s="193"/>
      <c r="Z189" s="193"/>
      <c r="AA189" s="193"/>
      <c r="AB189" s="193"/>
      <c r="AC189" s="193"/>
    </row>
    <row r="190" spans="1:29" ht="15.75" customHeight="1">
      <c r="A190" s="193"/>
      <c r="B190" s="193"/>
      <c r="C190" s="193"/>
      <c r="D190" s="193"/>
      <c r="E190" s="193"/>
      <c r="F190" s="193"/>
      <c r="G190" s="193"/>
      <c r="H190" s="193"/>
      <c r="I190" s="193"/>
      <c r="J190" s="193"/>
      <c r="K190" s="193"/>
      <c r="L190" s="193"/>
      <c r="M190" s="193"/>
      <c r="N190" s="193"/>
      <c r="O190" s="193"/>
      <c r="P190" s="193"/>
      <c r="Q190" s="193"/>
      <c r="R190" s="193"/>
      <c r="S190" s="193"/>
      <c r="T190" s="193"/>
      <c r="U190" s="193"/>
      <c r="V190" s="193"/>
      <c r="W190" s="193"/>
      <c r="X190" s="193"/>
      <c r="Y190" s="193"/>
      <c r="Z190" s="193"/>
      <c r="AA190" s="193"/>
      <c r="AB190" s="193"/>
      <c r="AC190" s="193"/>
    </row>
    <row r="191" spans="1:29" ht="15.75" customHeight="1">
      <c r="A191" s="193"/>
      <c r="B191" s="193"/>
      <c r="C191" s="193"/>
      <c r="D191" s="193"/>
      <c r="E191" s="193"/>
      <c r="F191" s="193"/>
      <c r="G191" s="193"/>
      <c r="H191" s="193"/>
      <c r="I191" s="193"/>
      <c r="J191" s="193"/>
      <c r="K191" s="193"/>
      <c r="L191" s="193"/>
      <c r="M191" s="193"/>
      <c r="N191" s="193"/>
      <c r="O191" s="193"/>
      <c r="P191" s="193"/>
      <c r="Q191" s="193"/>
      <c r="R191" s="193"/>
      <c r="S191" s="193"/>
      <c r="T191" s="193"/>
      <c r="U191" s="193"/>
      <c r="V191" s="193"/>
      <c r="W191" s="193"/>
      <c r="X191" s="193"/>
      <c r="Y191" s="193"/>
      <c r="Z191" s="193"/>
      <c r="AA191" s="193"/>
      <c r="AB191" s="193"/>
      <c r="AC191" s="193"/>
    </row>
    <row r="192" spans="1:29" ht="15.75" customHeight="1">
      <c r="A192" s="193"/>
      <c r="B192" s="193"/>
      <c r="C192" s="193"/>
      <c r="D192" s="193"/>
      <c r="E192" s="193"/>
      <c r="F192" s="193"/>
      <c r="G192" s="193"/>
      <c r="H192" s="193"/>
      <c r="I192" s="193"/>
      <c r="J192" s="193"/>
      <c r="K192" s="193"/>
      <c r="L192" s="193"/>
      <c r="M192" s="193"/>
      <c r="N192" s="193"/>
      <c r="O192" s="193"/>
      <c r="P192" s="193"/>
      <c r="Q192" s="193"/>
      <c r="R192" s="193"/>
      <c r="S192" s="193"/>
      <c r="T192" s="193"/>
      <c r="U192" s="193"/>
      <c r="V192" s="193"/>
      <c r="W192" s="193"/>
      <c r="X192" s="193"/>
      <c r="Y192" s="193"/>
      <c r="Z192" s="193"/>
      <c r="AA192" s="193"/>
      <c r="AB192" s="193"/>
      <c r="AC192" s="193"/>
    </row>
    <row r="193" spans="1:29" ht="15.75" customHeight="1">
      <c r="A193" s="193"/>
      <c r="B193" s="193"/>
      <c r="C193" s="193"/>
      <c r="D193" s="193"/>
      <c r="E193" s="193"/>
      <c r="F193" s="193"/>
      <c r="G193" s="193"/>
      <c r="H193" s="193"/>
      <c r="I193" s="193"/>
      <c r="J193" s="193"/>
      <c r="K193" s="193"/>
      <c r="L193" s="193"/>
      <c r="M193" s="193"/>
      <c r="N193" s="193"/>
      <c r="O193" s="193"/>
      <c r="P193" s="193"/>
      <c r="Q193" s="193"/>
      <c r="R193" s="193"/>
      <c r="S193" s="193"/>
      <c r="T193" s="193"/>
      <c r="U193" s="193"/>
      <c r="V193" s="193"/>
      <c r="W193" s="193"/>
      <c r="X193" s="193"/>
      <c r="Y193" s="193"/>
      <c r="Z193" s="193"/>
      <c r="AA193" s="193"/>
      <c r="AB193" s="193"/>
      <c r="AC193" s="193"/>
    </row>
    <row r="194" spans="1:29" ht="15.75" customHeight="1">
      <c r="A194" s="193"/>
      <c r="B194" s="193"/>
      <c r="C194" s="193"/>
      <c r="D194" s="193"/>
      <c r="E194" s="193"/>
      <c r="F194" s="193"/>
      <c r="G194" s="193"/>
      <c r="H194" s="193"/>
      <c r="I194" s="193"/>
      <c r="J194" s="193"/>
      <c r="K194" s="193"/>
      <c r="L194" s="193"/>
      <c r="M194" s="193"/>
      <c r="N194" s="193"/>
      <c r="O194" s="193"/>
      <c r="P194" s="193"/>
      <c r="Q194" s="193"/>
      <c r="R194" s="193"/>
      <c r="S194" s="193"/>
      <c r="T194" s="193"/>
      <c r="U194" s="193"/>
      <c r="V194" s="193"/>
      <c r="W194" s="193"/>
      <c r="X194" s="193"/>
      <c r="Y194" s="193"/>
      <c r="Z194" s="193"/>
      <c r="AA194" s="193"/>
      <c r="AB194" s="193"/>
      <c r="AC194" s="193"/>
    </row>
    <row r="195" spans="1:29" ht="15.75" customHeight="1">
      <c r="A195" s="193"/>
      <c r="B195" s="193"/>
      <c r="C195" s="193"/>
      <c r="D195" s="193"/>
      <c r="E195" s="193"/>
      <c r="F195" s="193"/>
      <c r="G195" s="193"/>
      <c r="H195" s="193"/>
      <c r="I195" s="193"/>
      <c r="J195" s="193"/>
      <c r="K195" s="193"/>
      <c r="L195" s="193"/>
      <c r="M195" s="193"/>
      <c r="N195" s="193"/>
      <c r="O195" s="193"/>
      <c r="P195" s="193"/>
      <c r="Q195" s="193"/>
      <c r="R195" s="193"/>
      <c r="S195" s="193"/>
      <c r="T195" s="193"/>
      <c r="U195" s="193"/>
      <c r="V195" s="193"/>
      <c r="W195" s="193"/>
      <c r="X195" s="193"/>
      <c r="Y195" s="193"/>
      <c r="Z195" s="193"/>
      <c r="AA195" s="193"/>
      <c r="AB195" s="193"/>
      <c r="AC195" s="193"/>
    </row>
    <row r="196" spans="1:29" ht="15.75" customHeight="1">
      <c r="A196" s="193"/>
      <c r="B196" s="193"/>
      <c r="C196" s="193"/>
      <c r="D196" s="193"/>
      <c r="E196" s="193"/>
      <c r="F196" s="193"/>
      <c r="G196" s="193"/>
      <c r="H196" s="193"/>
      <c r="I196" s="193"/>
      <c r="J196" s="193"/>
      <c r="K196" s="193"/>
      <c r="L196" s="193"/>
      <c r="M196" s="193"/>
      <c r="N196" s="193"/>
      <c r="O196" s="193"/>
      <c r="P196" s="193"/>
      <c r="Q196" s="193"/>
      <c r="R196" s="193"/>
      <c r="S196" s="193"/>
      <c r="T196" s="193"/>
      <c r="U196" s="193"/>
      <c r="V196" s="193"/>
      <c r="W196" s="193"/>
      <c r="X196" s="193"/>
      <c r="Y196" s="193"/>
      <c r="Z196" s="193"/>
      <c r="AA196" s="193"/>
      <c r="AB196" s="193"/>
      <c r="AC196" s="193"/>
    </row>
    <row r="197" spans="1:29" ht="15.75" customHeight="1">
      <c r="A197" s="193"/>
      <c r="B197" s="193"/>
      <c r="C197" s="193"/>
      <c r="D197" s="193"/>
      <c r="E197" s="193"/>
      <c r="F197" s="193"/>
      <c r="G197" s="193"/>
      <c r="H197" s="193"/>
      <c r="I197" s="193"/>
      <c r="J197" s="193"/>
      <c r="K197" s="193"/>
      <c r="L197" s="193"/>
      <c r="M197" s="193"/>
      <c r="N197" s="193"/>
      <c r="O197" s="193"/>
      <c r="P197" s="193"/>
      <c r="Q197" s="193"/>
      <c r="R197" s="193"/>
      <c r="S197" s="193"/>
      <c r="T197" s="193"/>
      <c r="U197" s="193"/>
      <c r="V197" s="193"/>
      <c r="W197" s="193"/>
      <c r="X197" s="193"/>
      <c r="Y197" s="193"/>
      <c r="Z197" s="193"/>
      <c r="AA197" s="193"/>
      <c r="AB197" s="193"/>
      <c r="AC197" s="193"/>
    </row>
    <row r="198" spans="1:29" ht="15.75" customHeight="1">
      <c r="A198" s="193"/>
      <c r="B198" s="193"/>
      <c r="C198" s="193"/>
      <c r="D198" s="193"/>
      <c r="E198" s="193"/>
      <c r="F198" s="193"/>
      <c r="G198" s="193"/>
      <c r="H198" s="193"/>
      <c r="I198" s="193"/>
      <c r="J198" s="193"/>
      <c r="K198" s="193"/>
      <c r="L198" s="193"/>
      <c r="M198" s="193"/>
      <c r="N198" s="193"/>
      <c r="O198" s="193"/>
      <c r="P198" s="193"/>
      <c r="Q198" s="193"/>
      <c r="R198" s="193"/>
      <c r="S198" s="193"/>
      <c r="T198" s="193"/>
      <c r="U198" s="193"/>
      <c r="V198" s="193"/>
      <c r="W198" s="193"/>
      <c r="X198" s="193"/>
      <c r="Y198" s="193"/>
      <c r="Z198" s="193"/>
      <c r="AA198" s="193"/>
      <c r="AB198" s="193"/>
      <c r="AC198" s="193"/>
    </row>
    <row r="199" spans="1:29" ht="15.75" customHeight="1">
      <c r="A199" s="193"/>
      <c r="B199" s="193"/>
      <c r="C199" s="193"/>
      <c r="D199" s="193"/>
      <c r="E199" s="193"/>
      <c r="F199" s="193"/>
      <c r="G199" s="193"/>
      <c r="H199" s="193"/>
      <c r="I199" s="193"/>
      <c r="J199" s="193"/>
      <c r="K199" s="193"/>
      <c r="L199" s="193"/>
      <c r="M199" s="193"/>
      <c r="N199" s="193"/>
      <c r="O199" s="193"/>
      <c r="P199" s="193"/>
      <c r="Q199" s="193"/>
      <c r="R199" s="193"/>
      <c r="S199" s="193"/>
      <c r="T199" s="193"/>
      <c r="U199" s="193"/>
      <c r="V199" s="193"/>
      <c r="W199" s="193"/>
      <c r="X199" s="193"/>
      <c r="Y199" s="193"/>
      <c r="Z199" s="193"/>
      <c r="AA199" s="193"/>
      <c r="AB199" s="193"/>
      <c r="AC199" s="193"/>
    </row>
    <row r="200" spans="1:29" ht="15.75" customHeight="1">
      <c r="A200" s="193"/>
      <c r="B200" s="193"/>
      <c r="C200" s="193"/>
      <c r="D200" s="193"/>
      <c r="E200" s="193"/>
      <c r="F200" s="193"/>
      <c r="G200" s="193"/>
      <c r="H200" s="193"/>
      <c r="I200" s="193"/>
      <c r="J200" s="193"/>
      <c r="K200" s="193"/>
      <c r="L200" s="193"/>
      <c r="M200" s="193"/>
      <c r="N200" s="193"/>
      <c r="O200" s="193"/>
      <c r="P200" s="193"/>
      <c r="Q200" s="193"/>
      <c r="R200" s="193"/>
      <c r="S200" s="193"/>
      <c r="T200" s="193"/>
      <c r="U200" s="193"/>
      <c r="V200" s="193"/>
      <c r="W200" s="193"/>
      <c r="X200" s="193"/>
      <c r="Y200" s="193"/>
      <c r="Z200" s="193"/>
      <c r="AA200" s="193"/>
      <c r="AB200" s="193"/>
      <c r="AC200" s="193"/>
    </row>
    <row r="201" spans="1:29" ht="15.75" customHeight="1">
      <c r="A201" s="193"/>
      <c r="B201" s="193"/>
      <c r="C201" s="193"/>
      <c r="D201" s="193"/>
      <c r="E201" s="193"/>
      <c r="F201" s="193"/>
      <c r="G201" s="193"/>
      <c r="H201" s="193"/>
      <c r="I201" s="193"/>
      <c r="J201" s="193"/>
      <c r="K201" s="193"/>
      <c r="L201" s="193"/>
      <c r="M201" s="193"/>
      <c r="N201" s="193"/>
      <c r="O201" s="193"/>
      <c r="P201" s="193"/>
      <c r="Q201" s="193"/>
      <c r="R201" s="193"/>
      <c r="S201" s="193"/>
      <c r="T201" s="193"/>
      <c r="U201" s="193"/>
      <c r="V201" s="193"/>
      <c r="W201" s="193"/>
      <c r="X201" s="193"/>
      <c r="Y201" s="193"/>
      <c r="Z201" s="193"/>
      <c r="AA201" s="193"/>
      <c r="AB201" s="193"/>
      <c r="AC201" s="193"/>
    </row>
    <row r="202" spans="1:29" ht="15.75" customHeight="1">
      <c r="A202" s="193"/>
      <c r="B202" s="193"/>
      <c r="C202" s="193"/>
      <c r="D202" s="193"/>
      <c r="E202" s="193"/>
      <c r="F202" s="193"/>
      <c r="G202" s="193"/>
      <c r="H202" s="193"/>
      <c r="I202" s="193"/>
      <c r="J202" s="193"/>
      <c r="K202" s="193"/>
      <c r="L202" s="193"/>
      <c r="M202" s="193"/>
      <c r="N202" s="193"/>
      <c r="O202" s="193"/>
      <c r="P202" s="193"/>
      <c r="Q202" s="193"/>
      <c r="R202" s="193"/>
      <c r="S202" s="193"/>
      <c r="T202" s="193"/>
      <c r="U202" s="193"/>
      <c r="V202" s="193"/>
      <c r="W202" s="193"/>
      <c r="X202" s="193"/>
      <c r="Y202" s="193"/>
      <c r="Z202" s="193"/>
      <c r="AA202" s="193"/>
      <c r="AB202" s="193"/>
      <c r="AC202" s="193"/>
    </row>
    <row r="203" spans="1:29" ht="15.75" customHeight="1">
      <c r="A203" s="193"/>
      <c r="B203" s="193"/>
      <c r="C203" s="193"/>
      <c r="D203" s="193"/>
      <c r="E203" s="193"/>
      <c r="F203" s="193"/>
      <c r="G203" s="193"/>
      <c r="H203" s="193"/>
      <c r="I203" s="193"/>
      <c r="J203" s="193"/>
      <c r="K203" s="193"/>
      <c r="L203" s="193"/>
      <c r="M203" s="193"/>
      <c r="N203" s="193"/>
      <c r="O203" s="193"/>
      <c r="P203" s="193"/>
      <c r="Q203" s="193"/>
      <c r="R203" s="193"/>
      <c r="S203" s="193"/>
      <c r="T203" s="193"/>
      <c r="U203" s="193"/>
      <c r="V203" s="193"/>
      <c r="W203" s="193"/>
      <c r="X203" s="193"/>
      <c r="Y203" s="193"/>
      <c r="Z203" s="193"/>
      <c r="AA203" s="193"/>
      <c r="AB203" s="193"/>
      <c r="AC203" s="193"/>
    </row>
    <row r="204" spans="1:29" ht="15.75" customHeight="1">
      <c r="A204" s="193"/>
      <c r="B204" s="193"/>
      <c r="C204" s="193"/>
      <c r="D204" s="193"/>
      <c r="E204" s="193"/>
      <c r="F204" s="193"/>
      <c r="G204" s="193"/>
      <c r="H204" s="193"/>
      <c r="I204" s="193"/>
      <c r="J204" s="193"/>
      <c r="K204" s="193"/>
      <c r="L204" s="193"/>
      <c r="M204" s="193"/>
      <c r="N204" s="193"/>
      <c r="O204" s="193"/>
      <c r="P204" s="193"/>
      <c r="Q204" s="193"/>
      <c r="R204" s="193"/>
      <c r="S204" s="193"/>
      <c r="T204" s="193"/>
      <c r="U204" s="193"/>
      <c r="V204" s="193"/>
      <c r="W204" s="193"/>
      <c r="X204" s="193"/>
      <c r="Y204" s="193"/>
      <c r="Z204" s="193"/>
      <c r="AA204" s="193"/>
      <c r="AB204" s="193"/>
      <c r="AC204" s="193"/>
    </row>
    <row r="205" spans="1:29" ht="15.75" customHeight="1">
      <c r="A205" s="193"/>
      <c r="B205" s="193"/>
      <c r="C205" s="193"/>
      <c r="D205" s="193"/>
      <c r="E205" s="193"/>
      <c r="F205" s="193"/>
      <c r="G205" s="193"/>
      <c r="H205" s="193"/>
      <c r="I205" s="193"/>
      <c r="J205" s="193"/>
      <c r="K205" s="193"/>
      <c r="L205" s="193"/>
      <c r="M205" s="193"/>
      <c r="N205" s="193"/>
      <c r="O205" s="193"/>
      <c r="P205" s="193"/>
      <c r="Q205" s="193"/>
      <c r="R205" s="193"/>
      <c r="S205" s="193"/>
      <c r="T205" s="193"/>
      <c r="U205" s="193"/>
      <c r="V205" s="193"/>
      <c r="W205" s="193"/>
      <c r="X205" s="193"/>
      <c r="Y205" s="193"/>
      <c r="Z205" s="193"/>
      <c r="AA205" s="193"/>
      <c r="AB205" s="193"/>
      <c r="AC205" s="193"/>
    </row>
    <row r="206" spans="1:29" ht="15.75" customHeight="1">
      <c r="A206" s="193"/>
      <c r="B206" s="193"/>
      <c r="C206" s="193"/>
      <c r="D206" s="193"/>
      <c r="E206" s="193"/>
      <c r="F206" s="193"/>
      <c r="G206" s="193"/>
      <c r="H206" s="193"/>
      <c r="I206" s="193"/>
      <c r="J206" s="193"/>
      <c r="K206" s="193"/>
      <c r="L206" s="193"/>
      <c r="M206" s="193"/>
      <c r="N206" s="193"/>
      <c r="O206" s="193"/>
      <c r="P206" s="193"/>
      <c r="Q206" s="193"/>
      <c r="R206" s="193"/>
      <c r="S206" s="193"/>
      <c r="T206" s="193"/>
      <c r="U206" s="193"/>
      <c r="V206" s="193"/>
      <c r="W206" s="193"/>
      <c r="X206" s="193"/>
      <c r="Y206" s="193"/>
      <c r="Z206" s="193"/>
      <c r="AA206" s="193"/>
      <c r="AB206" s="193"/>
      <c r="AC206" s="193"/>
    </row>
    <row r="207" spans="1:29" ht="15.75" customHeight="1">
      <c r="A207" s="193"/>
      <c r="B207" s="193"/>
      <c r="C207" s="193"/>
      <c r="D207" s="193"/>
      <c r="E207" s="193"/>
      <c r="F207" s="193"/>
      <c r="G207" s="193"/>
      <c r="H207" s="193"/>
      <c r="I207" s="193"/>
      <c r="J207" s="193"/>
      <c r="K207" s="193"/>
      <c r="L207" s="193"/>
      <c r="M207" s="193"/>
      <c r="N207" s="193"/>
      <c r="O207" s="193"/>
      <c r="P207" s="193"/>
      <c r="Q207" s="193"/>
      <c r="R207" s="193"/>
      <c r="S207" s="193"/>
      <c r="T207" s="193"/>
      <c r="U207" s="193"/>
      <c r="V207" s="193"/>
      <c r="W207" s="193"/>
      <c r="X207" s="193"/>
      <c r="Y207" s="193"/>
      <c r="Z207" s="193"/>
      <c r="AA207" s="193"/>
      <c r="AB207" s="193"/>
      <c r="AC207" s="193"/>
    </row>
    <row r="208" spans="1:29" ht="15.75" customHeight="1">
      <c r="A208" s="193"/>
      <c r="B208" s="193"/>
      <c r="C208" s="193"/>
      <c r="D208" s="193"/>
      <c r="E208" s="193"/>
      <c r="F208" s="193"/>
      <c r="G208" s="193"/>
      <c r="H208" s="193"/>
      <c r="I208" s="193"/>
      <c r="J208" s="193"/>
      <c r="K208" s="193"/>
      <c r="L208" s="193"/>
      <c r="M208" s="193"/>
      <c r="N208" s="193"/>
      <c r="O208" s="193"/>
      <c r="P208" s="193"/>
      <c r="Q208" s="193"/>
      <c r="R208" s="193"/>
      <c r="S208" s="193"/>
      <c r="T208" s="193"/>
      <c r="U208" s="193"/>
      <c r="V208" s="193"/>
      <c r="W208" s="193"/>
      <c r="X208" s="193"/>
      <c r="Y208" s="193"/>
      <c r="Z208" s="193"/>
      <c r="AA208" s="193"/>
      <c r="AB208" s="193"/>
      <c r="AC208" s="193"/>
    </row>
    <row r="209" spans="1:29" ht="15.75" customHeight="1">
      <c r="A209" s="193"/>
      <c r="B209" s="193"/>
      <c r="C209" s="193"/>
      <c r="D209" s="193"/>
      <c r="E209" s="193"/>
      <c r="F209" s="193"/>
      <c r="G209" s="193"/>
      <c r="H209" s="193"/>
      <c r="I209" s="193"/>
      <c r="J209" s="193"/>
      <c r="K209" s="193"/>
      <c r="L209" s="193"/>
      <c r="M209" s="193"/>
      <c r="N209" s="193"/>
      <c r="O209" s="193"/>
      <c r="P209" s="193"/>
      <c r="Q209" s="193"/>
      <c r="R209" s="193"/>
      <c r="S209" s="193"/>
      <c r="T209" s="193"/>
      <c r="U209" s="193"/>
      <c r="V209" s="193"/>
      <c r="W209" s="193"/>
      <c r="X209" s="193"/>
      <c r="Y209" s="193"/>
      <c r="Z209" s="193"/>
      <c r="AA209" s="193"/>
      <c r="AB209" s="193"/>
      <c r="AC209" s="193"/>
    </row>
    <row r="210" spans="1:29" ht="15.75" customHeight="1">
      <c r="A210" s="193"/>
      <c r="B210" s="193"/>
      <c r="C210" s="193"/>
      <c r="D210" s="193"/>
      <c r="E210" s="193"/>
      <c r="F210" s="193"/>
      <c r="G210" s="193"/>
      <c r="H210" s="193"/>
      <c r="I210" s="193"/>
      <c r="J210" s="193"/>
      <c r="K210" s="193"/>
      <c r="L210" s="193"/>
      <c r="M210" s="193"/>
      <c r="N210" s="193"/>
      <c r="O210" s="193"/>
      <c r="P210" s="193"/>
      <c r="Q210" s="193"/>
      <c r="R210" s="193"/>
      <c r="S210" s="193"/>
      <c r="T210" s="193"/>
      <c r="U210" s="193"/>
      <c r="V210" s="193"/>
      <c r="W210" s="193"/>
      <c r="X210" s="193"/>
      <c r="Y210" s="193"/>
      <c r="Z210" s="193"/>
      <c r="AA210" s="193"/>
      <c r="AB210" s="193"/>
      <c r="AC210" s="193"/>
    </row>
    <row r="211" spans="1:29" ht="15.75" customHeight="1">
      <c r="A211" s="193"/>
      <c r="B211" s="193"/>
      <c r="C211" s="193"/>
      <c r="D211" s="193"/>
      <c r="E211" s="193"/>
      <c r="F211" s="193"/>
      <c r="G211" s="193"/>
      <c r="H211" s="193"/>
      <c r="I211" s="193"/>
      <c r="J211" s="193"/>
      <c r="K211" s="193"/>
      <c r="L211" s="193"/>
      <c r="M211" s="193"/>
      <c r="N211" s="193"/>
      <c r="O211" s="193"/>
      <c r="P211" s="193"/>
      <c r="Q211" s="193"/>
      <c r="R211" s="193"/>
      <c r="S211" s="193"/>
      <c r="T211" s="193"/>
      <c r="U211" s="193"/>
      <c r="V211" s="193"/>
      <c r="W211" s="193"/>
      <c r="X211" s="193"/>
      <c r="Y211" s="193"/>
      <c r="Z211" s="193"/>
      <c r="AA211" s="193"/>
      <c r="AB211" s="193"/>
      <c r="AC211" s="193"/>
    </row>
    <row r="212" spans="1:29" ht="15.75" customHeight="1">
      <c r="A212" s="193"/>
      <c r="B212" s="193"/>
      <c r="C212" s="193"/>
      <c r="D212" s="193"/>
      <c r="E212" s="193"/>
      <c r="F212" s="193"/>
      <c r="G212" s="193"/>
      <c r="H212" s="193"/>
      <c r="I212" s="193"/>
      <c r="J212" s="193"/>
      <c r="K212" s="193"/>
      <c r="L212" s="193"/>
      <c r="M212" s="193"/>
      <c r="N212" s="193"/>
      <c r="O212" s="193"/>
      <c r="P212" s="193"/>
      <c r="Q212" s="193"/>
      <c r="R212" s="193"/>
      <c r="S212" s="193"/>
      <c r="T212" s="193"/>
      <c r="U212" s="193"/>
      <c r="V212" s="193"/>
      <c r="W212" s="193"/>
      <c r="X212" s="193"/>
      <c r="Y212" s="193"/>
      <c r="Z212" s="193"/>
      <c r="AA212" s="193"/>
      <c r="AB212" s="193"/>
      <c r="AC212" s="193"/>
    </row>
    <row r="213" spans="1:29" ht="15.75" customHeight="1">
      <c r="A213" s="193"/>
      <c r="B213" s="193"/>
      <c r="C213" s="193"/>
      <c r="D213" s="193"/>
      <c r="E213" s="193"/>
      <c r="F213" s="193"/>
      <c r="G213" s="193"/>
      <c r="H213" s="193"/>
      <c r="I213" s="193"/>
      <c r="J213" s="193"/>
      <c r="K213" s="193"/>
      <c r="L213" s="193"/>
      <c r="M213" s="193"/>
      <c r="N213" s="193"/>
      <c r="O213" s="193"/>
      <c r="P213" s="193"/>
      <c r="Q213" s="193"/>
      <c r="R213" s="193"/>
      <c r="S213" s="193"/>
      <c r="T213" s="193"/>
      <c r="U213" s="193"/>
      <c r="V213" s="193"/>
      <c r="W213" s="193"/>
      <c r="X213" s="193"/>
      <c r="Y213" s="193"/>
      <c r="Z213" s="193"/>
      <c r="AA213" s="193"/>
      <c r="AB213" s="193"/>
      <c r="AC213" s="193"/>
    </row>
    <row r="214" spans="1:29" ht="15.75" customHeight="1">
      <c r="A214" s="193"/>
      <c r="B214" s="193"/>
      <c r="C214" s="193"/>
      <c r="D214" s="193"/>
      <c r="E214" s="193"/>
      <c r="F214" s="193"/>
      <c r="G214" s="193"/>
      <c r="H214" s="193"/>
      <c r="I214" s="193"/>
      <c r="J214" s="193"/>
      <c r="K214" s="193"/>
      <c r="L214" s="193"/>
      <c r="M214" s="193"/>
      <c r="N214" s="193"/>
      <c r="O214" s="193"/>
      <c r="P214" s="193"/>
      <c r="Q214" s="193"/>
      <c r="R214" s="193"/>
      <c r="S214" s="193"/>
      <c r="T214" s="193"/>
      <c r="U214" s="193"/>
      <c r="V214" s="193"/>
      <c r="W214" s="193"/>
      <c r="X214" s="193"/>
      <c r="Y214" s="193"/>
      <c r="Z214" s="193"/>
      <c r="AA214" s="193"/>
      <c r="AB214" s="193"/>
      <c r="AC214" s="193"/>
    </row>
    <row r="215" spans="1:29" ht="15.75" customHeight="1">
      <c r="A215" s="193"/>
      <c r="B215" s="193"/>
      <c r="C215" s="193"/>
      <c r="D215" s="193"/>
      <c r="E215" s="193"/>
      <c r="F215" s="193"/>
      <c r="G215" s="193"/>
      <c r="H215" s="193"/>
      <c r="I215" s="193"/>
      <c r="J215" s="193"/>
      <c r="K215" s="193"/>
      <c r="L215" s="193"/>
      <c r="M215" s="193"/>
      <c r="N215" s="193"/>
      <c r="O215" s="193"/>
      <c r="P215" s="193"/>
      <c r="Q215" s="193"/>
      <c r="R215" s="193"/>
      <c r="S215" s="193"/>
      <c r="T215" s="193"/>
      <c r="U215" s="193"/>
      <c r="V215" s="193"/>
      <c r="W215" s="193"/>
      <c r="X215" s="193"/>
      <c r="Y215" s="193"/>
      <c r="Z215" s="193"/>
      <c r="AA215" s="193"/>
      <c r="AB215" s="193"/>
      <c r="AC215" s="193"/>
    </row>
    <row r="216" spans="1:29" ht="15.75" customHeight="1">
      <c r="A216" s="193"/>
      <c r="B216" s="193"/>
      <c r="C216" s="193"/>
      <c r="D216" s="193"/>
      <c r="E216" s="193"/>
      <c r="F216" s="193"/>
      <c r="G216" s="193"/>
      <c r="H216" s="193"/>
      <c r="I216" s="193"/>
      <c r="J216" s="193"/>
      <c r="K216" s="193"/>
      <c r="L216" s="193"/>
      <c r="M216" s="193"/>
      <c r="N216" s="193"/>
      <c r="O216" s="193"/>
      <c r="P216" s="193"/>
      <c r="Q216" s="193"/>
      <c r="R216" s="193"/>
      <c r="S216" s="193"/>
      <c r="T216" s="193"/>
      <c r="U216" s="193"/>
      <c r="V216" s="193"/>
      <c r="W216" s="193"/>
      <c r="X216" s="193"/>
      <c r="Y216" s="193"/>
      <c r="Z216" s="193"/>
      <c r="AA216" s="193"/>
      <c r="AB216" s="193"/>
      <c r="AC216" s="193"/>
    </row>
    <row r="217" spans="1:29" ht="15.75" customHeight="1">
      <c r="A217" s="193"/>
      <c r="B217" s="193"/>
      <c r="C217" s="193"/>
      <c r="D217" s="193"/>
      <c r="E217" s="193"/>
      <c r="F217" s="193"/>
      <c r="G217" s="193"/>
      <c r="H217" s="193"/>
      <c r="I217" s="193"/>
      <c r="J217" s="193"/>
      <c r="K217" s="193"/>
      <c r="L217" s="193"/>
      <c r="M217" s="193"/>
      <c r="N217" s="193"/>
      <c r="O217" s="193"/>
      <c r="P217" s="193"/>
      <c r="Q217" s="193"/>
      <c r="R217" s="193"/>
      <c r="S217" s="193"/>
      <c r="T217" s="193"/>
      <c r="U217" s="193"/>
      <c r="V217" s="193"/>
      <c r="W217" s="193"/>
      <c r="X217" s="193"/>
      <c r="Y217" s="193"/>
      <c r="Z217" s="193"/>
      <c r="AA217" s="193"/>
      <c r="AB217" s="193"/>
      <c r="AC217" s="193"/>
    </row>
    <row r="218" spans="1:29" ht="15.75" customHeight="1">
      <c r="A218" s="193"/>
      <c r="B218" s="193"/>
      <c r="C218" s="193"/>
      <c r="D218" s="193"/>
      <c r="E218" s="193"/>
      <c r="F218" s="193"/>
      <c r="G218" s="193"/>
      <c r="H218" s="193"/>
      <c r="I218" s="193"/>
      <c r="J218" s="193"/>
      <c r="K218" s="193"/>
      <c r="L218" s="193"/>
      <c r="M218" s="193"/>
      <c r="N218" s="193"/>
      <c r="O218" s="193"/>
      <c r="P218" s="193"/>
      <c r="Q218" s="193"/>
      <c r="R218" s="193"/>
      <c r="S218" s="193"/>
      <c r="T218" s="193"/>
      <c r="U218" s="193"/>
      <c r="V218" s="193"/>
      <c r="W218" s="193"/>
      <c r="X218" s="193"/>
      <c r="Y218" s="193"/>
      <c r="Z218" s="193"/>
      <c r="AA218" s="193"/>
      <c r="AB218" s="193"/>
      <c r="AC218" s="193"/>
    </row>
    <row r="219" spans="1:29" ht="15.75" customHeight="1">
      <c r="A219" s="193"/>
      <c r="B219" s="193"/>
      <c r="C219" s="193"/>
      <c r="D219" s="193"/>
      <c r="E219" s="193"/>
      <c r="F219" s="193"/>
      <c r="G219" s="193"/>
      <c r="H219" s="193"/>
      <c r="I219" s="193"/>
      <c r="J219" s="193"/>
      <c r="K219" s="193"/>
      <c r="L219" s="193"/>
      <c r="M219" s="193"/>
      <c r="N219" s="193"/>
      <c r="O219" s="193"/>
      <c r="P219" s="193"/>
      <c r="Q219" s="193"/>
      <c r="R219" s="193"/>
      <c r="S219" s="193"/>
      <c r="T219" s="193"/>
      <c r="U219" s="193"/>
      <c r="V219" s="193"/>
      <c r="W219" s="193"/>
      <c r="X219" s="193"/>
      <c r="Y219" s="193"/>
      <c r="Z219" s="193"/>
      <c r="AA219" s="193"/>
      <c r="AB219" s="193"/>
      <c r="AC219" s="193"/>
    </row>
    <row r="220" spans="1:29" ht="15.75" customHeight="1">
      <c r="A220" s="193"/>
      <c r="B220" s="193"/>
      <c r="C220" s="193"/>
      <c r="D220" s="193"/>
      <c r="E220" s="193"/>
      <c r="F220" s="193"/>
      <c r="G220" s="193"/>
      <c r="H220" s="193"/>
      <c r="I220" s="193"/>
      <c r="J220" s="193"/>
      <c r="K220" s="193"/>
      <c r="L220" s="193"/>
      <c r="M220" s="193"/>
      <c r="N220" s="193"/>
      <c r="O220" s="193"/>
      <c r="P220" s="193"/>
      <c r="Q220" s="193"/>
      <c r="R220" s="193"/>
      <c r="S220" s="193"/>
      <c r="T220" s="193"/>
      <c r="U220" s="193"/>
      <c r="V220" s="193"/>
      <c r="W220" s="193"/>
      <c r="X220" s="193"/>
      <c r="Y220" s="193"/>
      <c r="Z220" s="193"/>
      <c r="AA220" s="193"/>
      <c r="AB220" s="193"/>
      <c r="AC220" s="193"/>
    </row>
    <row r="221" spans="1:29" ht="15.75" customHeight="1">
      <c r="A221" s="193"/>
      <c r="B221" s="193"/>
      <c r="C221" s="193"/>
      <c r="D221" s="193"/>
      <c r="E221" s="193"/>
      <c r="F221" s="193"/>
      <c r="G221" s="193"/>
      <c r="H221" s="193"/>
      <c r="I221" s="193"/>
      <c r="J221" s="193"/>
      <c r="K221" s="193"/>
      <c r="L221" s="193"/>
      <c r="M221" s="193"/>
      <c r="N221" s="193"/>
      <c r="O221" s="193"/>
      <c r="P221" s="193"/>
      <c r="Q221" s="193"/>
      <c r="R221" s="193"/>
      <c r="S221" s="193"/>
      <c r="T221" s="193"/>
      <c r="U221" s="193"/>
      <c r="V221" s="193"/>
      <c r="W221" s="193"/>
      <c r="X221" s="193"/>
      <c r="Y221" s="193"/>
      <c r="Z221" s="193"/>
      <c r="AA221" s="193"/>
      <c r="AB221" s="193"/>
      <c r="AC221" s="193"/>
    </row>
    <row r="222" spans="1:29" ht="15.75" customHeight="1">
      <c r="A222" s="193"/>
      <c r="B222" s="193"/>
      <c r="C222" s="193"/>
      <c r="D222" s="193"/>
      <c r="E222" s="193"/>
      <c r="F222" s="193"/>
      <c r="G222" s="193"/>
      <c r="H222" s="193"/>
      <c r="I222" s="193"/>
      <c r="J222" s="193"/>
      <c r="K222" s="193"/>
      <c r="L222" s="193"/>
      <c r="M222" s="193"/>
      <c r="N222" s="193"/>
      <c r="O222" s="193"/>
      <c r="P222" s="193"/>
      <c r="Q222" s="193"/>
      <c r="R222" s="193"/>
      <c r="S222" s="193"/>
      <c r="T222" s="193"/>
      <c r="U222" s="193"/>
      <c r="V222" s="193"/>
      <c r="W222" s="193"/>
      <c r="X222" s="193"/>
      <c r="Y222" s="193"/>
      <c r="Z222" s="193"/>
      <c r="AA222" s="193"/>
      <c r="AB222" s="193"/>
      <c r="AC222" s="193"/>
    </row>
    <row r="223" spans="1:29" ht="15.75" customHeight="1">
      <c r="A223" s="193"/>
      <c r="B223" s="193"/>
      <c r="C223" s="193"/>
      <c r="D223" s="193"/>
      <c r="E223" s="193"/>
      <c r="F223" s="193"/>
      <c r="G223" s="193"/>
      <c r="H223" s="193"/>
      <c r="I223" s="193"/>
      <c r="J223" s="193"/>
      <c r="K223" s="193"/>
      <c r="L223" s="193"/>
      <c r="M223" s="193"/>
      <c r="N223" s="193"/>
      <c r="O223" s="193"/>
      <c r="P223" s="193"/>
      <c r="Q223" s="193"/>
      <c r="R223" s="193"/>
      <c r="S223" s="193"/>
      <c r="T223" s="193"/>
      <c r="U223" s="193"/>
      <c r="V223" s="193"/>
      <c r="W223" s="193"/>
      <c r="X223" s="193"/>
      <c r="Y223" s="193"/>
      <c r="Z223" s="193"/>
      <c r="AA223" s="193"/>
      <c r="AB223" s="193"/>
      <c r="AC223" s="193"/>
    </row>
    <row r="224" spans="1:29" ht="15.75" customHeight="1">
      <c r="A224" s="193"/>
      <c r="B224" s="193"/>
      <c r="C224" s="193"/>
      <c r="D224" s="193"/>
      <c r="E224" s="193"/>
      <c r="F224" s="193"/>
      <c r="G224" s="193"/>
      <c r="H224" s="193"/>
      <c r="I224" s="193"/>
      <c r="J224" s="193"/>
      <c r="K224" s="193"/>
      <c r="L224" s="193"/>
      <c r="M224" s="193"/>
      <c r="N224" s="193"/>
      <c r="O224" s="193"/>
      <c r="P224" s="193"/>
      <c r="Q224" s="193"/>
      <c r="R224" s="193"/>
      <c r="S224" s="193"/>
      <c r="T224" s="193"/>
      <c r="U224" s="193"/>
      <c r="V224" s="193"/>
      <c r="W224" s="193"/>
      <c r="X224" s="193"/>
      <c r="Y224" s="193"/>
      <c r="Z224" s="193"/>
      <c r="AA224" s="193"/>
      <c r="AB224" s="193"/>
      <c r="AC224" s="193"/>
    </row>
    <row r="225" spans="1:29" ht="15.75" customHeight="1">
      <c r="A225" s="193"/>
      <c r="B225" s="193"/>
      <c r="C225" s="193"/>
      <c r="D225" s="193"/>
      <c r="E225" s="193"/>
      <c r="F225" s="193"/>
      <c r="G225" s="193"/>
      <c r="H225" s="193"/>
      <c r="I225" s="193"/>
      <c r="J225" s="193"/>
      <c r="K225" s="193"/>
      <c r="L225" s="193"/>
      <c r="M225" s="193"/>
      <c r="N225" s="193"/>
      <c r="O225" s="193"/>
      <c r="P225" s="193"/>
      <c r="Q225" s="193"/>
      <c r="R225" s="193"/>
      <c r="S225" s="193"/>
      <c r="T225" s="193"/>
      <c r="U225" s="193"/>
      <c r="V225" s="193"/>
      <c r="W225" s="193"/>
      <c r="X225" s="193"/>
      <c r="Y225" s="193"/>
      <c r="Z225" s="193"/>
      <c r="AA225" s="193"/>
      <c r="AB225" s="193"/>
      <c r="AC225" s="193"/>
    </row>
    <row r="226" spans="1:29" ht="15.75" customHeight="1">
      <c r="A226" s="193"/>
      <c r="B226" s="193"/>
      <c r="C226" s="193"/>
      <c r="D226" s="193"/>
      <c r="E226" s="193"/>
      <c r="F226" s="193"/>
      <c r="G226" s="193"/>
      <c r="H226" s="193"/>
      <c r="I226" s="193"/>
      <c r="J226" s="193"/>
      <c r="K226" s="193"/>
      <c r="L226" s="193"/>
      <c r="M226" s="193"/>
      <c r="N226" s="193"/>
      <c r="O226" s="193"/>
      <c r="P226" s="193"/>
      <c r="Q226" s="193"/>
      <c r="R226" s="193"/>
      <c r="S226" s="193"/>
      <c r="T226" s="193"/>
      <c r="U226" s="193"/>
      <c r="V226" s="193"/>
      <c r="W226" s="193"/>
      <c r="X226" s="193"/>
      <c r="Y226" s="193"/>
      <c r="Z226" s="193"/>
      <c r="AA226" s="193"/>
      <c r="AB226" s="193"/>
      <c r="AC226" s="193"/>
    </row>
    <row r="227" spans="1:29" ht="15.75" customHeight="1">
      <c r="A227" s="193"/>
      <c r="B227" s="193"/>
      <c r="C227" s="193"/>
      <c r="D227" s="193"/>
      <c r="E227" s="193"/>
      <c r="F227" s="193"/>
      <c r="G227" s="193"/>
      <c r="H227" s="193"/>
      <c r="I227" s="193"/>
      <c r="J227" s="193"/>
      <c r="K227" s="193"/>
      <c r="L227" s="193"/>
      <c r="M227" s="193"/>
      <c r="N227" s="193"/>
      <c r="O227" s="193"/>
      <c r="P227" s="193"/>
      <c r="Q227" s="193"/>
      <c r="R227" s="193"/>
      <c r="S227" s="193"/>
      <c r="T227" s="193"/>
      <c r="U227" s="193"/>
      <c r="V227" s="193"/>
      <c r="W227" s="193"/>
      <c r="X227" s="193"/>
      <c r="Y227" s="193"/>
      <c r="Z227" s="193"/>
      <c r="AA227" s="193"/>
      <c r="AB227" s="193"/>
      <c r="AC227" s="193"/>
    </row>
    <row r="228" spans="1:29" ht="15.75" customHeight="1">
      <c r="A228" s="193"/>
      <c r="B228" s="193"/>
      <c r="C228" s="193"/>
      <c r="D228" s="193"/>
      <c r="E228" s="193"/>
      <c r="F228" s="193"/>
      <c r="G228" s="193"/>
      <c r="H228" s="193"/>
      <c r="I228" s="193"/>
      <c r="J228" s="193"/>
      <c r="K228" s="193"/>
      <c r="L228" s="193"/>
      <c r="M228" s="193"/>
      <c r="N228" s="193"/>
      <c r="O228" s="193"/>
      <c r="P228" s="193"/>
      <c r="Q228" s="193"/>
      <c r="R228" s="193"/>
      <c r="S228" s="193"/>
      <c r="T228" s="193"/>
      <c r="U228" s="193"/>
      <c r="V228" s="193"/>
      <c r="W228" s="193"/>
      <c r="X228" s="193"/>
      <c r="Y228" s="193"/>
      <c r="Z228" s="193"/>
      <c r="AA228" s="193"/>
      <c r="AB228" s="193"/>
      <c r="AC228" s="193"/>
    </row>
    <row r="229" spans="1:29" ht="15.75" customHeight="1">
      <c r="A229" s="193"/>
      <c r="B229" s="193"/>
      <c r="C229" s="193"/>
      <c r="D229" s="193"/>
      <c r="E229" s="193"/>
      <c r="F229" s="193"/>
      <c r="G229" s="193"/>
      <c r="H229" s="193"/>
      <c r="I229" s="193"/>
      <c r="J229" s="193"/>
      <c r="K229" s="193"/>
      <c r="L229" s="193"/>
      <c r="M229" s="193"/>
      <c r="N229" s="193"/>
      <c r="O229" s="193"/>
      <c r="P229" s="193"/>
      <c r="Q229" s="193"/>
      <c r="R229" s="193"/>
      <c r="S229" s="193"/>
      <c r="T229" s="193"/>
      <c r="U229" s="193"/>
      <c r="V229" s="193"/>
      <c r="W229" s="193"/>
      <c r="X229" s="193"/>
      <c r="Y229" s="193"/>
      <c r="Z229" s="193"/>
      <c r="AA229" s="193"/>
      <c r="AB229" s="193"/>
      <c r="AC229" s="193"/>
    </row>
    <row r="230" spans="1:29" ht="15.75" customHeight="1">
      <c r="A230" s="193"/>
      <c r="B230" s="193"/>
      <c r="C230" s="193"/>
      <c r="D230" s="193"/>
      <c r="E230" s="193"/>
      <c r="F230" s="193"/>
      <c r="G230" s="193"/>
      <c r="H230" s="193"/>
      <c r="I230" s="193"/>
      <c r="J230" s="193"/>
      <c r="K230" s="193"/>
      <c r="L230" s="193"/>
      <c r="M230" s="193"/>
      <c r="N230" s="193"/>
      <c r="O230" s="193"/>
      <c r="P230" s="193"/>
      <c r="Q230" s="193"/>
      <c r="R230" s="193"/>
      <c r="S230" s="193"/>
      <c r="T230" s="193"/>
      <c r="U230" s="193"/>
      <c r="V230" s="193"/>
      <c r="W230" s="193"/>
      <c r="X230" s="193"/>
      <c r="Y230" s="193"/>
      <c r="Z230" s="193"/>
      <c r="AA230" s="193"/>
      <c r="AB230" s="193"/>
      <c r="AC230" s="193"/>
    </row>
    <row r="231" spans="1:29" ht="15.75" customHeight="1">
      <c r="A231" s="193"/>
      <c r="B231" s="193"/>
      <c r="C231" s="193"/>
      <c r="D231" s="193"/>
      <c r="E231" s="193"/>
      <c r="F231" s="193"/>
      <c r="G231" s="193"/>
      <c r="H231" s="193"/>
      <c r="I231" s="193"/>
      <c r="J231" s="193"/>
      <c r="K231" s="193"/>
      <c r="L231" s="193"/>
      <c r="M231" s="193"/>
      <c r="N231" s="193"/>
      <c r="O231" s="193"/>
      <c r="P231" s="193"/>
      <c r="Q231" s="193"/>
      <c r="R231" s="193"/>
      <c r="S231" s="193"/>
      <c r="T231" s="193"/>
      <c r="U231" s="193"/>
      <c r="V231" s="193"/>
      <c r="W231" s="193"/>
      <c r="X231" s="193"/>
      <c r="Y231" s="193"/>
      <c r="Z231" s="193"/>
      <c r="AA231" s="193"/>
      <c r="AB231" s="193"/>
      <c r="AC231" s="193"/>
    </row>
    <row r="232" spans="1:29" ht="15.75" customHeight="1">
      <c r="A232" s="193"/>
      <c r="B232" s="193"/>
      <c r="C232" s="193"/>
      <c r="D232" s="193"/>
      <c r="E232" s="193"/>
      <c r="F232" s="193"/>
      <c r="G232" s="193"/>
      <c r="H232" s="193"/>
      <c r="I232" s="193"/>
      <c r="J232" s="193"/>
      <c r="K232" s="193"/>
      <c r="L232" s="193"/>
      <c r="M232" s="193"/>
      <c r="N232" s="193"/>
      <c r="O232" s="193"/>
      <c r="P232" s="193"/>
      <c r="Q232" s="193"/>
      <c r="R232" s="193"/>
      <c r="S232" s="193"/>
      <c r="T232" s="193"/>
      <c r="U232" s="193"/>
      <c r="V232" s="193"/>
      <c r="W232" s="193"/>
      <c r="X232" s="193"/>
      <c r="Y232" s="193"/>
      <c r="Z232" s="193"/>
      <c r="AA232" s="193"/>
      <c r="AB232" s="193"/>
      <c r="AC232" s="193"/>
    </row>
    <row r="233" spans="1:29" ht="15.75" customHeight="1">
      <c r="A233" s="193"/>
      <c r="B233" s="193"/>
      <c r="C233" s="193"/>
      <c r="D233" s="193"/>
      <c r="E233" s="193"/>
      <c r="F233" s="193"/>
      <c r="G233" s="193"/>
      <c r="H233" s="193"/>
      <c r="I233" s="193"/>
      <c r="J233" s="193"/>
      <c r="K233" s="193"/>
      <c r="L233" s="193"/>
      <c r="M233" s="193"/>
      <c r="N233" s="193"/>
      <c r="O233" s="193"/>
      <c r="P233" s="193"/>
      <c r="Q233" s="193"/>
      <c r="R233" s="193"/>
      <c r="S233" s="193"/>
      <c r="T233" s="193"/>
      <c r="U233" s="193"/>
      <c r="V233" s="193"/>
      <c r="W233" s="193"/>
      <c r="X233" s="193"/>
      <c r="Y233" s="193"/>
      <c r="Z233" s="193"/>
      <c r="AA233" s="193"/>
      <c r="AB233" s="193"/>
      <c r="AC233" s="193"/>
    </row>
    <row r="234" spans="1:29" ht="15.75" customHeight="1">
      <c r="A234" s="193"/>
      <c r="B234" s="193"/>
      <c r="C234" s="193"/>
      <c r="D234" s="193"/>
      <c r="E234" s="193"/>
      <c r="F234" s="193"/>
      <c r="G234" s="193"/>
      <c r="H234" s="193"/>
      <c r="I234" s="193"/>
      <c r="J234" s="193"/>
      <c r="K234" s="193"/>
      <c r="L234" s="193"/>
      <c r="M234" s="193"/>
      <c r="N234" s="193"/>
      <c r="O234" s="193"/>
      <c r="P234" s="193"/>
      <c r="Q234" s="193"/>
      <c r="R234" s="193"/>
      <c r="S234" s="193"/>
      <c r="T234" s="193"/>
      <c r="U234" s="193"/>
      <c r="V234" s="193"/>
      <c r="W234" s="193"/>
      <c r="X234" s="193"/>
      <c r="Y234" s="193"/>
      <c r="Z234" s="193"/>
      <c r="AA234" s="193"/>
      <c r="AB234" s="193"/>
      <c r="AC234" s="193"/>
    </row>
    <row r="235" spans="1:29" ht="15.75" customHeight="1">
      <c r="A235" s="193"/>
      <c r="B235" s="193"/>
      <c r="C235" s="193"/>
      <c r="D235" s="193"/>
      <c r="E235" s="193"/>
      <c r="F235" s="193"/>
      <c r="G235" s="193"/>
      <c r="H235" s="193"/>
      <c r="I235" s="193"/>
      <c r="J235" s="193"/>
      <c r="K235" s="193"/>
      <c r="L235" s="193"/>
      <c r="M235" s="193"/>
      <c r="N235" s="193"/>
      <c r="O235" s="193"/>
      <c r="P235" s="193"/>
      <c r="Q235" s="193"/>
      <c r="R235" s="193"/>
      <c r="S235" s="193"/>
      <c r="T235" s="193"/>
      <c r="U235" s="193"/>
      <c r="V235" s="193"/>
      <c r="W235" s="193"/>
      <c r="X235" s="193"/>
      <c r="Y235" s="193"/>
      <c r="Z235" s="193"/>
      <c r="AA235" s="193"/>
      <c r="AB235" s="193"/>
      <c r="AC235" s="193"/>
    </row>
    <row r="236" spans="1:29" ht="15.75" customHeight="1">
      <c r="A236" s="193"/>
      <c r="B236" s="193"/>
      <c r="C236" s="193"/>
      <c r="D236" s="193"/>
      <c r="E236" s="193"/>
      <c r="F236" s="193"/>
      <c r="G236" s="193"/>
      <c r="H236" s="193"/>
      <c r="I236" s="193"/>
      <c r="J236" s="193"/>
      <c r="K236" s="193"/>
      <c r="L236" s="193"/>
      <c r="M236" s="193"/>
      <c r="N236" s="193"/>
      <c r="O236" s="193"/>
      <c r="P236" s="193"/>
      <c r="Q236" s="193"/>
      <c r="R236" s="193"/>
      <c r="S236" s="193"/>
      <c r="T236" s="193"/>
      <c r="U236" s="193"/>
      <c r="V236" s="193"/>
      <c r="W236" s="193"/>
      <c r="X236" s="193"/>
      <c r="Y236" s="193"/>
      <c r="Z236" s="193"/>
      <c r="AA236" s="193"/>
      <c r="AB236" s="193"/>
      <c r="AC236" s="193"/>
    </row>
    <row r="237" spans="1:29" ht="15.75" customHeight="1">
      <c r="A237" s="193"/>
      <c r="B237" s="193"/>
      <c r="C237" s="193"/>
      <c r="D237" s="193"/>
      <c r="E237" s="193"/>
      <c r="F237" s="193"/>
      <c r="G237" s="193"/>
      <c r="H237" s="193"/>
      <c r="I237" s="193"/>
      <c r="J237" s="193"/>
      <c r="K237" s="193"/>
      <c r="L237" s="193"/>
      <c r="M237" s="193"/>
      <c r="N237" s="193"/>
      <c r="O237" s="193"/>
      <c r="P237" s="193"/>
      <c r="Q237" s="193"/>
      <c r="R237" s="193"/>
      <c r="S237" s="193"/>
      <c r="T237" s="193"/>
      <c r="U237" s="193"/>
      <c r="V237" s="193"/>
      <c r="W237" s="193"/>
      <c r="X237" s="193"/>
      <c r="Y237" s="193"/>
      <c r="Z237" s="193"/>
      <c r="AA237" s="193"/>
      <c r="AB237" s="193"/>
      <c r="AC237" s="193"/>
    </row>
    <row r="238" spans="1:29" ht="15.75" customHeight="1">
      <c r="A238" s="193"/>
      <c r="B238" s="193"/>
      <c r="C238" s="193"/>
      <c r="D238" s="193"/>
      <c r="E238" s="193"/>
      <c r="F238" s="193"/>
      <c r="G238" s="193"/>
      <c r="H238" s="193"/>
      <c r="I238" s="193"/>
      <c r="J238" s="193"/>
      <c r="K238" s="193"/>
      <c r="L238" s="193"/>
      <c r="M238" s="193"/>
      <c r="N238" s="193"/>
      <c r="O238" s="193"/>
      <c r="P238" s="193"/>
      <c r="Q238" s="193"/>
      <c r="R238" s="193"/>
      <c r="S238" s="193"/>
      <c r="T238" s="193"/>
      <c r="U238" s="193"/>
      <c r="V238" s="193"/>
      <c r="W238" s="193"/>
      <c r="X238" s="193"/>
      <c r="Y238" s="193"/>
      <c r="Z238" s="193"/>
      <c r="AA238" s="193"/>
      <c r="AB238" s="193"/>
      <c r="AC238" s="193"/>
    </row>
    <row r="239" spans="1:29" ht="15.75" customHeight="1">
      <c r="A239" s="193"/>
      <c r="B239" s="193"/>
      <c r="C239" s="193"/>
      <c r="D239" s="193"/>
      <c r="E239" s="193"/>
      <c r="F239" s="193"/>
      <c r="G239" s="193"/>
      <c r="H239" s="193"/>
      <c r="I239" s="193"/>
      <c r="J239" s="193"/>
      <c r="K239" s="193"/>
      <c r="L239" s="193"/>
      <c r="M239" s="193"/>
      <c r="N239" s="193"/>
      <c r="O239" s="193"/>
      <c r="P239" s="193"/>
      <c r="Q239" s="193"/>
      <c r="R239" s="193"/>
      <c r="S239" s="193"/>
      <c r="T239" s="193"/>
      <c r="U239" s="193"/>
      <c r="V239" s="193"/>
      <c r="W239" s="193"/>
      <c r="X239" s="193"/>
      <c r="Y239" s="193"/>
      <c r="Z239" s="193"/>
      <c r="AA239" s="193"/>
      <c r="AB239" s="193"/>
      <c r="AC239" s="193"/>
    </row>
    <row r="240" spans="1:29" ht="15.75" customHeight="1">
      <c r="A240" s="193"/>
      <c r="B240" s="193"/>
      <c r="C240" s="193"/>
      <c r="D240" s="193"/>
      <c r="E240" s="193"/>
      <c r="F240" s="193"/>
      <c r="G240" s="193"/>
      <c r="H240" s="193"/>
      <c r="I240" s="193"/>
      <c r="J240" s="193"/>
      <c r="K240" s="193"/>
      <c r="L240" s="193"/>
      <c r="M240" s="193"/>
      <c r="N240" s="193"/>
      <c r="O240" s="193"/>
      <c r="P240" s="193"/>
      <c r="Q240" s="193"/>
      <c r="R240" s="193"/>
      <c r="S240" s="193"/>
      <c r="T240" s="193"/>
      <c r="U240" s="193"/>
      <c r="V240" s="193"/>
      <c r="W240" s="193"/>
      <c r="X240" s="193"/>
      <c r="Y240" s="193"/>
      <c r="Z240" s="193"/>
      <c r="AA240" s="193"/>
      <c r="AB240" s="193"/>
      <c r="AC240" s="193"/>
    </row>
    <row r="241" spans="1:29" ht="15.75" customHeight="1">
      <c r="A241" s="193"/>
      <c r="B241" s="193"/>
      <c r="C241" s="193"/>
      <c r="D241" s="193"/>
      <c r="E241" s="193"/>
      <c r="F241" s="193"/>
      <c r="G241" s="193"/>
      <c r="H241" s="193"/>
      <c r="I241" s="193"/>
      <c r="J241" s="193"/>
      <c r="K241" s="193"/>
      <c r="L241" s="193"/>
      <c r="M241" s="193"/>
      <c r="N241" s="193"/>
      <c r="O241" s="193"/>
      <c r="P241" s="193"/>
      <c r="Q241" s="193"/>
      <c r="R241" s="193"/>
      <c r="S241" s="193"/>
      <c r="T241" s="193"/>
      <c r="U241" s="193"/>
      <c r="V241" s="193"/>
      <c r="W241" s="193"/>
      <c r="X241" s="193"/>
      <c r="Y241" s="193"/>
      <c r="Z241" s="193"/>
      <c r="AA241" s="193"/>
      <c r="AB241" s="193"/>
      <c r="AC241" s="193"/>
    </row>
    <row r="242" spans="1:29" ht="15.75" customHeight="1">
      <c r="A242" s="193"/>
      <c r="B242" s="193"/>
      <c r="C242" s="193"/>
      <c r="D242" s="193"/>
      <c r="E242" s="193"/>
      <c r="F242" s="193"/>
      <c r="G242" s="193"/>
      <c r="H242" s="193"/>
      <c r="I242" s="193"/>
      <c r="J242" s="193"/>
      <c r="K242" s="193"/>
      <c r="L242" s="193"/>
      <c r="M242" s="193"/>
      <c r="N242" s="193"/>
      <c r="O242" s="193"/>
      <c r="P242" s="193"/>
      <c r="Q242" s="193"/>
      <c r="R242" s="193"/>
      <c r="S242" s="193"/>
      <c r="T242" s="193"/>
      <c r="U242" s="193"/>
      <c r="V242" s="193"/>
      <c r="W242" s="193"/>
      <c r="X242" s="193"/>
      <c r="Y242" s="193"/>
      <c r="Z242" s="193"/>
      <c r="AA242" s="193"/>
      <c r="AB242" s="193"/>
      <c r="AC242" s="193"/>
    </row>
    <row r="243" spans="1:29" ht="15.75" customHeight="1">
      <c r="A243" s="193"/>
      <c r="B243" s="193"/>
      <c r="C243" s="193"/>
      <c r="D243" s="193"/>
      <c r="E243" s="193"/>
      <c r="F243" s="193"/>
      <c r="G243" s="193"/>
      <c r="H243" s="193"/>
      <c r="I243" s="193"/>
      <c r="J243" s="193"/>
      <c r="K243" s="193"/>
      <c r="L243" s="193"/>
      <c r="M243" s="193"/>
      <c r="N243" s="193"/>
      <c r="O243" s="193"/>
      <c r="P243" s="193"/>
      <c r="Q243" s="193"/>
      <c r="R243" s="193"/>
      <c r="S243" s="193"/>
      <c r="T243" s="193"/>
      <c r="U243" s="193"/>
      <c r="V243" s="193"/>
      <c r="W243" s="193"/>
      <c r="X243" s="193"/>
      <c r="Y243" s="193"/>
      <c r="Z243" s="193"/>
      <c r="AA243" s="193"/>
      <c r="AB243" s="193"/>
      <c r="AC243" s="193"/>
    </row>
    <row r="244" spans="1:29" ht="15.75" customHeight="1">
      <c r="A244" s="193"/>
      <c r="B244" s="193"/>
      <c r="C244" s="193"/>
      <c r="D244" s="193"/>
      <c r="E244" s="193"/>
      <c r="F244" s="193"/>
      <c r="G244" s="193"/>
      <c r="H244" s="193"/>
      <c r="I244" s="193"/>
      <c r="J244" s="193"/>
      <c r="K244" s="193"/>
      <c r="L244" s="193"/>
      <c r="M244" s="193"/>
      <c r="N244" s="193"/>
      <c r="O244" s="193"/>
      <c r="P244" s="193"/>
      <c r="Q244" s="193"/>
      <c r="R244" s="193"/>
      <c r="S244" s="193"/>
      <c r="T244" s="193"/>
      <c r="U244" s="193"/>
      <c r="V244" s="193"/>
      <c r="W244" s="193"/>
      <c r="X244" s="193"/>
      <c r="Y244" s="193"/>
      <c r="Z244" s="193"/>
      <c r="AA244" s="193"/>
      <c r="AB244" s="193"/>
      <c r="AC244" s="193"/>
    </row>
    <row r="245" spans="1:29" ht="15.75" customHeight="1">
      <c r="A245" s="193"/>
      <c r="B245" s="193"/>
      <c r="C245" s="193"/>
      <c r="D245" s="193"/>
      <c r="E245" s="193"/>
      <c r="F245" s="193"/>
      <c r="G245" s="193"/>
      <c r="H245" s="193"/>
      <c r="I245" s="193"/>
      <c r="J245" s="193"/>
      <c r="K245" s="193"/>
      <c r="L245" s="193"/>
      <c r="M245" s="193"/>
      <c r="N245" s="193"/>
      <c r="O245" s="193"/>
      <c r="P245" s="193"/>
      <c r="Q245" s="193"/>
      <c r="R245" s="193"/>
      <c r="S245" s="193"/>
      <c r="T245" s="193"/>
      <c r="U245" s="193"/>
      <c r="V245" s="193"/>
      <c r="W245" s="193"/>
      <c r="X245" s="193"/>
      <c r="Y245" s="193"/>
      <c r="Z245" s="193"/>
      <c r="AA245" s="193"/>
      <c r="AB245" s="193"/>
      <c r="AC245" s="193"/>
    </row>
    <row r="246" spans="1:29" ht="15.75" customHeight="1">
      <c r="A246" s="193"/>
      <c r="B246" s="193"/>
      <c r="C246" s="193"/>
      <c r="D246" s="193"/>
      <c r="E246" s="193"/>
      <c r="F246" s="193"/>
      <c r="G246" s="193"/>
      <c r="H246" s="193"/>
      <c r="I246" s="193"/>
      <c r="J246" s="193"/>
      <c r="K246" s="193"/>
      <c r="L246" s="193"/>
      <c r="M246" s="193"/>
      <c r="N246" s="193"/>
      <c r="O246" s="193"/>
      <c r="P246" s="193"/>
      <c r="Q246" s="193"/>
      <c r="R246" s="193"/>
      <c r="S246" s="193"/>
      <c r="T246" s="193"/>
      <c r="U246" s="193"/>
      <c r="V246" s="193"/>
      <c r="W246" s="193"/>
      <c r="X246" s="193"/>
      <c r="Y246" s="193"/>
      <c r="Z246" s="193"/>
      <c r="AA246" s="193"/>
      <c r="AB246" s="193"/>
      <c r="AC246" s="193"/>
    </row>
    <row r="247" spans="1:29" ht="15.75" customHeight="1">
      <c r="A247" s="193"/>
      <c r="B247" s="193"/>
      <c r="C247" s="193"/>
      <c r="D247" s="193"/>
      <c r="E247" s="193"/>
      <c r="F247" s="193"/>
      <c r="G247" s="193"/>
      <c r="H247" s="193"/>
      <c r="I247" s="193"/>
      <c r="J247" s="193"/>
      <c r="K247" s="193"/>
      <c r="L247" s="193"/>
      <c r="M247" s="193"/>
      <c r="N247" s="193"/>
      <c r="O247" s="193"/>
      <c r="P247" s="193"/>
      <c r="Q247" s="193"/>
      <c r="R247" s="193"/>
      <c r="S247" s="193"/>
      <c r="T247" s="193"/>
      <c r="U247" s="193"/>
      <c r="V247" s="193"/>
      <c r="W247" s="193"/>
      <c r="X247" s="193"/>
      <c r="Y247" s="193"/>
      <c r="Z247" s="193"/>
      <c r="AA247" s="193"/>
      <c r="AB247" s="193"/>
      <c r="AC247" s="193"/>
    </row>
    <row r="248" spans="1:29" ht="15.75" customHeight="1">
      <c r="A248" s="193"/>
      <c r="B248" s="193"/>
      <c r="C248" s="193"/>
      <c r="D248" s="193"/>
      <c r="E248" s="193"/>
      <c r="F248" s="193"/>
      <c r="G248" s="193"/>
      <c r="H248" s="193"/>
      <c r="I248" s="193"/>
      <c r="J248" s="193"/>
      <c r="K248" s="193"/>
      <c r="L248" s="193"/>
      <c r="M248" s="193"/>
      <c r="N248" s="193"/>
      <c r="O248" s="193"/>
      <c r="P248" s="193"/>
      <c r="Q248" s="193"/>
      <c r="R248" s="193"/>
      <c r="S248" s="193"/>
      <c r="T248" s="193"/>
      <c r="U248" s="193"/>
      <c r="V248" s="193"/>
      <c r="W248" s="193"/>
      <c r="X248" s="193"/>
      <c r="Y248" s="193"/>
      <c r="Z248" s="193"/>
      <c r="AA248" s="193"/>
      <c r="AB248" s="193"/>
      <c r="AC248" s="193"/>
    </row>
    <row r="249" spans="1:29" ht="15.75" customHeight="1">
      <c r="A249" s="193"/>
      <c r="B249" s="193"/>
      <c r="C249" s="193"/>
      <c r="D249" s="193"/>
      <c r="E249" s="193"/>
      <c r="F249" s="193"/>
      <c r="G249" s="193"/>
      <c r="H249" s="193"/>
      <c r="I249" s="193"/>
      <c r="J249" s="193"/>
      <c r="K249" s="193"/>
      <c r="L249" s="193"/>
      <c r="M249" s="193"/>
      <c r="N249" s="193"/>
      <c r="O249" s="193"/>
      <c r="P249" s="193"/>
      <c r="Q249" s="193"/>
      <c r="R249" s="193"/>
      <c r="S249" s="193"/>
      <c r="T249" s="193"/>
      <c r="U249" s="193"/>
      <c r="V249" s="193"/>
      <c r="W249" s="193"/>
      <c r="X249" s="193"/>
      <c r="Y249" s="193"/>
      <c r="Z249" s="193"/>
      <c r="AA249" s="193"/>
      <c r="AB249" s="193"/>
      <c r="AC249" s="193"/>
    </row>
    <row r="250" spans="1:29" ht="15.75" customHeight="1">
      <c r="A250" s="193"/>
      <c r="B250" s="193"/>
      <c r="C250" s="193"/>
      <c r="D250" s="193"/>
      <c r="E250" s="193"/>
      <c r="F250" s="193"/>
      <c r="G250" s="193"/>
      <c r="H250" s="193"/>
      <c r="I250" s="193"/>
      <c r="J250" s="193"/>
      <c r="K250" s="193"/>
      <c r="L250" s="193"/>
      <c r="M250" s="193"/>
      <c r="N250" s="193"/>
      <c r="O250" s="193"/>
      <c r="P250" s="193"/>
      <c r="Q250" s="193"/>
      <c r="R250" s="193"/>
      <c r="S250" s="193"/>
      <c r="T250" s="193"/>
      <c r="U250" s="193"/>
      <c r="V250" s="193"/>
      <c r="W250" s="193"/>
      <c r="X250" s="193"/>
      <c r="Y250" s="193"/>
      <c r="Z250" s="193"/>
      <c r="AA250" s="193"/>
      <c r="AB250" s="193"/>
      <c r="AC250" s="193"/>
    </row>
    <row r="251" spans="1:29" ht="15.75" customHeight="1">
      <c r="A251" s="193"/>
      <c r="B251" s="193"/>
      <c r="C251" s="193"/>
      <c r="D251" s="193"/>
      <c r="E251" s="193"/>
      <c r="F251" s="193"/>
      <c r="G251" s="193"/>
      <c r="H251" s="193"/>
      <c r="I251" s="193"/>
      <c r="J251" s="193"/>
      <c r="K251" s="193"/>
      <c r="L251" s="193"/>
      <c r="M251" s="193"/>
      <c r="N251" s="193"/>
      <c r="O251" s="193"/>
      <c r="P251" s="193"/>
      <c r="Q251" s="193"/>
      <c r="R251" s="193"/>
      <c r="S251" s="193"/>
      <c r="T251" s="193"/>
      <c r="U251" s="193"/>
      <c r="V251" s="193"/>
      <c r="W251" s="193"/>
      <c r="X251" s="193"/>
      <c r="Y251" s="193"/>
      <c r="Z251" s="193"/>
      <c r="AA251" s="193"/>
      <c r="AB251" s="193"/>
      <c r="AC251" s="193"/>
    </row>
    <row r="252" spans="1:29" ht="15.75" customHeight="1">
      <c r="A252" s="193"/>
      <c r="B252" s="193"/>
      <c r="C252" s="193"/>
      <c r="D252" s="193"/>
      <c r="E252" s="193"/>
      <c r="F252" s="193"/>
      <c r="G252" s="193"/>
      <c r="H252" s="193"/>
      <c r="I252" s="193"/>
      <c r="J252" s="193"/>
      <c r="K252" s="193"/>
      <c r="L252" s="193"/>
      <c r="M252" s="193"/>
      <c r="N252" s="193"/>
      <c r="O252" s="193"/>
      <c r="P252" s="193"/>
      <c r="Q252" s="193"/>
      <c r="R252" s="193"/>
      <c r="S252" s="193"/>
      <c r="T252" s="193"/>
      <c r="U252" s="193"/>
      <c r="V252" s="193"/>
      <c r="W252" s="193"/>
      <c r="X252" s="193"/>
      <c r="Y252" s="193"/>
      <c r="Z252" s="193"/>
      <c r="AA252" s="193"/>
      <c r="AB252" s="193"/>
      <c r="AC252" s="193"/>
    </row>
    <row r="253" spans="1:29" ht="15.75" customHeight="1">
      <c r="A253" s="193"/>
      <c r="B253" s="193"/>
      <c r="C253" s="193"/>
      <c r="D253" s="193"/>
      <c r="E253" s="193"/>
      <c r="F253" s="193"/>
      <c r="G253" s="193"/>
      <c r="H253" s="193"/>
      <c r="I253" s="193"/>
      <c r="J253" s="193"/>
      <c r="K253" s="193"/>
      <c r="L253" s="193"/>
      <c r="M253" s="193"/>
      <c r="N253" s="193"/>
      <c r="O253" s="193"/>
      <c r="P253" s="193"/>
      <c r="Q253" s="193"/>
      <c r="R253" s="193"/>
      <c r="S253" s="193"/>
      <c r="T253" s="193"/>
      <c r="U253" s="193"/>
      <c r="V253" s="193"/>
      <c r="W253" s="193"/>
      <c r="X253" s="193"/>
      <c r="Y253" s="193"/>
      <c r="Z253" s="193"/>
      <c r="AA253" s="193"/>
      <c r="AB253" s="193"/>
      <c r="AC253" s="193"/>
    </row>
    <row r="254" spans="1:29" ht="15.75" customHeight="1">
      <c r="A254" s="193"/>
      <c r="B254" s="193"/>
      <c r="C254" s="193"/>
      <c r="D254" s="193"/>
      <c r="E254" s="193"/>
      <c r="F254" s="193"/>
      <c r="G254" s="193"/>
      <c r="H254" s="193"/>
      <c r="I254" s="193"/>
      <c r="J254" s="193"/>
      <c r="K254" s="193"/>
      <c r="L254" s="193"/>
      <c r="M254" s="193"/>
      <c r="N254" s="193"/>
      <c r="O254" s="193"/>
      <c r="P254" s="193"/>
      <c r="Q254" s="193"/>
      <c r="R254" s="193"/>
      <c r="S254" s="193"/>
      <c r="T254" s="193"/>
      <c r="U254" s="193"/>
      <c r="V254" s="193"/>
      <c r="W254" s="193"/>
      <c r="X254" s="193"/>
      <c r="Y254" s="193"/>
      <c r="Z254" s="193"/>
      <c r="AA254" s="193"/>
      <c r="AB254" s="193"/>
      <c r="AC254" s="193"/>
    </row>
    <row r="255" spans="1:29" ht="15.75" customHeight="1">
      <c r="A255" s="193"/>
      <c r="B255" s="193"/>
      <c r="C255" s="193"/>
      <c r="D255" s="193"/>
      <c r="E255" s="193"/>
      <c r="F255" s="193"/>
      <c r="G255" s="193"/>
      <c r="H255" s="193"/>
      <c r="I255" s="193"/>
      <c r="J255" s="193"/>
      <c r="K255" s="193"/>
      <c r="L255" s="193"/>
      <c r="M255" s="193"/>
      <c r="N255" s="193"/>
      <c r="O255" s="193"/>
      <c r="P255" s="193"/>
      <c r="Q255" s="193"/>
      <c r="R255" s="193"/>
      <c r="S255" s="193"/>
      <c r="T255" s="193"/>
      <c r="U255" s="193"/>
      <c r="V255" s="193"/>
      <c r="W255" s="193"/>
      <c r="X255" s="193"/>
      <c r="Y255" s="193"/>
      <c r="Z255" s="193"/>
      <c r="AA255" s="193"/>
      <c r="AB255" s="193"/>
      <c r="AC255" s="193"/>
    </row>
    <row r="256" spans="1:29" ht="15.75" customHeight="1">
      <c r="A256" s="193"/>
      <c r="B256" s="193"/>
      <c r="C256" s="193"/>
      <c r="D256" s="193"/>
      <c r="E256" s="193"/>
      <c r="F256" s="193"/>
      <c r="G256" s="193"/>
      <c r="H256" s="193"/>
      <c r="I256" s="193"/>
      <c r="J256" s="193"/>
      <c r="K256" s="193"/>
      <c r="L256" s="193"/>
      <c r="M256" s="193"/>
      <c r="N256" s="193"/>
      <c r="O256" s="193"/>
      <c r="P256" s="193"/>
      <c r="Q256" s="193"/>
      <c r="R256" s="193"/>
      <c r="S256" s="193"/>
      <c r="T256" s="193"/>
      <c r="U256" s="193"/>
      <c r="V256" s="193"/>
      <c r="W256" s="193"/>
      <c r="X256" s="193"/>
      <c r="Y256" s="193"/>
      <c r="Z256" s="193"/>
      <c r="AA256" s="193"/>
      <c r="AB256" s="193"/>
      <c r="AC256" s="193"/>
    </row>
    <row r="257" spans="1:29" ht="15.75" customHeight="1">
      <c r="A257" s="193"/>
      <c r="B257" s="193"/>
      <c r="C257" s="193"/>
      <c r="D257" s="193"/>
      <c r="E257" s="193"/>
      <c r="F257" s="193"/>
      <c r="G257" s="193"/>
      <c r="H257" s="193"/>
      <c r="I257" s="193"/>
      <c r="J257" s="193"/>
      <c r="K257" s="193"/>
      <c r="L257" s="193"/>
      <c r="M257" s="193"/>
      <c r="N257" s="193"/>
      <c r="O257" s="193"/>
      <c r="P257" s="193"/>
      <c r="Q257" s="193"/>
      <c r="R257" s="193"/>
      <c r="S257" s="193"/>
      <c r="T257" s="193"/>
      <c r="U257" s="193"/>
      <c r="V257" s="193"/>
      <c r="W257" s="193"/>
      <c r="X257" s="193"/>
      <c r="Y257" s="193"/>
      <c r="Z257" s="193"/>
      <c r="AA257" s="193"/>
      <c r="AB257" s="193"/>
      <c r="AC257" s="193"/>
    </row>
    <row r="258" spans="1:29" ht="15.75" customHeight="1">
      <c r="A258" s="193"/>
      <c r="B258" s="193"/>
      <c r="C258" s="193"/>
      <c r="D258" s="193"/>
      <c r="E258" s="193"/>
      <c r="F258" s="193"/>
      <c r="G258" s="193"/>
      <c r="H258" s="193"/>
      <c r="I258" s="193"/>
      <c r="J258" s="193"/>
      <c r="K258" s="193"/>
      <c r="L258" s="193"/>
      <c r="M258" s="193"/>
      <c r="N258" s="193"/>
      <c r="O258" s="193"/>
      <c r="P258" s="193"/>
      <c r="Q258" s="193"/>
      <c r="R258" s="193"/>
      <c r="S258" s="193"/>
      <c r="T258" s="193"/>
      <c r="U258" s="193"/>
      <c r="V258" s="193"/>
      <c r="W258" s="193"/>
      <c r="X258" s="193"/>
      <c r="Y258" s="193"/>
      <c r="Z258" s="193"/>
      <c r="AA258" s="193"/>
      <c r="AB258" s="193"/>
      <c r="AC258" s="193"/>
    </row>
    <row r="259" spans="1:29" ht="15.75" customHeight="1">
      <c r="A259" s="193"/>
      <c r="B259" s="193"/>
      <c r="C259" s="193"/>
      <c r="D259" s="193"/>
      <c r="E259" s="193"/>
      <c r="F259" s="193"/>
      <c r="G259" s="193"/>
      <c r="H259" s="193"/>
      <c r="I259" s="193"/>
      <c r="J259" s="193"/>
      <c r="K259" s="193"/>
      <c r="L259" s="193"/>
      <c r="M259" s="193"/>
      <c r="N259" s="193"/>
      <c r="O259" s="193"/>
      <c r="P259" s="193"/>
      <c r="Q259" s="193"/>
      <c r="R259" s="193"/>
      <c r="S259" s="193"/>
      <c r="T259" s="193"/>
      <c r="U259" s="193"/>
      <c r="V259" s="193"/>
      <c r="W259" s="193"/>
      <c r="X259" s="193"/>
      <c r="Y259" s="193"/>
      <c r="Z259" s="193"/>
      <c r="AA259" s="193"/>
      <c r="AB259" s="193"/>
      <c r="AC259" s="193"/>
    </row>
    <row r="260" spans="1:29" ht="15.75" customHeight="1">
      <c r="A260" s="193"/>
      <c r="B260" s="193"/>
      <c r="C260" s="193"/>
      <c r="D260" s="193"/>
      <c r="E260" s="193"/>
      <c r="F260" s="193"/>
      <c r="G260" s="193"/>
      <c r="H260" s="193"/>
      <c r="I260" s="193"/>
      <c r="J260" s="193"/>
      <c r="K260" s="193"/>
      <c r="L260" s="193"/>
      <c r="M260" s="193"/>
      <c r="N260" s="193"/>
      <c r="O260" s="193"/>
      <c r="P260" s="193"/>
      <c r="Q260" s="193"/>
      <c r="R260" s="193"/>
      <c r="S260" s="193"/>
      <c r="T260" s="193"/>
      <c r="U260" s="193"/>
      <c r="V260" s="193"/>
      <c r="W260" s="193"/>
      <c r="X260" s="193"/>
      <c r="Y260" s="193"/>
      <c r="Z260" s="193"/>
      <c r="AA260" s="193"/>
      <c r="AB260" s="193"/>
      <c r="AC260" s="193"/>
    </row>
    <row r="261" spans="1:29" ht="15.75" customHeight="1">
      <c r="A261" s="193"/>
      <c r="B261" s="193"/>
      <c r="C261" s="193"/>
      <c r="D261" s="193"/>
      <c r="E261" s="193"/>
      <c r="F261" s="193"/>
      <c r="G261" s="193"/>
      <c r="H261" s="193"/>
      <c r="I261" s="193"/>
      <c r="J261" s="193"/>
      <c r="K261" s="193"/>
      <c r="L261" s="193"/>
      <c r="M261" s="193"/>
      <c r="N261" s="193"/>
      <c r="O261" s="193"/>
      <c r="P261" s="193"/>
      <c r="Q261" s="193"/>
      <c r="R261" s="193"/>
      <c r="S261" s="193"/>
      <c r="T261" s="193"/>
      <c r="U261" s="193"/>
      <c r="V261" s="193"/>
      <c r="W261" s="193"/>
      <c r="X261" s="193"/>
      <c r="Y261" s="193"/>
      <c r="Z261" s="193"/>
      <c r="AA261" s="193"/>
      <c r="AB261" s="193"/>
      <c r="AC261" s="193"/>
    </row>
    <row r="262" spans="1:29" ht="15.75" customHeight="1">
      <c r="A262" s="193"/>
      <c r="B262" s="193"/>
      <c r="C262" s="193"/>
      <c r="D262" s="193"/>
      <c r="E262" s="193"/>
      <c r="F262" s="193"/>
      <c r="G262" s="193"/>
      <c r="H262" s="193"/>
      <c r="I262" s="193"/>
      <c r="J262" s="193"/>
      <c r="K262" s="193"/>
      <c r="L262" s="193"/>
      <c r="M262" s="193"/>
      <c r="N262" s="193"/>
      <c r="O262" s="193"/>
      <c r="P262" s="193"/>
      <c r="Q262" s="193"/>
      <c r="R262" s="193"/>
      <c r="S262" s="193"/>
      <c r="T262" s="193"/>
      <c r="U262" s="193"/>
      <c r="V262" s="193"/>
      <c r="W262" s="193"/>
      <c r="X262" s="193"/>
      <c r="Y262" s="193"/>
      <c r="Z262" s="193"/>
      <c r="AA262" s="193"/>
      <c r="AB262" s="193"/>
      <c r="AC262" s="193"/>
    </row>
    <row r="263" spans="1:29" ht="15.75" customHeight="1">
      <c r="A263" s="193"/>
      <c r="B263" s="193"/>
      <c r="C263" s="193"/>
      <c r="D263" s="193"/>
      <c r="E263" s="193"/>
      <c r="F263" s="193"/>
      <c r="G263" s="193"/>
      <c r="H263" s="193"/>
      <c r="I263" s="193"/>
      <c r="J263" s="193"/>
      <c r="K263" s="193"/>
      <c r="L263" s="193"/>
      <c r="M263" s="193"/>
      <c r="N263" s="193"/>
      <c r="O263" s="193"/>
      <c r="P263" s="193"/>
      <c r="Q263" s="193"/>
      <c r="R263" s="193"/>
      <c r="S263" s="193"/>
      <c r="T263" s="193"/>
      <c r="U263" s="193"/>
      <c r="V263" s="193"/>
      <c r="W263" s="193"/>
      <c r="X263" s="193"/>
      <c r="Y263" s="193"/>
      <c r="Z263" s="193"/>
      <c r="AA263" s="193"/>
      <c r="AB263" s="193"/>
      <c r="AC263" s="193"/>
    </row>
    <row r="264" spans="1:29" ht="15.75" customHeight="1">
      <c r="A264" s="193"/>
      <c r="B264" s="193"/>
      <c r="C264" s="193"/>
      <c r="D264" s="193"/>
      <c r="E264" s="193"/>
      <c r="F264" s="193"/>
      <c r="G264" s="193"/>
      <c r="H264" s="193"/>
      <c r="I264" s="193"/>
      <c r="J264" s="193"/>
      <c r="K264" s="193"/>
      <c r="L264" s="193"/>
      <c r="M264" s="193"/>
      <c r="N264" s="193"/>
      <c r="O264" s="193"/>
      <c r="P264" s="193"/>
      <c r="Q264" s="193"/>
      <c r="R264" s="193"/>
      <c r="S264" s="193"/>
      <c r="T264" s="193"/>
      <c r="U264" s="193"/>
      <c r="V264" s="193"/>
      <c r="W264" s="193"/>
      <c r="X264" s="193"/>
      <c r="Y264" s="193"/>
      <c r="Z264" s="193"/>
      <c r="AA264" s="193"/>
      <c r="AB264" s="193"/>
      <c r="AC264" s="193"/>
    </row>
    <row r="265" spans="1:29" ht="15.75" customHeight="1">
      <c r="A265" s="193"/>
      <c r="B265" s="193"/>
      <c r="C265" s="193"/>
      <c r="D265" s="193"/>
      <c r="E265" s="193"/>
      <c r="F265" s="193"/>
      <c r="G265" s="193"/>
      <c r="H265" s="193"/>
      <c r="I265" s="193"/>
      <c r="J265" s="193"/>
      <c r="K265" s="193"/>
      <c r="L265" s="193"/>
      <c r="M265" s="193"/>
      <c r="N265" s="193"/>
      <c r="O265" s="193"/>
      <c r="P265" s="193"/>
      <c r="Q265" s="193"/>
      <c r="R265" s="193"/>
      <c r="S265" s="193"/>
      <c r="T265" s="193"/>
      <c r="U265" s="193"/>
      <c r="V265" s="193"/>
      <c r="W265" s="193"/>
      <c r="X265" s="193"/>
      <c r="Y265" s="193"/>
      <c r="Z265" s="193"/>
      <c r="AA265" s="193"/>
      <c r="AB265" s="193"/>
      <c r="AC265" s="193"/>
    </row>
    <row r="266" spans="1:29" ht="15.75" customHeight="1">
      <c r="A266" s="193"/>
      <c r="B266" s="193"/>
      <c r="C266" s="193"/>
      <c r="D266" s="193"/>
      <c r="E266" s="193"/>
      <c r="F266" s="193"/>
      <c r="G266" s="193"/>
      <c r="H266" s="193"/>
      <c r="I266" s="193"/>
      <c r="J266" s="193"/>
      <c r="K266" s="193"/>
      <c r="L266" s="193"/>
      <c r="M266" s="193"/>
      <c r="N266" s="193"/>
      <c r="O266" s="193"/>
      <c r="P266" s="193"/>
      <c r="Q266" s="193"/>
      <c r="R266" s="193"/>
      <c r="S266" s="193"/>
      <c r="T266" s="193"/>
      <c r="U266" s="193"/>
      <c r="V266" s="193"/>
      <c r="W266" s="193"/>
      <c r="X266" s="193"/>
      <c r="Y266" s="193"/>
      <c r="Z266" s="193"/>
      <c r="AA266" s="193"/>
      <c r="AB266" s="193"/>
      <c r="AC266" s="193"/>
    </row>
    <row r="267" spans="1:29" ht="15.75" customHeight="1">
      <c r="A267" s="193"/>
      <c r="B267" s="193"/>
      <c r="C267" s="193"/>
      <c r="D267" s="193"/>
      <c r="E267" s="193"/>
      <c r="F267" s="193"/>
      <c r="G267" s="193"/>
      <c r="H267" s="193"/>
      <c r="I267" s="193"/>
      <c r="J267" s="193"/>
      <c r="K267" s="193"/>
      <c r="L267" s="193"/>
      <c r="M267" s="193"/>
      <c r="N267" s="193"/>
      <c r="O267" s="193"/>
      <c r="P267" s="193"/>
      <c r="Q267" s="193"/>
      <c r="R267" s="193"/>
      <c r="S267" s="193"/>
      <c r="T267" s="193"/>
      <c r="U267" s="193"/>
      <c r="V267" s="193"/>
      <c r="W267" s="193"/>
      <c r="X267" s="193"/>
      <c r="Y267" s="193"/>
      <c r="Z267" s="193"/>
      <c r="AA267" s="193"/>
      <c r="AB267" s="193"/>
      <c r="AC267" s="193"/>
    </row>
    <row r="268" spans="1:29" ht="15.75" customHeight="1">
      <c r="A268" s="193"/>
      <c r="B268" s="193"/>
      <c r="C268" s="193"/>
      <c r="D268" s="193"/>
      <c r="E268" s="193"/>
      <c r="F268" s="193"/>
      <c r="G268" s="193"/>
      <c r="H268" s="193"/>
      <c r="I268" s="193"/>
      <c r="J268" s="193"/>
      <c r="K268" s="193"/>
      <c r="L268" s="193"/>
      <c r="M268" s="193"/>
      <c r="N268" s="193"/>
      <c r="O268" s="193"/>
      <c r="P268" s="193"/>
      <c r="Q268" s="193"/>
      <c r="R268" s="193"/>
      <c r="S268" s="193"/>
      <c r="T268" s="193"/>
      <c r="U268" s="193"/>
      <c r="V268" s="193"/>
      <c r="W268" s="193"/>
      <c r="X268" s="193"/>
      <c r="Y268" s="193"/>
      <c r="Z268" s="193"/>
      <c r="AA268" s="193"/>
      <c r="AB268" s="193"/>
      <c r="AC268" s="193"/>
    </row>
    <row r="269" spans="1:29" ht="15.75" customHeight="1">
      <c r="A269" s="193"/>
      <c r="B269" s="193"/>
      <c r="C269" s="193"/>
      <c r="D269" s="193"/>
      <c r="E269" s="193"/>
      <c r="F269" s="193"/>
      <c r="G269" s="193"/>
      <c r="H269" s="193"/>
      <c r="I269" s="193"/>
      <c r="J269" s="193"/>
      <c r="K269" s="193"/>
      <c r="L269" s="193"/>
      <c r="M269" s="193"/>
      <c r="N269" s="193"/>
      <c r="O269" s="193"/>
      <c r="P269" s="193"/>
      <c r="Q269" s="193"/>
      <c r="R269" s="193"/>
      <c r="S269" s="193"/>
      <c r="T269" s="193"/>
      <c r="U269" s="193"/>
      <c r="V269" s="193"/>
      <c r="W269" s="193"/>
      <c r="X269" s="193"/>
      <c r="Y269" s="193"/>
      <c r="Z269" s="193"/>
      <c r="AA269" s="193"/>
      <c r="AB269" s="193"/>
      <c r="AC269" s="193"/>
    </row>
    <row r="270" spans="1:29" ht="15.75" customHeight="1">
      <c r="A270" s="193"/>
      <c r="B270" s="193"/>
      <c r="C270" s="193"/>
      <c r="D270" s="193"/>
      <c r="E270" s="193"/>
      <c r="F270" s="193"/>
      <c r="G270" s="193"/>
      <c r="H270" s="193"/>
      <c r="I270" s="193"/>
      <c r="J270" s="193"/>
      <c r="K270" s="193"/>
      <c r="L270" s="193"/>
      <c r="M270" s="193"/>
      <c r="N270" s="193"/>
      <c r="O270" s="193"/>
      <c r="P270" s="193"/>
      <c r="Q270" s="193"/>
      <c r="R270" s="193"/>
      <c r="S270" s="193"/>
      <c r="T270" s="193"/>
      <c r="U270" s="193"/>
      <c r="V270" s="193"/>
      <c r="W270" s="193"/>
      <c r="X270" s="193"/>
      <c r="Y270" s="193"/>
      <c r="Z270" s="193"/>
      <c r="AA270" s="193"/>
      <c r="AB270" s="193"/>
      <c r="AC270" s="193"/>
    </row>
    <row r="271" spans="1:29" ht="15.75" customHeight="1">
      <c r="A271" s="193"/>
      <c r="B271" s="193"/>
      <c r="C271" s="193"/>
      <c r="D271" s="193"/>
      <c r="E271" s="193"/>
      <c r="F271" s="193"/>
      <c r="G271" s="193"/>
      <c r="H271" s="193"/>
      <c r="I271" s="193"/>
      <c r="J271" s="193"/>
      <c r="K271" s="193"/>
      <c r="L271" s="193"/>
      <c r="M271" s="193"/>
      <c r="N271" s="193"/>
      <c r="O271" s="193"/>
      <c r="P271" s="193"/>
      <c r="Q271" s="193"/>
      <c r="R271" s="193"/>
      <c r="S271" s="193"/>
      <c r="T271" s="193"/>
      <c r="U271" s="193"/>
      <c r="V271" s="193"/>
      <c r="W271" s="193"/>
      <c r="X271" s="193"/>
      <c r="Y271" s="193"/>
      <c r="Z271" s="193"/>
      <c r="AA271" s="193"/>
      <c r="AB271" s="193"/>
      <c r="AC271" s="193"/>
    </row>
    <row r="272" spans="1:29" ht="15.75" customHeight="1">
      <c r="A272" s="193"/>
      <c r="B272" s="193"/>
      <c r="C272" s="193"/>
      <c r="D272" s="193"/>
      <c r="E272" s="193"/>
      <c r="F272" s="193"/>
      <c r="G272" s="193"/>
      <c r="H272" s="193"/>
      <c r="I272" s="193"/>
      <c r="J272" s="193"/>
      <c r="K272" s="193"/>
      <c r="L272" s="193"/>
      <c r="M272" s="193"/>
      <c r="N272" s="193"/>
      <c r="O272" s="193"/>
      <c r="P272" s="193"/>
      <c r="Q272" s="193"/>
      <c r="R272" s="193"/>
      <c r="S272" s="193"/>
      <c r="T272" s="193"/>
      <c r="U272" s="193"/>
      <c r="V272" s="193"/>
      <c r="W272" s="193"/>
      <c r="X272" s="193"/>
      <c r="Y272" s="193"/>
      <c r="Z272" s="193"/>
      <c r="AA272" s="193"/>
      <c r="AB272" s="193"/>
      <c r="AC272" s="193"/>
    </row>
    <row r="273" spans="1:29" ht="15.75" customHeight="1">
      <c r="A273" s="193"/>
      <c r="B273" s="193"/>
      <c r="C273" s="193"/>
      <c r="D273" s="193"/>
      <c r="E273" s="193"/>
      <c r="F273" s="193"/>
      <c r="G273" s="193"/>
      <c r="H273" s="193"/>
      <c r="I273" s="193"/>
      <c r="J273" s="193"/>
      <c r="K273" s="193"/>
      <c r="L273" s="193"/>
      <c r="M273" s="193"/>
      <c r="N273" s="193"/>
      <c r="O273" s="193"/>
      <c r="P273" s="193"/>
      <c r="Q273" s="193"/>
      <c r="R273" s="193"/>
      <c r="S273" s="193"/>
      <c r="T273" s="193"/>
      <c r="U273" s="193"/>
      <c r="V273" s="193"/>
      <c r="W273" s="193"/>
      <c r="X273" s="193"/>
      <c r="Y273" s="193"/>
      <c r="Z273" s="193"/>
      <c r="AA273" s="193"/>
      <c r="AB273" s="193"/>
      <c r="AC273" s="193"/>
    </row>
    <row r="274" spans="1:29" ht="15.75" customHeight="1">
      <c r="A274" s="193"/>
      <c r="B274" s="193"/>
      <c r="C274" s="193"/>
      <c r="D274" s="193"/>
      <c r="E274" s="193"/>
      <c r="F274" s="193"/>
      <c r="G274" s="193"/>
      <c r="H274" s="193"/>
      <c r="I274" s="193"/>
      <c r="J274" s="193"/>
      <c r="K274" s="193"/>
      <c r="L274" s="193"/>
      <c r="M274" s="193"/>
      <c r="N274" s="193"/>
      <c r="O274" s="193"/>
      <c r="P274" s="193"/>
      <c r="Q274" s="193"/>
      <c r="R274" s="193"/>
      <c r="S274" s="193"/>
      <c r="T274" s="193"/>
      <c r="U274" s="193"/>
      <c r="V274" s="193"/>
      <c r="W274" s="193"/>
      <c r="X274" s="193"/>
      <c r="Y274" s="193"/>
      <c r="Z274" s="193"/>
      <c r="AA274" s="193"/>
      <c r="AB274" s="193"/>
      <c r="AC274" s="193"/>
    </row>
    <row r="275" spans="1:29" ht="15.75" customHeight="1">
      <c r="A275" s="193"/>
      <c r="B275" s="193"/>
      <c r="C275" s="193"/>
      <c r="D275" s="193"/>
      <c r="E275" s="193"/>
      <c r="F275" s="193"/>
      <c r="G275" s="193"/>
      <c r="H275" s="193"/>
      <c r="I275" s="193"/>
      <c r="J275" s="193"/>
      <c r="K275" s="193"/>
      <c r="L275" s="193"/>
      <c r="M275" s="193"/>
      <c r="N275" s="193"/>
      <c r="O275" s="193"/>
      <c r="P275" s="193"/>
      <c r="Q275" s="193"/>
      <c r="R275" s="193"/>
      <c r="S275" s="193"/>
      <c r="T275" s="193"/>
      <c r="U275" s="193"/>
      <c r="V275" s="193"/>
      <c r="W275" s="193"/>
      <c r="X275" s="193"/>
      <c r="Y275" s="193"/>
      <c r="Z275" s="193"/>
      <c r="AA275" s="193"/>
      <c r="AB275" s="193"/>
      <c r="AC275" s="193"/>
    </row>
    <row r="276" spans="1:29" ht="15.75" customHeight="1">
      <c r="A276" s="193"/>
      <c r="B276" s="193"/>
      <c r="C276" s="193"/>
      <c r="D276" s="193"/>
      <c r="E276" s="193"/>
      <c r="F276" s="193"/>
      <c r="G276" s="193"/>
      <c r="H276" s="193"/>
      <c r="I276" s="193"/>
      <c r="J276" s="193"/>
      <c r="K276" s="193"/>
      <c r="L276" s="193"/>
      <c r="M276" s="193"/>
      <c r="N276" s="193"/>
      <c r="O276" s="193"/>
      <c r="P276" s="193"/>
      <c r="Q276" s="193"/>
      <c r="R276" s="193"/>
      <c r="S276" s="193"/>
      <c r="T276" s="193"/>
      <c r="U276" s="193"/>
      <c r="V276" s="193"/>
      <c r="W276" s="193"/>
      <c r="X276" s="193"/>
      <c r="Y276" s="193"/>
      <c r="Z276" s="193"/>
      <c r="AA276" s="193"/>
      <c r="AB276" s="193"/>
      <c r="AC276" s="193"/>
    </row>
    <row r="277" spans="1:29" ht="15.75" customHeight="1">
      <c r="A277" s="193"/>
      <c r="B277" s="193"/>
      <c r="C277" s="193"/>
      <c r="D277" s="193"/>
      <c r="E277" s="193"/>
      <c r="F277" s="193"/>
      <c r="G277" s="193"/>
      <c r="H277" s="193"/>
      <c r="I277" s="193"/>
      <c r="J277" s="193"/>
      <c r="K277" s="193"/>
      <c r="L277" s="193"/>
      <c r="M277" s="193"/>
      <c r="N277" s="193"/>
      <c r="O277" s="193"/>
      <c r="P277" s="193"/>
      <c r="Q277" s="193"/>
      <c r="R277" s="193"/>
      <c r="S277" s="193"/>
      <c r="T277" s="193"/>
      <c r="U277" s="193"/>
      <c r="V277" s="193"/>
      <c r="W277" s="193"/>
      <c r="X277" s="193"/>
      <c r="Y277" s="193"/>
      <c r="Z277" s="193"/>
      <c r="AA277" s="193"/>
      <c r="AB277" s="193"/>
      <c r="AC277" s="193"/>
    </row>
    <row r="278" spans="1:29" ht="15.75" customHeight="1">
      <c r="A278" s="193"/>
      <c r="B278" s="193"/>
      <c r="C278" s="193"/>
      <c r="D278" s="193"/>
      <c r="E278" s="193"/>
      <c r="F278" s="193"/>
      <c r="G278" s="193"/>
      <c r="H278" s="193"/>
      <c r="I278" s="193"/>
      <c r="J278" s="193"/>
      <c r="K278" s="193"/>
      <c r="L278" s="193"/>
      <c r="M278" s="193"/>
      <c r="N278" s="193"/>
      <c r="O278" s="193"/>
      <c r="P278" s="193"/>
      <c r="Q278" s="193"/>
      <c r="R278" s="193"/>
      <c r="S278" s="193"/>
      <c r="T278" s="193"/>
      <c r="U278" s="193"/>
      <c r="V278" s="193"/>
      <c r="W278" s="193"/>
      <c r="X278" s="193"/>
      <c r="Y278" s="193"/>
      <c r="Z278" s="193"/>
      <c r="AA278" s="193"/>
      <c r="AB278" s="193"/>
      <c r="AC278" s="193"/>
    </row>
    <row r="279" spans="1:29" ht="15.75" customHeight="1">
      <c r="A279" s="193"/>
      <c r="B279" s="193"/>
      <c r="C279" s="193"/>
      <c r="D279" s="193"/>
      <c r="E279" s="193"/>
      <c r="F279" s="193"/>
      <c r="G279" s="193"/>
      <c r="H279" s="193"/>
      <c r="I279" s="193"/>
      <c r="J279" s="193"/>
      <c r="K279" s="193"/>
      <c r="L279" s="193"/>
      <c r="M279" s="193"/>
      <c r="N279" s="193"/>
      <c r="O279" s="193"/>
      <c r="P279" s="193"/>
      <c r="Q279" s="193"/>
      <c r="R279" s="193"/>
      <c r="S279" s="193"/>
      <c r="T279" s="193"/>
      <c r="U279" s="193"/>
      <c r="V279" s="193"/>
      <c r="W279" s="193"/>
      <c r="X279" s="193"/>
      <c r="Y279" s="193"/>
      <c r="Z279" s="193"/>
      <c r="AA279" s="193"/>
      <c r="AB279" s="193"/>
      <c r="AC279" s="193"/>
    </row>
    <row r="280" spans="1:29" ht="15.75" customHeight="1">
      <c r="A280" s="193"/>
      <c r="B280" s="193"/>
      <c r="C280" s="193"/>
      <c r="D280" s="193"/>
      <c r="E280" s="193"/>
      <c r="F280" s="193"/>
      <c r="G280" s="193"/>
      <c r="H280" s="193"/>
      <c r="I280" s="193"/>
      <c r="J280" s="193"/>
      <c r="K280" s="193"/>
      <c r="L280" s="193"/>
      <c r="M280" s="193"/>
      <c r="N280" s="193"/>
      <c r="O280" s="193"/>
      <c r="P280" s="193"/>
      <c r="Q280" s="193"/>
      <c r="R280" s="193"/>
      <c r="S280" s="193"/>
      <c r="T280" s="193"/>
      <c r="U280" s="193"/>
      <c r="V280" s="193"/>
      <c r="W280" s="193"/>
      <c r="X280" s="193"/>
      <c r="Y280" s="193"/>
      <c r="Z280" s="193"/>
      <c r="AA280" s="193"/>
      <c r="AB280" s="193"/>
      <c r="AC280" s="193"/>
    </row>
    <row r="281" spans="1:29" ht="15.75" customHeight="1">
      <c r="A281" s="193"/>
      <c r="B281" s="193"/>
      <c r="C281" s="193"/>
      <c r="D281" s="193"/>
      <c r="E281" s="193"/>
      <c r="F281" s="193"/>
      <c r="G281" s="193"/>
      <c r="H281" s="193"/>
      <c r="I281" s="193"/>
      <c r="J281" s="193"/>
      <c r="K281" s="193"/>
      <c r="L281" s="193"/>
      <c r="M281" s="193"/>
      <c r="N281" s="193"/>
      <c r="O281" s="193"/>
      <c r="P281" s="193"/>
      <c r="Q281" s="193"/>
      <c r="R281" s="193"/>
      <c r="S281" s="193"/>
      <c r="T281" s="193"/>
      <c r="U281" s="193"/>
      <c r="V281" s="193"/>
      <c r="W281" s="193"/>
      <c r="X281" s="193"/>
      <c r="Y281" s="193"/>
      <c r="Z281" s="193"/>
      <c r="AA281" s="193"/>
      <c r="AB281" s="193"/>
      <c r="AC281" s="193"/>
    </row>
    <row r="282" spans="1:29" ht="15.75" customHeight="1">
      <c r="A282" s="193"/>
      <c r="B282" s="193"/>
      <c r="C282" s="193"/>
      <c r="D282" s="193"/>
      <c r="E282" s="193"/>
      <c r="F282" s="193"/>
      <c r="G282" s="193"/>
      <c r="H282" s="193"/>
      <c r="I282" s="193"/>
      <c r="J282" s="193"/>
      <c r="K282" s="193"/>
      <c r="L282" s="193"/>
      <c r="M282" s="193"/>
      <c r="N282" s="193"/>
      <c r="O282" s="193"/>
      <c r="P282" s="193"/>
      <c r="Q282" s="193"/>
      <c r="R282" s="193"/>
      <c r="S282" s="193"/>
      <c r="T282" s="193"/>
      <c r="U282" s="193"/>
      <c r="V282" s="193"/>
      <c r="W282" s="193"/>
      <c r="X282" s="193"/>
      <c r="Y282" s="193"/>
      <c r="Z282" s="193"/>
      <c r="AA282" s="193"/>
      <c r="AB282" s="193"/>
      <c r="AC282" s="193"/>
    </row>
    <row r="283" spans="1:29" ht="15.75" customHeight="1">
      <c r="A283" s="193"/>
      <c r="B283" s="193"/>
      <c r="C283" s="193"/>
      <c r="D283" s="193"/>
      <c r="E283" s="193"/>
      <c r="F283" s="193"/>
      <c r="G283" s="193"/>
      <c r="H283" s="193"/>
      <c r="I283" s="193"/>
      <c r="J283" s="193"/>
      <c r="K283" s="193"/>
      <c r="L283" s="193"/>
      <c r="M283" s="193"/>
      <c r="N283" s="193"/>
      <c r="O283" s="193"/>
      <c r="P283" s="193"/>
      <c r="Q283" s="193"/>
      <c r="R283" s="193"/>
      <c r="S283" s="193"/>
      <c r="T283" s="193"/>
      <c r="U283" s="193"/>
      <c r="V283" s="193"/>
      <c r="W283" s="193"/>
      <c r="X283" s="193"/>
      <c r="Y283" s="193"/>
      <c r="Z283" s="193"/>
      <c r="AA283" s="193"/>
      <c r="AB283" s="193"/>
      <c r="AC283" s="193"/>
    </row>
    <row r="284" spans="1:29" ht="15.75" customHeight="1">
      <c r="A284" s="193"/>
      <c r="B284" s="193"/>
      <c r="C284" s="193"/>
      <c r="D284" s="193"/>
      <c r="E284" s="193"/>
      <c r="F284" s="193"/>
      <c r="G284" s="193"/>
      <c r="H284" s="193"/>
      <c r="I284" s="193"/>
      <c r="J284" s="193"/>
      <c r="K284" s="193"/>
      <c r="L284" s="193"/>
      <c r="M284" s="193"/>
      <c r="N284" s="193"/>
      <c r="O284" s="193"/>
      <c r="P284" s="193"/>
      <c r="Q284" s="193"/>
      <c r="R284" s="193"/>
      <c r="S284" s="193"/>
      <c r="T284" s="193"/>
      <c r="U284" s="193"/>
      <c r="V284" s="193"/>
      <c r="W284" s="193"/>
      <c r="X284" s="193"/>
      <c r="Y284" s="193"/>
      <c r="Z284" s="193"/>
      <c r="AA284" s="193"/>
      <c r="AB284" s="193"/>
      <c r="AC284" s="193"/>
    </row>
    <row r="285" spans="1:29" ht="15.75" customHeight="1">
      <c r="A285" s="193"/>
      <c r="B285" s="193"/>
      <c r="C285" s="193"/>
      <c r="D285" s="193"/>
      <c r="E285" s="193"/>
      <c r="F285" s="193"/>
      <c r="G285" s="193"/>
      <c r="H285" s="193"/>
      <c r="I285" s="193"/>
      <c r="J285" s="193"/>
      <c r="K285" s="193"/>
      <c r="L285" s="193"/>
      <c r="M285" s="193"/>
      <c r="N285" s="193"/>
      <c r="O285" s="193"/>
      <c r="P285" s="193"/>
      <c r="Q285" s="193"/>
      <c r="R285" s="193"/>
      <c r="S285" s="193"/>
      <c r="T285" s="193"/>
      <c r="U285" s="193"/>
      <c r="V285" s="193"/>
      <c r="W285" s="193"/>
      <c r="X285" s="193"/>
      <c r="Y285" s="193"/>
      <c r="Z285" s="193"/>
      <c r="AA285" s="193"/>
      <c r="AB285" s="193"/>
      <c r="AC285" s="193"/>
    </row>
    <row r="286" spans="1:29" ht="15.75" customHeight="1">
      <c r="A286" s="193"/>
      <c r="B286" s="193"/>
      <c r="C286" s="193"/>
      <c r="D286" s="193"/>
      <c r="E286" s="193"/>
      <c r="F286" s="193"/>
      <c r="G286" s="193"/>
      <c r="H286" s="193"/>
      <c r="I286" s="193"/>
      <c r="J286" s="193"/>
      <c r="K286" s="193"/>
      <c r="L286" s="193"/>
      <c r="M286" s="193"/>
      <c r="N286" s="193"/>
      <c r="O286" s="193"/>
      <c r="P286" s="193"/>
      <c r="Q286" s="193"/>
      <c r="R286" s="193"/>
      <c r="S286" s="193"/>
      <c r="T286" s="193"/>
      <c r="U286" s="193"/>
      <c r="V286" s="193"/>
      <c r="W286" s="193"/>
      <c r="X286" s="193"/>
      <c r="Y286" s="193"/>
      <c r="Z286" s="193"/>
      <c r="AA286" s="193"/>
      <c r="AB286" s="193"/>
      <c r="AC286" s="193"/>
    </row>
    <row r="287" spans="1:29" ht="15.75" customHeight="1">
      <c r="A287" s="193"/>
      <c r="B287" s="193"/>
      <c r="C287" s="193"/>
      <c r="D287" s="193"/>
      <c r="E287" s="193"/>
      <c r="F287" s="193"/>
      <c r="G287" s="193"/>
      <c r="H287" s="193"/>
      <c r="I287" s="193"/>
      <c r="J287" s="193"/>
      <c r="K287" s="193"/>
      <c r="L287" s="193"/>
      <c r="M287" s="193"/>
      <c r="N287" s="193"/>
      <c r="O287" s="193"/>
      <c r="P287" s="193"/>
      <c r="Q287" s="193"/>
      <c r="R287" s="193"/>
      <c r="S287" s="193"/>
      <c r="T287" s="193"/>
      <c r="U287" s="193"/>
      <c r="V287" s="193"/>
      <c r="W287" s="193"/>
      <c r="X287" s="193"/>
      <c r="Y287" s="193"/>
      <c r="Z287" s="193"/>
      <c r="AA287" s="193"/>
      <c r="AB287" s="193"/>
      <c r="AC287" s="193"/>
    </row>
    <row r="288" spans="1:29" ht="15.75" customHeight="1">
      <c r="A288" s="193"/>
      <c r="B288" s="193"/>
      <c r="C288" s="193"/>
      <c r="D288" s="193"/>
      <c r="E288" s="193"/>
      <c r="F288" s="193"/>
      <c r="G288" s="193"/>
      <c r="H288" s="193"/>
      <c r="I288" s="193"/>
      <c r="J288" s="193"/>
      <c r="K288" s="193"/>
      <c r="L288" s="193"/>
      <c r="M288" s="193"/>
      <c r="N288" s="193"/>
      <c r="O288" s="193"/>
      <c r="P288" s="193"/>
      <c r="Q288" s="193"/>
      <c r="R288" s="193"/>
      <c r="S288" s="193"/>
      <c r="T288" s="193"/>
      <c r="U288" s="193"/>
      <c r="V288" s="193"/>
      <c r="W288" s="193"/>
      <c r="X288" s="193"/>
      <c r="Y288" s="193"/>
      <c r="Z288" s="193"/>
      <c r="AA288" s="193"/>
      <c r="AB288" s="193"/>
      <c r="AC288" s="193"/>
    </row>
    <row r="289" spans="1:29" ht="15.75" customHeight="1">
      <c r="A289" s="193"/>
      <c r="B289" s="193"/>
      <c r="C289" s="193"/>
      <c r="D289" s="193"/>
      <c r="E289" s="193"/>
      <c r="F289" s="193"/>
      <c r="G289" s="193"/>
      <c r="H289" s="193"/>
      <c r="I289" s="193"/>
      <c r="J289" s="193"/>
      <c r="K289" s="193"/>
      <c r="L289" s="193"/>
      <c r="M289" s="193"/>
      <c r="N289" s="193"/>
      <c r="O289" s="193"/>
      <c r="P289" s="193"/>
      <c r="Q289" s="193"/>
      <c r="R289" s="193"/>
      <c r="S289" s="193"/>
      <c r="T289" s="193"/>
      <c r="U289" s="193"/>
      <c r="V289" s="193"/>
      <c r="W289" s="193"/>
      <c r="X289" s="193"/>
      <c r="Y289" s="193"/>
      <c r="Z289" s="193"/>
      <c r="AA289" s="193"/>
      <c r="AB289" s="193"/>
      <c r="AC289" s="193"/>
    </row>
    <row r="290" spans="1:29" ht="15.75" customHeight="1">
      <c r="A290" s="193"/>
      <c r="B290" s="193"/>
      <c r="C290" s="193"/>
      <c r="D290" s="193"/>
      <c r="E290" s="193"/>
      <c r="F290" s="193"/>
      <c r="G290" s="193"/>
      <c r="H290" s="193"/>
      <c r="I290" s="193"/>
      <c r="J290" s="193"/>
      <c r="K290" s="193"/>
      <c r="L290" s="193"/>
      <c r="M290" s="193"/>
      <c r="N290" s="193"/>
      <c r="O290" s="193"/>
      <c r="P290" s="193"/>
      <c r="Q290" s="193"/>
      <c r="R290" s="193"/>
      <c r="S290" s="193"/>
      <c r="T290" s="193"/>
      <c r="U290" s="193"/>
      <c r="V290" s="193"/>
      <c r="W290" s="193"/>
      <c r="X290" s="193"/>
      <c r="Y290" s="193"/>
      <c r="Z290" s="193"/>
      <c r="AA290" s="193"/>
      <c r="AB290" s="193"/>
      <c r="AC290" s="193"/>
    </row>
    <row r="291" spans="1:29" ht="15.75" customHeight="1">
      <c r="A291" s="193"/>
      <c r="B291" s="193"/>
      <c r="C291" s="193"/>
      <c r="D291" s="193"/>
      <c r="E291" s="193"/>
      <c r="F291" s="193"/>
      <c r="G291" s="193"/>
      <c r="H291" s="193"/>
      <c r="I291" s="193"/>
      <c r="J291" s="193"/>
      <c r="K291" s="193"/>
      <c r="L291" s="193"/>
      <c r="M291" s="193"/>
      <c r="N291" s="193"/>
      <c r="O291" s="193"/>
      <c r="P291" s="193"/>
      <c r="Q291" s="193"/>
      <c r="R291" s="193"/>
      <c r="S291" s="193"/>
      <c r="T291" s="193"/>
      <c r="U291" s="193"/>
      <c r="V291" s="193"/>
      <c r="W291" s="193"/>
      <c r="X291" s="193"/>
      <c r="Y291" s="193"/>
      <c r="Z291" s="193"/>
      <c r="AA291" s="193"/>
      <c r="AB291" s="193"/>
      <c r="AC291" s="193"/>
    </row>
    <row r="292" spans="1:29" ht="15.75" customHeight="1">
      <c r="A292" s="193"/>
      <c r="B292" s="193"/>
      <c r="C292" s="193"/>
      <c r="D292" s="193"/>
      <c r="E292" s="193"/>
      <c r="F292" s="193"/>
      <c r="G292" s="193"/>
      <c r="H292" s="193"/>
      <c r="I292" s="193"/>
      <c r="J292" s="193"/>
      <c r="K292" s="193"/>
      <c r="L292" s="193"/>
      <c r="M292" s="193"/>
      <c r="N292" s="193"/>
      <c r="O292" s="193"/>
      <c r="P292" s="193"/>
      <c r="Q292" s="193"/>
      <c r="R292" s="193"/>
      <c r="S292" s="193"/>
      <c r="T292" s="193"/>
      <c r="U292" s="193"/>
      <c r="V292" s="193"/>
      <c r="W292" s="193"/>
      <c r="X292" s="193"/>
      <c r="Y292" s="193"/>
      <c r="Z292" s="193"/>
      <c r="AA292" s="193"/>
      <c r="AB292" s="193"/>
      <c r="AC292" s="193"/>
    </row>
    <row r="293" spans="1:29" ht="15.75" customHeight="1">
      <c r="A293" s="193"/>
      <c r="B293" s="193"/>
      <c r="C293" s="193"/>
      <c r="D293" s="193"/>
      <c r="E293" s="193"/>
      <c r="F293" s="193"/>
      <c r="G293" s="193"/>
      <c r="H293" s="193"/>
      <c r="I293" s="193"/>
      <c r="J293" s="193"/>
      <c r="K293" s="193"/>
      <c r="L293" s="193"/>
      <c r="M293" s="193"/>
      <c r="N293" s="193"/>
      <c r="O293" s="193"/>
      <c r="P293" s="193"/>
      <c r="Q293" s="193"/>
      <c r="R293" s="193"/>
      <c r="S293" s="193"/>
      <c r="T293" s="193"/>
      <c r="U293" s="193"/>
      <c r="V293" s="193"/>
      <c r="W293" s="193"/>
      <c r="X293" s="193"/>
      <c r="Y293" s="193"/>
      <c r="Z293" s="193"/>
      <c r="AA293" s="193"/>
      <c r="AB293" s="193"/>
      <c r="AC293" s="193"/>
    </row>
    <row r="294" spans="1:29" ht="15.75" customHeight="1">
      <c r="A294" s="193"/>
      <c r="B294" s="193"/>
      <c r="C294" s="193"/>
      <c r="D294" s="193"/>
      <c r="E294" s="193"/>
      <c r="F294" s="193"/>
      <c r="G294" s="193"/>
      <c r="H294" s="193"/>
      <c r="I294" s="193"/>
      <c r="J294" s="193"/>
      <c r="K294" s="193"/>
      <c r="L294" s="193"/>
      <c r="M294" s="193"/>
      <c r="N294" s="193"/>
      <c r="O294" s="193"/>
      <c r="P294" s="193"/>
      <c r="Q294" s="193"/>
      <c r="R294" s="193"/>
      <c r="S294" s="193"/>
      <c r="T294" s="193"/>
      <c r="U294" s="193"/>
      <c r="V294" s="193"/>
      <c r="W294" s="193"/>
      <c r="X294" s="193"/>
      <c r="Y294" s="193"/>
      <c r="Z294" s="193"/>
      <c r="AA294" s="193"/>
      <c r="AB294" s="193"/>
      <c r="AC294" s="193"/>
    </row>
    <row r="295" spans="1:29" ht="15.75" customHeight="1">
      <c r="A295" s="193"/>
      <c r="B295" s="193"/>
      <c r="C295" s="193"/>
      <c r="D295" s="193"/>
      <c r="E295" s="193"/>
      <c r="F295" s="193"/>
      <c r="G295" s="193"/>
      <c r="H295" s="193"/>
      <c r="I295" s="193"/>
      <c r="J295" s="193"/>
      <c r="K295" s="193"/>
      <c r="L295" s="193"/>
      <c r="M295" s="193"/>
      <c r="N295" s="193"/>
      <c r="O295" s="193"/>
      <c r="P295" s="193"/>
      <c r="Q295" s="193"/>
      <c r="R295" s="193"/>
      <c r="S295" s="193"/>
      <c r="T295" s="193"/>
      <c r="U295" s="193"/>
      <c r="V295" s="193"/>
      <c r="W295" s="193"/>
      <c r="X295" s="193"/>
      <c r="Y295" s="193"/>
      <c r="Z295" s="193"/>
      <c r="AA295" s="193"/>
      <c r="AB295" s="193"/>
      <c r="AC295" s="193"/>
    </row>
    <row r="296" spans="1:29" ht="15.75" customHeight="1">
      <c r="A296" s="193"/>
      <c r="B296" s="193"/>
      <c r="C296" s="193"/>
      <c r="D296" s="193"/>
      <c r="E296" s="193"/>
      <c r="F296" s="193"/>
      <c r="G296" s="193"/>
      <c r="H296" s="193"/>
      <c r="I296" s="193"/>
      <c r="J296" s="193"/>
      <c r="K296" s="193"/>
      <c r="L296" s="193"/>
      <c r="M296" s="193"/>
      <c r="N296" s="193"/>
      <c r="O296" s="193"/>
      <c r="P296" s="193"/>
      <c r="Q296" s="193"/>
      <c r="R296" s="193"/>
      <c r="S296" s="193"/>
      <c r="T296" s="193"/>
      <c r="U296" s="193"/>
      <c r="V296" s="193"/>
      <c r="W296" s="193"/>
      <c r="X296" s="193"/>
      <c r="Y296" s="193"/>
      <c r="Z296" s="193"/>
      <c r="AA296" s="193"/>
      <c r="AB296" s="193"/>
      <c r="AC296" s="193"/>
    </row>
    <row r="297" spans="1:29" ht="15.75" customHeight="1">
      <c r="A297" s="193"/>
      <c r="B297" s="193"/>
      <c r="C297" s="193"/>
      <c r="D297" s="193"/>
      <c r="E297" s="193"/>
      <c r="F297" s="193"/>
      <c r="G297" s="193"/>
      <c r="H297" s="193"/>
      <c r="I297" s="193"/>
      <c r="J297" s="193"/>
      <c r="K297" s="193"/>
      <c r="L297" s="193"/>
      <c r="M297" s="193"/>
      <c r="N297" s="193"/>
      <c r="O297" s="193"/>
      <c r="P297" s="193"/>
      <c r="Q297" s="193"/>
      <c r="R297" s="193"/>
      <c r="S297" s="193"/>
      <c r="T297" s="193"/>
      <c r="U297" s="193"/>
      <c r="V297" s="193"/>
      <c r="W297" s="193"/>
      <c r="X297" s="193"/>
      <c r="Y297" s="193"/>
      <c r="Z297" s="193"/>
      <c r="AA297" s="193"/>
      <c r="AB297" s="193"/>
      <c r="AC297" s="193"/>
    </row>
    <row r="298" spans="1:29" ht="15.75" customHeight="1">
      <c r="A298" s="193"/>
      <c r="B298" s="193"/>
      <c r="C298" s="193"/>
      <c r="D298" s="193"/>
      <c r="E298" s="193"/>
      <c r="F298" s="193"/>
      <c r="G298" s="193"/>
      <c r="H298" s="193"/>
      <c r="I298" s="193"/>
      <c r="J298" s="193"/>
      <c r="K298" s="193"/>
      <c r="L298" s="193"/>
      <c r="M298" s="193"/>
      <c r="N298" s="193"/>
      <c r="O298" s="193"/>
      <c r="P298" s="193"/>
      <c r="Q298" s="193"/>
      <c r="R298" s="193"/>
      <c r="S298" s="193"/>
      <c r="T298" s="193"/>
      <c r="U298" s="193"/>
      <c r="V298" s="193"/>
      <c r="W298" s="193"/>
      <c r="X298" s="193"/>
      <c r="Y298" s="193"/>
      <c r="Z298" s="193"/>
      <c r="AA298" s="193"/>
      <c r="AB298" s="193"/>
      <c r="AC298" s="193"/>
    </row>
    <row r="299" spans="1:29" ht="15.75" customHeight="1">
      <c r="A299" s="193"/>
      <c r="B299" s="193"/>
      <c r="C299" s="193"/>
      <c r="D299" s="193"/>
      <c r="E299" s="193"/>
      <c r="F299" s="193"/>
      <c r="G299" s="193"/>
      <c r="H299" s="193"/>
      <c r="I299" s="193"/>
      <c r="J299" s="193"/>
      <c r="K299" s="193"/>
      <c r="L299" s="193"/>
      <c r="M299" s="193"/>
      <c r="N299" s="193"/>
      <c r="O299" s="193"/>
      <c r="P299" s="193"/>
      <c r="Q299" s="193"/>
      <c r="R299" s="193"/>
      <c r="S299" s="193"/>
      <c r="T299" s="193"/>
      <c r="U299" s="193"/>
      <c r="V299" s="193"/>
      <c r="W299" s="193"/>
      <c r="X299" s="193"/>
      <c r="Y299" s="193"/>
      <c r="Z299" s="193"/>
      <c r="AA299" s="193"/>
      <c r="AB299" s="193"/>
      <c r="AC299" s="193"/>
    </row>
    <row r="300" spans="1:29" ht="15.75" customHeight="1">
      <c r="A300" s="193"/>
      <c r="B300" s="193"/>
      <c r="C300" s="193"/>
      <c r="D300" s="193"/>
      <c r="E300" s="193"/>
      <c r="F300" s="193"/>
      <c r="G300" s="193"/>
      <c r="H300" s="193"/>
      <c r="I300" s="193"/>
      <c r="J300" s="193"/>
      <c r="K300" s="193"/>
      <c r="L300" s="193"/>
      <c r="M300" s="193"/>
      <c r="N300" s="193"/>
      <c r="O300" s="193"/>
      <c r="P300" s="193"/>
      <c r="Q300" s="193"/>
      <c r="R300" s="193"/>
      <c r="S300" s="193"/>
      <c r="T300" s="193"/>
      <c r="U300" s="193"/>
      <c r="V300" s="193"/>
      <c r="W300" s="193"/>
      <c r="X300" s="193"/>
      <c r="Y300" s="193"/>
      <c r="Z300" s="193"/>
      <c r="AA300" s="193"/>
      <c r="AB300" s="193"/>
      <c r="AC300" s="193"/>
    </row>
    <row r="301" spans="1:29" ht="15.75" customHeight="1">
      <c r="A301" s="193"/>
      <c r="B301" s="193"/>
      <c r="C301" s="193"/>
      <c r="D301" s="193"/>
      <c r="E301" s="193"/>
      <c r="F301" s="193"/>
      <c r="G301" s="193"/>
      <c r="H301" s="193"/>
      <c r="I301" s="193"/>
      <c r="J301" s="193"/>
      <c r="K301" s="193"/>
      <c r="L301" s="193"/>
      <c r="M301" s="193"/>
      <c r="N301" s="193"/>
      <c r="O301" s="193"/>
      <c r="P301" s="193"/>
      <c r="Q301" s="193"/>
      <c r="R301" s="193"/>
      <c r="S301" s="193"/>
      <c r="T301" s="193"/>
      <c r="U301" s="193"/>
      <c r="V301" s="193"/>
      <c r="W301" s="193"/>
      <c r="X301" s="193"/>
      <c r="Y301" s="193"/>
      <c r="Z301" s="193"/>
      <c r="AA301" s="193"/>
      <c r="AB301" s="193"/>
      <c r="AC301" s="193"/>
    </row>
    <row r="302" spans="1:29" ht="15.75" customHeight="1">
      <c r="A302" s="193"/>
      <c r="B302" s="193"/>
      <c r="C302" s="193"/>
      <c r="D302" s="193"/>
      <c r="E302" s="193"/>
      <c r="F302" s="193"/>
      <c r="G302" s="193"/>
      <c r="H302" s="193"/>
      <c r="I302" s="193"/>
      <c r="J302" s="193"/>
      <c r="K302" s="193"/>
      <c r="L302" s="193"/>
      <c r="M302" s="193"/>
      <c r="N302" s="193"/>
      <c r="O302" s="193"/>
      <c r="P302" s="193"/>
      <c r="Q302" s="193"/>
      <c r="R302" s="193"/>
      <c r="S302" s="193"/>
      <c r="T302" s="193"/>
      <c r="U302" s="193"/>
      <c r="V302" s="193"/>
      <c r="W302" s="193"/>
      <c r="X302" s="193"/>
      <c r="Y302" s="193"/>
      <c r="Z302" s="193"/>
      <c r="AA302" s="193"/>
      <c r="AB302" s="193"/>
      <c r="AC302" s="193"/>
    </row>
    <row r="303" spans="1:29" ht="15.75" customHeight="1">
      <c r="A303" s="193"/>
      <c r="B303" s="193"/>
      <c r="C303" s="193"/>
      <c r="D303" s="193"/>
      <c r="E303" s="193"/>
      <c r="F303" s="193"/>
      <c r="G303" s="193"/>
      <c r="H303" s="193"/>
      <c r="I303" s="193"/>
      <c r="J303" s="193"/>
      <c r="K303" s="193"/>
      <c r="L303" s="193"/>
      <c r="M303" s="193"/>
      <c r="N303" s="193"/>
      <c r="O303" s="193"/>
      <c r="P303" s="193"/>
      <c r="Q303" s="193"/>
      <c r="R303" s="193"/>
      <c r="S303" s="193"/>
      <c r="T303" s="193"/>
      <c r="U303" s="193"/>
      <c r="V303" s="193"/>
      <c r="W303" s="193"/>
      <c r="X303" s="193"/>
      <c r="Y303" s="193"/>
      <c r="Z303" s="193"/>
      <c r="AA303" s="193"/>
      <c r="AB303" s="193"/>
      <c r="AC303" s="193"/>
    </row>
    <row r="304" spans="1:29" ht="15.75" customHeight="1">
      <c r="A304" s="193"/>
      <c r="B304" s="193"/>
      <c r="C304" s="193"/>
      <c r="D304" s="193"/>
      <c r="E304" s="193"/>
      <c r="F304" s="193"/>
      <c r="G304" s="193"/>
      <c r="H304" s="193"/>
      <c r="I304" s="193"/>
      <c r="J304" s="193"/>
      <c r="K304" s="193"/>
      <c r="L304" s="193"/>
      <c r="M304" s="193"/>
      <c r="N304" s="193"/>
      <c r="O304" s="193"/>
      <c r="P304" s="193"/>
      <c r="Q304" s="193"/>
      <c r="R304" s="193"/>
      <c r="S304" s="193"/>
      <c r="T304" s="193"/>
      <c r="U304" s="193"/>
      <c r="V304" s="193"/>
      <c r="W304" s="193"/>
      <c r="X304" s="193"/>
      <c r="Y304" s="193"/>
      <c r="Z304" s="193"/>
      <c r="AA304" s="193"/>
      <c r="AB304" s="193"/>
      <c r="AC304" s="193"/>
    </row>
    <row r="305" spans="1:29" ht="15.75" customHeight="1">
      <c r="A305" s="193"/>
      <c r="B305" s="193"/>
      <c r="C305" s="193"/>
      <c r="D305" s="193"/>
      <c r="E305" s="193"/>
      <c r="F305" s="193"/>
      <c r="G305" s="193"/>
      <c r="H305" s="193"/>
      <c r="I305" s="193"/>
      <c r="J305" s="193"/>
      <c r="K305" s="193"/>
      <c r="L305" s="193"/>
      <c r="M305" s="193"/>
      <c r="N305" s="193"/>
      <c r="O305" s="193"/>
      <c r="P305" s="193"/>
      <c r="Q305" s="193"/>
      <c r="R305" s="193"/>
      <c r="S305" s="193"/>
      <c r="T305" s="193"/>
      <c r="U305" s="193"/>
      <c r="V305" s="193"/>
      <c r="W305" s="193"/>
      <c r="X305" s="193"/>
      <c r="Y305" s="193"/>
      <c r="Z305" s="193"/>
      <c r="AA305" s="193"/>
      <c r="AB305" s="193"/>
      <c r="AC305" s="193"/>
    </row>
    <row r="306" spans="1:29" ht="15.75" customHeight="1">
      <c r="A306" s="193"/>
      <c r="B306" s="193"/>
      <c r="C306" s="193"/>
      <c r="D306" s="193"/>
      <c r="E306" s="193"/>
      <c r="F306" s="193"/>
      <c r="G306" s="193"/>
      <c r="H306" s="193"/>
      <c r="I306" s="193"/>
      <c r="J306" s="193"/>
      <c r="K306" s="193"/>
      <c r="L306" s="193"/>
      <c r="M306" s="193"/>
      <c r="N306" s="193"/>
      <c r="O306" s="193"/>
      <c r="P306" s="193"/>
      <c r="Q306" s="193"/>
      <c r="R306" s="193"/>
      <c r="S306" s="193"/>
      <c r="T306" s="193"/>
      <c r="U306" s="193"/>
      <c r="V306" s="193"/>
      <c r="W306" s="193"/>
      <c r="X306" s="193"/>
      <c r="Y306" s="193"/>
      <c r="Z306" s="193"/>
      <c r="AA306" s="193"/>
      <c r="AB306" s="193"/>
      <c r="AC306" s="193"/>
    </row>
    <row r="307" spans="1:29" ht="15.75" customHeight="1">
      <c r="A307" s="193"/>
      <c r="B307" s="193"/>
      <c r="C307" s="193"/>
      <c r="D307" s="193"/>
      <c r="E307" s="193"/>
      <c r="F307" s="193"/>
      <c r="G307" s="193"/>
      <c r="H307" s="193"/>
      <c r="I307" s="193"/>
      <c r="J307" s="193"/>
      <c r="K307" s="193"/>
      <c r="L307" s="193"/>
      <c r="M307" s="193"/>
      <c r="N307" s="193"/>
      <c r="O307" s="193"/>
      <c r="P307" s="193"/>
      <c r="Q307" s="193"/>
      <c r="R307" s="193"/>
      <c r="S307" s="193"/>
      <c r="T307" s="193"/>
      <c r="U307" s="193"/>
      <c r="V307" s="193"/>
      <c r="W307" s="193"/>
      <c r="X307" s="193"/>
      <c r="Y307" s="193"/>
      <c r="Z307" s="193"/>
      <c r="AA307" s="193"/>
      <c r="AB307" s="193"/>
      <c r="AC307" s="193"/>
    </row>
    <row r="308" spans="1:29" ht="15.75" customHeight="1">
      <c r="A308" s="193"/>
      <c r="B308" s="193"/>
      <c r="C308" s="193"/>
      <c r="D308" s="193"/>
      <c r="E308" s="193"/>
      <c r="F308" s="193"/>
      <c r="G308" s="193"/>
      <c r="H308" s="193"/>
      <c r="I308" s="193"/>
      <c r="J308" s="193"/>
      <c r="K308" s="193"/>
      <c r="L308" s="193"/>
      <c r="M308" s="193"/>
      <c r="N308" s="193"/>
      <c r="O308" s="193"/>
      <c r="P308" s="193"/>
      <c r="Q308" s="193"/>
      <c r="R308" s="193"/>
      <c r="S308" s="193"/>
      <c r="T308" s="193"/>
      <c r="U308" s="193"/>
      <c r="V308" s="193"/>
      <c r="W308" s="193"/>
      <c r="X308" s="193"/>
      <c r="Y308" s="193"/>
      <c r="Z308" s="193"/>
      <c r="AA308" s="193"/>
      <c r="AB308" s="193"/>
      <c r="AC308" s="193"/>
    </row>
    <row r="309" spans="1:29" ht="15.75" customHeight="1">
      <c r="A309" s="193"/>
      <c r="B309" s="193"/>
      <c r="C309" s="193"/>
      <c r="D309" s="193"/>
      <c r="E309" s="193"/>
      <c r="F309" s="193"/>
      <c r="G309" s="193"/>
      <c r="H309" s="193"/>
      <c r="I309" s="193"/>
      <c r="J309" s="193"/>
      <c r="K309" s="193"/>
      <c r="L309" s="193"/>
      <c r="M309" s="193"/>
      <c r="N309" s="193"/>
      <c r="O309" s="193"/>
      <c r="P309" s="193"/>
      <c r="Q309" s="193"/>
      <c r="R309" s="193"/>
      <c r="S309" s="193"/>
      <c r="T309" s="193"/>
      <c r="U309" s="193"/>
      <c r="V309" s="193"/>
      <c r="W309" s="193"/>
      <c r="X309" s="193"/>
      <c r="Y309" s="193"/>
      <c r="Z309" s="193"/>
      <c r="AA309" s="193"/>
      <c r="AB309" s="193"/>
      <c r="AC309" s="193"/>
    </row>
    <row r="310" spans="1:29" ht="15.75" customHeight="1">
      <c r="A310" s="193"/>
      <c r="B310" s="193"/>
      <c r="C310" s="193"/>
      <c r="D310" s="193"/>
      <c r="E310" s="193"/>
      <c r="F310" s="193"/>
      <c r="G310" s="193"/>
      <c r="H310" s="193"/>
      <c r="I310" s="193"/>
      <c r="J310" s="193"/>
      <c r="K310" s="193"/>
      <c r="L310" s="193"/>
      <c r="M310" s="193"/>
      <c r="N310" s="193"/>
      <c r="O310" s="193"/>
      <c r="P310" s="193"/>
      <c r="Q310" s="193"/>
      <c r="R310" s="193"/>
      <c r="S310" s="193"/>
      <c r="T310" s="193"/>
      <c r="U310" s="193"/>
      <c r="V310" s="193"/>
      <c r="W310" s="193"/>
      <c r="X310" s="193"/>
      <c r="Y310" s="193"/>
      <c r="Z310" s="193"/>
      <c r="AA310" s="193"/>
      <c r="AB310" s="193"/>
      <c r="AC310" s="193"/>
    </row>
    <row r="311" spans="1:29" ht="15.75" customHeight="1">
      <c r="A311" s="193"/>
      <c r="B311" s="193"/>
      <c r="C311" s="193"/>
      <c r="D311" s="193"/>
      <c r="E311" s="193"/>
      <c r="F311" s="193"/>
      <c r="G311" s="193"/>
      <c r="H311" s="193"/>
      <c r="I311" s="193"/>
      <c r="J311" s="193"/>
      <c r="K311" s="193"/>
      <c r="L311" s="193"/>
      <c r="M311" s="193"/>
      <c r="N311" s="193"/>
      <c r="O311" s="193"/>
      <c r="P311" s="193"/>
      <c r="Q311" s="193"/>
      <c r="R311" s="193"/>
      <c r="S311" s="193"/>
      <c r="T311" s="193"/>
      <c r="U311" s="193"/>
      <c r="V311" s="193"/>
      <c r="W311" s="193"/>
      <c r="X311" s="193"/>
      <c r="Y311" s="193"/>
      <c r="Z311" s="193"/>
      <c r="AA311" s="193"/>
      <c r="AB311" s="193"/>
      <c r="AC311" s="193"/>
    </row>
    <row r="312" spans="1:29" ht="15.75" customHeight="1">
      <c r="A312" s="193"/>
      <c r="B312" s="193"/>
      <c r="C312" s="193"/>
      <c r="D312" s="193"/>
      <c r="E312" s="193"/>
      <c r="F312" s="193"/>
      <c r="G312" s="193"/>
      <c r="H312" s="193"/>
      <c r="I312" s="193"/>
      <c r="J312" s="193"/>
      <c r="K312" s="193"/>
      <c r="L312" s="193"/>
      <c r="M312" s="193"/>
      <c r="N312" s="193"/>
      <c r="O312" s="193"/>
      <c r="P312" s="193"/>
      <c r="Q312" s="193"/>
      <c r="R312" s="193"/>
      <c r="S312" s="193"/>
      <c r="T312" s="193"/>
      <c r="U312" s="193"/>
      <c r="V312" s="193"/>
      <c r="W312" s="193"/>
      <c r="X312" s="193"/>
      <c r="Y312" s="193"/>
      <c r="Z312" s="193"/>
      <c r="AA312" s="193"/>
      <c r="AB312" s="193"/>
      <c r="AC312" s="193"/>
    </row>
    <row r="313" spans="1:29" ht="15.75" customHeight="1">
      <c r="A313" s="193"/>
      <c r="B313" s="193"/>
      <c r="C313" s="193"/>
      <c r="D313" s="193"/>
      <c r="E313" s="193"/>
      <c r="F313" s="193"/>
      <c r="G313" s="193"/>
      <c r="H313" s="193"/>
      <c r="I313" s="193"/>
      <c r="J313" s="193"/>
      <c r="K313" s="193"/>
      <c r="L313" s="193"/>
      <c r="M313" s="193"/>
      <c r="N313" s="193"/>
      <c r="O313" s="193"/>
      <c r="P313" s="193"/>
      <c r="Q313" s="193"/>
      <c r="R313" s="193"/>
      <c r="S313" s="193"/>
      <c r="T313" s="193"/>
      <c r="U313" s="193"/>
      <c r="V313" s="193"/>
      <c r="W313" s="193"/>
      <c r="X313" s="193"/>
      <c r="Y313" s="193"/>
      <c r="Z313" s="193"/>
      <c r="AA313" s="193"/>
      <c r="AB313" s="193"/>
      <c r="AC313" s="193"/>
    </row>
    <row r="314" spans="1:29" ht="15.75" customHeight="1">
      <c r="A314" s="193"/>
      <c r="B314" s="193"/>
      <c r="C314" s="193"/>
      <c r="D314" s="193"/>
      <c r="E314" s="193"/>
      <c r="F314" s="193"/>
      <c r="G314" s="193"/>
      <c r="H314" s="193"/>
      <c r="I314" s="193"/>
      <c r="J314" s="193"/>
      <c r="K314" s="193"/>
      <c r="L314" s="193"/>
      <c r="M314" s="193"/>
      <c r="N314" s="193"/>
      <c r="O314" s="193"/>
      <c r="P314" s="193"/>
      <c r="Q314" s="193"/>
      <c r="R314" s="193"/>
      <c r="S314" s="193"/>
      <c r="T314" s="193"/>
      <c r="U314" s="193"/>
      <c r="V314" s="193"/>
      <c r="W314" s="193"/>
      <c r="X314" s="193"/>
      <c r="Y314" s="193"/>
      <c r="Z314" s="193"/>
      <c r="AA314" s="193"/>
      <c r="AB314" s="193"/>
      <c r="AC314" s="193"/>
    </row>
    <row r="315" spans="1:29" ht="15.75" customHeight="1">
      <c r="A315" s="193"/>
      <c r="B315" s="193"/>
      <c r="C315" s="193"/>
      <c r="D315" s="193"/>
      <c r="E315" s="193"/>
      <c r="F315" s="193"/>
      <c r="G315" s="193"/>
      <c r="H315" s="193"/>
      <c r="I315" s="193"/>
      <c r="J315" s="193"/>
      <c r="K315" s="193"/>
      <c r="L315" s="193"/>
      <c r="M315" s="193"/>
      <c r="N315" s="193"/>
      <c r="O315" s="193"/>
      <c r="P315" s="193"/>
      <c r="Q315" s="193"/>
      <c r="R315" s="193"/>
      <c r="S315" s="193"/>
      <c r="T315" s="193"/>
      <c r="U315" s="193"/>
      <c r="V315" s="193"/>
      <c r="W315" s="193"/>
      <c r="X315" s="193"/>
      <c r="Y315" s="193"/>
      <c r="Z315" s="193"/>
      <c r="AA315" s="193"/>
      <c r="AB315" s="193"/>
      <c r="AC315" s="193"/>
    </row>
    <row r="316" spans="1:29" ht="15.75" customHeight="1">
      <c r="A316" s="193"/>
      <c r="B316" s="193"/>
      <c r="C316" s="193"/>
      <c r="D316" s="193"/>
      <c r="E316" s="193"/>
      <c r="F316" s="193"/>
      <c r="G316" s="193"/>
      <c r="H316" s="193"/>
      <c r="I316" s="193"/>
      <c r="J316" s="193"/>
      <c r="K316" s="193"/>
      <c r="L316" s="193"/>
      <c r="M316" s="193"/>
      <c r="N316" s="193"/>
      <c r="O316" s="193"/>
      <c r="P316" s="193"/>
      <c r="Q316" s="193"/>
      <c r="R316" s="193"/>
      <c r="S316" s="193"/>
      <c r="T316" s="193"/>
      <c r="U316" s="193"/>
      <c r="V316" s="193"/>
      <c r="W316" s="193"/>
      <c r="X316" s="193"/>
      <c r="Y316" s="193"/>
      <c r="Z316" s="193"/>
      <c r="AA316" s="193"/>
      <c r="AB316" s="193"/>
      <c r="AC316" s="193"/>
    </row>
    <row r="317" spans="1:29" ht="15.75" customHeight="1">
      <c r="A317" s="193"/>
      <c r="B317" s="193"/>
      <c r="C317" s="193"/>
      <c r="D317" s="193"/>
      <c r="E317" s="193"/>
      <c r="F317" s="193"/>
      <c r="G317" s="193"/>
      <c r="H317" s="193"/>
      <c r="I317" s="193"/>
      <c r="J317" s="193"/>
      <c r="K317" s="193"/>
      <c r="L317" s="193"/>
      <c r="M317" s="193"/>
      <c r="N317" s="193"/>
      <c r="O317" s="193"/>
      <c r="P317" s="193"/>
      <c r="Q317" s="193"/>
      <c r="R317" s="193"/>
      <c r="S317" s="193"/>
      <c r="T317" s="193"/>
      <c r="U317" s="193"/>
      <c r="V317" s="193"/>
      <c r="W317" s="193"/>
      <c r="X317" s="193"/>
      <c r="Y317" s="193"/>
      <c r="Z317" s="193"/>
      <c r="AA317" s="193"/>
      <c r="AB317" s="193"/>
      <c r="AC317" s="193"/>
    </row>
    <row r="318" spans="1:29" ht="15.75" customHeight="1">
      <c r="A318" s="193"/>
      <c r="B318" s="193"/>
      <c r="C318" s="193"/>
      <c r="D318" s="193"/>
      <c r="E318" s="193"/>
      <c r="F318" s="193"/>
      <c r="G318" s="193"/>
      <c r="H318" s="193"/>
      <c r="I318" s="193"/>
      <c r="J318" s="193"/>
      <c r="K318" s="193"/>
      <c r="L318" s="193"/>
      <c r="M318" s="193"/>
      <c r="N318" s="193"/>
      <c r="O318" s="193"/>
      <c r="P318" s="193"/>
      <c r="Q318" s="193"/>
      <c r="R318" s="193"/>
      <c r="S318" s="193"/>
      <c r="T318" s="193"/>
      <c r="U318" s="193"/>
      <c r="V318" s="193"/>
      <c r="W318" s="193"/>
      <c r="X318" s="193"/>
      <c r="Y318" s="193"/>
      <c r="Z318" s="193"/>
      <c r="AA318" s="193"/>
      <c r="AB318" s="193"/>
      <c r="AC318" s="193"/>
    </row>
    <row r="319" spans="1:29" ht="15.75" customHeight="1">
      <c r="A319" s="193"/>
      <c r="B319" s="193"/>
      <c r="C319" s="193"/>
      <c r="D319" s="193"/>
      <c r="E319" s="193"/>
      <c r="F319" s="193"/>
      <c r="G319" s="193"/>
      <c r="H319" s="193"/>
      <c r="I319" s="193"/>
      <c r="J319" s="193"/>
      <c r="K319" s="193"/>
      <c r="L319" s="193"/>
      <c r="M319" s="193"/>
      <c r="N319" s="193"/>
      <c r="O319" s="193"/>
      <c r="P319" s="193"/>
      <c r="Q319" s="193"/>
      <c r="R319" s="193"/>
      <c r="S319" s="193"/>
      <c r="T319" s="193"/>
      <c r="U319" s="193"/>
      <c r="V319" s="193"/>
      <c r="W319" s="193"/>
      <c r="X319" s="193"/>
      <c r="Y319" s="193"/>
      <c r="Z319" s="193"/>
      <c r="AA319" s="193"/>
      <c r="AB319" s="193"/>
      <c r="AC319" s="193"/>
    </row>
    <row r="320" spans="1:29" ht="15.75" customHeight="1">
      <c r="A320" s="193"/>
      <c r="B320" s="193"/>
      <c r="C320" s="193"/>
      <c r="D320" s="193"/>
      <c r="E320" s="193"/>
      <c r="F320" s="193"/>
      <c r="G320" s="193"/>
      <c r="H320" s="193"/>
      <c r="I320" s="193"/>
      <c r="J320" s="193"/>
      <c r="K320" s="193"/>
      <c r="L320" s="193"/>
      <c r="M320" s="193"/>
      <c r="N320" s="193"/>
      <c r="O320" s="193"/>
      <c r="P320" s="193"/>
      <c r="Q320" s="193"/>
      <c r="R320" s="193"/>
      <c r="S320" s="193"/>
      <c r="T320" s="193"/>
      <c r="U320" s="193"/>
      <c r="V320" s="193"/>
      <c r="W320" s="193"/>
      <c r="X320" s="193"/>
      <c r="Y320" s="193"/>
      <c r="Z320" s="193"/>
      <c r="AA320" s="193"/>
      <c r="AB320" s="193"/>
      <c r="AC320" s="193"/>
    </row>
    <row r="321" spans="1:29" ht="15.75" customHeight="1">
      <c r="A321" s="193"/>
      <c r="B321" s="193"/>
      <c r="C321" s="193"/>
      <c r="D321" s="193"/>
      <c r="E321" s="193"/>
      <c r="F321" s="193"/>
      <c r="G321" s="193"/>
      <c r="H321" s="193"/>
      <c r="I321" s="193"/>
      <c r="J321" s="193"/>
      <c r="K321" s="193"/>
      <c r="L321" s="193"/>
      <c r="M321" s="193"/>
      <c r="N321" s="193"/>
      <c r="O321" s="193"/>
      <c r="P321" s="193"/>
      <c r="Q321" s="193"/>
      <c r="R321" s="193"/>
      <c r="S321" s="193"/>
      <c r="T321" s="193"/>
      <c r="U321" s="193"/>
      <c r="V321" s="193"/>
      <c r="W321" s="193"/>
      <c r="X321" s="193"/>
      <c r="Y321" s="193"/>
      <c r="Z321" s="193"/>
      <c r="AA321" s="193"/>
      <c r="AB321" s="193"/>
      <c r="AC321" s="193"/>
    </row>
    <row r="322" spans="1:29" ht="15.75" customHeight="1">
      <c r="A322" s="193"/>
      <c r="B322" s="193"/>
      <c r="C322" s="193"/>
      <c r="D322" s="193"/>
      <c r="E322" s="193"/>
      <c r="F322" s="193"/>
      <c r="G322" s="193"/>
      <c r="H322" s="193"/>
      <c r="I322" s="193"/>
      <c r="J322" s="193"/>
      <c r="K322" s="193"/>
      <c r="L322" s="193"/>
      <c r="M322" s="193"/>
      <c r="N322" s="193"/>
      <c r="O322" s="193"/>
      <c r="P322" s="193"/>
      <c r="Q322" s="193"/>
      <c r="R322" s="193"/>
      <c r="S322" s="193"/>
      <c r="T322" s="193"/>
      <c r="U322" s="193"/>
      <c r="V322" s="193"/>
      <c r="W322" s="193"/>
      <c r="X322" s="193"/>
      <c r="Y322" s="193"/>
      <c r="Z322" s="193"/>
      <c r="AA322" s="193"/>
      <c r="AB322" s="193"/>
      <c r="AC322" s="193"/>
    </row>
    <row r="323" spans="1:29" ht="15.75" customHeight="1">
      <c r="A323" s="193"/>
      <c r="B323" s="193"/>
      <c r="C323" s="193"/>
      <c r="D323" s="193"/>
      <c r="E323" s="193"/>
      <c r="F323" s="193"/>
      <c r="G323" s="193"/>
      <c r="H323" s="193"/>
      <c r="I323" s="193"/>
      <c r="J323" s="193"/>
      <c r="K323" s="193"/>
      <c r="L323" s="193"/>
      <c r="M323" s="193"/>
      <c r="N323" s="193"/>
      <c r="O323" s="193"/>
      <c r="P323" s="193"/>
      <c r="Q323" s="193"/>
      <c r="R323" s="193"/>
      <c r="S323" s="193"/>
      <c r="T323" s="193"/>
      <c r="U323" s="193"/>
      <c r="V323" s="193"/>
      <c r="W323" s="193"/>
      <c r="X323" s="193"/>
      <c r="Y323" s="193"/>
      <c r="Z323" s="193"/>
      <c r="AA323" s="193"/>
      <c r="AB323" s="193"/>
      <c r="AC323" s="193"/>
    </row>
    <row r="324" spans="1:29" ht="15.75" customHeight="1">
      <c r="A324" s="193"/>
      <c r="B324" s="193"/>
      <c r="C324" s="193"/>
      <c r="D324" s="193"/>
      <c r="E324" s="193"/>
      <c r="F324" s="193"/>
      <c r="G324" s="193"/>
      <c r="H324" s="193"/>
      <c r="I324" s="193"/>
      <c r="J324" s="193"/>
      <c r="K324" s="193"/>
      <c r="L324" s="193"/>
      <c r="M324" s="193"/>
      <c r="N324" s="193"/>
      <c r="O324" s="193"/>
      <c r="P324" s="193"/>
      <c r="Q324" s="193"/>
      <c r="R324" s="193"/>
      <c r="S324" s="193"/>
      <c r="T324" s="193"/>
      <c r="U324" s="193"/>
      <c r="V324" s="193"/>
      <c r="W324" s="193"/>
      <c r="X324" s="193"/>
      <c r="Y324" s="193"/>
      <c r="Z324" s="193"/>
      <c r="AA324" s="193"/>
      <c r="AB324" s="193"/>
      <c r="AC324" s="193"/>
    </row>
    <row r="325" spans="1:29" ht="15.75" customHeight="1">
      <c r="A325" s="193"/>
      <c r="B325" s="193"/>
      <c r="C325" s="193"/>
      <c r="D325" s="193"/>
      <c r="E325" s="193"/>
      <c r="F325" s="193"/>
      <c r="G325" s="193"/>
      <c r="H325" s="193"/>
      <c r="I325" s="193"/>
      <c r="J325" s="193"/>
      <c r="K325" s="193"/>
      <c r="L325" s="193"/>
      <c r="M325" s="193"/>
      <c r="N325" s="193"/>
      <c r="O325" s="193"/>
      <c r="P325" s="193"/>
      <c r="Q325" s="193"/>
      <c r="R325" s="193"/>
      <c r="S325" s="193"/>
      <c r="T325" s="193"/>
      <c r="U325" s="193"/>
      <c r="V325" s="193"/>
      <c r="W325" s="193"/>
      <c r="X325" s="193"/>
      <c r="Y325" s="193"/>
      <c r="Z325" s="193"/>
      <c r="AA325" s="193"/>
      <c r="AB325" s="193"/>
      <c r="AC325" s="193"/>
    </row>
    <row r="326" spans="1:29" ht="15.75" customHeight="1">
      <c r="A326" s="193"/>
      <c r="B326" s="193"/>
      <c r="C326" s="193"/>
      <c r="D326" s="193"/>
      <c r="E326" s="193"/>
      <c r="F326" s="193"/>
      <c r="G326" s="193"/>
      <c r="H326" s="193"/>
      <c r="I326" s="193"/>
      <c r="J326" s="193"/>
      <c r="K326" s="193"/>
      <c r="L326" s="193"/>
      <c r="M326" s="193"/>
      <c r="N326" s="193"/>
      <c r="O326" s="193"/>
      <c r="P326" s="193"/>
      <c r="Q326" s="193"/>
      <c r="R326" s="193"/>
      <c r="S326" s="193"/>
      <c r="T326" s="193"/>
      <c r="U326" s="193"/>
      <c r="V326" s="193"/>
      <c r="W326" s="193"/>
      <c r="X326" s="193"/>
      <c r="Y326" s="193"/>
      <c r="Z326" s="193"/>
      <c r="AA326" s="193"/>
      <c r="AB326" s="193"/>
      <c r="AC326" s="193"/>
    </row>
    <row r="327" spans="1:29" ht="15.75" customHeight="1">
      <c r="A327" s="193"/>
      <c r="B327" s="193"/>
      <c r="C327" s="193"/>
      <c r="D327" s="193"/>
      <c r="E327" s="193"/>
      <c r="F327" s="193"/>
      <c r="G327" s="193"/>
      <c r="H327" s="193"/>
      <c r="I327" s="193"/>
      <c r="J327" s="193"/>
      <c r="K327" s="193"/>
      <c r="L327" s="193"/>
      <c r="M327" s="193"/>
      <c r="N327" s="193"/>
      <c r="O327" s="193"/>
      <c r="P327" s="193"/>
      <c r="Q327" s="193"/>
      <c r="R327" s="193"/>
      <c r="S327" s="193"/>
      <c r="T327" s="193"/>
      <c r="U327" s="193"/>
      <c r="V327" s="193"/>
      <c r="W327" s="193"/>
      <c r="X327" s="193"/>
      <c r="Y327" s="193"/>
      <c r="Z327" s="193"/>
      <c r="AA327" s="193"/>
      <c r="AB327" s="193"/>
      <c r="AC327" s="193"/>
    </row>
    <row r="328" spans="1:29" ht="15.75" customHeight="1">
      <c r="A328" s="193"/>
      <c r="B328" s="193"/>
      <c r="C328" s="193"/>
      <c r="D328" s="193"/>
      <c r="E328" s="193"/>
      <c r="F328" s="193"/>
      <c r="G328" s="193"/>
      <c r="H328" s="193"/>
      <c r="I328" s="193"/>
      <c r="J328" s="193"/>
      <c r="K328" s="193"/>
      <c r="L328" s="193"/>
      <c r="M328" s="193"/>
      <c r="N328" s="193"/>
      <c r="O328" s="193"/>
      <c r="P328" s="193"/>
      <c r="Q328" s="193"/>
      <c r="R328" s="193"/>
      <c r="S328" s="193"/>
      <c r="T328" s="193"/>
      <c r="U328" s="193"/>
      <c r="V328" s="193"/>
      <c r="W328" s="193"/>
      <c r="X328" s="193"/>
      <c r="Y328" s="193"/>
      <c r="Z328" s="193"/>
      <c r="AA328" s="193"/>
      <c r="AB328" s="193"/>
      <c r="AC328" s="193"/>
    </row>
    <row r="329" spans="1:29" ht="15.75" customHeight="1">
      <c r="A329" s="193"/>
      <c r="B329" s="193"/>
      <c r="C329" s="193"/>
      <c r="D329" s="193"/>
      <c r="E329" s="193"/>
      <c r="F329" s="193"/>
      <c r="G329" s="193"/>
      <c r="H329" s="193"/>
      <c r="I329" s="193"/>
      <c r="J329" s="193"/>
      <c r="K329" s="193"/>
      <c r="L329" s="193"/>
      <c r="M329" s="193"/>
      <c r="N329" s="193"/>
      <c r="O329" s="193"/>
      <c r="P329" s="193"/>
      <c r="Q329" s="193"/>
      <c r="R329" s="193"/>
      <c r="S329" s="193"/>
      <c r="T329" s="193"/>
      <c r="U329" s="193"/>
      <c r="V329" s="193"/>
      <c r="W329" s="193"/>
      <c r="X329" s="193"/>
      <c r="Y329" s="193"/>
      <c r="Z329" s="193"/>
      <c r="AA329" s="193"/>
      <c r="AB329" s="193"/>
      <c r="AC329" s="193"/>
    </row>
    <row r="330" spans="1:29" ht="15.75" customHeight="1">
      <c r="A330" s="193"/>
      <c r="B330" s="193"/>
      <c r="C330" s="193"/>
      <c r="D330" s="193"/>
      <c r="E330" s="193"/>
      <c r="F330" s="193"/>
      <c r="G330" s="193"/>
      <c r="H330" s="193"/>
      <c r="I330" s="193"/>
      <c r="J330" s="193"/>
      <c r="K330" s="193"/>
      <c r="L330" s="193"/>
      <c r="M330" s="193"/>
      <c r="N330" s="193"/>
      <c r="O330" s="193"/>
      <c r="P330" s="193"/>
      <c r="Q330" s="193"/>
      <c r="R330" s="193"/>
      <c r="S330" s="193"/>
      <c r="T330" s="193"/>
      <c r="U330" s="193"/>
      <c r="V330" s="193"/>
      <c r="W330" s="193"/>
      <c r="X330" s="193"/>
      <c r="Y330" s="193"/>
      <c r="Z330" s="193"/>
      <c r="AA330" s="193"/>
      <c r="AB330" s="193"/>
      <c r="AC330" s="193"/>
    </row>
    <row r="331" spans="1:29" ht="15.75" customHeight="1">
      <c r="A331" s="193"/>
      <c r="B331" s="193"/>
      <c r="C331" s="193"/>
      <c r="D331" s="193"/>
      <c r="E331" s="193"/>
      <c r="F331" s="193"/>
      <c r="G331" s="193"/>
      <c r="H331" s="193"/>
      <c r="I331" s="193"/>
      <c r="J331" s="193"/>
      <c r="K331" s="193"/>
      <c r="L331" s="193"/>
      <c r="M331" s="193"/>
      <c r="N331" s="193"/>
      <c r="O331" s="193"/>
      <c r="P331" s="193"/>
      <c r="Q331" s="193"/>
      <c r="R331" s="193"/>
      <c r="S331" s="193"/>
      <c r="T331" s="193"/>
      <c r="U331" s="193"/>
      <c r="V331" s="193"/>
      <c r="W331" s="193"/>
      <c r="X331" s="193"/>
      <c r="Y331" s="193"/>
      <c r="Z331" s="193"/>
      <c r="AA331" s="193"/>
      <c r="AB331" s="193"/>
      <c r="AC331" s="193"/>
    </row>
    <row r="332" spans="1:29" ht="15.75" customHeight="1">
      <c r="A332" s="193"/>
      <c r="B332" s="193"/>
      <c r="C332" s="193"/>
      <c r="D332" s="193"/>
      <c r="E332" s="193"/>
      <c r="F332" s="193"/>
      <c r="G332" s="193"/>
      <c r="H332" s="193"/>
      <c r="I332" s="193"/>
      <c r="J332" s="193"/>
      <c r="K332" s="193"/>
      <c r="L332" s="193"/>
      <c r="M332" s="193"/>
      <c r="N332" s="193"/>
      <c r="O332" s="193"/>
      <c r="P332" s="193"/>
      <c r="Q332" s="193"/>
      <c r="R332" s="193"/>
      <c r="S332" s="193"/>
      <c r="T332" s="193"/>
      <c r="U332" s="193"/>
      <c r="V332" s="193"/>
      <c r="W332" s="193"/>
      <c r="X332" s="193"/>
      <c r="Y332" s="193"/>
      <c r="Z332" s="193"/>
      <c r="AA332" s="193"/>
      <c r="AB332" s="193"/>
      <c r="AC332" s="193"/>
    </row>
    <row r="333" spans="1:29" ht="15.75" customHeight="1">
      <c r="A333" s="193"/>
      <c r="B333" s="193"/>
      <c r="C333" s="193"/>
      <c r="D333" s="193"/>
      <c r="E333" s="193"/>
      <c r="F333" s="193"/>
      <c r="G333" s="193"/>
      <c r="H333" s="193"/>
      <c r="I333" s="193"/>
      <c r="J333" s="193"/>
      <c r="K333" s="193"/>
      <c r="L333" s="193"/>
      <c r="M333" s="193"/>
      <c r="N333" s="193"/>
      <c r="O333" s="193"/>
      <c r="P333" s="193"/>
      <c r="Q333" s="193"/>
      <c r="R333" s="193"/>
      <c r="S333" s="193"/>
      <c r="T333" s="193"/>
      <c r="U333" s="193"/>
      <c r="V333" s="193"/>
      <c r="W333" s="193"/>
      <c r="X333" s="193"/>
      <c r="Y333" s="193"/>
      <c r="Z333" s="193"/>
      <c r="AA333" s="193"/>
      <c r="AB333" s="193"/>
      <c r="AC333" s="193"/>
    </row>
    <row r="334" spans="1:29" ht="15.75" customHeight="1">
      <c r="A334" s="193"/>
      <c r="B334" s="193"/>
      <c r="C334" s="193"/>
      <c r="D334" s="193"/>
      <c r="E334" s="193"/>
      <c r="F334" s="193"/>
      <c r="G334" s="193"/>
      <c r="H334" s="193"/>
      <c r="I334" s="193"/>
      <c r="J334" s="193"/>
      <c r="K334" s="193"/>
      <c r="L334" s="193"/>
      <c r="M334" s="193"/>
      <c r="N334" s="193"/>
      <c r="O334" s="193"/>
      <c r="P334" s="193"/>
      <c r="Q334" s="193"/>
      <c r="R334" s="193"/>
      <c r="S334" s="193"/>
      <c r="T334" s="193"/>
      <c r="U334" s="193"/>
      <c r="V334" s="193"/>
      <c r="W334" s="193"/>
      <c r="X334" s="193"/>
      <c r="Y334" s="193"/>
      <c r="Z334" s="193"/>
      <c r="AA334" s="193"/>
      <c r="AB334" s="193"/>
      <c r="AC334" s="193"/>
    </row>
    <row r="335" spans="1:29" ht="15.75" customHeight="1">
      <c r="A335" s="193"/>
      <c r="B335" s="193"/>
      <c r="C335" s="193"/>
      <c r="D335" s="193"/>
      <c r="E335" s="193"/>
      <c r="F335" s="193"/>
      <c r="G335" s="193"/>
      <c r="H335" s="193"/>
      <c r="I335" s="193"/>
      <c r="J335" s="193"/>
      <c r="K335" s="193"/>
      <c r="L335" s="193"/>
      <c r="M335" s="193"/>
      <c r="N335" s="193"/>
      <c r="O335" s="193"/>
      <c r="P335" s="193"/>
      <c r="Q335" s="193"/>
      <c r="R335" s="193"/>
      <c r="S335" s="193"/>
      <c r="T335" s="193"/>
      <c r="U335" s="193"/>
      <c r="V335" s="193"/>
      <c r="W335" s="193"/>
      <c r="X335" s="193"/>
      <c r="Y335" s="193"/>
      <c r="Z335" s="193"/>
      <c r="AA335" s="193"/>
      <c r="AB335" s="193"/>
      <c r="AC335" s="193"/>
    </row>
    <row r="336" spans="1:29" ht="15.75" customHeight="1">
      <c r="A336" s="193"/>
      <c r="B336" s="193"/>
      <c r="C336" s="193"/>
      <c r="D336" s="193"/>
      <c r="E336" s="193"/>
      <c r="F336" s="193"/>
      <c r="G336" s="193"/>
      <c r="H336" s="193"/>
      <c r="I336" s="193"/>
      <c r="J336" s="193"/>
      <c r="K336" s="193"/>
      <c r="L336" s="193"/>
      <c r="M336" s="193"/>
      <c r="N336" s="193"/>
      <c r="O336" s="193"/>
      <c r="P336" s="193"/>
      <c r="Q336" s="193"/>
      <c r="R336" s="193"/>
      <c r="S336" s="193"/>
      <c r="T336" s="193"/>
      <c r="U336" s="193"/>
      <c r="V336" s="193"/>
      <c r="W336" s="193"/>
      <c r="X336" s="193"/>
      <c r="Y336" s="193"/>
      <c r="Z336" s="193"/>
      <c r="AA336" s="193"/>
      <c r="AB336" s="193"/>
      <c r="AC336" s="193"/>
    </row>
    <row r="337" spans="1:29" ht="15.75" customHeight="1">
      <c r="A337" s="193"/>
      <c r="B337" s="193"/>
      <c r="C337" s="193"/>
      <c r="D337" s="193"/>
      <c r="E337" s="193"/>
      <c r="F337" s="193"/>
      <c r="G337" s="193"/>
      <c r="H337" s="193"/>
      <c r="I337" s="193"/>
      <c r="J337" s="193"/>
      <c r="K337" s="193"/>
      <c r="L337" s="193"/>
      <c r="M337" s="193"/>
      <c r="N337" s="193"/>
      <c r="O337" s="193"/>
      <c r="P337" s="193"/>
      <c r="Q337" s="193"/>
      <c r="R337" s="193"/>
      <c r="S337" s="193"/>
      <c r="T337" s="193"/>
      <c r="U337" s="193"/>
      <c r="V337" s="193"/>
      <c r="W337" s="193"/>
      <c r="X337" s="193"/>
      <c r="Y337" s="193"/>
      <c r="Z337" s="193"/>
      <c r="AA337" s="193"/>
      <c r="AB337" s="193"/>
      <c r="AC337" s="193"/>
    </row>
    <row r="338" spans="1:29" ht="15.75" customHeight="1">
      <c r="A338" s="193"/>
      <c r="B338" s="193"/>
      <c r="C338" s="193"/>
      <c r="D338" s="193"/>
      <c r="E338" s="193"/>
      <c r="F338" s="193"/>
      <c r="G338" s="193"/>
      <c r="H338" s="193"/>
      <c r="I338" s="193"/>
      <c r="J338" s="193"/>
      <c r="K338" s="193"/>
      <c r="L338" s="193"/>
      <c r="M338" s="193"/>
      <c r="N338" s="193"/>
      <c r="O338" s="193"/>
      <c r="P338" s="193"/>
      <c r="Q338" s="193"/>
      <c r="R338" s="193"/>
      <c r="S338" s="193"/>
      <c r="T338" s="193"/>
      <c r="U338" s="193"/>
      <c r="V338" s="193"/>
      <c r="W338" s="193"/>
      <c r="X338" s="193"/>
      <c r="Y338" s="193"/>
      <c r="Z338" s="193"/>
      <c r="AA338" s="193"/>
      <c r="AB338" s="193"/>
      <c r="AC338" s="193"/>
    </row>
    <row r="339" spans="1:29" ht="15.75" customHeight="1">
      <c r="A339" s="193"/>
      <c r="B339" s="193"/>
      <c r="C339" s="193"/>
      <c r="D339" s="193"/>
      <c r="E339" s="193"/>
      <c r="F339" s="193"/>
      <c r="G339" s="193"/>
      <c r="H339" s="193"/>
      <c r="I339" s="193"/>
      <c r="J339" s="193"/>
      <c r="K339" s="193"/>
      <c r="L339" s="193"/>
      <c r="M339" s="193"/>
      <c r="N339" s="193"/>
      <c r="O339" s="193"/>
      <c r="P339" s="193"/>
      <c r="Q339" s="193"/>
      <c r="R339" s="193"/>
      <c r="S339" s="193"/>
      <c r="T339" s="193"/>
      <c r="U339" s="193"/>
      <c r="V339" s="193"/>
      <c r="W339" s="193"/>
      <c r="X339" s="193"/>
      <c r="Y339" s="193"/>
      <c r="Z339" s="193"/>
      <c r="AA339" s="193"/>
      <c r="AB339" s="193"/>
      <c r="AC339" s="193"/>
    </row>
    <row r="340" spans="1:29" ht="15.75" customHeight="1">
      <c r="A340" s="193"/>
      <c r="B340" s="193"/>
      <c r="C340" s="193"/>
      <c r="D340" s="193"/>
      <c r="E340" s="193"/>
      <c r="F340" s="193"/>
      <c r="G340" s="193"/>
      <c r="H340" s="193"/>
      <c r="I340" s="193"/>
      <c r="J340" s="193"/>
      <c r="K340" s="193"/>
      <c r="L340" s="193"/>
      <c r="M340" s="193"/>
      <c r="N340" s="193"/>
      <c r="O340" s="193"/>
      <c r="P340" s="193"/>
      <c r="Q340" s="193"/>
      <c r="R340" s="193"/>
      <c r="S340" s="193"/>
      <c r="T340" s="193"/>
      <c r="U340" s="193"/>
      <c r="V340" s="193"/>
      <c r="W340" s="193"/>
      <c r="X340" s="193"/>
      <c r="Y340" s="193"/>
      <c r="Z340" s="193"/>
      <c r="AA340" s="193"/>
      <c r="AB340" s="193"/>
      <c r="AC340" s="193"/>
    </row>
    <row r="341" spans="1:29" ht="15.75" customHeight="1">
      <c r="A341" s="193"/>
      <c r="B341" s="193"/>
      <c r="C341" s="193"/>
      <c r="D341" s="193"/>
      <c r="E341" s="193"/>
      <c r="F341" s="193"/>
      <c r="G341" s="193"/>
      <c r="H341" s="193"/>
      <c r="I341" s="193"/>
      <c r="J341" s="193"/>
      <c r="K341" s="193"/>
      <c r="L341" s="193"/>
      <c r="M341" s="193"/>
      <c r="N341" s="193"/>
      <c r="O341" s="193"/>
      <c r="P341" s="193"/>
      <c r="Q341" s="193"/>
      <c r="R341" s="193"/>
      <c r="S341" s="193"/>
      <c r="T341" s="193"/>
      <c r="U341" s="193"/>
      <c r="V341" s="193"/>
      <c r="W341" s="193"/>
      <c r="X341" s="193"/>
      <c r="Y341" s="193"/>
      <c r="Z341" s="193"/>
      <c r="AA341" s="193"/>
      <c r="AB341" s="193"/>
      <c r="AC341" s="193"/>
    </row>
    <row r="342" spans="1:29" ht="15.75" customHeight="1">
      <c r="A342" s="193"/>
      <c r="B342" s="193"/>
      <c r="C342" s="193"/>
      <c r="D342" s="193"/>
      <c r="E342" s="193"/>
      <c r="F342" s="193"/>
      <c r="G342" s="193"/>
      <c r="H342" s="193"/>
      <c r="I342" s="193"/>
      <c r="J342" s="193"/>
      <c r="K342" s="193"/>
      <c r="L342" s="193"/>
      <c r="M342" s="193"/>
      <c r="N342" s="193"/>
      <c r="O342" s="193"/>
      <c r="P342" s="193"/>
      <c r="Q342" s="193"/>
      <c r="R342" s="193"/>
      <c r="S342" s="193"/>
      <c r="T342" s="193"/>
      <c r="U342" s="193"/>
      <c r="V342" s="193"/>
      <c r="W342" s="193"/>
      <c r="X342" s="193"/>
      <c r="Y342" s="193"/>
      <c r="Z342" s="193"/>
      <c r="AA342" s="193"/>
      <c r="AB342" s="193"/>
      <c r="AC342" s="193"/>
    </row>
    <row r="343" spans="1:29" ht="15.75" customHeight="1">
      <c r="A343" s="193"/>
      <c r="B343" s="193"/>
      <c r="C343" s="193"/>
      <c r="D343" s="193"/>
      <c r="E343" s="193"/>
      <c r="F343" s="193"/>
      <c r="G343" s="193"/>
      <c r="H343" s="193"/>
      <c r="I343" s="193"/>
      <c r="J343" s="193"/>
      <c r="K343" s="193"/>
      <c r="L343" s="193"/>
      <c r="M343" s="193"/>
      <c r="N343" s="193"/>
      <c r="O343" s="193"/>
      <c r="P343" s="193"/>
      <c r="Q343" s="193"/>
      <c r="R343" s="193"/>
      <c r="S343" s="193"/>
      <c r="T343" s="193"/>
      <c r="U343" s="193"/>
      <c r="V343" s="193"/>
      <c r="W343" s="193"/>
      <c r="X343" s="193"/>
      <c r="Y343" s="193"/>
      <c r="Z343" s="193"/>
      <c r="AA343" s="193"/>
      <c r="AB343" s="193"/>
      <c r="AC343" s="193"/>
    </row>
    <row r="344" spans="1:29" ht="15.75" customHeight="1">
      <c r="A344" s="193"/>
      <c r="B344" s="193"/>
      <c r="C344" s="193"/>
      <c r="D344" s="193"/>
      <c r="E344" s="193"/>
      <c r="F344" s="193"/>
      <c r="G344" s="193"/>
      <c r="H344" s="193"/>
      <c r="I344" s="193"/>
      <c r="J344" s="193"/>
      <c r="K344" s="193"/>
      <c r="L344" s="193"/>
      <c r="M344" s="193"/>
      <c r="N344" s="193"/>
      <c r="O344" s="193"/>
      <c r="P344" s="193"/>
      <c r="Q344" s="193"/>
      <c r="R344" s="193"/>
      <c r="S344" s="193"/>
      <c r="T344" s="193"/>
      <c r="U344" s="193"/>
      <c r="V344" s="193"/>
      <c r="W344" s="193"/>
      <c r="X344" s="193"/>
      <c r="Y344" s="193"/>
      <c r="Z344" s="193"/>
      <c r="AA344" s="193"/>
      <c r="AB344" s="193"/>
      <c r="AC344" s="193"/>
    </row>
    <row r="345" spans="1:29" ht="15.75" customHeight="1">
      <c r="A345" s="193"/>
      <c r="B345" s="193"/>
      <c r="C345" s="193"/>
      <c r="D345" s="193"/>
      <c r="E345" s="193"/>
      <c r="F345" s="193"/>
      <c r="G345" s="193"/>
      <c r="H345" s="193"/>
      <c r="I345" s="193"/>
      <c r="J345" s="193"/>
      <c r="K345" s="193"/>
      <c r="L345" s="193"/>
      <c r="M345" s="193"/>
      <c r="N345" s="193"/>
      <c r="O345" s="193"/>
      <c r="P345" s="193"/>
      <c r="Q345" s="193"/>
      <c r="R345" s="193"/>
      <c r="S345" s="193"/>
      <c r="T345" s="193"/>
      <c r="U345" s="193"/>
      <c r="V345" s="193"/>
      <c r="W345" s="193"/>
      <c r="X345" s="193"/>
      <c r="Y345" s="193"/>
      <c r="Z345" s="193"/>
      <c r="AA345" s="193"/>
      <c r="AB345" s="193"/>
      <c r="AC345" s="193"/>
    </row>
    <row r="346" spans="1:29" ht="15.75" customHeight="1">
      <c r="A346" s="193"/>
      <c r="B346" s="193"/>
      <c r="C346" s="193"/>
      <c r="D346" s="193"/>
      <c r="E346" s="193"/>
      <c r="F346" s="193"/>
      <c r="G346" s="193"/>
      <c r="H346" s="193"/>
      <c r="I346" s="193"/>
      <c r="J346" s="193"/>
      <c r="K346" s="193"/>
      <c r="L346" s="193"/>
      <c r="M346" s="193"/>
      <c r="N346" s="193"/>
      <c r="O346" s="193"/>
      <c r="P346" s="193"/>
      <c r="Q346" s="193"/>
      <c r="R346" s="193"/>
      <c r="S346" s="193"/>
      <c r="T346" s="193"/>
      <c r="U346" s="193"/>
      <c r="V346" s="193"/>
      <c r="W346" s="193"/>
      <c r="X346" s="193"/>
      <c r="Y346" s="193"/>
      <c r="Z346" s="193"/>
      <c r="AA346" s="193"/>
      <c r="AB346" s="193"/>
      <c r="AC346" s="193"/>
    </row>
    <row r="347" spans="1:29" ht="15.75" customHeight="1">
      <c r="A347" s="193"/>
      <c r="B347" s="193"/>
      <c r="C347" s="193"/>
      <c r="D347" s="193"/>
      <c r="E347" s="193"/>
      <c r="F347" s="193"/>
      <c r="G347" s="193"/>
      <c r="H347" s="193"/>
      <c r="I347" s="193"/>
      <c r="J347" s="193"/>
      <c r="K347" s="193"/>
      <c r="L347" s="193"/>
      <c r="M347" s="193"/>
      <c r="N347" s="193"/>
      <c r="O347" s="193"/>
      <c r="P347" s="193"/>
      <c r="Q347" s="193"/>
      <c r="R347" s="193"/>
      <c r="S347" s="193"/>
      <c r="T347" s="193"/>
      <c r="U347" s="193"/>
      <c r="V347" s="193"/>
      <c r="W347" s="193"/>
      <c r="X347" s="193"/>
      <c r="Y347" s="193"/>
      <c r="Z347" s="193"/>
      <c r="AA347" s="193"/>
      <c r="AB347" s="193"/>
      <c r="AC347" s="193"/>
    </row>
    <row r="348" spans="1:29" ht="15.75" customHeight="1">
      <c r="A348" s="193"/>
      <c r="B348" s="193"/>
      <c r="C348" s="193"/>
      <c r="D348" s="193"/>
      <c r="E348" s="193"/>
      <c r="F348" s="193"/>
      <c r="G348" s="193"/>
      <c r="H348" s="193"/>
      <c r="I348" s="193"/>
      <c r="J348" s="193"/>
      <c r="K348" s="193"/>
      <c r="L348" s="193"/>
      <c r="M348" s="193"/>
      <c r="N348" s="193"/>
      <c r="O348" s="193"/>
      <c r="P348" s="193"/>
      <c r="Q348" s="193"/>
      <c r="R348" s="193"/>
      <c r="S348" s="193"/>
      <c r="T348" s="193"/>
      <c r="U348" s="193"/>
      <c r="V348" s="193"/>
      <c r="W348" s="193"/>
      <c r="X348" s="193"/>
      <c r="Y348" s="193"/>
      <c r="Z348" s="193"/>
      <c r="AA348" s="193"/>
      <c r="AB348" s="193"/>
      <c r="AC348" s="193"/>
    </row>
    <row r="349" spans="1:29" ht="15.75" customHeight="1">
      <c r="A349" s="193"/>
      <c r="B349" s="193"/>
      <c r="C349" s="193"/>
      <c r="D349" s="193"/>
      <c r="E349" s="193"/>
      <c r="F349" s="193"/>
      <c r="G349" s="193"/>
      <c r="H349" s="193"/>
      <c r="I349" s="193"/>
      <c r="J349" s="193"/>
      <c r="K349" s="193"/>
      <c r="L349" s="193"/>
      <c r="M349" s="193"/>
      <c r="N349" s="193"/>
      <c r="O349" s="193"/>
      <c r="P349" s="193"/>
      <c r="Q349" s="193"/>
      <c r="R349" s="193"/>
      <c r="S349" s="193"/>
      <c r="T349" s="193"/>
      <c r="U349" s="193"/>
      <c r="V349" s="193"/>
      <c r="W349" s="193"/>
      <c r="X349" s="193"/>
      <c r="Y349" s="193"/>
      <c r="Z349" s="193"/>
      <c r="AA349" s="193"/>
      <c r="AB349" s="193"/>
      <c r="AC349" s="193"/>
    </row>
    <row r="350" spans="1:29" ht="15.75" customHeight="1">
      <c r="A350" s="193"/>
      <c r="B350" s="193"/>
      <c r="C350" s="193"/>
      <c r="D350" s="193"/>
      <c r="E350" s="193"/>
      <c r="F350" s="193"/>
      <c r="G350" s="193"/>
      <c r="H350" s="193"/>
      <c r="I350" s="193"/>
      <c r="J350" s="193"/>
      <c r="K350" s="193"/>
      <c r="L350" s="193"/>
      <c r="M350" s="193"/>
      <c r="N350" s="193"/>
      <c r="O350" s="193"/>
      <c r="P350" s="193"/>
      <c r="Q350" s="193"/>
      <c r="R350" s="193"/>
      <c r="S350" s="193"/>
      <c r="T350" s="193"/>
      <c r="U350" s="193"/>
      <c r="V350" s="193"/>
      <c r="W350" s="193"/>
      <c r="X350" s="193"/>
      <c r="Y350" s="193"/>
      <c r="Z350" s="193"/>
      <c r="AA350" s="193"/>
      <c r="AB350" s="193"/>
      <c r="AC350" s="193"/>
    </row>
    <row r="351" spans="1:29" ht="15.75" customHeight="1">
      <c r="A351" s="193"/>
      <c r="B351" s="193"/>
      <c r="C351" s="193"/>
      <c r="D351" s="193"/>
      <c r="E351" s="193"/>
      <c r="F351" s="193"/>
      <c r="G351" s="193"/>
      <c r="H351" s="193"/>
      <c r="I351" s="193"/>
      <c r="J351" s="193"/>
      <c r="K351" s="193"/>
      <c r="L351" s="193"/>
      <c r="M351" s="193"/>
      <c r="N351" s="193"/>
      <c r="O351" s="193"/>
      <c r="P351" s="193"/>
      <c r="Q351" s="193"/>
      <c r="R351" s="193"/>
      <c r="S351" s="193"/>
      <c r="T351" s="193"/>
      <c r="U351" s="193"/>
      <c r="V351" s="193"/>
      <c r="W351" s="193"/>
      <c r="X351" s="193"/>
      <c r="Y351" s="193"/>
      <c r="Z351" s="193"/>
      <c r="AA351" s="193"/>
      <c r="AB351" s="193"/>
      <c r="AC351" s="193"/>
    </row>
    <row r="352" spans="1:29" ht="15.75" customHeight="1">
      <c r="A352" s="193"/>
      <c r="B352" s="193"/>
      <c r="C352" s="193"/>
      <c r="D352" s="193"/>
      <c r="E352" s="193"/>
      <c r="F352" s="193"/>
      <c r="G352" s="193"/>
      <c r="H352" s="193"/>
      <c r="I352" s="193"/>
      <c r="J352" s="193"/>
      <c r="K352" s="193"/>
      <c r="L352" s="193"/>
      <c r="M352" s="193"/>
      <c r="N352" s="193"/>
      <c r="O352" s="193"/>
      <c r="P352" s="193"/>
      <c r="Q352" s="193"/>
      <c r="R352" s="193"/>
      <c r="S352" s="193"/>
      <c r="T352" s="193"/>
      <c r="U352" s="193"/>
      <c r="V352" s="193"/>
      <c r="W352" s="193"/>
      <c r="X352" s="193"/>
      <c r="Y352" s="193"/>
      <c r="Z352" s="193"/>
      <c r="AA352" s="193"/>
      <c r="AB352" s="193"/>
      <c r="AC352" s="193"/>
    </row>
    <row r="353" spans="1:29" ht="15.75" customHeight="1">
      <c r="A353" s="193"/>
      <c r="B353" s="193"/>
      <c r="C353" s="193"/>
      <c r="D353" s="193"/>
      <c r="E353" s="193"/>
      <c r="F353" s="193"/>
      <c r="G353" s="193"/>
      <c r="H353" s="193"/>
      <c r="I353" s="193"/>
      <c r="J353" s="193"/>
      <c r="K353" s="193"/>
      <c r="L353" s="193"/>
      <c r="M353" s="193"/>
      <c r="N353" s="193"/>
      <c r="O353" s="193"/>
      <c r="P353" s="193"/>
      <c r="Q353" s="193"/>
      <c r="R353" s="193"/>
      <c r="S353" s="193"/>
      <c r="T353" s="193"/>
      <c r="U353" s="193"/>
      <c r="V353" s="193"/>
      <c r="W353" s="193"/>
      <c r="X353" s="193"/>
      <c r="Y353" s="193"/>
      <c r="Z353" s="193"/>
      <c r="AA353" s="193"/>
      <c r="AB353" s="193"/>
      <c r="AC353" s="193"/>
    </row>
    <row r="354" spans="1:29" ht="15.75" customHeight="1">
      <c r="A354" s="193"/>
      <c r="B354" s="193"/>
      <c r="C354" s="193"/>
      <c r="D354" s="193"/>
      <c r="E354" s="193"/>
      <c r="F354" s="193"/>
      <c r="G354" s="193"/>
      <c r="H354" s="193"/>
      <c r="I354" s="193"/>
      <c r="J354" s="193"/>
      <c r="K354" s="193"/>
      <c r="L354" s="193"/>
      <c r="M354" s="193"/>
      <c r="N354" s="193"/>
      <c r="O354" s="193"/>
      <c r="P354" s="193"/>
      <c r="Q354" s="193"/>
      <c r="R354" s="193"/>
      <c r="S354" s="193"/>
      <c r="T354" s="193"/>
      <c r="U354" s="193"/>
      <c r="V354" s="193"/>
      <c r="W354" s="193"/>
      <c r="X354" s="193"/>
      <c r="Y354" s="193"/>
      <c r="Z354" s="193"/>
      <c r="AA354" s="193"/>
      <c r="AB354" s="193"/>
      <c r="AC354" s="193"/>
    </row>
    <row r="355" spans="1:29" ht="15.75" customHeight="1">
      <c r="A355" s="193"/>
      <c r="B355" s="193"/>
      <c r="C355" s="193"/>
      <c r="D355" s="193"/>
      <c r="E355" s="193"/>
      <c r="F355" s="193"/>
      <c r="G355" s="193"/>
      <c r="H355" s="193"/>
      <c r="I355" s="193"/>
      <c r="J355" s="193"/>
      <c r="K355" s="193"/>
      <c r="L355" s="193"/>
      <c r="M355" s="193"/>
      <c r="N355" s="193"/>
      <c r="O355" s="193"/>
      <c r="P355" s="193"/>
      <c r="Q355" s="193"/>
      <c r="R355" s="193"/>
      <c r="S355" s="193"/>
      <c r="T355" s="193"/>
      <c r="U355" s="193"/>
      <c r="V355" s="193"/>
      <c r="W355" s="193"/>
      <c r="X355" s="193"/>
      <c r="Y355" s="193"/>
      <c r="Z355" s="193"/>
      <c r="AA355" s="193"/>
      <c r="AB355" s="193"/>
      <c r="AC355" s="193"/>
    </row>
    <row r="356" spans="1:29" ht="15.75" customHeight="1">
      <c r="A356" s="193"/>
      <c r="B356" s="193"/>
      <c r="C356" s="193"/>
      <c r="D356" s="193"/>
      <c r="E356" s="193"/>
      <c r="F356" s="193"/>
      <c r="G356" s="193"/>
      <c r="H356" s="193"/>
      <c r="I356" s="193"/>
      <c r="J356" s="193"/>
      <c r="K356" s="193"/>
      <c r="L356" s="193"/>
      <c r="M356" s="193"/>
      <c r="N356" s="193"/>
      <c r="O356" s="193"/>
      <c r="P356" s="193"/>
      <c r="Q356" s="193"/>
      <c r="R356" s="193"/>
      <c r="S356" s="193"/>
      <c r="T356" s="193"/>
      <c r="U356" s="193"/>
      <c r="V356" s="193"/>
      <c r="W356" s="193"/>
      <c r="X356" s="193"/>
      <c r="Y356" s="193"/>
      <c r="Z356" s="193"/>
      <c r="AA356" s="193"/>
      <c r="AB356" s="193"/>
      <c r="AC356" s="193"/>
    </row>
    <row r="357" spans="1:29" ht="15.75" customHeight="1">
      <c r="A357" s="193"/>
      <c r="B357" s="193"/>
      <c r="C357" s="193"/>
      <c r="D357" s="193"/>
      <c r="E357" s="193"/>
      <c r="F357" s="193"/>
      <c r="G357" s="193"/>
      <c r="H357" s="193"/>
      <c r="I357" s="193"/>
      <c r="J357" s="193"/>
      <c r="K357" s="193"/>
      <c r="L357" s="193"/>
      <c r="M357" s="193"/>
      <c r="N357" s="193"/>
      <c r="O357" s="193"/>
      <c r="P357" s="193"/>
      <c r="Q357" s="193"/>
      <c r="R357" s="193"/>
      <c r="S357" s="193"/>
      <c r="T357" s="193"/>
      <c r="U357" s="193"/>
      <c r="V357" s="193"/>
      <c r="W357" s="193"/>
      <c r="X357" s="193"/>
      <c r="Y357" s="193"/>
      <c r="Z357" s="193"/>
      <c r="AA357" s="193"/>
      <c r="AB357" s="193"/>
      <c r="AC357" s="193"/>
    </row>
    <row r="358" spans="1:29" ht="15.75" customHeight="1">
      <c r="A358" s="193"/>
      <c r="B358" s="193"/>
      <c r="C358" s="193"/>
      <c r="D358" s="193"/>
      <c r="E358" s="193"/>
      <c r="F358" s="193"/>
      <c r="G358" s="193"/>
      <c r="H358" s="193"/>
      <c r="I358" s="193"/>
      <c r="J358" s="193"/>
      <c r="K358" s="193"/>
      <c r="L358" s="193"/>
      <c r="M358" s="193"/>
      <c r="N358" s="193"/>
      <c r="O358" s="193"/>
      <c r="P358" s="193"/>
      <c r="Q358" s="193"/>
      <c r="R358" s="193"/>
      <c r="S358" s="193"/>
      <c r="T358" s="193"/>
      <c r="U358" s="193"/>
      <c r="V358" s="193"/>
      <c r="W358" s="193"/>
      <c r="X358" s="193"/>
      <c r="Y358" s="193"/>
      <c r="Z358" s="193"/>
      <c r="AA358" s="193"/>
      <c r="AB358" s="193"/>
      <c r="AC358" s="193"/>
    </row>
    <row r="359" spans="1:29" ht="15.75" customHeight="1">
      <c r="A359" s="193"/>
      <c r="B359" s="193"/>
      <c r="C359" s="193"/>
      <c r="D359" s="193"/>
      <c r="E359" s="193"/>
      <c r="F359" s="193"/>
      <c r="G359" s="193"/>
      <c r="H359" s="193"/>
      <c r="I359" s="193"/>
      <c r="J359" s="193"/>
      <c r="K359" s="193"/>
      <c r="L359" s="193"/>
      <c r="M359" s="193"/>
      <c r="N359" s="193"/>
      <c r="O359" s="193"/>
      <c r="P359" s="193"/>
      <c r="Q359" s="193"/>
      <c r="R359" s="193"/>
      <c r="S359" s="193"/>
      <c r="T359" s="193"/>
      <c r="U359" s="193"/>
      <c r="V359" s="193"/>
      <c r="W359" s="193"/>
      <c r="X359" s="193"/>
      <c r="Y359" s="193"/>
      <c r="Z359" s="193"/>
      <c r="AA359" s="193"/>
      <c r="AB359" s="193"/>
      <c r="AC359" s="193"/>
    </row>
    <row r="360" spans="1:29" ht="15.75" customHeight="1">
      <c r="A360" s="193"/>
      <c r="B360" s="193"/>
      <c r="C360" s="193"/>
      <c r="D360" s="193"/>
      <c r="E360" s="193"/>
      <c r="F360" s="193"/>
      <c r="G360" s="193"/>
      <c r="H360" s="193"/>
      <c r="I360" s="193"/>
      <c r="J360" s="193"/>
      <c r="K360" s="193"/>
      <c r="L360" s="193"/>
      <c r="M360" s="193"/>
      <c r="N360" s="193"/>
      <c r="O360" s="193"/>
      <c r="P360" s="193"/>
      <c r="Q360" s="193"/>
      <c r="R360" s="193"/>
      <c r="S360" s="193"/>
      <c r="T360" s="193"/>
      <c r="U360" s="193"/>
      <c r="V360" s="193"/>
      <c r="W360" s="193"/>
      <c r="X360" s="193"/>
      <c r="Y360" s="193"/>
      <c r="Z360" s="193"/>
      <c r="AA360" s="193"/>
      <c r="AB360" s="193"/>
      <c r="AC360" s="193"/>
    </row>
    <row r="361" spans="1:29" ht="15.75" customHeight="1">
      <c r="A361" s="193"/>
      <c r="B361" s="193"/>
      <c r="C361" s="193"/>
      <c r="D361" s="193"/>
      <c r="E361" s="193"/>
      <c r="F361" s="193"/>
      <c r="G361" s="193"/>
      <c r="H361" s="193"/>
      <c r="I361" s="193"/>
      <c r="J361" s="193"/>
      <c r="K361" s="193"/>
      <c r="L361" s="193"/>
      <c r="M361" s="193"/>
      <c r="N361" s="193"/>
      <c r="O361" s="193"/>
      <c r="P361" s="193"/>
      <c r="Q361" s="193"/>
      <c r="R361" s="193"/>
      <c r="S361" s="193"/>
      <c r="T361" s="193"/>
      <c r="U361" s="193"/>
      <c r="V361" s="193"/>
      <c r="W361" s="193"/>
      <c r="X361" s="193"/>
      <c r="Y361" s="193"/>
      <c r="Z361" s="193"/>
      <c r="AA361" s="193"/>
      <c r="AB361" s="193"/>
      <c r="AC361" s="193"/>
    </row>
    <row r="362" spans="1:29" ht="15.75" customHeight="1">
      <c r="A362" s="193"/>
      <c r="B362" s="193"/>
      <c r="C362" s="193"/>
      <c r="D362" s="193"/>
      <c r="E362" s="193"/>
      <c r="F362" s="193"/>
      <c r="G362" s="193"/>
      <c r="H362" s="193"/>
      <c r="I362" s="193"/>
      <c r="J362" s="193"/>
      <c r="K362" s="193"/>
      <c r="L362" s="193"/>
      <c r="M362" s="193"/>
      <c r="N362" s="193"/>
      <c r="O362" s="193"/>
      <c r="P362" s="193"/>
      <c r="Q362" s="193"/>
      <c r="R362" s="193"/>
      <c r="S362" s="193"/>
      <c r="T362" s="193"/>
      <c r="U362" s="193"/>
      <c r="V362" s="193"/>
      <c r="W362" s="193"/>
      <c r="X362" s="193"/>
      <c r="Y362" s="193"/>
      <c r="Z362" s="193"/>
      <c r="AA362" s="193"/>
      <c r="AB362" s="193"/>
      <c r="AC362" s="193"/>
    </row>
    <row r="363" spans="1:29" ht="15.75" customHeight="1">
      <c r="A363" s="193"/>
      <c r="B363" s="193"/>
      <c r="C363" s="193"/>
      <c r="D363" s="193"/>
      <c r="E363" s="193"/>
      <c r="F363" s="193"/>
      <c r="G363" s="193"/>
      <c r="H363" s="193"/>
      <c r="I363" s="193"/>
      <c r="J363" s="193"/>
      <c r="K363" s="193"/>
      <c r="L363" s="193"/>
      <c r="M363" s="193"/>
      <c r="N363" s="193"/>
      <c r="O363" s="193"/>
      <c r="P363" s="193"/>
      <c r="Q363" s="193"/>
      <c r="R363" s="193"/>
      <c r="S363" s="193"/>
      <c r="T363" s="193"/>
      <c r="U363" s="193"/>
      <c r="V363" s="193"/>
      <c r="W363" s="193"/>
      <c r="X363" s="193"/>
      <c r="Y363" s="193"/>
      <c r="Z363" s="193"/>
      <c r="AA363" s="193"/>
      <c r="AB363" s="193"/>
      <c r="AC363" s="193"/>
    </row>
    <row r="364" spans="1:29" ht="15.75" customHeight="1">
      <c r="A364" s="193"/>
      <c r="B364" s="193"/>
      <c r="C364" s="193"/>
      <c r="D364" s="193"/>
      <c r="E364" s="193"/>
      <c r="F364" s="193"/>
      <c r="G364" s="193"/>
      <c r="H364" s="193"/>
      <c r="I364" s="193"/>
      <c r="J364" s="193"/>
      <c r="K364" s="193"/>
      <c r="L364" s="193"/>
      <c r="M364" s="193"/>
      <c r="N364" s="193"/>
      <c r="O364" s="193"/>
      <c r="P364" s="193"/>
      <c r="Q364" s="193"/>
      <c r="R364" s="193"/>
      <c r="S364" s="193"/>
      <c r="T364" s="193"/>
      <c r="U364" s="193"/>
      <c r="V364" s="193"/>
      <c r="W364" s="193"/>
      <c r="X364" s="193"/>
      <c r="Y364" s="193"/>
      <c r="Z364" s="193"/>
      <c r="AA364" s="193"/>
      <c r="AB364" s="193"/>
      <c r="AC364" s="193"/>
    </row>
    <row r="365" spans="1:29" ht="15.75" customHeight="1">
      <c r="A365" s="193"/>
      <c r="B365" s="193"/>
      <c r="C365" s="193"/>
      <c r="D365" s="193"/>
      <c r="E365" s="193"/>
      <c r="F365" s="193"/>
      <c r="G365" s="193"/>
      <c r="H365" s="193"/>
      <c r="I365" s="193"/>
      <c r="J365" s="193"/>
      <c r="K365" s="193"/>
      <c r="L365" s="193"/>
      <c r="M365" s="193"/>
      <c r="N365" s="193"/>
      <c r="O365" s="193"/>
      <c r="P365" s="193"/>
      <c r="Q365" s="193"/>
      <c r="R365" s="193"/>
      <c r="S365" s="193"/>
      <c r="T365" s="193"/>
      <c r="U365" s="193"/>
      <c r="V365" s="193"/>
      <c r="W365" s="193"/>
      <c r="X365" s="193"/>
      <c r="Y365" s="193"/>
      <c r="Z365" s="193"/>
      <c r="AA365" s="193"/>
      <c r="AB365" s="193"/>
      <c r="AC365" s="193"/>
    </row>
    <row r="366" spans="1:29" ht="15.75" customHeight="1">
      <c r="A366" s="193"/>
      <c r="B366" s="193"/>
      <c r="C366" s="193"/>
      <c r="D366" s="193"/>
      <c r="E366" s="193"/>
      <c r="F366" s="193"/>
      <c r="G366" s="193"/>
      <c r="H366" s="193"/>
      <c r="I366" s="193"/>
      <c r="J366" s="193"/>
      <c r="K366" s="193"/>
      <c r="L366" s="193"/>
      <c r="M366" s="193"/>
      <c r="N366" s="193"/>
      <c r="O366" s="193"/>
      <c r="P366" s="193"/>
      <c r="Q366" s="193"/>
      <c r="R366" s="193"/>
      <c r="S366" s="193"/>
      <c r="T366" s="193"/>
      <c r="U366" s="193"/>
      <c r="V366" s="193"/>
      <c r="W366" s="193"/>
      <c r="X366" s="193"/>
      <c r="Y366" s="193"/>
      <c r="Z366" s="193"/>
      <c r="AA366" s="193"/>
      <c r="AB366" s="193"/>
      <c r="AC366" s="193"/>
    </row>
    <row r="367" spans="1:29" ht="15.75" customHeight="1">
      <c r="A367" s="193"/>
      <c r="B367" s="193"/>
      <c r="C367" s="193"/>
      <c r="D367" s="193"/>
      <c r="E367" s="193"/>
      <c r="F367" s="193"/>
      <c r="G367" s="193"/>
      <c r="H367" s="193"/>
      <c r="I367" s="193"/>
      <c r="J367" s="193"/>
      <c r="K367" s="193"/>
      <c r="L367" s="193"/>
      <c r="M367" s="193"/>
      <c r="N367" s="193"/>
      <c r="O367" s="193"/>
      <c r="P367" s="193"/>
      <c r="Q367" s="193"/>
      <c r="R367" s="193"/>
      <c r="S367" s="193"/>
      <c r="T367" s="193"/>
      <c r="U367" s="193"/>
      <c r="V367" s="193"/>
      <c r="W367" s="193"/>
      <c r="X367" s="193"/>
      <c r="Y367" s="193"/>
      <c r="Z367" s="193"/>
      <c r="AA367" s="193"/>
      <c r="AB367" s="193"/>
      <c r="AC367" s="193"/>
    </row>
    <row r="368" spans="1:29" ht="15.75" customHeight="1">
      <c r="A368" s="193"/>
      <c r="B368" s="193"/>
      <c r="C368" s="193"/>
      <c r="D368" s="193"/>
      <c r="E368" s="193"/>
      <c r="F368" s="193"/>
      <c r="G368" s="193"/>
      <c r="H368" s="193"/>
      <c r="I368" s="193"/>
      <c r="J368" s="193"/>
      <c r="K368" s="193"/>
      <c r="L368" s="193"/>
      <c r="M368" s="193"/>
      <c r="N368" s="193"/>
      <c r="O368" s="193"/>
      <c r="P368" s="193"/>
      <c r="Q368" s="193"/>
      <c r="R368" s="193"/>
      <c r="S368" s="193"/>
      <c r="T368" s="193"/>
      <c r="U368" s="193"/>
      <c r="V368" s="193"/>
      <c r="W368" s="193"/>
      <c r="X368" s="193"/>
      <c r="Y368" s="193"/>
      <c r="Z368" s="193"/>
      <c r="AA368" s="193"/>
      <c r="AB368" s="193"/>
      <c r="AC368" s="193"/>
    </row>
    <row r="369" spans="1:29" ht="15.75" customHeight="1">
      <c r="A369" s="193"/>
      <c r="B369" s="193"/>
      <c r="C369" s="193"/>
      <c r="D369" s="193"/>
      <c r="E369" s="193"/>
      <c r="F369" s="193"/>
      <c r="G369" s="193"/>
      <c r="H369" s="193"/>
      <c r="I369" s="193"/>
      <c r="J369" s="193"/>
      <c r="K369" s="193"/>
      <c r="L369" s="193"/>
      <c r="M369" s="193"/>
      <c r="N369" s="193"/>
      <c r="O369" s="193"/>
      <c r="P369" s="193"/>
      <c r="Q369" s="193"/>
      <c r="R369" s="193"/>
      <c r="S369" s="193"/>
      <c r="T369" s="193"/>
      <c r="U369" s="193"/>
      <c r="V369" s="193"/>
      <c r="W369" s="193"/>
      <c r="X369" s="193"/>
      <c r="Y369" s="193"/>
      <c r="Z369" s="193"/>
      <c r="AA369" s="193"/>
      <c r="AB369" s="193"/>
      <c r="AC369" s="193"/>
    </row>
    <row r="370" spans="1:29" ht="15.75" customHeight="1">
      <c r="A370" s="193"/>
      <c r="B370" s="193"/>
      <c r="C370" s="193"/>
      <c r="D370" s="193"/>
      <c r="E370" s="193"/>
      <c r="F370" s="193"/>
      <c r="G370" s="193"/>
      <c r="H370" s="193"/>
      <c r="I370" s="193"/>
      <c r="J370" s="193"/>
      <c r="K370" s="193"/>
      <c r="L370" s="193"/>
      <c r="M370" s="193"/>
      <c r="N370" s="193"/>
      <c r="O370" s="193"/>
      <c r="P370" s="193"/>
      <c r="Q370" s="193"/>
      <c r="R370" s="193"/>
      <c r="S370" s="193"/>
      <c r="T370" s="193"/>
      <c r="U370" s="193"/>
      <c r="V370" s="193"/>
      <c r="W370" s="193"/>
      <c r="X370" s="193"/>
      <c r="Y370" s="193"/>
      <c r="Z370" s="193"/>
      <c r="AA370" s="193"/>
      <c r="AB370" s="193"/>
      <c r="AC370" s="193"/>
    </row>
    <row r="371" spans="1:29" ht="15.75" customHeight="1">
      <c r="A371" s="193"/>
      <c r="B371" s="193"/>
      <c r="C371" s="193"/>
      <c r="D371" s="193"/>
      <c r="E371" s="193"/>
      <c r="F371" s="193"/>
      <c r="G371" s="193"/>
      <c r="H371" s="193"/>
      <c r="I371" s="193"/>
      <c r="J371" s="193"/>
      <c r="K371" s="193"/>
      <c r="L371" s="193"/>
      <c r="M371" s="193"/>
      <c r="N371" s="193"/>
      <c r="O371" s="193"/>
      <c r="P371" s="193"/>
      <c r="Q371" s="193"/>
      <c r="R371" s="193"/>
      <c r="S371" s="193"/>
      <c r="T371" s="193"/>
      <c r="U371" s="193"/>
      <c r="V371" s="193"/>
      <c r="W371" s="193"/>
      <c r="X371" s="193"/>
      <c r="Y371" s="193"/>
      <c r="Z371" s="193"/>
      <c r="AA371" s="193"/>
      <c r="AB371" s="193"/>
      <c r="AC371" s="193"/>
    </row>
    <row r="372" spans="1:29" ht="15.75" customHeight="1">
      <c r="A372" s="193"/>
      <c r="B372" s="193"/>
      <c r="C372" s="193"/>
      <c r="D372" s="193"/>
      <c r="E372" s="193"/>
      <c r="F372" s="193"/>
      <c r="G372" s="193"/>
      <c r="H372" s="193"/>
      <c r="I372" s="193"/>
      <c r="J372" s="193"/>
      <c r="K372" s="193"/>
      <c r="L372" s="193"/>
      <c r="M372" s="193"/>
      <c r="N372" s="193"/>
      <c r="O372" s="193"/>
      <c r="P372" s="193"/>
      <c r="Q372" s="193"/>
      <c r="R372" s="193"/>
      <c r="S372" s="193"/>
      <c r="T372" s="193"/>
      <c r="U372" s="193"/>
      <c r="V372" s="193"/>
      <c r="W372" s="193"/>
      <c r="X372" s="193"/>
      <c r="Y372" s="193"/>
      <c r="Z372" s="193"/>
      <c r="AA372" s="193"/>
      <c r="AB372" s="193"/>
      <c r="AC372" s="193"/>
    </row>
    <row r="373" spans="1:29" ht="15.75" customHeight="1">
      <c r="A373" s="193"/>
      <c r="B373" s="193"/>
      <c r="C373" s="193"/>
      <c r="D373" s="193"/>
      <c r="E373" s="193"/>
      <c r="F373" s="193"/>
      <c r="G373" s="193"/>
      <c r="H373" s="193"/>
      <c r="I373" s="193"/>
      <c r="J373" s="193"/>
      <c r="K373" s="193"/>
      <c r="L373" s="193"/>
      <c r="M373" s="193"/>
      <c r="N373" s="193"/>
      <c r="O373" s="193"/>
      <c r="P373" s="193"/>
      <c r="Q373" s="193"/>
      <c r="R373" s="193"/>
      <c r="S373" s="193"/>
      <c r="T373" s="193"/>
      <c r="U373" s="193"/>
      <c r="V373" s="193"/>
      <c r="W373" s="193"/>
      <c r="X373" s="193"/>
      <c r="Y373" s="193"/>
      <c r="Z373" s="193"/>
      <c r="AA373" s="193"/>
      <c r="AB373" s="193"/>
      <c r="AC373" s="193"/>
    </row>
    <row r="374" spans="1:29" ht="15.75" customHeight="1">
      <c r="A374" s="193"/>
      <c r="B374" s="193"/>
      <c r="C374" s="193"/>
      <c r="D374" s="193"/>
      <c r="E374" s="193"/>
      <c r="F374" s="193"/>
      <c r="G374" s="193"/>
      <c r="H374" s="193"/>
      <c r="I374" s="193"/>
      <c r="J374" s="193"/>
      <c r="K374" s="193"/>
      <c r="L374" s="193"/>
      <c r="M374" s="193"/>
      <c r="N374" s="193"/>
      <c r="O374" s="193"/>
      <c r="P374" s="193"/>
      <c r="Q374" s="193"/>
      <c r="R374" s="193"/>
      <c r="S374" s="193"/>
      <c r="T374" s="193"/>
      <c r="U374" s="193"/>
      <c r="V374" s="193"/>
      <c r="W374" s="193"/>
      <c r="X374" s="193"/>
      <c r="Y374" s="193"/>
      <c r="Z374" s="193"/>
      <c r="AA374" s="193"/>
      <c r="AB374" s="193"/>
      <c r="AC374" s="193"/>
    </row>
    <row r="375" spans="1:29" ht="15.75" customHeight="1">
      <c r="A375" s="193"/>
      <c r="B375" s="193"/>
      <c r="C375" s="193"/>
      <c r="D375" s="193"/>
      <c r="E375" s="193"/>
      <c r="F375" s="193"/>
      <c r="G375" s="193"/>
      <c r="H375" s="193"/>
      <c r="I375" s="193"/>
      <c r="J375" s="193"/>
      <c r="K375" s="193"/>
      <c r="L375" s="193"/>
      <c r="M375" s="193"/>
      <c r="N375" s="193"/>
      <c r="O375" s="193"/>
      <c r="P375" s="193"/>
      <c r="Q375" s="193"/>
      <c r="R375" s="193"/>
      <c r="S375" s="193"/>
      <c r="T375" s="193"/>
      <c r="U375" s="193"/>
      <c r="V375" s="193"/>
      <c r="W375" s="193"/>
      <c r="X375" s="193"/>
      <c r="Y375" s="193"/>
      <c r="Z375" s="193"/>
      <c r="AA375" s="193"/>
      <c r="AB375" s="193"/>
      <c r="AC375" s="193"/>
    </row>
    <row r="376" spans="1:29" ht="15.75" customHeight="1">
      <c r="A376" s="193"/>
      <c r="B376" s="193"/>
      <c r="C376" s="193"/>
      <c r="D376" s="193"/>
      <c r="E376" s="193"/>
      <c r="F376" s="193"/>
      <c r="G376" s="193"/>
      <c r="H376" s="193"/>
      <c r="I376" s="193"/>
      <c r="J376" s="193"/>
      <c r="K376" s="193"/>
      <c r="L376" s="193"/>
      <c r="M376" s="193"/>
      <c r="N376" s="193"/>
      <c r="O376" s="193"/>
      <c r="P376" s="193"/>
      <c r="Q376" s="193"/>
      <c r="R376" s="193"/>
      <c r="S376" s="193"/>
      <c r="T376" s="193"/>
      <c r="U376" s="193"/>
      <c r="V376" s="193"/>
      <c r="W376" s="193"/>
      <c r="X376" s="193"/>
      <c r="Y376" s="193"/>
      <c r="Z376" s="193"/>
      <c r="AA376" s="193"/>
      <c r="AB376" s="193"/>
      <c r="AC376" s="193"/>
    </row>
    <row r="377" spans="1:29" ht="15.75" customHeight="1">
      <c r="A377" s="193"/>
      <c r="B377" s="193"/>
      <c r="C377" s="193"/>
      <c r="D377" s="193"/>
      <c r="E377" s="193"/>
      <c r="F377" s="193"/>
      <c r="G377" s="193"/>
      <c r="H377" s="193"/>
      <c r="I377" s="193"/>
      <c r="J377" s="193"/>
      <c r="K377" s="193"/>
      <c r="L377" s="193"/>
      <c r="M377" s="193"/>
      <c r="N377" s="193"/>
      <c r="O377" s="193"/>
      <c r="P377" s="193"/>
      <c r="Q377" s="193"/>
      <c r="R377" s="193"/>
      <c r="S377" s="193"/>
      <c r="T377" s="193"/>
      <c r="U377" s="193"/>
      <c r="V377" s="193"/>
      <c r="W377" s="193"/>
      <c r="X377" s="193"/>
      <c r="Y377" s="193"/>
      <c r="Z377" s="193"/>
      <c r="AA377" s="193"/>
      <c r="AB377" s="193"/>
      <c r="AC377" s="193"/>
    </row>
    <row r="378" spans="1:29" ht="15.75" customHeight="1">
      <c r="A378" s="193"/>
      <c r="B378" s="193"/>
      <c r="C378" s="193"/>
      <c r="D378" s="193"/>
      <c r="E378" s="193"/>
      <c r="F378" s="193"/>
      <c r="G378" s="193"/>
      <c r="H378" s="193"/>
      <c r="I378" s="193"/>
      <c r="J378" s="193"/>
      <c r="K378" s="193"/>
      <c r="L378" s="193"/>
      <c r="M378" s="193"/>
      <c r="N378" s="193"/>
      <c r="O378" s="193"/>
      <c r="P378" s="193"/>
      <c r="Q378" s="193"/>
      <c r="R378" s="193"/>
      <c r="S378" s="193"/>
      <c r="T378" s="193"/>
      <c r="U378" s="193"/>
      <c r="V378" s="193"/>
      <c r="W378" s="193"/>
      <c r="X378" s="193"/>
      <c r="Y378" s="193"/>
      <c r="Z378" s="193"/>
      <c r="AA378" s="193"/>
      <c r="AB378" s="193"/>
      <c r="AC378" s="193"/>
    </row>
    <row r="379" spans="1:29" ht="15.75" customHeight="1">
      <c r="A379" s="193"/>
      <c r="B379" s="193"/>
      <c r="C379" s="193"/>
      <c r="D379" s="193"/>
      <c r="E379" s="193"/>
      <c r="F379" s="193"/>
      <c r="G379" s="193"/>
      <c r="H379" s="193"/>
      <c r="I379" s="193"/>
      <c r="J379" s="193"/>
      <c r="K379" s="193"/>
      <c r="L379" s="193"/>
      <c r="M379" s="193"/>
      <c r="N379" s="193"/>
      <c r="O379" s="193"/>
      <c r="P379" s="193"/>
      <c r="Q379" s="193"/>
      <c r="R379" s="193"/>
      <c r="S379" s="193"/>
      <c r="T379" s="193"/>
      <c r="U379" s="193"/>
      <c r="V379" s="193"/>
      <c r="W379" s="193"/>
      <c r="X379" s="193"/>
      <c r="Y379" s="193"/>
      <c r="Z379" s="193"/>
      <c r="AA379" s="193"/>
      <c r="AB379" s="193"/>
      <c r="AC379" s="193"/>
    </row>
    <row r="380" spans="1:29" ht="15.75" customHeight="1">
      <c r="A380" s="193"/>
      <c r="B380" s="193"/>
      <c r="C380" s="193"/>
      <c r="D380" s="193"/>
      <c r="E380" s="193"/>
      <c r="F380" s="193"/>
      <c r="G380" s="193"/>
      <c r="H380" s="193"/>
      <c r="I380" s="193"/>
      <c r="J380" s="193"/>
      <c r="K380" s="193"/>
      <c r="L380" s="193"/>
      <c r="M380" s="193"/>
      <c r="N380" s="193"/>
      <c r="O380" s="193"/>
      <c r="P380" s="193"/>
      <c r="Q380" s="193"/>
      <c r="R380" s="193"/>
      <c r="S380" s="193"/>
      <c r="T380" s="193"/>
      <c r="U380" s="193"/>
      <c r="V380" s="193"/>
      <c r="W380" s="193"/>
      <c r="X380" s="193"/>
      <c r="Y380" s="193"/>
      <c r="Z380" s="193"/>
      <c r="AA380" s="193"/>
      <c r="AB380" s="193"/>
      <c r="AC380" s="193"/>
    </row>
    <row r="381" spans="1:29" ht="15.75" customHeight="1">
      <c r="A381" s="193"/>
      <c r="B381" s="193"/>
      <c r="C381" s="193"/>
      <c r="D381" s="193"/>
      <c r="E381" s="193"/>
      <c r="F381" s="193"/>
      <c r="G381" s="193"/>
      <c r="H381" s="193"/>
      <c r="I381" s="193"/>
      <c r="J381" s="193"/>
      <c r="K381" s="193"/>
      <c r="L381" s="193"/>
      <c r="M381" s="193"/>
      <c r="N381" s="193"/>
      <c r="O381" s="193"/>
      <c r="P381" s="193"/>
      <c r="Q381" s="193"/>
      <c r="R381" s="193"/>
      <c r="S381" s="193"/>
      <c r="T381" s="193"/>
      <c r="U381" s="193"/>
      <c r="V381" s="193"/>
      <c r="W381" s="193"/>
      <c r="X381" s="193"/>
      <c r="Y381" s="193"/>
      <c r="Z381" s="193"/>
      <c r="AA381" s="193"/>
      <c r="AB381" s="193"/>
      <c r="AC381" s="193"/>
    </row>
    <row r="382" spans="1:29" ht="15.75" customHeight="1">
      <c r="A382" s="193"/>
      <c r="B382" s="193"/>
      <c r="C382" s="193"/>
      <c r="D382" s="193"/>
      <c r="E382" s="193"/>
      <c r="F382" s="193"/>
      <c r="G382" s="193"/>
      <c r="H382" s="193"/>
      <c r="I382" s="193"/>
      <c r="J382" s="193"/>
      <c r="K382" s="193"/>
      <c r="L382" s="193"/>
      <c r="M382" s="193"/>
      <c r="N382" s="193"/>
      <c r="O382" s="193"/>
      <c r="P382" s="193"/>
      <c r="Q382" s="193"/>
      <c r="R382" s="193"/>
      <c r="S382" s="193"/>
      <c r="T382" s="193"/>
      <c r="U382" s="193"/>
      <c r="V382" s="193"/>
      <c r="W382" s="193"/>
      <c r="X382" s="193"/>
      <c r="Y382" s="193"/>
      <c r="Z382" s="193"/>
      <c r="AA382" s="193"/>
      <c r="AB382" s="193"/>
      <c r="AC382" s="193"/>
    </row>
    <row r="383" spans="1:29" ht="15.75" customHeight="1">
      <c r="A383" s="193"/>
      <c r="B383" s="193"/>
      <c r="C383" s="193"/>
      <c r="D383" s="193"/>
      <c r="E383" s="193"/>
      <c r="F383" s="193"/>
      <c r="G383" s="193"/>
      <c r="H383" s="193"/>
      <c r="I383" s="193"/>
      <c r="J383" s="193"/>
      <c r="K383" s="193"/>
      <c r="L383" s="193"/>
      <c r="M383" s="193"/>
      <c r="N383" s="193"/>
      <c r="O383" s="193"/>
      <c r="P383" s="193"/>
      <c r="Q383" s="193"/>
      <c r="R383" s="193"/>
      <c r="S383" s="193"/>
      <c r="T383" s="193"/>
      <c r="U383" s="193"/>
      <c r="V383" s="193"/>
      <c r="W383" s="193"/>
      <c r="X383" s="193"/>
      <c r="Y383" s="193"/>
      <c r="Z383" s="193"/>
      <c r="AA383" s="193"/>
      <c r="AB383" s="193"/>
      <c r="AC383" s="193"/>
    </row>
    <row r="384" spans="1:29" ht="15.75" customHeight="1">
      <c r="A384" s="193"/>
      <c r="B384" s="193"/>
      <c r="C384" s="193"/>
      <c r="D384" s="193"/>
      <c r="E384" s="193"/>
      <c r="F384" s="193"/>
      <c r="G384" s="193"/>
      <c r="H384" s="193"/>
      <c r="I384" s="193"/>
      <c r="J384" s="193"/>
      <c r="K384" s="193"/>
      <c r="L384" s="193"/>
      <c r="M384" s="193"/>
      <c r="N384" s="193"/>
      <c r="O384" s="193"/>
      <c r="P384" s="193"/>
      <c r="Q384" s="193"/>
      <c r="R384" s="193"/>
      <c r="S384" s="193"/>
      <c r="T384" s="193"/>
      <c r="U384" s="193"/>
      <c r="V384" s="193"/>
      <c r="W384" s="193"/>
      <c r="X384" s="193"/>
      <c r="Y384" s="193"/>
      <c r="Z384" s="193"/>
      <c r="AA384" s="193"/>
      <c r="AB384" s="193"/>
      <c r="AC384" s="193"/>
    </row>
    <row r="385" spans="1:29" ht="15.75" customHeight="1">
      <c r="A385" s="193"/>
      <c r="B385" s="193"/>
      <c r="C385" s="193"/>
      <c r="D385" s="193"/>
      <c r="E385" s="193"/>
      <c r="F385" s="193"/>
      <c r="G385" s="193"/>
      <c r="H385" s="193"/>
      <c r="I385" s="193"/>
      <c r="J385" s="193"/>
      <c r="K385" s="193"/>
      <c r="L385" s="193"/>
      <c r="M385" s="193"/>
      <c r="N385" s="193"/>
      <c r="O385" s="193"/>
      <c r="P385" s="193"/>
      <c r="Q385" s="193"/>
      <c r="R385" s="193"/>
      <c r="S385" s="193"/>
      <c r="T385" s="193"/>
      <c r="U385" s="193"/>
      <c r="V385" s="193"/>
      <c r="W385" s="193"/>
      <c r="X385" s="193"/>
      <c r="Y385" s="193"/>
      <c r="Z385" s="193"/>
      <c r="AA385" s="193"/>
      <c r="AB385" s="193"/>
      <c r="AC385" s="193"/>
    </row>
    <row r="386" spans="1:29" ht="15.75" customHeight="1">
      <c r="A386" s="193"/>
      <c r="B386" s="193"/>
      <c r="C386" s="193"/>
      <c r="D386" s="193"/>
      <c r="E386" s="193"/>
      <c r="F386" s="193"/>
      <c r="G386" s="193"/>
      <c r="H386" s="193"/>
      <c r="I386" s="193"/>
      <c r="J386" s="193"/>
      <c r="K386" s="193"/>
      <c r="L386" s="193"/>
      <c r="M386" s="193"/>
      <c r="N386" s="193"/>
      <c r="O386" s="193"/>
      <c r="P386" s="193"/>
      <c r="Q386" s="193"/>
      <c r="R386" s="193"/>
      <c r="S386" s="193"/>
      <c r="T386" s="193"/>
      <c r="U386" s="193"/>
      <c r="V386" s="193"/>
      <c r="W386" s="193"/>
      <c r="X386" s="193"/>
      <c r="Y386" s="193"/>
      <c r="Z386" s="193"/>
      <c r="AA386" s="193"/>
      <c r="AB386" s="193"/>
      <c r="AC386" s="193"/>
    </row>
    <row r="387" spans="1:29" ht="15.75" customHeight="1">
      <c r="A387" s="193"/>
      <c r="B387" s="193"/>
      <c r="C387" s="193"/>
      <c r="D387" s="193"/>
      <c r="E387" s="193"/>
      <c r="F387" s="193"/>
      <c r="G387" s="193"/>
      <c r="H387" s="193"/>
      <c r="I387" s="193"/>
      <c r="J387" s="193"/>
      <c r="K387" s="193"/>
      <c r="L387" s="193"/>
      <c r="M387" s="193"/>
      <c r="N387" s="193"/>
      <c r="O387" s="193"/>
      <c r="P387" s="193"/>
      <c r="Q387" s="193"/>
      <c r="R387" s="193"/>
      <c r="S387" s="193"/>
      <c r="T387" s="193"/>
      <c r="U387" s="193"/>
      <c r="V387" s="193"/>
      <c r="W387" s="193"/>
      <c r="X387" s="193"/>
      <c r="Y387" s="193"/>
      <c r="Z387" s="193"/>
      <c r="AA387" s="193"/>
      <c r="AB387" s="193"/>
      <c r="AC387" s="193"/>
    </row>
    <row r="388" spans="1:29" ht="15.75" customHeight="1">
      <c r="A388" s="193"/>
      <c r="B388" s="193"/>
      <c r="C388" s="193"/>
      <c r="D388" s="193"/>
      <c r="E388" s="193"/>
      <c r="F388" s="193"/>
      <c r="G388" s="193"/>
      <c r="H388" s="193"/>
      <c r="I388" s="193"/>
      <c r="J388" s="193"/>
      <c r="K388" s="193"/>
      <c r="L388" s="193"/>
      <c r="M388" s="193"/>
      <c r="N388" s="193"/>
      <c r="O388" s="193"/>
      <c r="P388" s="193"/>
      <c r="Q388" s="193"/>
      <c r="R388" s="193"/>
      <c r="S388" s="193"/>
      <c r="T388" s="193"/>
      <c r="U388" s="193"/>
      <c r="V388" s="193"/>
      <c r="W388" s="193"/>
      <c r="X388" s="193"/>
      <c r="Y388" s="193"/>
      <c r="Z388" s="193"/>
      <c r="AA388" s="193"/>
      <c r="AB388" s="193"/>
      <c r="AC388" s="193"/>
    </row>
    <row r="389" spans="1:29" ht="15.75" customHeight="1">
      <c r="A389" s="193"/>
      <c r="B389" s="193"/>
      <c r="C389" s="193"/>
      <c r="D389" s="193"/>
      <c r="E389" s="193"/>
      <c r="F389" s="193"/>
      <c r="G389" s="193"/>
      <c r="H389" s="193"/>
      <c r="I389" s="193"/>
      <c r="J389" s="193"/>
      <c r="K389" s="193"/>
      <c r="L389" s="193"/>
      <c r="M389" s="193"/>
      <c r="N389" s="193"/>
      <c r="O389" s="193"/>
      <c r="P389" s="193"/>
      <c r="Q389" s="193"/>
      <c r="R389" s="193"/>
      <c r="S389" s="193"/>
      <c r="T389" s="193"/>
      <c r="U389" s="193"/>
      <c r="V389" s="193"/>
      <c r="W389" s="193"/>
      <c r="X389" s="193"/>
      <c r="Y389" s="193"/>
      <c r="Z389" s="193"/>
      <c r="AA389" s="193"/>
      <c r="AB389" s="193"/>
      <c r="AC389" s="193"/>
    </row>
    <row r="390" spans="1:29" ht="15.75" customHeight="1">
      <c r="A390" s="193"/>
      <c r="B390" s="193"/>
      <c r="C390" s="193"/>
      <c r="D390" s="193"/>
      <c r="E390" s="193"/>
      <c r="F390" s="193"/>
      <c r="G390" s="193"/>
      <c r="H390" s="193"/>
      <c r="I390" s="193"/>
      <c r="J390" s="193"/>
      <c r="K390" s="193"/>
      <c r="L390" s="193"/>
      <c r="M390" s="193"/>
      <c r="N390" s="193"/>
      <c r="O390" s="193"/>
      <c r="P390" s="193"/>
      <c r="Q390" s="193"/>
      <c r="R390" s="193"/>
      <c r="S390" s="193"/>
      <c r="T390" s="193"/>
      <c r="U390" s="193"/>
      <c r="V390" s="193"/>
      <c r="W390" s="193"/>
      <c r="X390" s="193"/>
      <c r="Y390" s="193"/>
      <c r="Z390" s="193"/>
      <c r="AA390" s="193"/>
      <c r="AB390" s="193"/>
      <c r="AC390" s="193"/>
    </row>
    <row r="391" spans="1:29" ht="15.75" customHeight="1">
      <c r="A391" s="193"/>
      <c r="B391" s="193"/>
      <c r="C391" s="193"/>
      <c r="D391" s="193"/>
      <c r="E391" s="193"/>
      <c r="F391" s="193"/>
      <c r="G391" s="193"/>
      <c r="H391" s="193"/>
      <c r="I391" s="193"/>
      <c r="J391" s="193"/>
      <c r="K391" s="193"/>
      <c r="L391" s="193"/>
      <c r="M391" s="193"/>
      <c r="N391" s="193"/>
      <c r="O391" s="193"/>
      <c r="P391" s="193"/>
      <c r="Q391" s="193"/>
      <c r="R391" s="193"/>
      <c r="S391" s="193"/>
      <c r="T391" s="193"/>
      <c r="U391" s="193"/>
      <c r="V391" s="193"/>
      <c r="W391" s="193"/>
      <c r="X391" s="193"/>
      <c r="Y391" s="193"/>
      <c r="Z391" s="193"/>
      <c r="AA391" s="193"/>
      <c r="AB391" s="193"/>
      <c r="AC391" s="193"/>
    </row>
    <row r="392" spans="1:29" ht="15.75" customHeight="1">
      <c r="A392" s="193"/>
      <c r="B392" s="193"/>
      <c r="C392" s="193"/>
      <c r="D392" s="193"/>
      <c r="E392" s="193"/>
      <c r="F392" s="193"/>
      <c r="G392" s="193"/>
      <c r="H392" s="193"/>
      <c r="I392" s="193"/>
      <c r="J392" s="193"/>
      <c r="K392" s="193"/>
      <c r="L392" s="193"/>
      <c r="M392" s="193"/>
      <c r="N392" s="193"/>
      <c r="O392" s="193"/>
      <c r="P392" s="193"/>
      <c r="Q392" s="193"/>
      <c r="R392" s="193"/>
      <c r="S392" s="193"/>
      <c r="T392" s="193"/>
      <c r="U392" s="193"/>
      <c r="V392" s="193"/>
      <c r="W392" s="193"/>
      <c r="X392" s="193"/>
      <c r="Y392" s="193"/>
      <c r="Z392" s="193"/>
      <c r="AA392" s="193"/>
      <c r="AB392" s="193"/>
      <c r="AC392" s="193"/>
    </row>
    <row r="393" spans="1:29" ht="15.75" customHeight="1">
      <c r="A393" s="193"/>
      <c r="B393" s="193"/>
      <c r="C393" s="193"/>
      <c r="D393" s="193"/>
      <c r="E393" s="193"/>
      <c r="F393" s="193"/>
      <c r="G393" s="193"/>
      <c r="H393" s="193"/>
      <c r="I393" s="193"/>
      <c r="J393" s="193"/>
      <c r="K393" s="193"/>
      <c r="L393" s="193"/>
      <c r="M393" s="193"/>
      <c r="N393" s="193"/>
      <c r="O393" s="193"/>
      <c r="P393" s="193"/>
      <c r="Q393" s="193"/>
      <c r="R393" s="193"/>
      <c r="S393" s="193"/>
      <c r="T393" s="193"/>
      <c r="U393" s="193"/>
      <c r="V393" s="193"/>
      <c r="W393" s="193"/>
      <c r="X393" s="193"/>
      <c r="Y393" s="193"/>
      <c r="Z393" s="193"/>
      <c r="AA393" s="193"/>
      <c r="AB393" s="193"/>
      <c r="AC393" s="193"/>
    </row>
    <row r="394" spans="1:29" ht="15.75" customHeight="1">
      <c r="A394" s="193"/>
      <c r="B394" s="193"/>
      <c r="C394" s="193"/>
      <c r="D394" s="193"/>
      <c r="E394" s="193"/>
      <c r="F394" s="193"/>
      <c r="G394" s="193"/>
      <c r="H394" s="193"/>
      <c r="I394" s="193"/>
      <c r="J394" s="193"/>
      <c r="K394" s="193"/>
      <c r="L394" s="193"/>
      <c r="M394" s="193"/>
      <c r="N394" s="193"/>
      <c r="O394" s="193"/>
      <c r="P394" s="193"/>
      <c r="Q394" s="193"/>
      <c r="R394" s="193"/>
      <c r="S394" s="193"/>
      <c r="T394" s="193"/>
      <c r="U394" s="193"/>
      <c r="V394" s="193"/>
      <c r="W394" s="193"/>
      <c r="X394" s="193"/>
      <c r="Y394" s="193"/>
      <c r="Z394" s="193"/>
      <c r="AA394" s="193"/>
      <c r="AB394" s="193"/>
      <c r="AC394" s="193"/>
    </row>
    <row r="395" spans="1:29" ht="15.75" customHeight="1">
      <c r="A395" s="193"/>
      <c r="B395" s="193"/>
      <c r="C395" s="193"/>
      <c r="D395" s="193"/>
      <c r="E395" s="193"/>
      <c r="F395" s="193"/>
      <c r="G395" s="193"/>
      <c r="H395" s="193"/>
      <c r="I395" s="193"/>
      <c r="J395" s="193"/>
      <c r="K395" s="193"/>
      <c r="L395" s="193"/>
      <c r="M395" s="193"/>
      <c r="N395" s="193"/>
      <c r="O395" s="193"/>
      <c r="P395" s="193"/>
      <c r="Q395" s="193"/>
      <c r="R395" s="193"/>
      <c r="S395" s="193"/>
      <c r="T395" s="193"/>
      <c r="U395" s="193"/>
      <c r="V395" s="193"/>
      <c r="W395" s="193"/>
      <c r="X395" s="193"/>
      <c r="Y395" s="193"/>
      <c r="Z395" s="193"/>
      <c r="AA395" s="193"/>
      <c r="AB395" s="193"/>
      <c r="AC395" s="193"/>
    </row>
    <row r="396" spans="1:29" ht="15.75" customHeight="1">
      <c r="A396" s="193"/>
      <c r="B396" s="193"/>
      <c r="C396" s="193"/>
      <c r="D396" s="193"/>
      <c r="E396" s="193"/>
      <c r="F396" s="193"/>
      <c r="G396" s="193"/>
      <c r="H396" s="193"/>
      <c r="I396" s="193"/>
      <c r="J396" s="193"/>
      <c r="K396" s="193"/>
      <c r="L396" s="193"/>
      <c r="M396" s="193"/>
      <c r="N396" s="193"/>
      <c r="O396" s="193"/>
      <c r="P396" s="193"/>
      <c r="Q396" s="193"/>
      <c r="R396" s="193"/>
      <c r="S396" s="193"/>
      <c r="T396" s="193"/>
      <c r="U396" s="193"/>
      <c r="V396" s="193"/>
      <c r="W396" s="193"/>
      <c r="X396" s="193"/>
      <c r="Y396" s="193"/>
      <c r="Z396" s="193"/>
      <c r="AA396" s="193"/>
      <c r="AB396" s="193"/>
      <c r="AC396" s="193"/>
    </row>
    <row r="397" spans="1:29" ht="15.75" customHeight="1">
      <c r="A397" s="193"/>
      <c r="B397" s="193"/>
      <c r="C397" s="193"/>
      <c r="D397" s="193"/>
      <c r="E397" s="193"/>
      <c r="F397" s="193"/>
      <c r="G397" s="193"/>
      <c r="H397" s="193"/>
      <c r="I397" s="193"/>
      <c r="J397" s="193"/>
      <c r="K397" s="193"/>
      <c r="L397" s="193"/>
      <c r="M397" s="193"/>
      <c r="N397" s="193"/>
      <c r="O397" s="193"/>
      <c r="P397" s="193"/>
      <c r="Q397" s="193"/>
      <c r="R397" s="193"/>
      <c r="S397" s="193"/>
      <c r="T397" s="193"/>
      <c r="U397" s="193"/>
      <c r="V397" s="193"/>
      <c r="W397" s="193"/>
      <c r="X397" s="193"/>
      <c r="Y397" s="193"/>
      <c r="Z397" s="193"/>
      <c r="AA397" s="193"/>
      <c r="AB397" s="193"/>
      <c r="AC397" s="193"/>
    </row>
    <row r="398" spans="1:29" ht="15.75" customHeight="1">
      <c r="A398" s="193"/>
      <c r="B398" s="193"/>
      <c r="C398" s="193"/>
      <c r="D398" s="193"/>
      <c r="E398" s="193"/>
      <c r="F398" s="193"/>
      <c r="G398" s="193"/>
      <c r="H398" s="193"/>
      <c r="I398" s="193"/>
      <c r="J398" s="193"/>
      <c r="K398" s="193"/>
      <c r="L398" s="193"/>
      <c r="M398" s="193"/>
      <c r="N398" s="193"/>
      <c r="O398" s="193"/>
      <c r="P398" s="193"/>
      <c r="Q398" s="193"/>
      <c r="R398" s="193"/>
      <c r="S398" s="193"/>
      <c r="T398" s="193"/>
      <c r="U398" s="193"/>
      <c r="V398" s="193"/>
      <c r="W398" s="193"/>
      <c r="X398" s="193"/>
      <c r="Y398" s="193"/>
      <c r="Z398" s="193"/>
      <c r="AA398" s="193"/>
      <c r="AB398" s="193"/>
      <c r="AC398" s="193"/>
    </row>
    <row r="399" spans="1:29" ht="15.75" customHeight="1">
      <c r="A399" s="193"/>
      <c r="B399" s="193"/>
      <c r="C399" s="193"/>
      <c r="D399" s="193"/>
      <c r="E399" s="193"/>
      <c r="F399" s="193"/>
      <c r="G399" s="193"/>
      <c r="H399" s="193"/>
      <c r="I399" s="193"/>
      <c r="J399" s="193"/>
      <c r="K399" s="193"/>
      <c r="L399" s="193"/>
      <c r="M399" s="193"/>
      <c r="N399" s="193"/>
      <c r="O399" s="193"/>
      <c r="P399" s="193"/>
      <c r="Q399" s="193"/>
      <c r="R399" s="193"/>
      <c r="S399" s="193"/>
      <c r="T399" s="193"/>
      <c r="U399" s="193"/>
      <c r="V399" s="193"/>
      <c r="W399" s="193"/>
      <c r="X399" s="193"/>
      <c r="Y399" s="193"/>
      <c r="Z399" s="193"/>
      <c r="AA399" s="193"/>
      <c r="AB399" s="193"/>
      <c r="AC399" s="193"/>
    </row>
    <row r="400" spans="1:29" ht="15.75" customHeight="1">
      <c r="A400" s="193"/>
      <c r="B400" s="193"/>
      <c r="C400" s="193"/>
      <c r="D400" s="193"/>
      <c r="E400" s="193"/>
      <c r="F400" s="193"/>
      <c r="G400" s="193"/>
      <c r="H400" s="193"/>
      <c r="I400" s="193"/>
      <c r="J400" s="193"/>
      <c r="K400" s="193"/>
      <c r="L400" s="193"/>
      <c r="M400" s="193"/>
      <c r="N400" s="193"/>
      <c r="O400" s="193"/>
      <c r="P400" s="193"/>
      <c r="Q400" s="193"/>
      <c r="R400" s="193"/>
      <c r="S400" s="193"/>
      <c r="T400" s="193"/>
      <c r="U400" s="193"/>
      <c r="V400" s="193"/>
      <c r="W400" s="193"/>
      <c r="X400" s="193"/>
      <c r="Y400" s="193"/>
      <c r="Z400" s="193"/>
      <c r="AA400" s="193"/>
      <c r="AB400" s="193"/>
      <c r="AC400" s="193"/>
    </row>
    <row r="401" spans="1:29" ht="15.75" customHeight="1">
      <c r="A401" s="193"/>
      <c r="B401" s="193"/>
      <c r="C401" s="193"/>
      <c r="D401" s="193"/>
      <c r="E401" s="193"/>
      <c r="F401" s="193"/>
      <c r="G401" s="193"/>
      <c r="H401" s="193"/>
      <c r="I401" s="193"/>
      <c r="J401" s="193"/>
      <c r="K401" s="193"/>
      <c r="L401" s="193"/>
      <c r="M401" s="193"/>
      <c r="N401" s="193"/>
      <c r="O401" s="193"/>
      <c r="P401" s="193"/>
      <c r="Q401" s="193"/>
      <c r="R401" s="193"/>
      <c r="S401" s="193"/>
      <c r="T401" s="193"/>
      <c r="U401" s="193"/>
      <c r="V401" s="193"/>
      <c r="W401" s="193"/>
      <c r="X401" s="193"/>
      <c r="Y401" s="193"/>
      <c r="Z401" s="193"/>
      <c r="AA401" s="193"/>
      <c r="AB401" s="193"/>
      <c r="AC401" s="193"/>
    </row>
    <row r="402" spans="1:29" ht="15.75" customHeight="1">
      <c r="A402" s="193"/>
      <c r="B402" s="193"/>
      <c r="C402" s="193"/>
      <c r="D402" s="193"/>
      <c r="E402" s="193"/>
      <c r="F402" s="193"/>
      <c r="G402" s="193"/>
      <c r="H402" s="193"/>
      <c r="I402" s="193"/>
      <c r="J402" s="193"/>
      <c r="K402" s="193"/>
      <c r="L402" s="193"/>
      <c r="M402" s="193"/>
      <c r="N402" s="193"/>
      <c r="O402" s="193"/>
      <c r="P402" s="193"/>
      <c r="Q402" s="193"/>
      <c r="R402" s="193"/>
      <c r="S402" s="193"/>
      <c r="T402" s="193"/>
      <c r="U402" s="193"/>
      <c r="V402" s="193"/>
      <c r="W402" s="193"/>
      <c r="X402" s="193"/>
      <c r="Y402" s="193"/>
      <c r="Z402" s="193"/>
      <c r="AA402" s="193"/>
      <c r="AB402" s="193"/>
      <c r="AC402" s="193"/>
    </row>
    <row r="403" spans="1:29" ht="15.75" customHeight="1">
      <c r="A403" s="193"/>
      <c r="B403" s="193"/>
      <c r="C403" s="193"/>
      <c r="D403" s="193"/>
      <c r="E403" s="193"/>
      <c r="F403" s="193"/>
      <c r="G403" s="193"/>
      <c r="H403" s="193"/>
      <c r="I403" s="193"/>
      <c r="J403" s="193"/>
      <c r="K403" s="193"/>
      <c r="L403" s="193"/>
      <c r="M403" s="193"/>
      <c r="N403" s="193"/>
      <c r="O403" s="193"/>
      <c r="P403" s="193"/>
      <c r="Q403" s="193"/>
      <c r="R403" s="193"/>
      <c r="S403" s="193"/>
      <c r="T403" s="193"/>
      <c r="U403" s="193"/>
      <c r="V403" s="193"/>
      <c r="W403" s="193"/>
      <c r="X403" s="193"/>
      <c r="Y403" s="193"/>
      <c r="Z403" s="193"/>
      <c r="AA403" s="193"/>
      <c r="AB403" s="193"/>
      <c r="AC403" s="193"/>
    </row>
    <row r="404" spans="1:29" ht="15.75" customHeight="1">
      <c r="A404" s="193"/>
      <c r="B404" s="193"/>
      <c r="C404" s="193"/>
      <c r="D404" s="193"/>
      <c r="E404" s="193"/>
      <c r="F404" s="193"/>
      <c r="G404" s="193"/>
      <c r="H404" s="193"/>
      <c r="I404" s="193"/>
      <c r="J404" s="193"/>
      <c r="K404" s="193"/>
      <c r="L404" s="193"/>
      <c r="M404" s="193"/>
      <c r="N404" s="193"/>
      <c r="O404" s="193"/>
      <c r="P404" s="193"/>
      <c r="Q404" s="193"/>
      <c r="R404" s="193"/>
      <c r="S404" s="193"/>
      <c r="T404" s="193"/>
      <c r="U404" s="193"/>
      <c r="V404" s="193"/>
      <c r="W404" s="193"/>
      <c r="X404" s="193"/>
      <c r="Y404" s="193"/>
      <c r="Z404" s="193"/>
      <c r="AA404" s="193"/>
      <c r="AB404" s="193"/>
      <c r="AC404" s="193"/>
    </row>
    <row r="405" spans="1:29" ht="15.75" customHeight="1">
      <c r="A405" s="193"/>
      <c r="B405" s="193"/>
      <c r="C405" s="193"/>
      <c r="D405" s="193"/>
      <c r="E405" s="193"/>
      <c r="F405" s="193"/>
      <c r="G405" s="193"/>
      <c r="H405" s="193"/>
      <c r="I405" s="193"/>
      <c r="J405" s="193"/>
      <c r="K405" s="193"/>
      <c r="L405" s="193"/>
      <c r="M405" s="193"/>
      <c r="N405" s="193"/>
      <c r="O405" s="193"/>
      <c r="P405" s="193"/>
      <c r="Q405" s="193"/>
      <c r="R405" s="193"/>
      <c r="S405" s="193"/>
      <c r="T405" s="193"/>
      <c r="U405" s="193"/>
      <c r="V405" s="193"/>
      <c r="W405" s="193"/>
      <c r="X405" s="193"/>
      <c r="Y405" s="193"/>
      <c r="Z405" s="193"/>
      <c r="AA405" s="193"/>
      <c r="AB405" s="193"/>
      <c r="AC405" s="193"/>
    </row>
    <row r="406" spans="1:29" ht="15.75" customHeight="1">
      <c r="A406" s="193"/>
      <c r="B406" s="193"/>
      <c r="C406" s="193"/>
      <c r="D406" s="193"/>
      <c r="E406" s="193"/>
      <c r="F406" s="193"/>
      <c r="G406" s="193"/>
      <c r="H406" s="193"/>
      <c r="I406" s="193"/>
      <c r="J406" s="193"/>
      <c r="K406" s="193"/>
      <c r="L406" s="193"/>
      <c r="M406" s="193"/>
      <c r="N406" s="193"/>
      <c r="O406" s="193"/>
      <c r="P406" s="193"/>
      <c r="Q406" s="193"/>
      <c r="R406" s="193"/>
      <c r="S406" s="193"/>
      <c r="T406" s="193"/>
      <c r="U406" s="193"/>
      <c r="V406" s="193"/>
      <c r="W406" s="193"/>
      <c r="X406" s="193"/>
      <c r="Y406" s="193"/>
      <c r="Z406" s="193"/>
      <c r="AA406" s="193"/>
      <c r="AB406" s="193"/>
      <c r="AC406" s="193"/>
    </row>
    <row r="407" spans="1:29" ht="15.75" customHeight="1">
      <c r="A407" s="193"/>
      <c r="B407" s="193"/>
      <c r="C407" s="193"/>
      <c r="D407" s="193"/>
      <c r="E407" s="193"/>
      <c r="F407" s="193"/>
      <c r="G407" s="193"/>
      <c r="H407" s="193"/>
      <c r="I407" s="193"/>
      <c r="J407" s="193"/>
      <c r="K407" s="193"/>
      <c r="L407" s="193"/>
      <c r="M407" s="193"/>
      <c r="N407" s="193"/>
      <c r="O407" s="193"/>
      <c r="P407" s="193"/>
      <c r="Q407" s="193"/>
      <c r="R407" s="193"/>
      <c r="S407" s="193"/>
      <c r="T407" s="193"/>
      <c r="U407" s="193"/>
      <c r="V407" s="193"/>
      <c r="W407" s="193"/>
      <c r="X407" s="193"/>
      <c r="Y407" s="193"/>
      <c r="Z407" s="193"/>
      <c r="AA407" s="193"/>
      <c r="AB407" s="193"/>
      <c r="AC407" s="193"/>
    </row>
    <row r="408" spans="1:29" ht="15.75" customHeight="1">
      <c r="A408" s="193"/>
      <c r="B408" s="193"/>
      <c r="C408" s="193"/>
      <c r="D408" s="193"/>
      <c r="E408" s="193"/>
      <c r="F408" s="193"/>
      <c r="G408" s="193"/>
      <c r="H408" s="193"/>
      <c r="I408" s="193"/>
      <c r="J408" s="193"/>
      <c r="K408" s="193"/>
      <c r="L408" s="193"/>
      <c r="M408" s="193"/>
      <c r="N408" s="193"/>
      <c r="O408" s="193"/>
      <c r="P408" s="193"/>
      <c r="Q408" s="193"/>
      <c r="R408" s="193"/>
      <c r="S408" s="193"/>
      <c r="T408" s="193"/>
      <c r="U408" s="193"/>
      <c r="V408" s="193"/>
      <c r="W408" s="193"/>
      <c r="X408" s="193"/>
      <c r="Y408" s="193"/>
      <c r="Z408" s="193"/>
      <c r="AA408" s="193"/>
      <c r="AB408" s="193"/>
      <c r="AC408" s="193"/>
    </row>
    <row r="409" spans="1:29" ht="15.75" customHeight="1">
      <c r="A409" s="193"/>
      <c r="B409" s="193"/>
      <c r="C409" s="193"/>
      <c r="D409" s="193"/>
      <c r="E409" s="193"/>
      <c r="F409" s="193"/>
      <c r="G409" s="193"/>
      <c r="H409" s="193"/>
      <c r="I409" s="193"/>
      <c r="J409" s="193"/>
      <c r="K409" s="193"/>
      <c r="L409" s="193"/>
      <c r="M409" s="193"/>
      <c r="N409" s="193"/>
      <c r="O409" s="193"/>
      <c r="P409" s="193"/>
      <c r="Q409" s="193"/>
      <c r="R409" s="193"/>
      <c r="S409" s="193"/>
      <c r="T409" s="193"/>
      <c r="U409" s="193"/>
      <c r="V409" s="193"/>
      <c r="W409" s="193"/>
      <c r="X409" s="193"/>
      <c r="Y409" s="193"/>
      <c r="Z409" s="193"/>
      <c r="AA409" s="193"/>
      <c r="AB409" s="193"/>
      <c r="AC409" s="193"/>
    </row>
    <row r="410" spans="1:29" ht="15.75" customHeight="1">
      <c r="A410" s="193"/>
      <c r="B410" s="193"/>
      <c r="C410" s="193"/>
      <c r="D410" s="193"/>
      <c r="E410" s="193"/>
      <c r="F410" s="193"/>
      <c r="G410" s="193"/>
      <c r="H410" s="193"/>
      <c r="I410" s="193"/>
      <c r="J410" s="193"/>
      <c r="K410" s="193"/>
      <c r="L410" s="193"/>
      <c r="M410" s="193"/>
      <c r="N410" s="193"/>
      <c r="O410" s="193"/>
      <c r="P410" s="193"/>
      <c r="Q410" s="193"/>
      <c r="R410" s="193"/>
      <c r="S410" s="193"/>
      <c r="T410" s="193"/>
      <c r="U410" s="193"/>
      <c r="V410" s="193"/>
      <c r="W410" s="193"/>
      <c r="X410" s="193"/>
      <c r="Y410" s="193"/>
      <c r="Z410" s="193"/>
      <c r="AA410" s="193"/>
      <c r="AB410" s="193"/>
      <c r="AC410" s="193"/>
    </row>
    <row r="411" spans="1:29" ht="15.75" customHeight="1">
      <c r="A411" s="193"/>
      <c r="B411" s="193"/>
      <c r="C411" s="193"/>
      <c r="D411" s="193"/>
      <c r="E411" s="193"/>
      <c r="F411" s="193"/>
      <c r="G411" s="193"/>
      <c r="H411" s="193"/>
      <c r="I411" s="193"/>
      <c r="J411" s="193"/>
      <c r="K411" s="193"/>
      <c r="L411" s="193"/>
      <c r="M411" s="193"/>
      <c r="N411" s="193"/>
      <c r="O411" s="193"/>
      <c r="P411" s="193"/>
      <c r="Q411" s="193"/>
      <c r="R411" s="193"/>
      <c r="S411" s="193"/>
      <c r="T411" s="193"/>
      <c r="U411" s="193"/>
      <c r="V411" s="193"/>
      <c r="W411" s="193"/>
      <c r="X411" s="193"/>
      <c r="Y411" s="193"/>
      <c r="Z411" s="193"/>
      <c r="AA411" s="193"/>
      <c r="AB411" s="193"/>
      <c r="AC411" s="193"/>
    </row>
    <row r="412" spans="1:29" ht="15.75" customHeight="1">
      <c r="A412" s="193"/>
      <c r="B412" s="193"/>
      <c r="C412" s="193"/>
      <c r="D412" s="193"/>
      <c r="E412" s="193"/>
      <c r="F412" s="193"/>
      <c r="G412" s="193"/>
      <c r="H412" s="193"/>
      <c r="I412" s="193"/>
      <c r="J412" s="193"/>
      <c r="K412" s="193"/>
      <c r="L412" s="193"/>
      <c r="M412" s="193"/>
      <c r="N412" s="193"/>
      <c r="O412" s="193"/>
      <c r="P412" s="193"/>
      <c r="Q412" s="193"/>
      <c r="R412" s="193"/>
      <c r="S412" s="193"/>
      <c r="T412" s="193"/>
      <c r="U412" s="193"/>
      <c r="V412" s="193"/>
      <c r="W412" s="193"/>
      <c r="X412" s="193"/>
      <c r="Y412" s="193"/>
      <c r="Z412" s="193"/>
      <c r="AA412" s="193"/>
      <c r="AB412" s="193"/>
      <c r="AC412" s="193"/>
    </row>
    <row r="413" spans="1:29" ht="15.75" customHeight="1">
      <c r="A413" s="193"/>
      <c r="B413" s="193"/>
      <c r="C413" s="193"/>
      <c r="D413" s="193"/>
      <c r="E413" s="193"/>
      <c r="F413" s="193"/>
      <c r="G413" s="193"/>
      <c r="H413" s="193"/>
      <c r="I413" s="193"/>
      <c r="J413" s="193"/>
      <c r="K413" s="193"/>
      <c r="L413" s="193"/>
      <c r="M413" s="193"/>
      <c r="N413" s="193"/>
      <c r="O413" s="193"/>
      <c r="P413" s="193"/>
      <c r="Q413" s="193"/>
      <c r="R413" s="193"/>
      <c r="S413" s="193"/>
      <c r="T413" s="193"/>
      <c r="U413" s="193"/>
      <c r="V413" s="193"/>
      <c r="W413" s="193"/>
      <c r="X413" s="193"/>
      <c r="Y413" s="193"/>
      <c r="Z413" s="193"/>
      <c r="AA413" s="193"/>
      <c r="AB413" s="193"/>
      <c r="AC413" s="193"/>
    </row>
    <row r="414" spans="1:29" ht="15.75" customHeight="1">
      <c r="A414" s="193"/>
      <c r="B414" s="193"/>
      <c r="C414" s="193"/>
      <c r="D414" s="193"/>
      <c r="E414" s="193"/>
      <c r="F414" s="193"/>
      <c r="G414" s="193"/>
      <c r="H414" s="193"/>
      <c r="I414" s="193"/>
      <c r="J414" s="193"/>
      <c r="K414" s="193"/>
      <c r="L414" s="193"/>
      <c r="M414" s="193"/>
      <c r="N414" s="193"/>
      <c r="O414" s="193"/>
      <c r="P414" s="193"/>
      <c r="Q414" s="193"/>
      <c r="R414" s="193"/>
      <c r="S414" s="193"/>
      <c r="T414" s="193"/>
      <c r="U414" s="193"/>
      <c r="V414" s="193"/>
      <c r="W414" s="193"/>
      <c r="X414" s="193"/>
      <c r="Y414" s="193"/>
      <c r="Z414" s="193"/>
      <c r="AA414" s="193"/>
      <c r="AB414" s="193"/>
      <c r="AC414" s="193"/>
    </row>
    <row r="415" spans="1:29" ht="15.75" customHeight="1">
      <c r="A415" s="193"/>
      <c r="B415" s="193"/>
      <c r="C415" s="193"/>
      <c r="D415" s="193"/>
      <c r="E415" s="193"/>
      <c r="F415" s="193"/>
      <c r="G415" s="193"/>
      <c r="H415" s="193"/>
      <c r="I415" s="193"/>
      <c r="J415" s="193"/>
      <c r="K415" s="193"/>
      <c r="L415" s="193"/>
      <c r="M415" s="193"/>
      <c r="N415" s="193"/>
      <c r="O415" s="193"/>
      <c r="P415" s="193"/>
      <c r="Q415" s="193"/>
      <c r="R415" s="193"/>
      <c r="S415" s="193"/>
      <c r="T415" s="193"/>
      <c r="U415" s="193"/>
      <c r="V415" s="193"/>
      <c r="W415" s="193"/>
      <c r="X415" s="193"/>
      <c r="Y415" s="193"/>
      <c r="Z415" s="193"/>
      <c r="AA415" s="193"/>
      <c r="AB415" s="193"/>
      <c r="AC415" s="193"/>
    </row>
    <row r="416" spans="1:29" ht="15.75" customHeight="1">
      <c r="A416" s="193"/>
      <c r="B416" s="193"/>
      <c r="C416" s="193"/>
      <c r="D416" s="193"/>
      <c r="E416" s="193"/>
      <c r="F416" s="193"/>
      <c r="G416" s="193"/>
      <c r="H416" s="193"/>
      <c r="I416" s="193"/>
      <c r="J416" s="193"/>
      <c r="K416" s="193"/>
      <c r="L416" s="193"/>
      <c r="M416" s="193"/>
      <c r="N416" s="193"/>
      <c r="O416" s="193"/>
      <c r="P416" s="193"/>
      <c r="Q416" s="193"/>
      <c r="R416" s="193"/>
      <c r="S416" s="193"/>
      <c r="T416" s="193"/>
      <c r="U416" s="193"/>
      <c r="V416" s="193"/>
      <c r="W416" s="193"/>
      <c r="X416" s="193"/>
      <c r="Y416" s="193"/>
      <c r="Z416" s="193"/>
      <c r="AA416" s="193"/>
      <c r="AB416" s="193"/>
      <c r="AC416" s="193"/>
    </row>
    <row r="417" spans="1:29" ht="15.75" customHeight="1">
      <c r="A417" s="193"/>
      <c r="B417" s="193"/>
      <c r="C417" s="193"/>
      <c r="D417" s="193"/>
      <c r="E417" s="193"/>
      <c r="F417" s="193"/>
      <c r="G417" s="193"/>
      <c r="H417" s="193"/>
      <c r="I417" s="193"/>
      <c r="J417" s="193"/>
      <c r="K417" s="193"/>
      <c r="L417" s="193"/>
      <c r="M417" s="193"/>
      <c r="N417" s="193"/>
      <c r="O417" s="193"/>
      <c r="P417" s="193"/>
      <c r="Q417" s="193"/>
      <c r="R417" s="193"/>
      <c r="S417" s="193"/>
      <c r="T417" s="193"/>
      <c r="U417" s="193"/>
      <c r="V417" s="193"/>
      <c r="W417" s="193"/>
      <c r="X417" s="193"/>
      <c r="Y417" s="193"/>
      <c r="Z417" s="193"/>
      <c r="AA417" s="193"/>
      <c r="AB417" s="193"/>
      <c r="AC417" s="193"/>
    </row>
    <row r="418" spans="1:29" ht="15.75" customHeight="1">
      <c r="A418" s="193"/>
      <c r="B418" s="193"/>
      <c r="C418" s="193"/>
      <c r="D418" s="193"/>
      <c r="E418" s="193"/>
      <c r="F418" s="193"/>
      <c r="G418" s="193"/>
      <c r="H418" s="193"/>
      <c r="I418" s="193"/>
      <c r="J418" s="193"/>
      <c r="K418" s="193"/>
      <c r="L418" s="193"/>
      <c r="M418" s="193"/>
      <c r="N418" s="193"/>
      <c r="O418" s="193"/>
      <c r="P418" s="193"/>
      <c r="Q418" s="193"/>
      <c r="R418" s="193"/>
      <c r="S418" s="193"/>
      <c r="T418" s="193"/>
      <c r="U418" s="193"/>
      <c r="V418" s="193"/>
      <c r="W418" s="193"/>
      <c r="X418" s="193"/>
      <c r="Y418" s="193"/>
      <c r="Z418" s="193"/>
      <c r="AA418" s="193"/>
      <c r="AB418" s="193"/>
      <c r="AC418" s="193"/>
    </row>
    <row r="419" spans="1:29" ht="15.75" customHeight="1">
      <c r="A419" s="193"/>
      <c r="B419" s="193"/>
      <c r="C419" s="193"/>
      <c r="D419" s="193"/>
      <c r="E419" s="193"/>
      <c r="F419" s="193"/>
      <c r="G419" s="193"/>
      <c r="H419" s="193"/>
      <c r="I419" s="193"/>
      <c r="J419" s="193"/>
      <c r="K419" s="193"/>
      <c r="L419" s="193"/>
      <c r="M419" s="193"/>
      <c r="N419" s="193"/>
      <c r="O419" s="193"/>
      <c r="P419" s="193"/>
      <c r="Q419" s="193"/>
      <c r="R419" s="193"/>
      <c r="S419" s="193"/>
      <c r="T419" s="193"/>
      <c r="U419" s="193"/>
      <c r="V419" s="193"/>
      <c r="W419" s="193"/>
      <c r="X419" s="193"/>
      <c r="Y419" s="193"/>
      <c r="Z419" s="193"/>
      <c r="AA419" s="193"/>
      <c r="AB419" s="193"/>
      <c r="AC419" s="193"/>
    </row>
    <row r="420" spans="1:29" ht="15.75" customHeight="1">
      <c r="A420" s="193"/>
      <c r="B420" s="193"/>
      <c r="C420" s="193"/>
      <c r="D420" s="193"/>
      <c r="E420" s="193"/>
      <c r="F420" s="193"/>
      <c r="G420" s="193"/>
      <c r="H420" s="193"/>
      <c r="I420" s="193"/>
      <c r="J420" s="193"/>
      <c r="K420" s="193"/>
      <c r="L420" s="193"/>
      <c r="M420" s="193"/>
      <c r="N420" s="193"/>
      <c r="O420" s="193"/>
      <c r="P420" s="193"/>
      <c r="Q420" s="193"/>
      <c r="R420" s="193"/>
      <c r="S420" s="193"/>
      <c r="T420" s="193"/>
      <c r="U420" s="193"/>
      <c r="V420" s="193"/>
      <c r="W420" s="193"/>
      <c r="X420" s="193"/>
      <c r="Y420" s="193"/>
      <c r="Z420" s="193"/>
      <c r="AA420" s="193"/>
      <c r="AB420" s="193"/>
      <c r="AC420" s="193"/>
    </row>
    <row r="421" spans="1:29" ht="15.75" customHeight="1">
      <c r="A421" s="193"/>
      <c r="B421" s="193"/>
      <c r="C421" s="193"/>
      <c r="D421" s="193"/>
      <c r="E421" s="193"/>
      <c r="F421" s="193"/>
      <c r="G421" s="193"/>
      <c r="H421" s="193"/>
      <c r="I421" s="193"/>
      <c r="J421" s="193"/>
      <c r="K421" s="193"/>
      <c r="L421" s="193"/>
      <c r="M421" s="193"/>
      <c r="N421" s="193"/>
      <c r="O421" s="193"/>
      <c r="P421" s="193"/>
      <c r="Q421" s="193"/>
      <c r="R421" s="193"/>
      <c r="S421" s="193"/>
      <c r="T421" s="193"/>
      <c r="U421" s="193"/>
      <c r="V421" s="193"/>
      <c r="W421" s="193"/>
      <c r="X421" s="193"/>
      <c r="Y421" s="193"/>
      <c r="Z421" s="193"/>
      <c r="AA421" s="193"/>
      <c r="AB421" s="193"/>
      <c r="AC421" s="193"/>
    </row>
    <row r="422" spans="1:29" ht="15.75" customHeight="1">
      <c r="A422" s="193"/>
      <c r="B422" s="193"/>
      <c r="C422" s="193"/>
      <c r="D422" s="193"/>
      <c r="E422" s="193"/>
      <c r="F422" s="193"/>
      <c r="G422" s="193"/>
      <c r="H422" s="193"/>
      <c r="I422" s="193"/>
      <c r="J422" s="193"/>
      <c r="K422" s="193"/>
      <c r="L422" s="193"/>
      <c r="M422" s="193"/>
      <c r="N422" s="193"/>
      <c r="O422" s="193"/>
      <c r="P422" s="193"/>
      <c r="Q422" s="193"/>
      <c r="R422" s="193"/>
      <c r="S422" s="193"/>
      <c r="T422" s="193"/>
      <c r="U422" s="193"/>
      <c r="V422" s="193"/>
      <c r="W422" s="193"/>
      <c r="X422" s="193"/>
      <c r="Y422" s="193"/>
      <c r="Z422" s="193"/>
      <c r="AA422" s="193"/>
      <c r="AB422" s="193"/>
      <c r="AC422" s="193"/>
    </row>
    <row r="423" spans="1:29" ht="15.75" customHeight="1">
      <c r="A423" s="193"/>
      <c r="B423" s="193"/>
      <c r="C423" s="193"/>
      <c r="D423" s="193"/>
      <c r="E423" s="193"/>
      <c r="F423" s="193"/>
      <c r="G423" s="193"/>
      <c r="H423" s="193"/>
      <c r="I423" s="193"/>
      <c r="J423" s="193"/>
      <c r="K423" s="193"/>
      <c r="L423" s="193"/>
      <c r="M423" s="193"/>
      <c r="N423" s="193"/>
      <c r="O423" s="193"/>
      <c r="P423" s="193"/>
      <c r="Q423" s="193"/>
      <c r="R423" s="193"/>
      <c r="S423" s="193"/>
      <c r="T423" s="193"/>
      <c r="U423" s="193"/>
      <c r="V423" s="193"/>
      <c r="W423" s="193"/>
      <c r="X423" s="193"/>
      <c r="Y423" s="193"/>
      <c r="Z423" s="193"/>
      <c r="AA423" s="193"/>
      <c r="AB423" s="193"/>
      <c r="AC423" s="193"/>
    </row>
    <row r="424" spans="1:29" ht="15.75" customHeight="1">
      <c r="A424" s="193"/>
      <c r="B424" s="193"/>
      <c r="C424" s="193"/>
      <c r="D424" s="193"/>
      <c r="E424" s="193"/>
      <c r="F424" s="193"/>
      <c r="G424" s="193"/>
      <c r="H424" s="193"/>
      <c r="I424" s="193"/>
      <c r="J424" s="193"/>
      <c r="K424" s="193"/>
      <c r="L424" s="193"/>
      <c r="M424" s="193"/>
      <c r="N424" s="193"/>
      <c r="O424" s="193"/>
      <c r="P424" s="193"/>
      <c r="Q424" s="193"/>
      <c r="R424" s="193"/>
      <c r="S424" s="193"/>
      <c r="T424" s="193"/>
      <c r="U424" s="193"/>
      <c r="V424" s="193"/>
      <c r="W424" s="193"/>
      <c r="X424" s="193"/>
      <c r="Y424" s="193"/>
      <c r="Z424" s="193"/>
      <c r="AA424" s="193"/>
      <c r="AB424" s="193"/>
      <c r="AC424" s="193"/>
    </row>
    <row r="425" spans="1:29" ht="15.75" customHeight="1">
      <c r="A425" s="193"/>
      <c r="B425" s="193"/>
      <c r="C425" s="193"/>
      <c r="D425" s="193"/>
      <c r="E425" s="193"/>
      <c r="F425" s="193"/>
      <c r="G425" s="193"/>
      <c r="H425" s="193"/>
      <c r="I425" s="193"/>
      <c r="J425" s="193"/>
      <c r="K425" s="193"/>
      <c r="L425" s="193"/>
      <c r="M425" s="193"/>
      <c r="N425" s="193"/>
      <c r="O425" s="193"/>
      <c r="P425" s="193"/>
      <c r="Q425" s="193"/>
      <c r="R425" s="193"/>
      <c r="S425" s="193"/>
      <c r="T425" s="193"/>
      <c r="U425" s="193"/>
      <c r="V425" s="193"/>
      <c r="W425" s="193"/>
      <c r="X425" s="193"/>
      <c r="Y425" s="193"/>
      <c r="Z425" s="193"/>
      <c r="AA425" s="193"/>
      <c r="AB425" s="193"/>
      <c r="AC425" s="193"/>
    </row>
    <row r="426" spans="1:29" ht="15.75" customHeight="1">
      <c r="A426" s="193"/>
      <c r="B426" s="193"/>
      <c r="C426" s="193"/>
      <c r="D426" s="193"/>
      <c r="E426" s="193"/>
      <c r="F426" s="193"/>
      <c r="G426" s="193"/>
      <c r="H426" s="193"/>
      <c r="I426" s="193"/>
      <c r="J426" s="193"/>
      <c r="K426" s="193"/>
      <c r="L426" s="193"/>
      <c r="M426" s="193"/>
      <c r="N426" s="193"/>
      <c r="O426" s="193"/>
      <c r="P426" s="193"/>
      <c r="Q426" s="193"/>
      <c r="R426" s="193"/>
      <c r="S426" s="193"/>
      <c r="T426" s="193"/>
      <c r="U426" s="193"/>
      <c r="V426" s="193"/>
      <c r="W426" s="193"/>
      <c r="X426" s="193"/>
      <c r="Y426" s="193"/>
      <c r="Z426" s="193"/>
      <c r="AA426" s="193"/>
      <c r="AB426" s="193"/>
      <c r="AC426" s="193"/>
    </row>
    <row r="427" spans="1:29" ht="15.75" customHeight="1">
      <c r="A427" s="193"/>
      <c r="B427" s="193"/>
      <c r="C427" s="193"/>
      <c r="D427" s="193"/>
      <c r="E427" s="193"/>
      <c r="F427" s="193"/>
      <c r="G427" s="193"/>
      <c r="H427" s="193"/>
      <c r="I427" s="193"/>
      <c r="J427" s="193"/>
      <c r="K427" s="193"/>
      <c r="L427" s="193"/>
      <c r="M427" s="193"/>
      <c r="N427" s="193"/>
      <c r="O427" s="193"/>
      <c r="P427" s="193"/>
      <c r="Q427" s="193"/>
      <c r="R427" s="193"/>
      <c r="S427" s="193"/>
      <c r="T427" s="193"/>
      <c r="U427" s="193"/>
      <c r="V427" s="193"/>
      <c r="W427" s="193"/>
      <c r="X427" s="193"/>
      <c r="Y427" s="193"/>
      <c r="Z427" s="193"/>
      <c r="AA427" s="193"/>
      <c r="AB427" s="193"/>
      <c r="AC427" s="193"/>
    </row>
    <row r="428" spans="1:29" ht="15.75" customHeight="1">
      <c r="A428" s="193"/>
      <c r="B428" s="193"/>
      <c r="C428" s="193"/>
      <c r="D428" s="193"/>
      <c r="E428" s="193"/>
      <c r="F428" s="193"/>
      <c r="G428" s="193"/>
      <c r="H428" s="193"/>
      <c r="I428" s="193"/>
      <c r="J428" s="193"/>
      <c r="K428" s="193"/>
      <c r="L428" s="193"/>
      <c r="M428" s="193"/>
      <c r="N428" s="193"/>
      <c r="O428" s="193"/>
      <c r="P428" s="193"/>
      <c r="Q428" s="193"/>
      <c r="R428" s="193"/>
      <c r="S428" s="193"/>
      <c r="T428" s="193"/>
      <c r="U428" s="193"/>
      <c r="V428" s="193"/>
      <c r="W428" s="193"/>
      <c r="X428" s="193"/>
      <c r="Y428" s="193"/>
      <c r="Z428" s="193"/>
      <c r="AA428" s="193"/>
      <c r="AB428" s="193"/>
      <c r="AC428" s="193"/>
    </row>
    <row r="429" spans="1:29" ht="15.75" customHeight="1">
      <c r="A429" s="193"/>
      <c r="B429" s="193"/>
      <c r="C429" s="193"/>
      <c r="D429" s="193"/>
      <c r="E429" s="193"/>
      <c r="F429" s="193"/>
      <c r="G429" s="193"/>
      <c r="H429" s="193"/>
      <c r="I429" s="193"/>
      <c r="J429" s="193"/>
      <c r="K429" s="193"/>
      <c r="L429" s="193"/>
      <c r="M429" s="193"/>
      <c r="N429" s="193"/>
      <c r="O429" s="193"/>
      <c r="P429" s="193"/>
      <c r="Q429" s="193"/>
      <c r="R429" s="193"/>
      <c r="S429" s="193"/>
      <c r="T429" s="193"/>
      <c r="U429" s="193"/>
      <c r="V429" s="193"/>
      <c r="W429" s="193"/>
      <c r="X429" s="193"/>
      <c r="Y429" s="193"/>
      <c r="Z429" s="193"/>
      <c r="AA429" s="193"/>
      <c r="AB429" s="193"/>
      <c r="AC429" s="193"/>
    </row>
    <row r="430" spans="1:29" ht="15.75" customHeight="1">
      <c r="A430" s="193"/>
      <c r="B430" s="193"/>
      <c r="C430" s="193"/>
      <c r="D430" s="193"/>
      <c r="E430" s="193"/>
      <c r="F430" s="193"/>
      <c r="G430" s="193"/>
      <c r="H430" s="193"/>
      <c r="I430" s="193"/>
      <c r="J430" s="193"/>
      <c r="K430" s="193"/>
      <c r="L430" s="193"/>
      <c r="M430" s="193"/>
      <c r="N430" s="193"/>
      <c r="O430" s="193"/>
      <c r="P430" s="193"/>
      <c r="Q430" s="193"/>
      <c r="R430" s="193"/>
      <c r="S430" s="193"/>
      <c r="T430" s="193"/>
      <c r="U430" s="193"/>
      <c r="V430" s="193"/>
      <c r="W430" s="193"/>
      <c r="X430" s="193"/>
      <c r="Y430" s="193"/>
      <c r="Z430" s="193"/>
      <c r="AA430" s="193"/>
      <c r="AB430" s="193"/>
      <c r="AC430" s="193"/>
    </row>
    <row r="431" spans="1:29" ht="15.75" customHeight="1">
      <c r="A431" s="193"/>
      <c r="B431" s="193"/>
      <c r="C431" s="193"/>
      <c r="D431" s="193"/>
      <c r="E431" s="193"/>
      <c r="F431" s="193"/>
      <c r="G431" s="193"/>
      <c r="H431" s="193"/>
      <c r="I431" s="193"/>
      <c r="J431" s="193"/>
      <c r="K431" s="193"/>
      <c r="L431" s="193"/>
      <c r="M431" s="193"/>
      <c r="N431" s="193"/>
      <c r="O431" s="193"/>
      <c r="P431" s="193"/>
      <c r="Q431" s="193"/>
      <c r="R431" s="193"/>
      <c r="S431" s="193"/>
      <c r="T431" s="193"/>
      <c r="U431" s="193"/>
      <c r="V431" s="193"/>
      <c r="W431" s="193"/>
      <c r="X431" s="193"/>
      <c r="Y431" s="193"/>
      <c r="Z431" s="193"/>
      <c r="AA431" s="193"/>
      <c r="AB431" s="193"/>
      <c r="AC431" s="193"/>
    </row>
    <row r="432" spans="1:29" ht="15.75" customHeight="1">
      <c r="A432" s="193"/>
      <c r="B432" s="193"/>
      <c r="C432" s="193"/>
      <c r="D432" s="193"/>
      <c r="E432" s="193"/>
      <c r="F432" s="193"/>
      <c r="G432" s="193"/>
      <c r="H432" s="193"/>
      <c r="I432" s="193"/>
      <c r="J432" s="193"/>
      <c r="K432" s="193"/>
      <c r="L432" s="193"/>
      <c r="M432" s="193"/>
      <c r="N432" s="193"/>
      <c r="O432" s="193"/>
      <c r="P432" s="193"/>
      <c r="Q432" s="193"/>
      <c r="R432" s="193"/>
      <c r="S432" s="193"/>
      <c r="T432" s="193"/>
      <c r="U432" s="193"/>
      <c r="V432" s="193"/>
      <c r="W432" s="193"/>
      <c r="X432" s="193"/>
      <c r="Y432" s="193"/>
      <c r="Z432" s="193"/>
      <c r="AA432" s="193"/>
      <c r="AB432" s="193"/>
      <c r="AC432" s="193"/>
    </row>
    <row r="433" spans="1:29" ht="15.75" customHeight="1">
      <c r="A433" s="193"/>
      <c r="B433" s="193"/>
      <c r="C433" s="193"/>
      <c r="D433" s="193"/>
      <c r="E433" s="193"/>
      <c r="F433" s="193"/>
      <c r="G433" s="193"/>
      <c r="H433" s="193"/>
      <c r="I433" s="193"/>
      <c r="J433" s="193"/>
      <c r="K433" s="193"/>
      <c r="L433" s="193"/>
      <c r="M433" s="193"/>
      <c r="N433" s="193"/>
      <c r="O433" s="193"/>
      <c r="P433" s="193"/>
      <c r="Q433" s="193"/>
      <c r="R433" s="193"/>
      <c r="S433" s="193"/>
      <c r="T433" s="193"/>
      <c r="U433" s="193"/>
      <c r="V433" s="193"/>
      <c r="W433" s="193"/>
      <c r="X433" s="193"/>
      <c r="Y433" s="193"/>
      <c r="Z433" s="193"/>
      <c r="AA433" s="193"/>
      <c r="AB433" s="193"/>
      <c r="AC433" s="193"/>
    </row>
    <row r="434" spans="1:29" ht="15.75" customHeight="1">
      <c r="A434" s="193"/>
      <c r="B434" s="193"/>
      <c r="C434" s="193"/>
      <c r="D434" s="193"/>
      <c r="E434" s="193"/>
      <c r="F434" s="193"/>
      <c r="G434" s="193"/>
      <c r="H434" s="193"/>
      <c r="I434" s="193"/>
      <c r="J434" s="193"/>
      <c r="K434" s="193"/>
      <c r="L434" s="193"/>
      <c r="M434" s="193"/>
      <c r="N434" s="193"/>
      <c r="O434" s="193"/>
      <c r="P434" s="193"/>
      <c r="Q434" s="193"/>
      <c r="R434" s="193"/>
      <c r="S434" s="193"/>
      <c r="T434" s="193"/>
      <c r="U434" s="193"/>
      <c r="V434" s="193"/>
      <c r="W434" s="193"/>
      <c r="X434" s="193"/>
      <c r="Y434" s="193"/>
      <c r="Z434" s="193"/>
      <c r="AA434" s="193"/>
      <c r="AB434" s="193"/>
      <c r="AC434" s="193"/>
    </row>
    <row r="435" spans="1:29" ht="15.75" customHeight="1">
      <c r="A435" s="193"/>
      <c r="B435" s="193"/>
      <c r="C435" s="193"/>
      <c r="D435" s="193"/>
      <c r="E435" s="193"/>
      <c r="F435" s="193"/>
      <c r="G435" s="193"/>
      <c r="H435" s="193"/>
      <c r="I435" s="193"/>
      <c r="J435" s="193"/>
      <c r="K435" s="193"/>
      <c r="L435" s="193"/>
      <c r="M435" s="193"/>
      <c r="N435" s="193"/>
      <c r="O435" s="193"/>
      <c r="P435" s="193"/>
      <c r="Q435" s="193"/>
      <c r="R435" s="193"/>
      <c r="S435" s="193"/>
      <c r="T435" s="193"/>
      <c r="U435" s="193"/>
      <c r="V435" s="193"/>
      <c r="W435" s="193"/>
      <c r="X435" s="193"/>
      <c r="Y435" s="193"/>
      <c r="Z435" s="193"/>
      <c r="AA435" s="193"/>
      <c r="AB435" s="193"/>
      <c r="AC435" s="193"/>
    </row>
    <row r="436" spans="1:29" ht="15.75" customHeight="1">
      <c r="A436" s="193"/>
      <c r="B436" s="193"/>
      <c r="C436" s="193"/>
      <c r="D436" s="193"/>
      <c r="E436" s="193"/>
      <c r="F436" s="193"/>
      <c r="G436" s="193"/>
      <c r="H436" s="193"/>
      <c r="I436" s="193"/>
      <c r="J436" s="193"/>
      <c r="K436" s="193"/>
      <c r="L436" s="193"/>
      <c r="M436" s="193"/>
      <c r="N436" s="193"/>
      <c r="O436" s="193"/>
      <c r="P436" s="193"/>
      <c r="Q436" s="193"/>
      <c r="R436" s="193"/>
      <c r="S436" s="193"/>
      <c r="T436" s="193"/>
      <c r="U436" s="193"/>
      <c r="V436" s="193"/>
      <c r="W436" s="193"/>
      <c r="X436" s="193"/>
      <c r="Y436" s="193"/>
      <c r="Z436" s="193"/>
      <c r="AA436" s="193"/>
      <c r="AB436" s="193"/>
      <c r="AC436" s="193"/>
    </row>
    <row r="437" spans="1:29" ht="15.75" customHeight="1">
      <c r="A437" s="193"/>
      <c r="B437" s="193"/>
      <c r="C437" s="193"/>
      <c r="D437" s="193"/>
      <c r="E437" s="193"/>
      <c r="F437" s="193"/>
      <c r="G437" s="193"/>
      <c r="H437" s="193"/>
      <c r="I437" s="193"/>
      <c r="J437" s="193"/>
      <c r="K437" s="193"/>
      <c r="L437" s="193"/>
      <c r="M437" s="193"/>
      <c r="N437" s="193"/>
      <c r="O437" s="193"/>
      <c r="P437" s="193"/>
      <c r="Q437" s="193"/>
      <c r="R437" s="193"/>
      <c r="S437" s="193"/>
      <c r="T437" s="193"/>
      <c r="U437" s="193"/>
      <c r="V437" s="193"/>
      <c r="W437" s="193"/>
      <c r="X437" s="193"/>
      <c r="Y437" s="193"/>
      <c r="Z437" s="193"/>
      <c r="AA437" s="193"/>
      <c r="AB437" s="193"/>
      <c r="AC437" s="193"/>
    </row>
    <row r="438" spans="1:29" ht="15.75" customHeight="1">
      <c r="A438" s="193"/>
      <c r="B438" s="193"/>
      <c r="C438" s="193"/>
      <c r="D438" s="193"/>
      <c r="E438" s="193"/>
      <c r="F438" s="193"/>
      <c r="G438" s="193"/>
      <c r="H438" s="193"/>
      <c r="I438" s="193"/>
      <c r="J438" s="193"/>
      <c r="K438" s="193"/>
      <c r="L438" s="193"/>
      <c r="M438" s="193"/>
      <c r="N438" s="193"/>
      <c r="O438" s="193"/>
      <c r="P438" s="193"/>
      <c r="Q438" s="193"/>
      <c r="R438" s="193"/>
      <c r="S438" s="193"/>
      <c r="T438" s="193"/>
      <c r="U438" s="193"/>
      <c r="V438" s="193"/>
      <c r="W438" s="193"/>
      <c r="X438" s="193"/>
      <c r="Y438" s="193"/>
      <c r="Z438" s="193"/>
      <c r="AA438" s="193"/>
      <c r="AB438" s="193"/>
      <c r="AC438" s="193"/>
    </row>
    <row r="439" spans="1:29" ht="15.75" customHeight="1">
      <c r="A439" s="193"/>
      <c r="B439" s="193"/>
      <c r="C439" s="193"/>
      <c r="D439" s="193"/>
      <c r="E439" s="193"/>
      <c r="F439" s="193"/>
      <c r="G439" s="193"/>
      <c r="H439" s="193"/>
      <c r="I439" s="193"/>
      <c r="J439" s="193"/>
      <c r="K439" s="193"/>
      <c r="L439" s="193"/>
      <c r="M439" s="193"/>
      <c r="N439" s="193"/>
      <c r="O439" s="193"/>
      <c r="P439" s="193"/>
      <c r="Q439" s="193"/>
      <c r="R439" s="193"/>
      <c r="S439" s="193"/>
      <c r="T439" s="193"/>
      <c r="U439" s="193"/>
      <c r="V439" s="193"/>
      <c r="W439" s="193"/>
      <c r="X439" s="193"/>
      <c r="Y439" s="193"/>
      <c r="Z439" s="193"/>
      <c r="AA439" s="193"/>
      <c r="AB439" s="193"/>
      <c r="AC439" s="193"/>
    </row>
    <row r="440" spans="1:29" ht="15.75" customHeight="1">
      <c r="A440" s="193"/>
      <c r="B440" s="193"/>
      <c r="C440" s="193"/>
      <c r="D440" s="193"/>
      <c r="E440" s="193"/>
      <c r="F440" s="193"/>
      <c r="G440" s="193"/>
      <c r="H440" s="193"/>
      <c r="I440" s="193"/>
      <c r="J440" s="193"/>
      <c r="K440" s="193"/>
      <c r="L440" s="193"/>
      <c r="M440" s="193"/>
      <c r="N440" s="193"/>
      <c r="O440" s="193"/>
      <c r="P440" s="193"/>
      <c r="Q440" s="193"/>
      <c r="R440" s="193"/>
      <c r="S440" s="193"/>
      <c r="T440" s="193"/>
      <c r="U440" s="193"/>
      <c r="V440" s="193"/>
      <c r="W440" s="193"/>
      <c r="X440" s="193"/>
      <c r="Y440" s="193"/>
      <c r="Z440" s="193"/>
      <c r="AA440" s="193"/>
      <c r="AB440" s="193"/>
      <c r="AC440" s="193"/>
    </row>
    <row r="441" spans="1:29" ht="15.75" customHeight="1">
      <c r="A441" s="193"/>
      <c r="B441" s="193"/>
      <c r="C441" s="193"/>
      <c r="D441" s="193"/>
      <c r="E441" s="193"/>
      <c r="F441" s="193"/>
      <c r="G441" s="193"/>
      <c r="H441" s="193"/>
      <c r="I441" s="193"/>
      <c r="J441" s="193"/>
      <c r="K441" s="193"/>
      <c r="L441" s="193"/>
      <c r="M441" s="193"/>
      <c r="N441" s="193"/>
      <c r="O441" s="193"/>
      <c r="P441" s="193"/>
      <c r="Q441" s="193"/>
      <c r="R441" s="193"/>
      <c r="S441" s="193"/>
      <c r="T441" s="193"/>
      <c r="U441" s="193"/>
      <c r="V441" s="193"/>
      <c r="W441" s="193"/>
      <c r="X441" s="193"/>
      <c r="Y441" s="193"/>
      <c r="Z441" s="193"/>
      <c r="AA441" s="193"/>
      <c r="AB441" s="193"/>
      <c r="AC441" s="193"/>
    </row>
    <row r="442" spans="1:29" ht="15.75" customHeight="1">
      <c r="A442" s="193"/>
      <c r="B442" s="193"/>
      <c r="C442" s="193"/>
      <c r="D442" s="193"/>
      <c r="E442" s="193"/>
      <c r="F442" s="193"/>
      <c r="G442" s="193"/>
      <c r="H442" s="193"/>
      <c r="I442" s="193"/>
      <c r="J442" s="193"/>
      <c r="K442" s="193"/>
      <c r="L442" s="193"/>
      <c r="M442" s="193"/>
      <c r="N442" s="193"/>
      <c r="O442" s="193"/>
      <c r="P442" s="193"/>
      <c r="Q442" s="193"/>
      <c r="R442" s="193"/>
      <c r="S442" s="193"/>
      <c r="T442" s="193"/>
      <c r="U442" s="193"/>
      <c r="V442" s="193"/>
      <c r="W442" s="193"/>
      <c r="X442" s="193"/>
      <c r="Y442" s="193"/>
      <c r="Z442" s="193"/>
      <c r="AA442" s="193"/>
      <c r="AB442" s="193"/>
      <c r="AC442" s="193"/>
    </row>
    <row r="443" spans="1:29" ht="15.75" customHeight="1">
      <c r="A443" s="193"/>
      <c r="B443" s="193"/>
      <c r="C443" s="193"/>
      <c r="D443" s="193"/>
      <c r="E443" s="193"/>
      <c r="F443" s="193"/>
      <c r="G443" s="193"/>
      <c r="H443" s="193"/>
      <c r="I443" s="193"/>
      <c r="J443" s="193"/>
      <c r="K443" s="193"/>
      <c r="L443" s="193"/>
      <c r="M443" s="193"/>
      <c r="N443" s="193"/>
      <c r="O443" s="193"/>
      <c r="P443" s="193"/>
      <c r="Q443" s="193"/>
      <c r="R443" s="193"/>
      <c r="S443" s="193"/>
      <c r="T443" s="193"/>
      <c r="U443" s="193"/>
      <c r="V443" s="193"/>
      <c r="W443" s="193"/>
      <c r="X443" s="193"/>
      <c r="Y443" s="193"/>
      <c r="Z443" s="193"/>
      <c r="AA443" s="193"/>
      <c r="AB443" s="193"/>
      <c r="AC443" s="193"/>
    </row>
    <row r="444" spans="1:29" ht="15.75" customHeight="1">
      <c r="A444" s="193"/>
      <c r="B444" s="193"/>
      <c r="C444" s="193"/>
      <c r="D444" s="193"/>
      <c r="E444" s="193"/>
      <c r="F444" s="193"/>
      <c r="G444" s="193"/>
      <c r="H444" s="193"/>
      <c r="I444" s="193"/>
      <c r="J444" s="193"/>
      <c r="K444" s="193"/>
      <c r="L444" s="193"/>
      <c r="M444" s="193"/>
      <c r="N444" s="193"/>
      <c r="O444" s="193"/>
      <c r="P444" s="193"/>
      <c r="Q444" s="193"/>
      <c r="R444" s="193"/>
      <c r="S444" s="193"/>
      <c r="T444" s="193"/>
      <c r="U444" s="193"/>
      <c r="V444" s="193"/>
      <c r="W444" s="193"/>
      <c r="X444" s="193"/>
      <c r="Y444" s="193"/>
      <c r="Z444" s="193"/>
      <c r="AA444" s="193"/>
      <c r="AB444" s="193"/>
      <c r="AC444" s="193"/>
    </row>
    <row r="445" spans="1:29" ht="15.75" customHeight="1">
      <c r="A445" s="193"/>
      <c r="B445" s="193"/>
      <c r="C445" s="193"/>
      <c r="D445" s="193"/>
      <c r="E445" s="193"/>
      <c r="F445" s="193"/>
      <c r="G445" s="193"/>
      <c r="H445" s="193"/>
      <c r="I445" s="193"/>
      <c r="J445" s="193"/>
      <c r="K445" s="193"/>
      <c r="L445" s="193"/>
      <c r="M445" s="193"/>
      <c r="N445" s="193"/>
      <c r="O445" s="193"/>
      <c r="P445" s="193"/>
      <c r="Q445" s="193"/>
      <c r="R445" s="193"/>
      <c r="S445" s="193"/>
      <c r="T445" s="193"/>
      <c r="U445" s="193"/>
      <c r="V445" s="193"/>
      <c r="W445" s="193"/>
      <c r="X445" s="193"/>
      <c r="Y445" s="193"/>
      <c r="Z445" s="193"/>
      <c r="AA445" s="193"/>
      <c r="AB445" s="193"/>
      <c r="AC445" s="193"/>
    </row>
    <row r="446" spans="1:29" ht="15.75" customHeight="1">
      <c r="A446" s="193"/>
      <c r="B446" s="193"/>
      <c r="C446" s="193"/>
      <c r="D446" s="193"/>
      <c r="E446" s="193"/>
      <c r="F446" s="193"/>
      <c r="G446" s="193"/>
      <c r="H446" s="193"/>
      <c r="I446" s="193"/>
      <c r="J446" s="193"/>
      <c r="K446" s="193"/>
      <c r="L446" s="193"/>
      <c r="M446" s="193"/>
      <c r="N446" s="193"/>
      <c r="O446" s="193"/>
      <c r="P446" s="193"/>
      <c r="Q446" s="193"/>
      <c r="R446" s="193"/>
      <c r="S446" s="193"/>
      <c r="T446" s="193"/>
      <c r="U446" s="193"/>
      <c r="V446" s="193"/>
      <c r="W446" s="193"/>
      <c r="X446" s="193"/>
      <c r="Y446" s="193"/>
      <c r="Z446" s="193"/>
      <c r="AA446" s="193"/>
      <c r="AB446" s="193"/>
      <c r="AC446" s="193"/>
    </row>
    <row r="447" spans="1:29" ht="15.75" customHeight="1">
      <c r="A447" s="193"/>
      <c r="B447" s="193"/>
      <c r="C447" s="193"/>
      <c r="D447" s="193"/>
      <c r="E447" s="193"/>
      <c r="F447" s="193"/>
      <c r="G447" s="193"/>
      <c r="H447" s="193"/>
      <c r="I447" s="193"/>
      <c r="J447" s="193"/>
      <c r="K447" s="193"/>
      <c r="L447" s="193"/>
      <c r="M447" s="193"/>
      <c r="N447" s="193"/>
      <c r="O447" s="193"/>
      <c r="P447" s="193"/>
      <c r="Q447" s="193"/>
      <c r="R447" s="193"/>
      <c r="S447" s="193"/>
      <c r="T447" s="193"/>
      <c r="U447" s="193"/>
      <c r="V447" s="193"/>
      <c r="W447" s="193"/>
      <c r="X447" s="193"/>
      <c r="Y447" s="193"/>
      <c r="Z447" s="193"/>
      <c r="AA447" s="193"/>
      <c r="AB447" s="193"/>
      <c r="AC447" s="193"/>
    </row>
    <row r="448" spans="1:29" ht="15.75" customHeight="1">
      <c r="A448" s="193"/>
      <c r="B448" s="193"/>
      <c r="C448" s="193"/>
      <c r="D448" s="193"/>
      <c r="E448" s="193"/>
      <c r="F448" s="193"/>
      <c r="G448" s="193"/>
      <c r="H448" s="193"/>
      <c r="I448" s="193"/>
      <c r="J448" s="193"/>
      <c r="K448" s="193"/>
      <c r="L448" s="193"/>
      <c r="M448" s="193"/>
      <c r="N448" s="193"/>
      <c r="O448" s="193"/>
      <c r="P448" s="193"/>
      <c r="Q448" s="193"/>
      <c r="R448" s="193"/>
      <c r="S448" s="193"/>
      <c r="T448" s="193"/>
      <c r="U448" s="193"/>
      <c r="V448" s="193"/>
      <c r="W448" s="193"/>
      <c r="X448" s="193"/>
      <c r="Y448" s="193"/>
      <c r="Z448" s="193"/>
      <c r="AA448" s="193"/>
      <c r="AB448" s="193"/>
      <c r="AC448" s="193"/>
    </row>
    <row r="449" spans="1:29" ht="15.75" customHeight="1">
      <c r="A449" s="193"/>
      <c r="B449" s="193"/>
      <c r="C449" s="193"/>
      <c r="D449" s="193"/>
      <c r="E449" s="193"/>
      <c r="F449" s="193"/>
      <c r="G449" s="193"/>
      <c r="H449" s="193"/>
      <c r="I449" s="193"/>
      <c r="J449" s="193"/>
      <c r="K449" s="193"/>
      <c r="L449" s="193"/>
      <c r="M449" s="193"/>
      <c r="N449" s="193"/>
      <c r="O449" s="193"/>
      <c r="P449" s="193"/>
      <c r="Q449" s="193"/>
      <c r="R449" s="193"/>
      <c r="S449" s="193"/>
      <c r="T449" s="193"/>
      <c r="U449" s="193"/>
      <c r="V449" s="193"/>
      <c r="W449" s="193"/>
      <c r="X449" s="193"/>
      <c r="Y449" s="193"/>
      <c r="Z449" s="193"/>
      <c r="AA449" s="193"/>
      <c r="AB449" s="193"/>
      <c r="AC449" s="193"/>
    </row>
    <row r="450" spans="1:29" ht="15.75" customHeight="1">
      <c r="A450" s="193"/>
      <c r="B450" s="193"/>
      <c r="C450" s="193"/>
      <c r="D450" s="193"/>
      <c r="E450" s="193"/>
      <c r="F450" s="193"/>
      <c r="G450" s="193"/>
      <c r="H450" s="193"/>
      <c r="I450" s="193"/>
      <c r="J450" s="193"/>
      <c r="K450" s="193"/>
      <c r="L450" s="193"/>
      <c r="M450" s="193"/>
      <c r="N450" s="193"/>
      <c r="O450" s="193"/>
      <c r="P450" s="193"/>
      <c r="Q450" s="193"/>
      <c r="R450" s="193"/>
      <c r="S450" s="193"/>
      <c r="T450" s="193"/>
      <c r="U450" s="193"/>
      <c r="V450" s="193"/>
      <c r="W450" s="193"/>
      <c r="X450" s="193"/>
      <c r="Y450" s="193"/>
      <c r="Z450" s="193"/>
      <c r="AA450" s="193"/>
      <c r="AB450" s="193"/>
      <c r="AC450" s="193"/>
    </row>
    <row r="451" spans="1:29" ht="15.75" customHeight="1">
      <c r="A451" s="193"/>
      <c r="B451" s="193"/>
      <c r="C451" s="193"/>
      <c r="D451" s="193"/>
      <c r="E451" s="193"/>
      <c r="F451" s="193"/>
      <c r="G451" s="193"/>
      <c r="H451" s="193"/>
      <c r="I451" s="193"/>
      <c r="J451" s="193"/>
      <c r="K451" s="193"/>
      <c r="L451" s="193"/>
      <c r="M451" s="193"/>
      <c r="N451" s="193"/>
      <c r="O451" s="193"/>
      <c r="P451" s="193"/>
      <c r="Q451" s="193"/>
      <c r="R451" s="193"/>
      <c r="S451" s="193"/>
      <c r="T451" s="193"/>
      <c r="U451" s="193"/>
      <c r="V451" s="193"/>
      <c r="W451" s="193"/>
      <c r="X451" s="193"/>
      <c r="Y451" s="193"/>
      <c r="Z451" s="193"/>
      <c r="AA451" s="193"/>
      <c r="AB451" s="193"/>
      <c r="AC451" s="193"/>
    </row>
    <row r="452" spans="1:29" ht="15.75" customHeight="1">
      <c r="A452" s="193"/>
      <c r="B452" s="193"/>
      <c r="C452" s="193"/>
      <c r="D452" s="193"/>
      <c r="E452" s="193"/>
      <c r="F452" s="193"/>
      <c r="G452" s="193"/>
      <c r="H452" s="193"/>
      <c r="I452" s="193"/>
      <c r="J452" s="193"/>
      <c r="K452" s="193"/>
      <c r="L452" s="193"/>
      <c r="M452" s="193"/>
      <c r="N452" s="193"/>
      <c r="O452" s="193"/>
      <c r="P452" s="193"/>
      <c r="Q452" s="193"/>
      <c r="R452" s="193"/>
      <c r="S452" s="193"/>
      <c r="T452" s="193"/>
      <c r="U452" s="193"/>
      <c r="V452" s="193"/>
      <c r="W452" s="193"/>
      <c r="X452" s="193"/>
      <c r="Y452" s="193"/>
      <c r="Z452" s="193"/>
      <c r="AA452" s="193"/>
      <c r="AB452" s="193"/>
      <c r="AC452" s="193"/>
    </row>
    <row r="453" spans="1:29" ht="15.75" customHeight="1">
      <c r="A453" s="193"/>
      <c r="B453" s="193"/>
      <c r="C453" s="193"/>
      <c r="D453" s="193"/>
      <c r="E453" s="193"/>
      <c r="F453" s="193"/>
      <c r="G453" s="193"/>
      <c r="H453" s="193"/>
      <c r="I453" s="193"/>
      <c r="J453" s="193"/>
      <c r="K453" s="193"/>
      <c r="L453" s="193"/>
      <c r="M453" s="193"/>
      <c r="N453" s="193"/>
      <c r="O453" s="193"/>
      <c r="P453" s="193"/>
      <c r="Q453" s="193"/>
      <c r="R453" s="193"/>
      <c r="S453" s="193"/>
      <c r="T453" s="193"/>
      <c r="U453" s="193"/>
      <c r="V453" s="193"/>
      <c r="W453" s="193"/>
      <c r="X453" s="193"/>
      <c r="Y453" s="193"/>
      <c r="Z453" s="193"/>
      <c r="AA453" s="193"/>
      <c r="AB453" s="193"/>
      <c r="AC453" s="193"/>
    </row>
    <row r="454" spans="1:29" ht="15.75" customHeight="1">
      <c r="A454" s="193"/>
      <c r="B454" s="193"/>
      <c r="C454" s="193"/>
      <c r="D454" s="193"/>
      <c r="E454" s="193"/>
      <c r="F454" s="193"/>
      <c r="G454" s="193"/>
      <c r="H454" s="193"/>
      <c r="I454" s="193"/>
      <c r="J454" s="193"/>
      <c r="K454" s="193"/>
      <c r="L454" s="193"/>
      <c r="M454" s="193"/>
      <c r="N454" s="193"/>
      <c r="O454" s="193"/>
      <c r="P454" s="193"/>
      <c r="Q454" s="193"/>
      <c r="R454" s="193"/>
      <c r="S454" s="193"/>
      <c r="T454" s="193"/>
      <c r="U454" s="193"/>
      <c r="V454" s="193"/>
      <c r="W454" s="193"/>
      <c r="X454" s="193"/>
      <c r="Y454" s="193"/>
      <c r="Z454" s="193"/>
      <c r="AA454" s="193"/>
      <c r="AB454" s="193"/>
      <c r="AC454" s="193"/>
    </row>
    <row r="455" spans="1:29" ht="15.75" customHeight="1">
      <c r="A455" s="193"/>
      <c r="B455" s="193"/>
      <c r="C455" s="193"/>
      <c r="D455" s="193"/>
      <c r="E455" s="193"/>
      <c r="F455" s="193"/>
      <c r="G455" s="193"/>
      <c r="H455" s="193"/>
      <c r="I455" s="193"/>
      <c r="J455" s="193"/>
      <c r="K455" s="193"/>
      <c r="L455" s="193"/>
      <c r="M455" s="193"/>
      <c r="N455" s="193"/>
      <c r="O455" s="193"/>
      <c r="P455" s="193"/>
      <c r="Q455" s="193"/>
      <c r="R455" s="193"/>
      <c r="S455" s="193"/>
      <c r="T455" s="193"/>
      <c r="U455" s="193"/>
      <c r="V455" s="193"/>
      <c r="W455" s="193"/>
      <c r="X455" s="193"/>
      <c r="Y455" s="193"/>
      <c r="Z455" s="193"/>
      <c r="AA455" s="193"/>
      <c r="AB455" s="193"/>
      <c r="AC455" s="193"/>
    </row>
    <row r="456" spans="1:29" ht="15.75" customHeight="1">
      <c r="A456" s="193"/>
      <c r="B456" s="193"/>
      <c r="C456" s="193"/>
      <c r="D456" s="193"/>
      <c r="E456" s="193"/>
      <c r="F456" s="193"/>
      <c r="G456" s="193"/>
      <c r="H456" s="193"/>
      <c r="I456" s="193"/>
      <c r="J456" s="193"/>
      <c r="K456" s="193"/>
      <c r="L456" s="193"/>
      <c r="M456" s="193"/>
      <c r="N456" s="193"/>
      <c r="O456" s="193"/>
      <c r="P456" s="193"/>
      <c r="Q456" s="193"/>
      <c r="R456" s="193"/>
      <c r="S456" s="193"/>
      <c r="T456" s="193"/>
      <c r="U456" s="193"/>
      <c r="V456" s="193"/>
      <c r="W456" s="193"/>
      <c r="X456" s="193"/>
      <c r="Y456" s="193"/>
      <c r="Z456" s="193"/>
      <c r="AA456" s="193"/>
      <c r="AB456" s="193"/>
      <c r="AC456" s="193"/>
    </row>
    <row r="457" spans="1:29" ht="15.75" customHeight="1">
      <c r="A457" s="193"/>
      <c r="B457" s="193"/>
      <c r="C457" s="193"/>
      <c r="D457" s="193"/>
      <c r="E457" s="193"/>
      <c r="F457" s="193"/>
      <c r="G457" s="193"/>
      <c r="H457" s="193"/>
      <c r="I457" s="193"/>
      <c r="J457" s="193"/>
      <c r="K457" s="193"/>
      <c r="L457" s="193"/>
      <c r="M457" s="193"/>
      <c r="N457" s="193"/>
      <c r="O457" s="193"/>
      <c r="P457" s="193"/>
      <c r="Q457" s="193"/>
      <c r="R457" s="193"/>
      <c r="S457" s="193"/>
      <c r="T457" s="193"/>
      <c r="U457" s="193"/>
      <c r="V457" s="193"/>
      <c r="W457" s="193"/>
      <c r="X457" s="193"/>
      <c r="Y457" s="193"/>
      <c r="Z457" s="193"/>
      <c r="AA457" s="193"/>
      <c r="AB457" s="193"/>
      <c r="AC457" s="193"/>
    </row>
    <row r="458" spans="1:29" ht="15.75" customHeight="1">
      <c r="A458" s="193"/>
      <c r="B458" s="193"/>
      <c r="C458" s="193"/>
      <c r="D458" s="193"/>
      <c r="E458" s="193"/>
      <c r="F458" s="193"/>
      <c r="G458" s="193"/>
      <c r="H458" s="193"/>
      <c r="I458" s="193"/>
      <c r="J458" s="193"/>
      <c r="K458" s="193"/>
      <c r="L458" s="193"/>
      <c r="M458" s="193"/>
      <c r="N458" s="193"/>
      <c r="O458" s="193"/>
      <c r="P458" s="193"/>
      <c r="Q458" s="193"/>
      <c r="R458" s="193"/>
      <c r="S458" s="193"/>
      <c r="T458" s="193"/>
      <c r="U458" s="193"/>
      <c r="V458" s="193"/>
      <c r="W458" s="193"/>
      <c r="X458" s="193"/>
      <c r="Y458" s="193"/>
      <c r="Z458" s="193"/>
      <c r="AA458" s="193"/>
      <c r="AB458" s="193"/>
      <c r="AC458" s="193"/>
    </row>
    <row r="459" spans="1:29" ht="15.75" customHeight="1">
      <c r="A459" s="193"/>
      <c r="B459" s="193"/>
      <c r="C459" s="193"/>
      <c r="D459" s="193"/>
      <c r="E459" s="193"/>
      <c r="F459" s="193"/>
      <c r="G459" s="193"/>
      <c r="H459" s="193"/>
      <c r="I459" s="193"/>
      <c r="J459" s="193"/>
      <c r="K459" s="193"/>
      <c r="L459" s="193"/>
      <c r="M459" s="193"/>
      <c r="N459" s="193"/>
      <c r="O459" s="193"/>
      <c r="P459" s="193"/>
      <c r="Q459" s="193"/>
      <c r="R459" s="193"/>
      <c r="S459" s="193"/>
      <c r="T459" s="193"/>
      <c r="U459" s="193"/>
      <c r="V459" s="193"/>
      <c r="W459" s="193"/>
      <c r="X459" s="193"/>
      <c r="Y459" s="193"/>
      <c r="Z459" s="193"/>
      <c r="AA459" s="193"/>
      <c r="AB459" s="193"/>
      <c r="AC459" s="193"/>
    </row>
    <row r="460" spans="1:29" ht="15.75" customHeight="1">
      <c r="A460" s="193"/>
      <c r="B460" s="193"/>
      <c r="C460" s="193"/>
      <c r="D460" s="193"/>
      <c r="E460" s="193"/>
      <c r="F460" s="193"/>
      <c r="G460" s="193"/>
      <c r="H460" s="193"/>
      <c r="I460" s="193"/>
      <c r="J460" s="193"/>
      <c r="K460" s="193"/>
      <c r="L460" s="193"/>
      <c r="M460" s="193"/>
      <c r="N460" s="193"/>
      <c r="O460" s="193"/>
      <c r="P460" s="193"/>
      <c r="Q460" s="193"/>
      <c r="R460" s="193"/>
      <c r="S460" s="193"/>
      <c r="T460" s="193"/>
      <c r="U460" s="193"/>
      <c r="V460" s="193"/>
      <c r="W460" s="193"/>
      <c r="X460" s="193"/>
      <c r="Y460" s="193"/>
      <c r="Z460" s="193"/>
      <c r="AA460" s="193"/>
      <c r="AB460" s="193"/>
      <c r="AC460" s="193"/>
    </row>
    <row r="461" spans="1:29" ht="15.75" customHeight="1">
      <c r="A461" s="193"/>
      <c r="B461" s="193"/>
      <c r="C461" s="193"/>
      <c r="D461" s="193"/>
      <c r="E461" s="193"/>
      <c r="F461" s="193"/>
      <c r="G461" s="193"/>
      <c r="H461" s="193"/>
      <c r="I461" s="193"/>
      <c r="J461" s="193"/>
      <c r="K461" s="193"/>
      <c r="L461" s="193"/>
      <c r="M461" s="193"/>
      <c r="N461" s="193"/>
      <c r="O461" s="193"/>
      <c r="P461" s="193"/>
      <c r="Q461" s="193"/>
      <c r="R461" s="193"/>
      <c r="S461" s="193"/>
      <c r="T461" s="193"/>
      <c r="U461" s="193"/>
      <c r="V461" s="193"/>
      <c r="W461" s="193"/>
      <c r="X461" s="193"/>
      <c r="Y461" s="193"/>
      <c r="Z461" s="193"/>
      <c r="AA461" s="193"/>
      <c r="AB461" s="193"/>
      <c r="AC461" s="193"/>
    </row>
    <row r="462" spans="1:29" ht="15.75" customHeight="1">
      <c r="A462" s="193"/>
      <c r="B462" s="193"/>
      <c r="C462" s="193"/>
      <c r="D462" s="193"/>
      <c r="E462" s="193"/>
      <c r="F462" s="193"/>
      <c r="G462" s="193"/>
      <c r="H462" s="193"/>
      <c r="I462" s="193"/>
      <c r="J462" s="193"/>
      <c r="K462" s="193"/>
      <c r="L462" s="193"/>
      <c r="M462" s="193"/>
      <c r="N462" s="193"/>
      <c r="O462" s="193"/>
      <c r="P462" s="193"/>
      <c r="Q462" s="193"/>
      <c r="R462" s="193"/>
      <c r="S462" s="193"/>
      <c r="T462" s="193"/>
      <c r="U462" s="193"/>
      <c r="V462" s="193"/>
      <c r="W462" s="193"/>
      <c r="X462" s="193"/>
      <c r="Y462" s="193"/>
      <c r="Z462" s="193"/>
      <c r="AA462" s="193"/>
      <c r="AB462" s="193"/>
      <c r="AC462" s="193"/>
    </row>
    <row r="463" spans="1:29" ht="15.75" customHeight="1">
      <c r="A463" s="193"/>
      <c r="B463" s="193"/>
      <c r="C463" s="193"/>
      <c r="D463" s="193"/>
      <c r="E463" s="193"/>
      <c r="F463" s="193"/>
      <c r="G463" s="193"/>
      <c r="H463" s="193"/>
      <c r="I463" s="193"/>
      <c r="J463" s="193"/>
      <c r="K463" s="193"/>
      <c r="L463" s="193"/>
      <c r="M463" s="193"/>
      <c r="N463" s="193"/>
      <c r="O463" s="193"/>
      <c r="P463" s="193"/>
      <c r="Q463" s="193"/>
      <c r="R463" s="193"/>
      <c r="S463" s="193"/>
      <c r="T463" s="193"/>
      <c r="U463" s="193"/>
      <c r="V463" s="193"/>
      <c r="W463" s="193"/>
      <c r="X463" s="193"/>
      <c r="Y463" s="193"/>
      <c r="Z463" s="193"/>
      <c r="AA463" s="193"/>
      <c r="AB463" s="193"/>
      <c r="AC463" s="193"/>
    </row>
    <row r="464" spans="1:29" ht="15.75" customHeight="1">
      <c r="A464" s="193"/>
      <c r="B464" s="193"/>
      <c r="C464" s="193"/>
      <c r="D464" s="193"/>
      <c r="E464" s="193"/>
      <c r="F464" s="193"/>
      <c r="G464" s="193"/>
      <c r="H464" s="193"/>
      <c r="I464" s="193"/>
      <c r="J464" s="193"/>
      <c r="K464" s="193"/>
      <c r="L464" s="193"/>
      <c r="M464" s="193"/>
      <c r="N464" s="193"/>
      <c r="O464" s="193"/>
      <c r="P464" s="193"/>
      <c r="Q464" s="193"/>
      <c r="R464" s="193"/>
      <c r="S464" s="193"/>
      <c r="T464" s="193"/>
      <c r="U464" s="193"/>
      <c r="V464" s="193"/>
      <c r="W464" s="193"/>
      <c r="X464" s="193"/>
      <c r="Y464" s="193"/>
      <c r="Z464" s="193"/>
      <c r="AA464" s="193"/>
      <c r="AB464" s="193"/>
      <c r="AC464" s="193"/>
    </row>
    <row r="465" spans="1:29" ht="15.75" customHeight="1">
      <c r="A465" s="193"/>
      <c r="B465" s="193"/>
      <c r="C465" s="193"/>
      <c r="D465" s="193"/>
      <c r="E465" s="193"/>
      <c r="F465" s="193"/>
      <c r="G465" s="193"/>
      <c r="H465" s="193"/>
      <c r="I465" s="193"/>
      <c r="J465" s="193"/>
      <c r="K465" s="193"/>
      <c r="L465" s="193"/>
      <c r="M465" s="193"/>
      <c r="N465" s="193"/>
      <c r="O465" s="193"/>
      <c r="P465" s="193"/>
      <c r="Q465" s="193"/>
      <c r="R465" s="193"/>
      <c r="S465" s="193"/>
      <c r="T465" s="193"/>
      <c r="U465" s="193"/>
      <c r="V465" s="193"/>
      <c r="W465" s="193"/>
      <c r="X465" s="193"/>
      <c r="Y465" s="193"/>
      <c r="Z465" s="193"/>
      <c r="AA465" s="193"/>
      <c r="AB465" s="193"/>
      <c r="AC465" s="193"/>
    </row>
    <row r="466" spans="1:29" ht="15.75" customHeight="1">
      <c r="A466" s="193"/>
      <c r="B466" s="193"/>
      <c r="C466" s="193"/>
      <c r="D466" s="193"/>
      <c r="E466" s="193"/>
      <c r="F466" s="193"/>
      <c r="G466" s="193"/>
      <c r="H466" s="193"/>
      <c r="I466" s="193"/>
      <c r="J466" s="193"/>
      <c r="K466" s="193"/>
      <c r="L466" s="193"/>
      <c r="M466" s="193"/>
      <c r="N466" s="193"/>
      <c r="O466" s="193"/>
      <c r="P466" s="193"/>
      <c r="Q466" s="193"/>
      <c r="R466" s="193"/>
      <c r="S466" s="193"/>
      <c r="T466" s="193"/>
      <c r="U466" s="193"/>
      <c r="V466" s="193"/>
      <c r="W466" s="193"/>
      <c r="X466" s="193"/>
      <c r="Y466" s="193"/>
      <c r="Z466" s="193"/>
      <c r="AA466" s="193"/>
      <c r="AB466" s="193"/>
      <c r="AC466" s="193"/>
    </row>
    <row r="467" spans="1:29" ht="15.75" customHeight="1">
      <c r="A467" s="193"/>
      <c r="B467" s="193"/>
      <c r="C467" s="193"/>
      <c r="D467" s="193"/>
      <c r="E467" s="193"/>
      <c r="F467" s="193"/>
      <c r="G467" s="193"/>
      <c r="H467" s="193"/>
      <c r="I467" s="193"/>
      <c r="J467" s="193"/>
      <c r="K467" s="193"/>
      <c r="L467" s="193"/>
      <c r="M467" s="193"/>
      <c r="N467" s="193"/>
      <c r="O467" s="193"/>
      <c r="P467" s="193"/>
      <c r="Q467" s="193"/>
      <c r="R467" s="193"/>
      <c r="S467" s="193"/>
      <c r="T467" s="193"/>
      <c r="U467" s="193"/>
      <c r="V467" s="193"/>
      <c r="W467" s="193"/>
      <c r="X467" s="193"/>
      <c r="Y467" s="193"/>
      <c r="Z467" s="193"/>
      <c r="AA467" s="193"/>
      <c r="AB467" s="193"/>
      <c r="AC467" s="193"/>
    </row>
    <row r="468" spans="1:29" ht="15.75" customHeight="1">
      <c r="A468" s="193"/>
      <c r="B468" s="193"/>
      <c r="C468" s="193"/>
      <c r="D468" s="193"/>
      <c r="E468" s="193"/>
      <c r="F468" s="193"/>
      <c r="G468" s="193"/>
      <c r="H468" s="193"/>
      <c r="I468" s="193"/>
      <c r="J468" s="193"/>
      <c r="K468" s="193"/>
      <c r="L468" s="193"/>
      <c r="M468" s="193"/>
      <c r="N468" s="193"/>
      <c r="O468" s="193"/>
      <c r="P468" s="193"/>
      <c r="Q468" s="193"/>
      <c r="R468" s="193"/>
      <c r="S468" s="193"/>
      <c r="T468" s="193"/>
      <c r="U468" s="193"/>
      <c r="V468" s="193"/>
      <c r="W468" s="193"/>
      <c r="X468" s="193"/>
      <c r="Y468" s="193"/>
      <c r="Z468" s="193"/>
      <c r="AA468" s="193"/>
      <c r="AB468" s="193"/>
      <c r="AC468" s="193"/>
    </row>
    <row r="469" spans="1:29" ht="15.75" customHeight="1">
      <c r="A469" s="193"/>
      <c r="B469" s="193"/>
      <c r="C469" s="193"/>
      <c r="D469" s="193"/>
      <c r="E469" s="193"/>
      <c r="F469" s="193"/>
      <c r="G469" s="193"/>
      <c r="H469" s="193"/>
      <c r="I469" s="193"/>
      <c r="J469" s="193"/>
      <c r="K469" s="193"/>
      <c r="L469" s="193"/>
      <c r="M469" s="193"/>
      <c r="N469" s="193"/>
      <c r="O469" s="193"/>
      <c r="P469" s="193"/>
      <c r="Q469" s="193"/>
      <c r="R469" s="193"/>
      <c r="S469" s="193"/>
      <c r="T469" s="193"/>
      <c r="U469" s="193"/>
      <c r="V469" s="193"/>
      <c r="W469" s="193"/>
      <c r="X469" s="193"/>
      <c r="Y469" s="193"/>
      <c r="Z469" s="193"/>
      <c r="AA469" s="193"/>
      <c r="AB469" s="193"/>
      <c r="AC469" s="193"/>
    </row>
    <row r="470" spans="1:29" ht="15.75" customHeight="1">
      <c r="A470" s="193"/>
      <c r="B470" s="193"/>
      <c r="C470" s="193"/>
      <c r="D470" s="193"/>
      <c r="E470" s="193"/>
      <c r="F470" s="193"/>
      <c r="G470" s="193"/>
      <c r="H470" s="193"/>
      <c r="I470" s="193"/>
      <c r="J470" s="193"/>
      <c r="K470" s="193"/>
      <c r="L470" s="193"/>
      <c r="M470" s="193"/>
      <c r="N470" s="193"/>
      <c r="O470" s="193"/>
      <c r="P470" s="193"/>
      <c r="Q470" s="193"/>
      <c r="R470" s="193"/>
      <c r="S470" s="193"/>
      <c r="T470" s="193"/>
      <c r="U470" s="193"/>
      <c r="V470" s="193"/>
      <c r="W470" s="193"/>
      <c r="X470" s="193"/>
      <c r="Y470" s="193"/>
      <c r="Z470" s="193"/>
      <c r="AA470" s="193"/>
      <c r="AB470" s="193"/>
      <c r="AC470" s="193"/>
    </row>
    <row r="471" spans="1:29" ht="15.75" customHeight="1">
      <c r="A471" s="193"/>
      <c r="B471" s="193"/>
      <c r="C471" s="193"/>
      <c r="D471" s="193"/>
      <c r="E471" s="193"/>
      <c r="F471" s="193"/>
      <c r="G471" s="193"/>
      <c r="H471" s="193"/>
      <c r="I471" s="193"/>
      <c r="J471" s="193"/>
      <c r="K471" s="193"/>
      <c r="L471" s="193"/>
      <c r="M471" s="193"/>
      <c r="N471" s="193"/>
      <c r="O471" s="193"/>
      <c r="P471" s="193"/>
      <c r="Q471" s="193"/>
      <c r="R471" s="193"/>
      <c r="S471" s="193"/>
      <c r="T471" s="193"/>
      <c r="U471" s="193"/>
      <c r="V471" s="193"/>
      <c r="W471" s="193"/>
      <c r="X471" s="193"/>
      <c r="Y471" s="193"/>
      <c r="Z471" s="193"/>
      <c r="AA471" s="193"/>
      <c r="AB471" s="193"/>
      <c r="AC471" s="193"/>
    </row>
    <row r="472" spans="1:29" ht="15.75" customHeight="1">
      <c r="A472" s="193"/>
      <c r="B472" s="193"/>
      <c r="C472" s="193"/>
      <c r="D472" s="193"/>
      <c r="E472" s="193"/>
      <c r="F472" s="193"/>
      <c r="G472" s="193"/>
      <c r="H472" s="193"/>
      <c r="I472" s="193"/>
      <c r="J472" s="193"/>
      <c r="K472" s="193"/>
      <c r="L472" s="193"/>
      <c r="M472" s="193"/>
      <c r="N472" s="193"/>
      <c r="O472" s="193"/>
      <c r="P472" s="193"/>
      <c r="Q472" s="193"/>
      <c r="R472" s="193"/>
      <c r="S472" s="193"/>
      <c r="T472" s="193"/>
      <c r="U472" s="193"/>
      <c r="V472" s="193"/>
      <c r="W472" s="193"/>
      <c r="X472" s="193"/>
      <c r="Y472" s="193"/>
      <c r="Z472" s="193"/>
      <c r="AA472" s="193"/>
      <c r="AB472" s="193"/>
      <c r="AC472" s="193"/>
    </row>
    <row r="473" spans="1:29" ht="15.75" customHeight="1">
      <c r="A473" s="193"/>
      <c r="B473" s="193"/>
      <c r="C473" s="193"/>
      <c r="D473" s="193"/>
      <c r="E473" s="193"/>
      <c r="F473" s="193"/>
      <c r="G473" s="193"/>
      <c r="H473" s="193"/>
      <c r="I473" s="193"/>
      <c r="J473" s="193"/>
      <c r="K473" s="193"/>
      <c r="L473" s="193"/>
      <c r="M473" s="193"/>
      <c r="N473" s="193"/>
      <c r="O473" s="193"/>
      <c r="P473" s="193"/>
      <c r="Q473" s="193"/>
      <c r="R473" s="193"/>
      <c r="S473" s="193"/>
      <c r="T473" s="193"/>
      <c r="U473" s="193"/>
      <c r="V473" s="193"/>
      <c r="W473" s="193"/>
      <c r="X473" s="193"/>
      <c r="Y473" s="193"/>
      <c r="Z473" s="193"/>
      <c r="AA473" s="193"/>
      <c r="AB473" s="193"/>
      <c r="AC473" s="193"/>
    </row>
    <row r="474" spans="1:29" ht="15.75" customHeight="1">
      <c r="A474" s="193"/>
      <c r="B474" s="193"/>
      <c r="C474" s="193"/>
      <c r="D474" s="193"/>
      <c r="E474" s="193"/>
      <c r="F474" s="193"/>
      <c r="G474" s="193"/>
      <c r="H474" s="193"/>
      <c r="I474" s="193"/>
      <c r="J474" s="193"/>
      <c r="K474" s="193"/>
      <c r="L474" s="193"/>
      <c r="M474" s="193"/>
      <c r="N474" s="193"/>
      <c r="O474" s="193"/>
      <c r="P474" s="193"/>
      <c r="Q474" s="193"/>
      <c r="R474" s="193"/>
      <c r="S474" s="193"/>
      <c r="T474" s="193"/>
      <c r="U474" s="193"/>
      <c r="V474" s="193"/>
      <c r="W474" s="193"/>
      <c r="X474" s="193"/>
      <c r="Y474" s="193"/>
      <c r="Z474" s="193"/>
      <c r="AA474" s="193"/>
      <c r="AB474" s="193"/>
      <c r="AC474" s="193"/>
    </row>
    <row r="475" spans="1:29" ht="15.75" customHeight="1">
      <c r="A475" s="193"/>
      <c r="B475" s="193"/>
      <c r="C475" s="193"/>
      <c r="D475" s="193"/>
      <c r="E475" s="193"/>
      <c r="F475" s="193"/>
      <c r="G475" s="193"/>
      <c r="H475" s="193"/>
      <c r="I475" s="193"/>
      <c r="J475" s="193"/>
      <c r="K475" s="193"/>
      <c r="L475" s="193"/>
      <c r="M475" s="193"/>
      <c r="N475" s="193"/>
      <c r="O475" s="193"/>
      <c r="P475" s="193"/>
      <c r="Q475" s="193"/>
      <c r="R475" s="193"/>
      <c r="S475" s="193"/>
      <c r="T475" s="193"/>
      <c r="U475" s="193"/>
      <c r="V475" s="193"/>
      <c r="W475" s="193"/>
      <c r="X475" s="193"/>
      <c r="Y475" s="193"/>
      <c r="Z475" s="193"/>
      <c r="AA475" s="193"/>
      <c r="AB475" s="193"/>
      <c r="AC475" s="193"/>
    </row>
    <row r="476" spans="1:29" ht="15.75" customHeight="1">
      <c r="A476" s="193"/>
      <c r="B476" s="193"/>
      <c r="C476" s="193"/>
      <c r="D476" s="193"/>
      <c r="E476" s="193"/>
      <c r="F476" s="193"/>
      <c r="G476" s="193"/>
      <c r="H476" s="193"/>
      <c r="I476" s="193"/>
      <c r="J476" s="193"/>
      <c r="K476" s="193"/>
      <c r="L476" s="193"/>
      <c r="M476" s="193"/>
      <c r="N476" s="193"/>
      <c r="O476" s="193"/>
      <c r="P476" s="193"/>
      <c r="Q476" s="193"/>
      <c r="R476" s="193"/>
      <c r="S476" s="193"/>
      <c r="T476" s="193"/>
      <c r="U476" s="193"/>
      <c r="V476" s="193"/>
      <c r="W476" s="193"/>
      <c r="X476" s="193"/>
      <c r="Y476" s="193"/>
      <c r="Z476" s="193"/>
      <c r="AA476" s="193"/>
      <c r="AB476" s="193"/>
      <c r="AC476" s="193"/>
    </row>
    <row r="477" spans="1:29" ht="15.75" customHeight="1">
      <c r="A477" s="193"/>
      <c r="B477" s="193"/>
      <c r="C477" s="193"/>
      <c r="D477" s="193"/>
      <c r="E477" s="193"/>
      <c r="F477" s="193"/>
      <c r="G477" s="193"/>
      <c r="H477" s="193"/>
      <c r="I477" s="193"/>
      <c r="J477" s="193"/>
      <c r="K477" s="193"/>
      <c r="L477" s="193"/>
      <c r="M477" s="193"/>
      <c r="N477" s="193"/>
      <c r="O477" s="193"/>
      <c r="P477" s="193"/>
      <c r="Q477" s="193"/>
      <c r="R477" s="193"/>
      <c r="S477" s="193"/>
      <c r="T477" s="193"/>
      <c r="U477" s="193"/>
      <c r="V477" s="193"/>
      <c r="W477" s="193"/>
      <c r="X477" s="193"/>
      <c r="Y477" s="193"/>
      <c r="Z477" s="193"/>
      <c r="AA477" s="193"/>
      <c r="AB477" s="193"/>
      <c r="AC477" s="193"/>
    </row>
    <row r="478" spans="1:29" ht="15.75" customHeight="1">
      <c r="A478" s="193"/>
      <c r="B478" s="193"/>
      <c r="C478" s="193"/>
      <c r="D478" s="193"/>
      <c r="E478" s="193"/>
      <c r="F478" s="193"/>
      <c r="G478" s="193"/>
      <c r="H478" s="193"/>
      <c r="I478" s="193"/>
      <c r="J478" s="193"/>
      <c r="K478" s="193"/>
      <c r="L478" s="193"/>
      <c r="M478" s="193"/>
      <c r="N478" s="193"/>
      <c r="O478" s="193"/>
      <c r="P478" s="193"/>
      <c r="Q478" s="193"/>
      <c r="R478" s="193"/>
      <c r="S478" s="193"/>
      <c r="T478" s="193"/>
      <c r="U478" s="193"/>
      <c r="V478" s="193"/>
      <c r="W478" s="193"/>
      <c r="X478" s="193"/>
      <c r="Y478" s="193"/>
      <c r="Z478" s="193"/>
      <c r="AA478" s="193"/>
      <c r="AB478" s="193"/>
      <c r="AC478" s="193"/>
    </row>
    <row r="479" spans="1:29" ht="15.75" customHeight="1">
      <c r="A479" s="193"/>
      <c r="B479" s="193"/>
      <c r="C479" s="193"/>
      <c r="D479" s="193"/>
      <c r="E479" s="193"/>
      <c r="F479" s="193"/>
      <c r="G479" s="193"/>
      <c r="H479" s="193"/>
      <c r="I479" s="193"/>
      <c r="J479" s="193"/>
      <c r="K479" s="193"/>
      <c r="L479" s="193"/>
      <c r="M479" s="193"/>
      <c r="N479" s="193"/>
      <c r="O479" s="193"/>
      <c r="P479" s="193"/>
      <c r="Q479" s="193"/>
      <c r="R479" s="193"/>
      <c r="S479" s="193"/>
      <c r="T479" s="193"/>
      <c r="U479" s="193"/>
      <c r="V479" s="193"/>
      <c r="W479" s="193"/>
      <c r="X479" s="193"/>
      <c r="Y479" s="193"/>
      <c r="Z479" s="193"/>
      <c r="AA479" s="193"/>
      <c r="AB479" s="193"/>
      <c r="AC479" s="193"/>
    </row>
    <row r="480" spans="1:29" ht="15.75" customHeight="1">
      <c r="A480" s="193"/>
      <c r="B480" s="193"/>
      <c r="C480" s="193"/>
      <c r="D480" s="193"/>
      <c r="E480" s="193"/>
      <c r="F480" s="193"/>
      <c r="G480" s="193"/>
      <c r="H480" s="193"/>
      <c r="I480" s="193"/>
      <c r="J480" s="193"/>
      <c r="K480" s="193"/>
      <c r="L480" s="193"/>
      <c r="M480" s="193"/>
      <c r="N480" s="193"/>
      <c r="O480" s="193"/>
      <c r="P480" s="193"/>
      <c r="Q480" s="193"/>
      <c r="R480" s="193"/>
      <c r="S480" s="193"/>
      <c r="T480" s="193"/>
      <c r="U480" s="193"/>
      <c r="V480" s="193"/>
      <c r="W480" s="193"/>
      <c r="X480" s="193"/>
      <c r="Y480" s="193"/>
      <c r="Z480" s="193"/>
      <c r="AA480" s="193"/>
      <c r="AB480" s="193"/>
      <c r="AC480" s="193"/>
    </row>
    <row r="481" spans="1:29" ht="15.75" customHeight="1">
      <c r="A481" s="193"/>
      <c r="B481" s="193"/>
      <c r="C481" s="193"/>
      <c r="D481" s="193"/>
      <c r="E481" s="193"/>
      <c r="F481" s="193"/>
      <c r="G481" s="193"/>
      <c r="H481" s="193"/>
      <c r="I481" s="193"/>
      <c r="J481" s="193"/>
      <c r="K481" s="193"/>
      <c r="L481" s="193"/>
      <c r="M481" s="193"/>
      <c r="N481" s="193"/>
      <c r="O481" s="193"/>
      <c r="P481" s="193"/>
      <c r="Q481" s="193"/>
      <c r="R481" s="193"/>
      <c r="S481" s="193"/>
      <c r="T481" s="193"/>
      <c r="U481" s="193"/>
      <c r="V481" s="193"/>
      <c r="W481" s="193"/>
      <c r="X481" s="193"/>
      <c r="Y481" s="193"/>
      <c r="Z481" s="193"/>
      <c r="AA481" s="193"/>
      <c r="AB481" s="193"/>
      <c r="AC481" s="193"/>
    </row>
    <row r="482" spans="1:29" ht="15.75" customHeight="1">
      <c r="A482" s="193"/>
      <c r="B482" s="193"/>
      <c r="C482" s="193"/>
      <c r="D482" s="193"/>
      <c r="E482" s="193"/>
      <c r="F482" s="193"/>
      <c r="G482" s="193"/>
      <c r="H482" s="193"/>
      <c r="I482" s="193"/>
      <c r="J482" s="193"/>
      <c r="K482" s="193"/>
      <c r="L482" s="193"/>
      <c r="M482" s="193"/>
      <c r="N482" s="193"/>
      <c r="O482" s="193"/>
      <c r="P482" s="193"/>
      <c r="Q482" s="193"/>
      <c r="R482" s="193"/>
      <c r="S482" s="193"/>
      <c r="T482" s="193"/>
      <c r="U482" s="193"/>
      <c r="V482" s="193"/>
      <c r="W482" s="193"/>
      <c r="X482" s="193"/>
      <c r="Y482" s="193"/>
      <c r="Z482" s="193"/>
      <c r="AA482" s="193"/>
      <c r="AB482" s="193"/>
      <c r="AC482" s="193"/>
    </row>
    <row r="483" spans="1:29" ht="15.75" customHeight="1">
      <c r="A483" s="193"/>
      <c r="B483" s="193"/>
      <c r="C483" s="193"/>
      <c r="D483" s="193"/>
      <c r="E483" s="193"/>
      <c r="F483" s="193"/>
      <c r="G483" s="193"/>
      <c r="H483" s="193"/>
      <c r="I483" s="193"/>
      <c r="J483" s="193"/>
      <c r="K483" s="193"/>
      <c r="L483" s="193"/>
      <c r="M483" s="193"/>
      <c r="N483" s="193"/>
      <c r="O483" s="193"/>
      <c r="P483" s="193"/>
      <c r="Q483" s="193"/>
      <c r="R483" s="193"/>
      <c r="S483" s="193"/>
      <c r="T483" s="193"/>
      <c r="U483" s="193"/>
      <c r="V483" s="193"/>
      <c r="W483" s="193"/>
      <c r="X483" s="193"/>
      <c r="Y483" s="193"/>
      <c r="Z483" s="193"/>
      <c r="AA483" s="193"/>
      <c r="AB483" s="193"/>
      <c r="AC483" s="193"/>
    </row>
    <row r="484" spans="1:29" ht="15.75" customHeight="1">
      <c r="A484" s="193"/>
      <c r="B484" s="193"/>
      <c r="C484" s="193"/>
      <c r="D484" s="193"/>
      <c r="E484" s="193"/>
      <c r="F484" s="193"/>
      <c r="G484" s="193"/>
      <c r="H484" s="193"/>
      <c r="I484" s="193"/>
      <c r="J484" s="193"/>
      <c r="K484" s="193"/>
      <c r="L484" s="193"/>
      <c r="M484" s="193"/>
      <c r="N484" s="193"/>
      <c r="O484" s="193"/>
      <c r="P484" s="193"/>
      <c r="Q484" s="193"/>
      <c r="R484" s="193"/>
      <c r="S484" s="193"/>
      <c r="T484" s="193"/>
      <c r="U484" s="193"/>
      <c r="V484" s="193"/>
      <c r="W484" s="193"/>
      <c r="X484" s="193"/>
      <c r="Y484" s="193"/>
      <c r="Z484" s="193"/>
      <c r="AA484" s="193"/>
      <c r="AB484" s="193"/>
      <c r="AC484" s="193"/>
    </row>
    <row r="485" spans="1:29" ht="15.75" customHeight="1">
      <c r="A485" s="193"/>
      <c r="B485" s="193"/>
      <c r="C485" s="193"/>
      <c r="D485" s="193"/>
      <c r="E485" s="193"/>
      <c r="F485" s="193"/>
      <c r="G485" s="193"/>
      <c r="H485" s="193"/>
      <c r="I485" s="193"/>
      <c r="J485" s="193"/>
      <c r="K485" s="193"/>
      <c r="L485" s="193"/>
      <c r="M485" s="193"/>
      <c r="N485" s="193"/>
      <c r="O485" s="193"/>
      <c r="P485" s="193"/>
      <c r="Q485" s="193"/>
      <c r="R485" s="193"/>
      <c r="S485" s="193"/>
      <c r="T485" s="193"/>
      <c r="U485" s="193"/>
      <c r="V485" s="193"/>
      <c r="W485" s="193"/>
      <c r="X485" s="193"/>
      <c r="Y485" s="193"/>
      <c r="Z485" s="193"/>
      <c r="AA485" s="193"/>
      <c r="AB485" s="193"/>
      <c r="AC485" s="193"/>
    </row>
    <row r="486" spans="1:29" ht="15.75" customHeight="1">
      <c r="A486" s="193"/>
      <c r="B486" s="193"/>
      <c r="C486" s="193"/>
      <c r="D486" s="193"/>
      <c r="E486" s="193"/>
      <c r="F486" s="193"/>
      <c r="G486" s="193"/>
      <c r="H486" s="193"/>
      <c r="I486" s="193"/>
      <c r="J486" s="193"/>
      <c r="K486" s="193"/>
      <c r="L486" s="193"/>
      <c r="M486" s="193"/>
      <c r="N486" s="193"/>
      <c r="O486" s="193"/>
      <c r="P486" s="193"/>
      <c r="Q486" s="193"/>
      <c r="R486" s="193"/>
      <c r="S486" s="193"/>
      <c r="T486" s="193"/>
      <c r="U486" s="193"/>
      <c r="V486" s="193"/>
      <c r="W486" s="193"/>
      <c r="X486" s="193"/>
      <c r="Y486" s="193"/>
      <c r="Z486" s="193"/>
      <c r="AA486" s="193"/>
      <c r="AB486" s="193"/>
      <c r="AC486" s="193"/>
    </row>
    <row r="487" spans="1:29" ht="15.75" customHeight="1">
      <c r="A487" s="193"/>
      <c r="B487" s="193"/>
      <c r="C487" s="193"/>
      <c r="D487" s="193"/>
      <c r="E487" s="193"/>
      <c r="F487" s="193"/>
      <c r="G487" s="193"/>
      <c r="H487" s="193"/>
      <c r="I487" s="193"/>
      <c r="J487" s="193"/>
      <c r="K487" s="193"/>
      <c r="L487" s="193"/>
      <c r="M487" s="193"/>
      <c r="N487" s="193"/>
      <c r="O487" s="193"/>
      <c r="P487" s="193"/>
      <c r="Q487" s="193"/>
      <c r="R487" s="193"/>
      <c r="S487" s="193"/>
      <c r="T487" s="193"/>
      <c r="U487" s="193"/>
      <c r="V487" s="193"/>
      <c r="W487" s="193"/>
      <c r="X487" s="193"/>
      <c r="Y487" s="193"/>
      <c r="Z487" s="193"/>
      <c r="AA487" s="193"/>
      <c r="AB487" s="193"/>
      <c r="AC487" s="193"/>
    </row>
    <row r="488" spans="1:29" ht="15.75" customHeight="1">
      <c r="A488" s="193"/>
      <c r="B488" s="193"/>
      <c r="C488" s="193"/>
      <c r="D488" s="193"/>
      <c r="E488" s="193"/>
      <c r="F488" s="193"/>
      <c r="G488" s="193"/>
      <c r="H488" s="193"/>
      <c r="I488" s="193"/>
      <c r="J488" s="193"/>
      <c r="K488" s="193"/>
      <c r="L488" s="193"/>
      <c r="M488" s="193"/>
      <c r="N488" s="193"/>
      <c r="O488" s="193"/>
      <c r="P488" s="193"/>
      <c r="Q488" s="193"/>
      <c r="R488" s="193"/>
      <c r="S488" s="193"/>
      <c r="T488" s="193"/>
      <c r="U488" s="193"/>
      <c r="V488" s="193"/>
      <c r="W488" s="193"/>
      <c r="X488" s="193"/>
      <c r="Y488" s="193"/>
      <c r="Z488" s="193"/>
      <c r="AA488" s="193"/>
      <c r="AB488" s="193"/>
      <c r="AC488" s="193"/>
    </row>
    <row r="489" spans="1:29" ht="15.75" customHeight="1">
      <c r="A489" s="193"/>
      <c r="B489" s="193"/>
      <c r="C489" s="193"/>
      <c r="D489" s="193"/>
      <c r="E489" s="193"/>
      <c r="F489" s="193"/>
      <c r="G489" s="193"/>
      <c r="H489" s="193"/>
      <c r="I489" s="193"/>
      <c r="J489" s="193"/>
      <c r="K489" s="193"/>
      <c r="L489" s="193"/>
      <c r="M489" s="193"/>
      <c r="N489" s="193"/>
      <c r="O489" s="193"/>
      <c r="P489" s="193"/>
      <c r="Q489" s="193"/>
      <c r="R489" s="193"/>
      <c r="S489" s="193"/>
      <c r="T489" s="193"/>
      <c r="U489" s="193"/>
      <c r="V489" s="193"/>
      <c r="W489" s="193"/>
      <c r="X489" s="193"/>
      <c r="Y489" s="193"/>
      <c r="Z489" s="193"/>
      <c r="AA489" s="193"/>
      <c r="AB489" s="193"/>
      <c r="AC489" s="193"/>
    </row>
    <row r="490" spans="1:29" ht="15.75" customHeight="1">
      <c r="A490" s="193"/>
      <c r="B490" s="193"/>
      <c r="C490" s="193"/>
      <c r="D490" s="193"/>
      <c r="E490" s="193"/>
      <c r="F490" s="193"/>
      <c r="G490" s="193"/>
      <c r="H490" s="193"/>
      <c r="I490" s="193"/>
      <c r="J490" s="193"/>
      <c r="K490" s="193"/>
      <c r="L490" s="193"/>
      <c r="M490" s="193"/>
      <c r="N490" s="193"/>
      <c r="O490" s="193"/>
      <c r="P490" s="193"/>
      <c r="Q490" s="193"/>
      <c r="R490" s="193"/>
      <c r="S490" s="193"/>
      <c r="T490" s="193"/>
      <c r="U490" s="193"/>
      <c r="V490" s="193"/>
      <c r="W490" s="193"/>
      <c r="X490" s="193"/>
      <c r="Y490" s="193"/>
      <c r="Z490" s="193"/>
      <c r="AA490" s="193"/>
      <c r="AB490" s="193"/>
      <c r="AC490" s="193"/>
    </row>
    <row r="491" spans="1:29" ht="15.75" customHeight="1">
      <c r="A491" s="193"/>
      <c r="B491" s="193"/>
      <c r="C491" s="193"/>
      <c r="D491" s="193"/>
      <c r="E491" s="193"/>
      <c r="F491" s="193"/>
      <c r="G491" s="193"/>
      <c r="H491" s="193"/>
      <c r="I491" s="193"/>
      <c r="J491" s="193"/>
      <c r="K491" s="193"/>
      <c r="L491" s="193"/>
      <c r="M491" s="193"/>
      <c r="N491" s="193"/>
      <c r="O491" s="193"/>
      <c r="P491" s="193"/>
      <c r="Q491" s="193"/>
      <c r="R491" s="193"/>
      <c r="S491" s="193"/>
      <c r="T491" s="193"/>
      <c r="U491" s="193"/>
      <c r="V491" s="193"/>
      <c r="W491" s="193"/>
      <c r="X491" s="193"/>
      <c r="Y491" s="193"/>
      <c r="Z491" s="193"/>
      <c r="AA491" s="193"/>
      <c r="AB491" s="193"/>
      <c r="AC491" s="193"/>
    </row>
    <row r="492" spans="1:29" ht="15.75" customHeight="1">
      <c r="A492" s="193"/>
      <c r="B492" s="193"/>
      <c r="C492" s="193"/>
      <c r="D492" s="193"/>
      <c r="E492" s="193"/>
      <c r="F492" s="193"/>
      <c r="G492" s="193"/>
      <c r="H492" s="193"/>
      <c r="I492" s="193"/>
      <c r="J492" s="193"/>
      <c r="K492" s="193"/>
      <c r="L492" s="193"/>
      <c r="M492" s="193"/>
      <c r="N492" s="193"/>
      <c r="O492" s="193"/>
      <c r="P492" s="193"/>
      <c r="Q492" s="193"/>
      <c r="R492" s="193"/>
      <c r="S492" s="193"/>
      <c r="T492" s="193"/>
      <c r="U492" s="193"/>
      <c r="V492" s="193"/>
      <c r="W492" s="193"/>
      <c r="X492" s="193"/>
      <c r="Y492" s="193"/>
      <c r="Z492" s="193"/>
      <c r="AA492" s="193"/>
      <c r="AB492" s="193"/>
      <c r="AC492" s="193"/>
    </row>
    <row r="493" spans="1:29" ht="15.75" customHeight="1">
      <c r="A493" s="193"/>
      <c r="B493" s="193"/>
      <c r="C493" s="193"/>
      <c r="D493" s="193"/>
      <c r="E493" s="193"/>
      <c r="F493" s="193"/>
      <c r="G493" s="193"/>
      <c r="H493" s="193"/>
      <c r="I493" s="193"/>
      <c r="J493" s="193"/>
      <c r="K493" s="193"/>
      <c r="L493" s="193"/>
      <c r="M493" s="193"/>
      <c r="N493" s="193"/>
      <c r="O493" s="193"/>
      <c r="P493" s="193"/>
      <c r="Q493" s="193"/>
      <c r="R493" s="193"/>
      <c r="S493" s="193"/>
      <c r="T493" s="193"/>
      <c r="U493" s="193"/>
      <c r="V493" s="193"/>
      <c r="W493" s="193"/>
      <c r="X493" s="193"/>
      <c r="Y493" s="193"/>
      <c r="Z493" s="193"/>
      <c r="AA493" s="193"/>
      <c r="AB493" s="193"/>
      <c r="AC493" s="193"/>
    </row>
    <row r="494" spans="1:29" ht="15.75" customHeight="1">
      <c r="A494" s="193"/>
      <c r="B494" s="193"/>
      <c r="C494" s="193"/>
      <c r="D494" s="193"/>
      <c r="E494" s="193"/>
      <c r="F494" s="193"/>
      <c r="G494" s="193"/>
      <c r="H494" s="193"/>
      <c r="I494" s="193"/>
      <c r="J494" s="193"/>
      <c r="K494" s="193"/>
      <c r="L494" s="193"/>
      <c r="M494" s="193"/>
      <c r="N494" s="193"/>
      <c r="O494" s="193"/>
      <c r="P494" s="193"/>
      <c r="Q494" s="193"/>
      <c r="R494" s="193"/>
      <c r="S494" s="193"/>
      <c r="T494" s="193"/>
      <c r="U494" s="193"/>
      <c r="V494" s="193"/>
      <c r="W494" s="193"/>
      <c r="X494" s="193"/>
      <c r="Y494" s="193"/>
      <c r="Z494" s="193"/>
      <c r="AA494" s="193"/>
      <c r="AB494" s="193"/>
      <c r="AC494" s="193"/>
    </row>
    <row r="495" spans="1:29" ht="15.75" customHeight="1">
      <c r="A495" s="193"/>
      <c r="B495" s="193"/>
      <c r="C495" s="193"/>
      <c r="D495" s="193"/>
      <c r="E495" s="193"/>
      <c r="F495" s="193"/>
      <c r="G495" s="193"/>
      <c r="H495" s="193"/>
      <c r="I495" s="193"/>
      <c r="J495" s="193"/>
      <c r="K495" s="193"/>
      <c r="L495" s="193"/>
      <c r="M495" s="193"/>
      <c r="N495" s="193"/>
      <c r="O495" s="193"/>
      <c r="P495" s="193"/>
      <c r="Q495" s="193"/>
      <c r="R495" s="193"/>
      <c r="S495" s="193"/>
      <c r="T495" s="193"/>
      <c r="U495" s="193"/>
      <c r="V495" s="193"/>
      <c r="W495" s="193"/>
      <c r="X495" s="193"/>
      <c r="Y495" s="193"/>
      <c r="Z495" s="193"/>
      <c r="AA495" s="193"/>
      <c r="AB495" s="193"/>
      <c r="AC495" s="193"/>
    </row>
    <row r="496" spans="1:29" ht="15.75" customHeight="1">
      <c r="A496" s="193"/>
      <c r="B496" s="193"/>
      <c r="C496" s="193"/>
      <c r="D496" s="193"/>
      <c r="E496" s="193"/>
      <c r="F496" s="193"/>
      <c r="G496" s="193"/>
      <c r="H496" s="193"/>
      <c r="I496" s="193"/>
      <c r="J496" s="193"/>
      <c r="K496" s="193"/>
      <c r="L496" s="193"/>
      <c r="M496" s="193"/>
      <c r="N496" s="193"/>
      <c r="O496" s="193"/>
      <c r="P496" s="193"/>
      <c r="Q496" s="193"/>
      <c r="R496" s="193"/>
      <c r="S496" s="193"/>
      <c r="T496" s="193"/>
      <c r="U496" s="193"/>
      <c r="V496" s="193"/>
      <c r="W496" s="193"/>
      <c r="X496" s="193"/>
      <c r="Y496" s="193"/>
      <c r="Z496" s="193"/>
      <c r="AA496" s="193"/>
      <c r="AB496" s="193"/>
      <c r="AC496" s="193"/>
    </row>
    <row r="497" spans="1:29" ht="15.75" customHeight="1">
      <c r="A497" s="193"/>
      <c r="B497" s="193"/>
      <c r="C497" s="193"/>
      <c r="D497" s="193"/>
      <c r="E497" s="193"/>
      <c r="F497" s="193"/>
      <c r="G497" s="193"/>
      <c r="H497" s="193"/>
      <c r="I497" s="193"/>
      <c r="J497" s="193"/>
      <c r="K497" s="193"/>
      <c r="L497" s="193"/>
      <c r="M497" s="193"/>
      <c r="N497" s="193"/>
      <c r="O497" s="193"/>
      <c r="P497" s="193"/>
      <c r="Q497" s="193"/>
      <c r="R497" s="193"/>
      <c r="S497" s="193"/>
      <c r="T497" s="193"/>
      <c r="U497" s="193"/>
      <c r="V497" s="193"/>
      <c r="W497" s="193"/>
      <c r="X497" s="193"/>
      <c r="Y497" s="193"/>
      <c r="Z497" s="193"/>
      <c r="AA497" s="193"/>
      <c r="AB497" s="193"/>
      <c r="AC497" s="193"/>
    </row>
    <row r="498" spans="1:29" ht="15.75" customHeight="1">
      <c r="A498" s="193"/>
      <c r="B498" s="193"/>
      <c r="C498" s="193"/>
      <c r="D498" s="193"/>
      <c r="E498" s="193"/>
      <c r="F498" s="193"/>
      <c r="G498" s="193"/>
      <c r="H498" s="193"/>
      <c r="I498" s="193"/>
      <c r="J498" s="193"/>
      <c r="K498" s="193"/>
      <c r="L498" s="193"/>
      <c r="M498" s="193"/>
      <c r="N498" s="193"/>
      <c r="O498" s="193"/>
      <c r="P498" s="193"/>
      <c r="Q498" s="193"/>
      <c r="R498" s="193"/>
      <c r="S498" s="193"/>
      <c r="T498" s="193"/>
      <c r="U498" s="193"/>
      <c r="V498" s="193"/>
      <c r="W498" s="193"/>
      <c r="X498" s="193"/>
      <c r="Y498" s="193"/>
      <c r="Z498" s="193"/>
      <c r="AA498" s="193"/>
      <c r="AB498" s="193"/>
      <c r="AC498" s="193"/>
    </row>
    <row r="499" spans="1:29" ht="15.75" customHeight="1">
      <c r="A499" s="193"/>
      <c r="B499" s="193"/>
      <c r="C499" s="193"/>
      <c r="D499" s="193"/>
      <c r="E499" s="193"/>
      <c r="F499" s="193"/>
      <c r="G499" s="193"/>
      <c r="H499" s="193"/>
      <c r="I499" s="193"/>
      <c r="J499" s="193"/>
      <c r="K499" s="193"/>
      <c r="L499" s="193"/>
      <c r="M499" s="193"/>
      <c r="N499" s="193"/>
      <c r="O499" s="193"/>
      <c r="P499" s="193"/>
      <c r="Q499" s="193"/>
      <c r="R499" s="193"/>
      <c r="S499" s="193"/>
      <c r="T499" s="193"/>
      <c r="U499" s="193"/>
      <c r="V499" s="193"/>
      <c r="W499" s="193"/>
      <c r="X499" s="193"/>
      <c r="Y499" s="193"/>
      <c r="Z499" s="193"/>
      <c r="AA499" s="193"/>
      <c r="AB499" s="193"/>
      <c r="AC499" s="193"/>
    </row>
    <row r="500" spans="1:29" ht="15.75" customHeight="1">
      <c r="A500" s="193"/>
      <c r="B500" s="193"/>
      <c r="C500" s="193"/>
      <c r="D500" s="193"/>
      <c r="E500" s="193"/>
      <c r="F500" s="193"/>
      <c r="G500" s="193"/>
      <c r="H500" s="193"/>
      <c r="I500" s="193"/>
      <c r="J500" s="193"/>
      <c r="K500" s="193"/>
      <c r="L500" s="193"/>
      <c r="M500" s="193"/>
      <c r="N500" s="193"/>
      <c r="O500" s="193"/>
      <c r="P500" s="193"/>
      <c r="Q500" s="193"/>
      <c r="R500" s="193"/>
      <c r="S500" s="193"/>
      <c r="T500" s="193"/>
      <c r="U500" s="193"/>
      <c r="V500" s="193"/>
      <c r="W500" s="193"/>
      <c r="X500" s="193"/>
      <c r="Y500" s="193"/>
      <c r="Z500" s="193"/>
      <c r="AA500" s="193"/>
      <c r="AB500" s="193"/>
      <c r="AC500" s="193"/>
    </row>
    <row r="501" spans="1:29" ht="15.75" customHeight="1">
      <c r="A501" s="193"/>
      <c r="B501" s="193"/>
      <c r="C501" s="193"/>
      <c r="D501" s="193"/>
      <c r="E501" s="193"/>
      <c r="F501" s="193"/>
      <c r="G501" s="193"/>
      <c r="H501" s="193"/>
      <c r="I501" s="193"/>
      <c r="J501" s="193"/>
      <c r="K501" s="193"/>
      <c r="L501" s="193"/>
      <c r="M501" s="193"/>
      <c r="N501" s="193"/>
      <c r="O501" s="193"/>
      <c r="P501" s="193"/>
      <c r="Q501" s="193"/>
      <c r="R501" s="193"/>
      <c r="S501" s="193"/>
      <c r="T501" s="193"/>
      <c r="U501" s="193"/>
      <c r="V501" s="193"/>
      <c r="W501" s="193"/>
      <c r="X501" s="193"/>
      <c r="Y501" s="193"/>
      <c r="Z501" s="193"/>
      <c r="AA501" s="193"/>
      <c r="AB501" s="193"/>
      <c r="AC501" s="193"/>
    </row>
    <row r="502" spans="1:29" ht="15.75" customHeight="1">
      <c r="A502" s="193"/>
      <c r="B502" s="193"/>
      <c r="C502" s="193"/>
      <c r="D502" s="193"/>
      <c r="E502" s="193"/>
      <c r="F502" s="193"/>
      <c r="G502" s="193"/>
      <c r="H502" s="193"/>
      <c r="I502" s="193"/>
      <c r="J502" s="193"/>
      <c r="K502" s="193"/>
      <c r="L502" s="193"/>
      <c r="M502" s="193"/>
      <c r="N502" s="193"/>
      <c r="O502" s="193"/>
      <c r="P502" s="193"/>
      <c r="Q502" s="193"/>
      <c r="R502" s="193"/>
      <c r="S502" s="193"/>
      <c r="T502" s="193"/>
      <c r="U502" s="193"/>
      <c r="V502" s="193"/>
      <c r="W502" s="193"/>
      <c r="X502" s="193"/>
      <c r="Y502" s="193"/>
      <c r="Z502" s="193"/>
      <c r="AA502" s="193"/>
      <c r="AB502" s="193"/>
      <c r="AC502" s="193"/>
    </row>
    <row r="503" spans="1:29" ht="15.75" customHeight="1">
      <c r="A503" s="193"/>
      <c r="B503" s="193"/>
      <c r="C503" s="193"/>
      <c r="D503" s="193"/>
      <c r="E503" s="193"/>
      <c r="F503" s="193"/>
      <c r="G503" s="193"/>
      <c r="H503" s="193"/>
      <c r="I503" s="193"/>
      <c r="J503" s="193"/>
      <c r="K503" s="193"/>
      <c r="L503" s="193"/>
      <c r="M503" s="193"/>
      <c r="N503" s="193"/>
      <c r="O503" s="193"/>
      <c r="P503" s="193"/>
      <c r="Q503" s="193"/>
      <c r="R503" s="193"/>
      <c r="S503" s="193"/>
      <c r="T503" s="193"/>
      <c r="U503" s="193"/>
      <c r="V503" s="193"/>
      <c r="W503" s="193"/>
      <c r="X503" s="193"/>
      <c r="Y503" s="193"/>
      <c r="Z503" s="193"/>
      <c r="AA503" s="193"/>
      <c r="AB503" s="193"/>
      <c r="AC503" s="193"/>
    </row>
    <row r="504" spans="1:29" ht="15.75" customHeight="1">
      <c r="A504" s="193"/>
      <c r="B504" s="193"/>
      <c r="C504" s="193"/>
      <c r="D504" s="193"/>
      <c r="E504" s="193"/>
      <c r="F504" s="193"/>
      <c r="G504" s="193"/>
      <c r="H504" s="193"/>
      <c r="I504" s="193"/>
      <c r="J504" s="193"/>
      <c r="K504" s="193"/>
      <c r="L504" s="193"/>
      <c r="M504" s="193"/>
      <c r="N504" s="193"/>
      <c r="O504" s="193"/>
      <c r="P504" s="193"/>
      <c r="Q504" s="193"/>
      <c r="R504" s="193"/>
      <c r="S504" s="193"/>
      <c r="T504" s="193"/>
      <c r="U504" s="193"/>
      <c r="V504" s="193"/>
      <c r="W504" s="193"/>
      <c r="X504" s="193"/>
      <c r="Y504" s="193"/>
      <c r="Z504" s="193"/>
      <c r="AA504" s="193"/>
      <c r="AB504" s="193"/>
      <c r="AC504" s="193"/>
    </row>
    <row r="505" spans="1:29" ht="15.75" customHeight="1">
      <c r="A505" s="193"/>
      <c r="B505" s="193"/>
      <c r="C505" s="193"/>
      <c r="D505" s="193"/>
      <c r="E505" s="193"/>
      <c r="F505" s="193"/>
      <c r="G505" s="193"/>
      <c r="H505" s="193"/>
      <c r="I505" s="193"/>
      <c r="J505" s="193"/>
      <c r="K505" s="193"/>
      <c r="L505" s="193"/>
      <c r="M505" s="193"/>
      <c r="N505" s="193"/>
      <c r="O505" s="193"/>
      <c r="P505" s="193"/>
      <c r="Q505" s="193"/>
      <c r="R505" s="193"/>
      <c r="S505" s="193"/>
      <c r="T505" s="193"/>
      <c r="U505" s="193"/>
      <c r="V505" s="193"/>
      <c r="W505" s="193"/>
      <c r="X505" s="193"/>
      <c r="Y505" s="193"/>
      <c r="Z505" s="193"/>
      <c r="AA505" s="193"/>
      <c r="AB505" s="193"/>
      <c r="AC505" s="193"/>
    </row>
    <row r="506" spans="1:29" ht="15.75" customHeight="1">
      <c r="A506" s="193"/>
      <c r="B506" s="193"/>
      <c r="C506" s="193"/>
      <c r="D506" s="193"/>
      <c r="E506" s="193"/>
      <c r="F506" s="193"/>
      <c r="G506" s="193"/>
      <c r="H506" s="193"/>
      <c r="I506" s="193"/>
      <c r="J506" s="193"/>
      <c r="K506" s="193"/>
      <c r="L506" s="193"/>
      <c r="M506" s="193"/>
      <c r="N506" s="193"/>
      <c r="O506" s="193"/>
      <c r="P506" s="193"/>
      <c r="Q506" s="193"/>
      <c r="R506" s="193"/>
      <c r="S506" s="193"/>
      <c r="T506" s="193"/>
      <c r="U506" s="193"/>
      <c r="V506" s="193"/>
      <c r="W506" s="193"/>
      <c r="X506" s="193"/>
      <c r="Y506" s="193"/>
      <c r="Z506" s="193"/>
      <c r="AA506" s="193"/>
      <c r="AB506" s="193"/>
      <c r="AC506" s="193"/>
    </row>
    <row r="507" spans="1:29" ht="15.75" customHeight="1">
      <c r="A507" s="193"/>
      <c r="B507" s="193"/>
      <c r="C507" s="193"/>
      <c r="D507" s="193"/>
      <c r="E507" s="193"/>
      <c r="F507" s="193"/>
      <c r="G507" s="193"/>
      <c r="H507" s="193"/>
      <c r="I507" s="193"/>
      <c r="J507" s="193"/>
      <c r="K507" s="193"/>
      <c r="L507" s="193"/>
      <c r="M507" s="193"/>
      <c r="N507" s="193"/>
      <c r="O507" s="193"/>
      <c r="P507" s="193"/>
      <c r="Q507" s="193"/>
      <c r="R507" s="193"/>
      <c r="S507" s="193"/>
      <c r="T507" s="193"/>
      <c r="U507" s="193"/>
      <c r="V507" s="193"/>
      <c r="W507" s="193"/>
      <c r="X507" s="193"/>
      <c r="Y507" s="193"/>
      <c r="Z507" s="193"/>
      <c r="AA507" s="193"/>
      <c r="AB507" s="193"/>
      <c r="AC507" s="193"/>
    </row>
    <row r="508" spans="1:29" ht="15.75" customHeight="1">
      <c r="A508" s="193"/>
      <c r="B508" s="193"/>
      <c r="C508" s="193"/>
      <c r="D508" s="193"/>
      <c r="E508" s="193"/>
      <c r="F508" s="193"/>
      <c r="G508" s="193"/>
      <c r="H508" s="193"/>
      <c r="I508" s="193"/>
      <c r="J508" s="193"/>
      <c r="K508" s="193"/>
      <c r="L508" s="193"/>
      <c r="M508" s="193"/>
      <c r="N508" s="193"/>
      <c r="O508" s="193"/>
      <c r="P508" s="193"/>
      <c r="Q508" s="193"/>
      <c r="R508" s="193"/>
      <c r="S508" s="193"/>
      <c r="T508" s="193"/>
      <c r="U508" s="193"/>
      <c r="V508" s="193"/>
      <c r="W508" s="193"/>
      <c r="X508" s="193"/>
      <c r="Y508" s="193"/>
      <c r="Z508" s="193"/>
      <c r="AA508" s="193"/>
      <c r="AB508" s="193"/>
      <c r="AC508" s="193"/>
    </row>
    <row r="509" spans="1:29" ht="15.75" customHeight="1">
      <c r="A509" s="193"/>
      <c r="B509" s="193"/>
      <c r="C509" s="193"/>
      <c r="D509" s="193"/>
      <c r="E509" s="193"/>
      <c r="F509" s="193"/>
      <c r="G509" s="193"/>
      <c r="H509" s="193"/>
      <c r="I509" s="193"/>
      <c r="J509" s="193"/>
      <c r="K509" s="193"/>
      <c r="L509" s="193"/>
      <c r="M509" s="193"/>
      <c r="N509" s="193"/>
      <c r="O509" s="193"/>
      <c r="P509" s="193"/>
      <c r="Q509" s="193"/>
      <c r="R509" s="193"/>
      <c r="S509" s="193"/>
      <c r="T509" s="193"/>
      <c r="U509" s="193"/>
      <c r="V509" s="193"/>
      <c r="W509" s="193"/>
      <c r="X509" s="193"/>
      <c r="Y509" s="193"/>
      <c r="Z509" s="193"/>
      <c r="AA509" s="193"/>
      <c r="AB509" s="193"/>
      <c r="AC509" s="193"/>
    </row>
    <row r="510" spans="1:29" ht="15.75" customHeight="1">
      <c r="A510" s="193"/>
      <c r="B510" s="193"/>
      <c r="C510" s="193"/>
      <c r="D510" s="193"/>
      <c r="E510" s="193"/>
      <c r="F510" s="193"/>
      <c r="G510" s="193"/>
      <c r="H510" s="193"/>
      <c r="I510" s="193"/>
      <c r="J510" s="193"/>
      <c r="K510" s="193"/>
      <c r="L510" s="193"/>
      <c r="M510" s="193"/>
      <c r="N510" s="193"/>
      <c r="O510" s="193"/>
      <c r="P510" s="193"/>
      <c r="Q510" s="193"/>
      <c r="R510" s="193"/>
      <c r="S510" s="193"/>
      <c r="T510" s="193"/>
      <c r="U510" s="193"/>
      <c r="V510" s="193"/>
      <c r="W510" s="193"/>
      <c r="X510" s="193"/>
      <c r="Y510" s="193"/>
      <c r="Z510" s="193"/>
      <c r="AA510" s="193"/>
      <c r="AB510" s="193"/>
      <c r="AC510" s="193"/>
    </row>
    <row r="511" spans="1:29" ht="15.75" customHeight="1">
      <c r="A511" s="193"/>
      <c r="B511" s="193"/>
      <c r="C511" s="193"/>
      <c r="D511" s="193"/>
      <c r="E511" s="193"/>
      <c r="F511" s="193"/>
      <c r="G511" s="193"/>
      <c r="H511" s="193"/>
      <c r="I511" s="193"/>
      <c r="J511" s="193"/>
      <c r="K511" s="193"/>
      <c r="L511" s="193"/>
      <c r="M511" s="193"/>
      <c r="N511" s="193"/>
      <c r="O511" s="193"/>
      <c r="P511" s="193"/>
      <c r="Q511" s="193"/>
      <c r="R511" s="193"/>
      <c r="S511" s="193"/>
      <c r="T511" s="193"/>
      <c r="U511" s="193"/>
      <c r="V511" s="193"/>
      <c r="W511" s="193"/>
      <c r="X511" s="193"/>
      <c r="Y511" s="193"/>
      <c r="Z511" s="193"/>
      <c r="AA511" s="193"/>
      <c r="AB511" s="193"/>
      <c r="AC511" s="193"/>
    </row>
    <row r="512" spans="1:29" ht="15.75" customHeight="1">
      <c r="A512" s="193"/>
      <c r="B512" s="193"/>
      <c r="C512" s="193"/>
      <c r="D512" s="193"/>
      <c r="E512" s="193"/>
      <c r="F512" s="193"/>
      <c r="G512" s="193"/>
      <c r="H512" s="193"/>
      <c r="I512" s="193"/>
      <c r="J512" s="193"/>
      <c r="K512" s="193"/>
      <c r="L512" s="193"/>
      <c r="M512" s="193"/>
      <c r="N512" s="193"/>
      <c r="O512" s="193"/>
      <c r="P512" s="193"/>
      <c r="Q512" s="193"/>
      <c r="R512" s="193"/>
      <c r="S512" s="193"/>
      <c r="T512" s="193"/>
      <c r="U512" s="193"/>
      <c r="V512" s="193"/>
      <c r="W512" s="193"/>
      <c r="X512" s="193"/>
      <c r="Y512" s="193"/>
      <c r="Z512" s="193"/>
      <c r="AA512" s="193"/>
      <c r="AB512" s="193"/>
      <c r="AC512" s="193"/>
    </row>
    <row r="513" spans="1:29" ht="15.75" customHeight="1">
      <c r="A513" s="193"/>
      <c r="B513" s="193"/>
      <c r="C513" s="193"/>
      <c r="D513" s="193"/>
      <c r="E513" s="193"/>
      <c r="F513" s="193"/>
      <c r="G513" s="193"/>
      <c r="H513" s="193"/>
      <c r="I513" s="193"/>
      <c r="J513" s="193"/>
      <c r="K513" s="193"/>
      <c r="L513" s="193"/>
      <c r="M513" s="193"/>
      <c r="N513" s="193"/>
      <c r="O513" s="193"/>
      <c r="P513" s="193"/>
      <c r="Q513" s="193"/>
      <c r="R513" s="193"/>
      <c r="S513" s="193"/>
      <c r="T513" s="193"/>
      <c r="U513" s="193"/>
      <c r="V513" s="193"/>
      <c r="W513" s="193"/>
      <c r="X513" s="193"/>
      <c r="Y513" s="193"/>
      <c r="Z513" s="193"/>
      <c r="AA513" s="193"/>
      <c r="AB513" s="193"/>
      <c r="AC513" s="193"/>
    </row>
    <row r="514" spans="1:29" ht="15.75" customHeight="1">
      <c r="A514" s="193"/>
      <c r="B514" s="193"/>
      <c r="C514" s="193"/>
      <c r="D514" s="193"/>
      <c r="E514" s="193"/>
      <c r="F514" s="193"/>
      <c r="G514" s="193"/>
      <c r="H514" s="193"/>
      <c r="I514" s="193"/>
      <c r="J514" s="193"/>
      <c r="K514" s="193"/>
      <c r="L514" s="193"/>
      <c r="M514" s="193"/>
      <c r="N514" s="193"/>
      <c r="O514" s="193"/>
      <c r="P514" s="193"/>
      <c r="Q514" s="193"/>
      <c r="R514" s="193"/>
      <c r="S514" s="193"/>
      <c r="T514" s="193"/>
      <c r="U514" s="193"/>
      <c r="V514" s="193"/>
      <c r="W514" s="193"/>
      <c r="X514" s="193"/>
      <c r="Y514" s="193"/>
      <c r="Z514" s="193"/>
      <c r="AA514" s="193"/>
      <c r="AB514" s="193"/>
      <c r="AC514" s="193"/>
    </row>
    <row r="515" spans="1:29" ht="15.75" customHeight="1">
      <c r="A515" s="193"/>
      <c r="B515" s="193"/>
      <c r="C515" s="193"/>
      <c r="D515" s="193"/>
      <c r="E515" s="193"/>
      <c r="F515" s="193"/>
      <c r="G515" s="193"/>
      <c r="H515" s="193"/>
      <c r="I515" s="193"/>
      <c r="J515" s="193"/>
      <c r="K515" s="193"/>
      <c r="L515" s="193"/>
      <c r="M515" s="193"/>
      <c r="N515" s="193"/>
      <c r="O515" s="193"/>
      <c r="P515" s="193"/>
      <c r="Q515" s="193"/>
      <c r="R515" s="193"/>
      <c r="S515" s="193"/>
      <c r="T515" s="193"/>
      <c r="U515" s="193"/>
      <c r="V515" s="193"/>
      <c r="W515" s="193"/>
      <c r="X515" s="193"/>
      <c r="Y515" s="193"/>
      <c r="Z515" s="193"/>
      <c r="AA515" s="193"/>
      <c r="AB515" s="193"/>
      <c r="AC515" s="193"/>
    </row>
    <row r="516" spans="1:29" ht="15.75" customHeight="1">
      <c r="A516" s="193"/>
      <c r="B516" s="193"/>
      <c r="C516" s="193"/>
      <c r="D516" s="193"/>
      <c r="E516" s="193"/>
      <c r="F516" s="193"/>
      <c r="G516" s="193"/>
      <c r="H516" s="193"/>
      <c r="I516" s="193"/>
      <c r="J516" s="193"/>
      <c r="K516" s="193"/>
      <c r="L516" s="193"/>
      <c r="M516" s="193"/>
      <c r="N516" s="193"/>
      <c r="O516" s="193"/>
      <c r="P516" s="193"/>
      <c r="Q516" s="193"/>
      <c r="R516" s="193"/>
      <c r="S516" s="193"/>
      <c r="T516" s="193"/>
      <c r="U516" s="193"/>
      <c r="V516" s="193"/>
      <c r="W516" s="193"/>
      <c r="X516" s="193"/>
      <c r="Y516" s="193"/>
      <c r="Z516" s="193"/>
      <c r="AA516" s="193"/>
      <c r="AB516" s="193"/>
      <c r="AC516" s="193"/>
    </row>
    <row r="517" spans="1:29" ht="15.75" customHeight="1">
      <c r="A517" s="193"/>
      <c r="B517" s="193"/>
      <c r="C517" s="193"/>
      <c r="D517" s="193"/>
      <c r="E517" s="193"/>
      <c r="F517" s="193"/>
      <c r="G517" s="193"/>
      <c r="H517" s="193"/>
      <c r="I517" s="193"/>
      <c r="J517" s="193"/>
      <c r="K517" s="193"/>
      <c r="L517" s="193"/>
      <c r="M517" s="193"/>
      <c r="N517" s="193"/>
      <c r="O517" s="193"/>
      <c r="P517" s="193"/>
      <c r="Q517" s="193"/>
      <c r="R517" s="193"/>
      <c r="S517" s="193"/>
      <c r="T517" s="193"/>
      <c r="U517" s="193"/>
      <c r="V517" s="193"/>
      <c r="W517" s="193"/>
      <c r="X517" s="193"/>
      <c r="Y517" s="193"/>
      <c r="Z517" s="193"/>
      <c r="AA517" s="193"/>
      <c r="AB517" s="193"/>
      <c r="AC517" s="193"/>
    </row>
    <row r="518" spans="1:29" ht="15.75" customHeight="1">
      <c r="A518" s="193"/>
      <c r="B518" s="193"/>
      <c r="C518" s="193"/>
      <c r="D518" s="193"/>
      <c r="E518" s="193"/>
      <c r="F518" s="193"/>
      <c r="G518" s="193"/>
      <c r="H518" s="193"/>
      <c r="I518" s="193"/>
      <c r="J518" s="193"/>
      <c r="K518" s="193"/>
      <c r="L518" s="193"/>
      <c r="M518" s="193"/>
      <c r="N518" s="193"/>
      <c r="O518" s="193"/>
      <c r="P518" s="193"/>
      <c r="Q518" s="193"/>
      <c r="R518" s="193"/>
      <c r="S518" s="193"/>
      <c r="T518" s="193"/>
      <c r="U518" s="193"/>
      <c r="V518" s="193"/>
      <c r="W518" s="193"/>
      <c r="X518" s="193"/>
      <c r="Y518" s="193"/>
      <c r="Z518" s="193"/>
      <c r="AA518" s="193"/>
      <c r="AB518" s="193"/>
      <c r="AC518" s="193"/>
    </row>
    <row r="519" spans="1:29" ht="15.75" customHeight="1">
      <c r="A519" s="193"/>
      <c r="B519" s="193"/>
      <c r="C519" s="193"/>
      <c r="D519" s="193"/>
      <c r="E519" s="193"/>
      <c r="F519" s="193"/>
      <c r="G519" s="193"/>
      <c r="H519" s="193"/>
      <c r="I519" s="193"/>
      <c r="J519" s="193"/>
      <c r="K519" s="193"/>
      <c r="L519" s="193"/>
      <c r="M519" s="193"/>
      <c r="N519" s="193"/>
      <c r="O519" s="193"/>
      <c r="P519" s="193"/>
      <c r="Q519" s="193"/>
      <c r="R519" s="193"/>
      <c r="S519" s="193"/>
      <c r="T519" s="193"/>
      <c r="U519" s="193"/>
      <c r="V519" s="193"/>
      <c r="W519" s="193"/>
      <c r="X519" s="193"/>
      <c r="Y519" s="193"/>
      <c r="Z519" s="193"/>
      <c r="AA519" s="193"/>
      <c r="AB519" s="193"/>
      <c r="AC519" s="193"/>
    </row>
    <row r="520" spans="1:29" ht="15.75" customHeight="1">
      <c r="A520" s="193"/>
      <c r="B520" s="193"/>
      <c r="C520" s="193"/>
      <c r="D520" s="193"/>
      <c r="E520" s="193"/>
      <c r="F520" s="193"/>
      <c r="G520" s="193"/>
      <c r="H520" s="193"/>
      <c r="I520" s="193"/>
      <c r="J520" s="193"/>
      <c r="K520" s="193"/>
      <c r="L520" s="193"/>
      <c r="M520" s="193"/>
      <c r="N520" s="193"/>
      <c r="O520" s="193"/>
      <c r="P520" s="193"/>
      <c r="Q520" s="193"/>
      <c r="R520" s="193"/>
      <c r="S520" s="193"/>
      <c r="T520" s="193"/>
      <c r="U520" s="193"/>
      <c r="V520" s="193"/>
      <c r="W520" s="193"/>
      <c r="X520" s="193"/>
      <c r="Y520" s="193"/>
      <c r="Z520" s="193"/>
      <c r="AA520" s="193"/>
      <c r="AB520" s="193"/>
      <c r="AC520" s="193"/>
    </row>
    <row r="521" spans="1:29" ht="15.75" customHeight="1">
      <c r="A521" s="193"/>
      <c r="B521" s="193"/>
      <c r="C521" s="193"/>
      <c r="D521" s="193"/>
      <c r="E521" s="193"/>
      <c r="F521" s="193"/>
      <c r="G521" s="193"/>
      <c r="H521" s="193"/>
      <c r="I521" s="193"/>
      <c r="J521" s="193"/>
      <c r="K521" s="193"/>
      <c r="L521" s="193"/>
      <c r="M521" s="193"/>
      <c r="N521" s="193"/>
      <c r="O521" s="193"/>
      <c r="P521" s="193"/>
      <c r="Q521" s="193"/>
      <c r="R521" s="193"/>
      <c r="S521" s="193"/>
      <c r="T521" s="193"/>
      <c r="U521" s="193"/>
      <c r="V521" s="193"/>
      <c r="W521" s="193"/>
      <c r="X521" s="193"/>
      <c r="Y521" s="193"/>
      <c r="Z521" s="193"/>
      <c r="AA521" s="193"/>
      <c r="AB521" s="193"/>
      <c r="AC521" s="193"/>
    </row>
    <row r="522" spans="1:29" ht="15.75" customHeight="1">
      <c r="A522" s="193"/>
      <c r="B522" s="193"/>
      <c r="C522" s="193"/>
      <c r="D522" s="193"/>
      <c r="E522" s="193"/>
      <c r="F522" s="193"/>
      <c r="G522" s="193"/>
      <c r="H522" s="193"/>
      <c r="I522" s="193"/>
      <c r="J522" s="193"/>
      <c r="K522" s="193"/>
      <c r="L522" s="193"/>
      <c r="M522" s="193"/>
      <c r="N522" s="193"/>
      <c r="O522" s="193"/>
      <c r="P522" s="193"/>
      <c r="Q522" s="193"/>
      <c r="R522" s="193"/>
      <c r="S522" s="193"/>
      <c r="T522" s="193"/>
      <c r="U522" s="193"/>
      <c r="V522" s="193"/>
      <c r="W522" s="193"/>
      <c r="X522" s="193"/>
      <c r="Y522" s="193"/>
      <c r="Z522" s="193"/>
      <c r="AA522" s="193"/>
      <c r="AB522" s="193"/>
      <c r="AC522" s="193"/>
    </row>
    <row r="523" spans="1:29" ht="15.75" customHeight="1">
      <c r="A523" s="193"/>
      <c r="B523" s="193"/>
      <c r="C523" s="193"/>
      <c r="D523" s="193"/>
      <c r="E523" s="193"/>
      <c r="F523" s="193"/>
      <c r="G523" s="193"/>
      <c r="H523" s="193"/>
      <c r="I523" s="193"/>
      <c r="J523" s="193"/>
      <c r="K523" s="193"/>
      <c r="L523" s="193"/>
      <c r="M523" s="193"/>
      <c r="N523" s="193"/>
      <c r="O523" s="193"/>
      <c r="P523" s="193"/>
      <c r="Q523" s="193"/>
      <c r="R523" s="193"/>
      <c r="S523" s="193"/>
      <c r="T523" s="193"/>
      <c r="U523" s="193"/>
      <c r="V523" s="193"/>
      <c r="W523" s="193"/>
      <c r="X523" s="193"/>
      <c r="Y523" s="193"/>
      <c r="Z523" s="193"/>
      <c r="AA523" s="193"/>
      <c r="AB523" s="193"/>
      <c r="AC523" s="193"/>
    </row>
    <row r="524" spans="1:29" ht="15.75" customHeight="1">
      <c r="A524" s="193"/>
      <c r="B524" s="193"/>
      <c r="C524" s="193"/>
      <c r="D524" s="193"/>
      <c r="E524" s="193"/>
      <c r="F524" s="193"/>
      <c r="G524" s="193"/>
      <c r="H524" s="193"/>
      <c r="I524" s="193"/>
      <c r="J524" s="193"/>
      <c r="K524" s="193"/>
      <c r="L524" s="193"/>
      <c r="M524" s="193"/>
      <c r="N524" s="193"/>
      <c r="O524" s="193"/>
      <c r="P524" s="193"/>
      <c r="Q524" s="193"/>
      <c r="R524" s="193"/>
      <c r="S524" s="193"/>
      <c r="T524" s="193"/>
      <c r="U524" s="193"/>
      <c r="V524" s="193"/>
      <c r="W524" s="193"/>
      <c r="X524" s="193"/>
      <c r="Y524" s="193"/>
      <c r="Z524" s="193"/>
      <c r="AA524" s="193"/>
      <c r="AB524" s="193"/>
      <c r="AC524" s="193"/>
    </row>
    <row r="525" spans="1:29" ht="15.75" customHeight="1">
      <c r="A525" s="193"/>
      <c r="B525" s="193"/>
      <c r="C525" s="193"/>
      <c r="D525" s="193"/>
      <c r="E525" s="193"/>
      <c r="F525" s="193"/>
      <c r="G525" s="193"/>
      <c r="H525" s="193"/>
      <c r="I525" s="193"/>
      <c r="J525" s="193"/>
      <c r="K525" s="193"/>
      <c r="L525" s="193"/>
      <c r="M525" s="193"/>
      <c r="N525" s="193"/>
      <c r="O525" s="193"/>
      <c r="P525" s="193"/>
      <c r="Q525" s="193"/>
      <c r="R525" s="193"/>
      <c r="S525" s="193"/>
      <c r="T525" s="193"/>
      <c r="U525" s="193"/>
      <c r="V525" s="193"/>
      <c r="W525" s="193"/>
      <c r="X525" s="193"/>
      <c r="Y525" s="193"/>
      <c r="Z525" s="193"/>
      <c r="AA525" s="193"/>
      <c r="AB525" s="193"/>
      <c r="AC525" s="193"/>
    </row>
    <row r="526" spans="1:29" ht="15.75" customHeight="1">
      <c r="A526" s="193"/>
      <c r="B526" s="193"/>
      <c r="C526" s="193"/>
      <c r="D526" s="193"/>
      <c r="E526" s="193"/>
      <c r="F526" s="193"/>
      <c r="G526" s="193"/>
      <c r="H526" s="193"/>
      <c r="I526" s="193"/>
      <c r="J526" s="193"/>
      <c r="K526" s="193"/>
      <c r="L526" s="193"/>
      <c r="M526" s="193"/>
      <c r="N526" s="193"/>
      <c r="O526" s="193"/>
      <c r="P526" s="193"/>
      <c r="Q526" s="193"/>
      <c r="R526" s="193"/>
      <c r="S526" s="193"/>
      <c r="T526" s="193"/>
      <c r="U526" s="193"/>
      <c r="V526" s="193"/>
      <c r="W526" s="193"/>
      <c r="X526" s="193"/>
      <c r="Y526" s="193"/>
      <c r="Z526" s="193"/>
      <c r="AA526" s="193"/>
      <c r="AB526" s="193"/>
      <c r="AC526" s="193"/>
    </row>
    <row r="527" spans="1:29" ht="15.75" customHeight="1">
      <c r="A527" s="193"/>
      <c r="B527" s="193"/>
      <c r="C527" s="193"/>
      <c r="D527" s="193"/>
      <c r="E527" s="193"/>
      <c r="F527" s="193"/>
      <c r="G527" s="193"/>
      <c r="H527" s="193"/>
      <c r="I527" s="193"/>
      <c r="J527" s="193"/>
      <c r="K527" s="193"/>
      <c r="L527" s="193"/>
      <c r="M527" s="193"/>
      <c r="N527" s="193"/>
      <c r="O527" s="193"/>
      <c r="P527" s="193"/>
      <c r="Q527" s="193"/>
      <c r="R527" s="193"/>
      <c r="S527" s="193"/>
      <c r="T527" s="193"/>
      <c r="U527" s="193"/>
      <c r="V527" s="193"/>
      <c r="W527" s="193"/>
      <c r="X527" s="193"/>
      <c r="Y527" s="193"/>
      <c r="Z527" s="193"/>
      <c r="AA527" s="193"/>
      <c r="AB527" s="193"/>
      <c r="AC527" s="193"/>
    </row>
    <row r="528" spans="1:29" ht="15.75" customHeight="1">
      <c r="A528" s="193"/>
      <c r="B528" s="193"/>
      <c r="C528" s="193"/>
      <c r="D528" s="193"/>
      <c r="E528" s="193"/>
      <c r="F528" s="193"/>
      <c r="G528" s="193"/>
      <c r="H528" s="193"/>
      <c r="I528" s="193"/>
      <c r="J528" s="193"/>
      <c r="K528" s="193"/>
      <c r="L528" s="193"/>
      <c r="M528" s="193"/>
      <c r="N528" s="193"/>
      <c r="O528" s="193"/>
      <c r="P528" s="193"/>
      <c r="Q528" s="193"/>
      <c r="R528" s="193"/>
      <c r="S528" s="193"/>
      <c r="T528" s="193"/>
      <c r="U528" s="193"/>
      <c r="V528" s="193"/>
      <c r="W528" s="193"/>
      <c r="X528" s="193"/>
      <c r="Y528" s="193"/>
      <c r="Z528" s="193"/>
      <c r="AA528" s="193"/>
      <c r="AB528" s="193"/>
      <c r="AC528" s="193"/>
    </row>
    <row r="529" spans="1:29" ht="15.75" customHeight="1">
      <c r="A529" s="193"/>
      <c r="B529" s="193"/>
      <c r="C529" s="193"/>
      <c r="D529" s="193"/>
      <c r="E529" s="193"/>
      <c r="F529" s="193"/>
      <c r="G529" s="193"/>
      <c r="H529" s="193"/>
      <c r="I529" s="193"/>
      <c r="J529" s="193"/>
      <c r="K529" s="193"/>
      <c r="L529" s="193"/>
      <c r="M529" s="193"/>
      <c r="N529" s="193"/>
      <c r="O529" s="193"/>
      <c r="P529" s="193"/>
      <c r="Q529" s="193"/>
      <c r="R529" s="193"/>
      <c r="S529" s="193"/>
      <c r="T529" s="193"/>
      <c r="U529" s="193"/>
      <c r="V529" s="193"/>
      <c r="W529" s="193"/>
      <c r="X529" s="193"/>
      <c r="Y529" s="193"/>
      <c r="Z529" s="193"/>
      <c r="AA529" s="193"/>
      <c r="AB529" s="193"/>
      <c r="AC529" s="193"/>
    </row>
    <row r="530" spans="1:29" ht="15.75" customHeight="1">
      <c r="A530" s="193"/>
      <c r="B530" s="193"/>
      <c r="C530" s="193"/>
      <c r="D530" s="193"/>
      <c r="E530" s="193"/>
      <c r="F530" s="193"/>
      <c r="G530" s="193"/>
      <c r="H530" s="193"/>
      <c r="I530" s="193"/>
      <c r="J530" s="193"/>
      <c r="K530" s="193"/>
      <c r="L530" s="193"/>
      <c r="M530" s="193"/>
      <c r="N530" s="193"/>
      <c r="O530" s="193"/>
      <c r="P530" s="193"/>
      <c r="Q530" s="193"/>
      <c r="R530" s="193"/>
      <c r="S530" s="193"/>
      <c r="T530" s="193"/>
      <c r="U530" s="193"/>
      <c r="V530" s="193"/>
      <c r="W530" s="193"/>
      <c r="X530" s="193"/>
      <c r="Y530" s="193"/>
      <c r="Z530" s="193"/>
      <c r="AA530" s="193"/>
      <c r="AB530" s="193"/>
      <c r="AC530" s="193"/>
    </row>
    <row r="531" spans="1:29" ht="15.75" customHeight="1">
      <c r="A531" s="193"/>
      <c r="B531" s="193"/>
      <c r="C531" s="193"/>
      <c r="D531" s="193"/>
      <c r="E531" s="193"/>
      <c r="F531" s="193"/>
      <c r="G531" s="193"/>
      <c r="H531" s="193"/>
      <c r="I531" s="193"/>
      <c r="J531" s="193"/>
      <c r="K531" s="193"/>
      <c r="L531" s="193"/>
      <c r="M531" s="193"/>
      <c r="N531" s="193"/>
      <c r="O531" s="193"/>
      <c r="P531" s="193"/>
      <c r="Q531" s="193"/>
      <c r="R531" s="193"/>
      <c r="S531" s="193"/>
      <c r="T531" s="193"/>
      <c r="U531" s="193"/>
      <c r="V531" s="193"/>
      <c r="W531" s="193"/>
      <c r="X531" s="193"/>
      <c r="Y531" s="193"/>
      <c r="Z531" s="193"/>
      <c r="AA531" s="193"/>
      <c r="AB531" s="193"/>
      <c r="AC531" s="193"/>
    </row>
    <row r="532" spans="1:29" ht="15.75" customHeight="1">
      <c r="A532" s="193"/>
      <c r="B532" s="193"/>
      <c r="C532" s="193"/>
      <c r="D532" s="193"/>
      <c r="E532" s="193"/>
      <c r="F532" s="193"/>
      <c r="G532" s="193"/>
      <c r="H532" s="193"/>
      <c r="I532" s="193"/>
      <c r="J532" s="193"/>
      <c r="K532" s="193"/>
      <c r="L532" s="193"/>
      <c r="M532" s="193"/>
      <c r="N532" s="193"/>
      <c r="O532" s="193"/>
      <c r="P532" s="193"/>
      <c r="Q532" s="193"/>
      <c r="R532" s="193"/>
      <c r="S532" s="193"/>
      <c r="T532" s="193"/>
      <c r="U532" s="193"/>
      <c r="V532" s="193"/>
      <c r="W532" s="193"/>
      <c r="X532" s="193"/>
      <c r="Y532" s="193"/>
      <c r="Z532" s="193"/>
      <c r="AA532" s="193"/>
      <c r="AB532" s="193"/>
      <c r="AC532" s="193"/>
    </row>
    <row r="533" spans="1:29" ht="15.75" customHeight="1">
      <c r="A533" s="193"/>
      <c r="B533" s="193"/>
      <c r="C533" s="193"/>
      <c r="D533" s="193"/>
      <c r="E533" s="193"/>
      <c r="F533" s="193"/>
      <c r="G533" s="193"/>
      <c r="H533" s="193"/>
      <c r="I533" s="193"/>
      <c r="J533" s="193"/>
      <c r="K533" s="193"/>
      <c r="L533" s="193"/>
      <c r="M533" s="193"/>
      <c r="N533" s="193"/>
      <c r="O533" s="193"/>
      <c r="P533" s="193"/>
      <c r="Q533" s="193"/>
      <c r="R533" s="193"/>
      <c r="S533" s="193"/>
      <c r="T533" s="193"/>
      <c r="U533" s="193"/>
      <c r="V533" s="193"/>
      <c r="W533" s="193"/>
      <c r="X533" s="193"/>
      <c r="Y533" s="193"/>
      <c r="Z533" s="193"/>
      <c r="AA533" s="193"/>
      <c r="AB533" s="193"/>
      <c r="AC533" s="193"/>
    </row>
    <row r="534" spans="1:29" ht="15.75" customHeight="1">
      <c r="A534" s="193"/>
      <c r="B534" s="193"/>
      <c r="C534" s="193"/>
      <c r="D534" s="193"/>
      <c r="E534" s="193"/>
      <c r="F534" s="193"/>
      <c r="G534" s="193"/>
      <c r="H534" s="193"/>
      <c r="I534" s="193"/>
      <c r="J534" s="193"/>
      <c r="K534" s="193"/>
      <c r="L534" s="193"/>
      <c r="M534" s="193"/>
      <c r="N534" s="193"/>
      <c r="O534" s="193"/>
      <c r="P534" s="193"/>
      <c r="Q534" s="193"/>
      <c r="R534" s="193"/>
      <c r="S534" s="193"/>
      <c r="T534" s="193"/>
      <c r="U534" s="193"/>
      <c r="V534" s="193"/>
      <c r="W534" s="193"/>
      <c r="X534" s="193"/>
      <c r="Y534" s="193"/>
      <c r="Z534" s="193"/>
      <c r="AA534" s="193"/>
      <c r="AB534" s="193"/>
      <c r="AC534" s="193"/>
    </row>
    <row r="535" spans="1:29" ht="15.75" customHeight="1">
      <c r="A535" s="193"/>
      <c r="B535" s="193"/>
      <c r="C535" s="193"/>
      <c r="D535" s="193"/>
      <c r="E535" s="193"/>
      <c r="F535" s="193"/>
      <c r="G535" s="193"/>
      <c r="H535" s="193"/>
      <c r="I535" s="193"/>
      <c r="J535" s="193"/>
      <c r="K535" s="193"/>
      <c r="L535" s="193"/>
      <c r="M535" s="193"/>
      <c r="N535" s="193"/>
      <c r="O535" s="193"/>
      <c r="P535" s="193"/>
      <c r="Q535" s="193"/>
      <c r="R535" s="193"/>
      <c r="S535" s="193"/>
      <c r="T535" s="193"/>
      <c r="U535" s="193"/>
      <c r="V535" s="193"/>
      <c r="W535" s="193"/>
      <c r="X535" s="193"/>
      <c r="Y535" s="193"/>
      <c r="Z535" s="193"/>
      <c r="AA535" s="193"/>
      <c r="AB535" s="193"/>
      <c r="AC535" s="193"/>
    </row>
    <row r="536" spans="1:29" ht="15.75" customHeight="1">
      <c r="A536" s="193"/>
      <c r="B536" s="193"/>
      <c r="C536" s="193"/>
      <c r="D536" s="193"/>
      <c r="E536" s="193"/>
      <c r="F536" s="193"/>
      <c r="G536" s="193"/>
      <c r="H536" s="193"/>
      <c r="I536" s="193"/>
      <c r="J536" s="193"/>
      <c r="K536" s="193"/>
      <c r="L536" s="193"/>
      <c r="M536" s="193"/>
      <c r="N536" s="193"/>
      <c r="O536" s="193"/>
      <c r="P536" s="193"/>
      <c r="Q536" s="193"/>
      <c r="R536" s="193"/>
      <c r="S536" s="193"/>
      <c r="T536" s="193"/>
      <c r="U536" s="193"/>
      <c r="V536" s="193"/>
      <c r="W536" s="193"/>
      <c r="X536" s="193"/>
      <c r="Y536" s="193"/>
      <c r="Z536" s="193"/>
      <c r="AA536" s="193"/>
      <c r="AB536" s="193"/>
      <c r="AC536" s="193"/>
    </row>
    <row r="537" spans="1:29" ht="15.75" customHeight="1">
      <c r="A537" s="193"/>
      <c r="B537" s="193"/>
      <c r="C537" s="193"/>
      <c r="D537" s="193"/>
      <c r="E537" s="193"/>
      <c r="F537" s="193"/>
      <c r="G537" s="193"/>
      <c r="H537" s="193"/>
      <c r="I537" s="193"/>
      <c r="J537" s="193"/>
      <c r="K537" s="193"/>
      <c r="L537" s="193"/>
      <c r="M537" s="193"/>
      <c r="N537" s="193"/>
      <c r="O537" s="193"/>
      <c r="P537" s="193"/>
      <c r="Q537" s="193"/>
      <c r="R537" s="193"/>
      <c r="S537" s="193"/>
      <c r="T537" s="193"/>
      <c r="U537" s="193"/>
      <c r="V537" s="193"/>
      <c r="W537" s="193"/>
      <c r="X537" s="193"/>
      <c r="Y537" s="193"/>
      <c r="Z537" s="193"/>
      <c r="AA537" s="193"/>
      <c r="AB537" s="193"/>
      <c r="AC537" s="193"/>
    </row>
    <row r="538" spans="1:29" ht="15.75" customHeight="1">
      <c r="A538" s="193"/>
      <c r="B538" s="193"/>
      <c r="C538" s="193"/>
      <c r="D538" s="193"/>
      <c r="E538" s="193"/>
      <c r="F538" s="193"/>
      <c r="G538" s="193"/>
      <c r="H538" s="193"/>
      <c r="I538" s="193"/>
      <c r="J538" s="193"/>
      <c r="K538" s="193"/>
      <c r="L538" s="193"/>
      <c r="M538" s="193"/>
      <c r="N538" s="193"/>
      <c r="O538" s="193"/>
      <c r="P538" s="193"/>
      <c r="Q538" s="193"/>
      <c r="R538" s="193"/>
      <c r="S538" s="193"/>
      <c r="T538" s="193"/>
      <c r="U538" s="193"/>
      <c r="V538" s="193"/>
      <c r="W538" s="193"/>
      <c r="X538" s="193"/>
      <c r="Y538" s="193"/>
      <c r="Z538" s="193"/>
      <c r="AA538" s="193"/>
      <c r="AB538" s="193"/>
      <c r="AC538" s="193"/>
    </row>
    <row r="539" spans="1:29" ht="15.75" customHeight="1">
      <c r="A539" s="193"/>
      <c r="B539" s="193"/>
      <c r="C539" s="193"/>
      <c r="D539" s="193"/>
      <c r="E539" s="193"/>
      <c r="F539" s="193"/>
      <c r="G539" s="193"/>
      <c r="H539" s="193"/>
      <c r="I539" s="193"/>
      <c r="J539" s="193"/>
      <c r="K539" s="193"/>
      <c r="L539" s="193"/>
      <c r="M539" s="193"/>
      <c r="N539" s="193"/>
      <c r="O539" s="193"/>
      <c r="P539" s="193"/>
      <c r="Q539" s="193"/>
      <c r="R539" s="193"/>
      <c r="S539" s="193"/>
      <c r="T539" s="193"/>
      <c r="U539" s="193"/>
      <c r="V539" s="193"/>
      <c r="W539" s="193"/>
      <c r="X539" s="193"/>
      <c r="Y539" s="193"/>
      <c r="Z539" s="193"/>
      <c r="AA539" s="193"/>
      <c r="AB539" s="193"/>
      <c r="AC539" s="193"/>
    </row>
    <row r="540" spans="1:29" ht="15.75" customHeight="1">
      <c r="A540" s="193"/>
      <c r="B540" s="193"/>
      <c r="C540" s="193"/>
      <c r="D540" s="193"/>
      <c r="E540" s="193"/>
      <c r="F540" s="193"/>
      <c r="G540" s="193"/>
      <c r="H540" s="193"/>
      <c r="I540" s="193"/>
      <c r="J540" s="193"/>
      <c r="K540" s="193"/>
      <c r="L540" s="193"/>
      <c r="M540" s="193"/>
      <c r="N540" s="193"/>
      <c r="O540" s="193"/>
      <c r="P540" s="193"/>
      <c r="Q540" s="193"/>
      <c r="R540" s="193"/>
      <c r="S540" s="193"/>
      <c r="T540" s="193"/>
      <c r="U540" s="193"/>
      <c r="V540" s="193"/>
      <c r="W540" s="193"/>
      <c r="X540" s="193"/>
      <c r="Y540" s="193"/>
      <c r="Z540" s="193"/>
      <c r="AA540" s="193"/>
      <c r="AB540" s="193"/>
      <c r="AC540" s="193"/>
    </row>
    <row r="541" spans="1:29" ht="15.75" customHeight="1">
      <c r="A541" s="193"/>
      <c r="B541" s="193"/>
      <c r="C541" s="193"/>
      <c r="D541" s="193"/>
      <c r="E541" s="193"/>
      <c r="F541" s="193"/>
      <c r="G541" s="193"/>
      <c r="H541" s="193"/>
      <c r="I541" s="193"/>
      <c r="J541" s="193"/>
      <c r="K541" s="193"/>
      <c r="L541" s="193"/>
      <c r="M541" s="193"/>
      <c r="N541" s="193"/>
      <c r="O541" s="193"/>
      <c r="P541" s="193"/>
      <c r="Q541" s="193"/>
      <c r="R541" s="193"/>
      <c r="S541" s="193"/>
      <c r="T541" s="193"/>
      <c r="U541" s="193"/>
      <c r="V541" s="193"/>
      <c r="W541" s="193"/>
      <c r="X541" s="193"/>
      <c r="Y541" s="193"/>
      <c r="Z541" s="193"/>
      <c r="AA541" s="193"/>
      <c r="AB541" s="193"/>
      <c r="AC541" s="193"/>
    </row>
    <row r="542" spans="1:29" ht="15.75" customHeight="1">
      <c r="A542" s="193"/>
      <c r="B542" s="193"/>
      <c r="C542" s="193"/>
      <c r="D542" s="193"/>
      <c r="E542" s="193"/>
      <c r="F542" s="193"/>
      <c r="G542" s="193"/>
      <c r="H542" s="193"/>
      <c r="I542" s="193"/>
      <c r="J542" s="193"/>
      <c r="K542" s="193"/>
      <c r="L542" s="193"/>
      <c r="M542" s="193"/>
      <c r="N542" s="193"/>
      <c r="O542" s="193"/>
      <c r="P542" s="193"/>
      <c r="Q542" s="193"/>
      <c r="R542" s="193"/>
      <c r="S542" s="193"/>
      <c r="T542" s="193"/>
      <c r="U542" s="193"/>
      <c r="V542" s="193"/>
      <c r="W542" s="193"/>
      <c r="X542" s="193"/>
      <c r="Y542" s="193"/>
      <c r="Z542" s="193"/>
      <c r="AA542" s="193"/>
      <c r="AB542" s="193"/>
      <c r="AC542" s="193"/>
    </row>
    <row r="543" spans="1:29" ht="15.75" customHeight="1">
      <c r="A543" s="193"/>
      <c r="B543" s="193"/>
      <c r="C543" s="193"/>
      <c r="D543" s="193"/>
      <c r="E543" s="193"/>
      <c r="F543" s="193"/>
      <c r="G543" s="193"/>
      <c r="H543" s="193"/>
      <c r="I543" s="193"/>
      <c r="J543" s="193"/>
      <c r="K543" s="193"/>
      <c r="L543" s="193"/>
      <c r="M543" s="193"/>
      <c r="N543" s="193"/>
      <c r="O543" s="193"/>
      <c r="P543" s="193"/>
      <c r="Q543" s="193"/>
      <c r="R543" s="193"/>
      <c r="S543" s="193"/>
      <c r="T543" s="193"/>
      <c r="U543" s="193"/>
      <c r="V543" s="193"/>
      <c r="W543" s="193"/>
      <c r="X543" s="193"/>
      <c r="Y543" s="193"/>
      <c r="Z543" s="193"/>
      <c r="AA543" s="193"/>
      <c r="AB543" s="193"/>
      <c r="AC543" s="193"/>
    </row>
    <row r="544" spans="1:29" ht="15.75" customHeight="1">
      <c r="A544" s="193"/>
      <c r="B544" s="193"/>
      <c r="C544" s="193"/>
      <c r="D544" s="193"/>
      <c r="E544" s="193"/>
      <c r="F544" s="193"/>
      <c r="G544" s="193"/>
      <c r="H544" s="193"/>
      <c r="I544" s="193"/>
      <c r="J544" s="193"/>
      <c r="K544" s="193"/>
      <c r="L544" s="193"/>
      <c r="M544" s="193"/>
      <c r="N544" s="193"/>
      <c r="O544" s="193"/>
      <c r="P544" s="193"/>
      <c r="Q544" s="193"/>
      <c r="R544" s="193"/>
      <c r="S544" s="193"/>
      <c r="T544" s="193"/>
      <c r="U544" s="193"/>
      <c r="V544" s="193"/>
      <c r="W544" s="193"/>
      <c r="X544" s="193"/>
      <c r="Y544" s="193"/>
      <c r="Z544" s="193"/>
      <c r="AA544" s="193"/>
      <c r="AB544" s="193"/>
      <c r="AC544" s="193"/>
    </row>
    <row r="545" spans="1:29" ht="15.75" customHeight="1">
      <c r="A545" s="193"/>
      <c r="B545" s="193"/>
      <c r="C545" s="193"/>
      <c r="D545" s="193"/>
      <c r="E545" s="193"/>
      <c r="F545" s="193"/>
      <c r="G545" s="193"/>
      <c r="H545" s="193"/>
      <c r="I545" s="193"/>
      <c r="J545" s="193"/>
      <c r="K545" s="193"/>
      <c r="L545" s="193"/>
      <c r="M545" s="193"/>
      <c r="N545" s="193"/>
      <c r="O545" s="193"/>
      <c r="P545" s="193"/>
      <c r="Q545" s="193"/>
      <c r="R545" s="193"/>
      <c r="S545" s="193"/>
      <c r="T545" s="193"/>
      <c r="U545" s="193"/>
      <c r="V545" s="193"/>
      <c r="W545" s="193"/>
      <c r="X545" s="193"/>
      <c r="Y545" s="193"/>
      <c r="Z545" s="193"/>
      <c r="AA545" s="193"/>
      <c r="AB545" s="193"/>
      <c r="AC545" s="193"/>
    </row>
    <row r="546" spans="1:29" ht="15.75" customHeight="1">
      <c r="A546" s="193"/>
      <c r="B546" s="193"/>
      <c r="C546" s="193"/>
      <c r="D546" s="193"/>
      <c r="E546" s="193"/>
      <c r="F546" s="193"/>
      <c r="G546" s="193"/>
      <c r="H546" s="193"/>
      <c r="I546" s="193"/>
      <c r="J546" s="193"/>
      <c r="K546" s="193"/>
      <c r="L546" s="193"/>
      <c r="M546" s="193"/>
      <c r="N546" s="193"/>
      <c r="O546" s="193"/>
      <c r="P546" s="193"/>
      <c r="Q546" s="193"/>
      <c r="R546" s="193"/>
      <c r="S546" s="193"/>
      <c r="T546" s="193"/>
      <c r="U546" s="193"/>
      <c r="V546" s="193"/>
      <c r="W546" s="193"/>
      <c r="X546" s="193"/>
      <c r="Y546" s="193"/>
      <c r="Z546" s="193"/>
      <c r="AA546" s="193"/>
      <c r="AB546" s="193"/>
      <c r="AC546" s="193"/>
    </row>
    <row r="547" spans="1:29" ht="15.75" customHeight="1">
      <c r="A547" s="193"/>
      <c r="B547" s="193"/>
      <c r="C547" s="193"/>
      <c r="D547" s="193"/>
      <c r="E547" s="193"/>
      <c r="F547" s="193"/>
      <c r="G547" s="193"/>
      <c r="H547" s="193"/>
      <c r="I547" s="193"/>
      <c r="J547" s="193"/>
      <c r="K547" s="193"/>
      <c r="L547" s="193"/>
      <c r="M547" s="193"/>
      <c r="N547" s="193"/>
      <c r="O547" s="193"/>
      <c r="P547" s="193"/>
      <c r="Q547" s="193"/>
      <c r="R547" s="193"/>
      <c r="S547" s="193"/>
      <c r="T547" s="193"/>
      <c r="U547" s="193"/>
      <c r="V547" s="193"/>
      <c r="W547" s="193"/>
      <c r="X547" s="193"/>
      <c r="Y547" s="193"/>
      <c r="Z547" s="193"/>
      <c r="AA547" s="193"/>
      <c r="AB547" s="193"/>
      <c r="AC547" s="193"/>
    </row>
    <row r="548" spans="1:29" ht="15.75" customHeight="1">
      <c r="A548" s="193"/>
      <c r="B548" s="193"/>
      <c r="C548" s="193"/>
      <c r="D548" s="193"/>
      <c r="E548" s="193"/>
      <c r="F548" s="193"/>
      <c r="G548" s="193"/>
      <c r="H548" s="193"/>
      <c r="I548" s="193"/>
      <c r="J548" s="193"/>
      <c r="K548" s="193"/>
      <c r="L548" s="193"/>
      <c r="M548" s="193"/>
      <c r="N548" s="193"/>
      <c r="O548" s="193"/>
      <c r="P548" s="193"/>
      <c r="Q548" s="193"/>
      <c r="R548" s="193"/>
      <c r="S548" s="193"/>
      <c r="T548" s="193"/>
      <c r="U548" s="193"/>
      <c r="V548" s="193"/>
      <c r="W548" s="193"/>
      <c r="X548" s="193"/>
      <c r="Y548" s="193"/>
      <c r="Z548" s="193"/>
      <c r="AA548" s="193"/>
      <c r="AB548" s="193"/>
      <c r="AC548" s="193"/>
    </row>
    <row r="549" spans="1:29" ht="15.75" customHeight="1">
      <c r="A549" s="193"/>
      <c r="B549" s="193"/>
      <c r="C549" s="193"/>
      <c r="D549" s="193"/>
      <c r="E549" s="193"/>
      <c r="F549" s="193"/>
      <c r="G549" s="193"/>
      <c r="H549" s="193"/>
      <c r="I549" s="193"/>
      <c r="J549" s="193"/>
      <c r="K549" s="193"/>
      <c r="L549" s="193"/>
      <c r="M549" s="193"/>
      <c r="N549" s="193"/>
      <c r="O549" s="193"/>
      <c r="P549" s="193"/>
      <c r="Q549" s="193"/>
      <c r="R549" s="193"/>
      <c r="S549" s="193"/>
      <c r="T549" s="193"/>
      <c r="U549" s="193"/>
      <c r="V549" s="193"/>
      <c r="W549" s="193"/>
      <c r="X549" s="193"/>
      <c r="Y549" s="193"/>
      <c r="Z549" s="193"/>
      <c r="AA549" s="193"/>
      <c r="AB549" s="193"/>
      <c r="AC549" s="193"/>
    </row>
    <row r="550" spans="1:29" ht="15.75" customHeight="1">
      <c r="A550" s="193"/>
      <c r="B550" s="193"/>
      <c r="C550" s="193"/>
      <c r="D550" s="193"/>
      <c r="E550" s="193"/>
      <c r="F550" s="193"/>
      <c r="G550" s="193"/>
      <c r="H550" s="193"/>
      <c r="I550" s="193"/>
      <c r="J550" s="193"/>
      <c r="K550" s="193"/>
      <c r="L550" s="193"/>
      <c r="M550" s="193"/>
      <c r="N550" s="193"/>
      <c r="O550" s="193"/>
      <c r="P550" s="193"/>
      <c r="Q550" s="193"/>
      <c r="R550" s="193"/>
      <c r="S550" s="193"/>
      <c r="T550" s="193"/>
      <c r="U550" s="193"/>
      <c r="V550" s="193"/>
      <c r="W550" s="193"/>
      <c r="X550" s="193"/>
      <c r="Y550" s="193"/>
      <c r="Z550" s="193"/>
      <c r="AA550" s="193"/>
      <c r="AB550" s="193"/>
      <c r="AC550" s="193"/>
    </row>
    <row r="551" spans="1:29" ht="15.75" customHeight="1">
      <c r="A551" s="193"/>
      <c r="B551" s="193"/>
      <c r="C551" s="193"/>
      <c r="D551" s="193"/>
      <c r="E551" s="193"/>
      <c r="F551" s="193"/>
      <c r="G551" s="193"/>
      <c r="H551" s="193"/>
      <c r="I551" s="193"/>
      <c r="J551" s="193"/>
      <c r="K551" s="193"/>
      <c r="L551" s="193"/>
      <c r="M551" s="193"/>
      <c r="N551" s="193"/>
      <c r="O551" s="193"/>
      <c r="P551" s="193"/>
      <c r="Q551" s="193"/>
      <c r="R551" s="193"/>
      <c r="S551" s="193"/>
      <c r="T551" s="193"/>
      <c r="U551" s="193"/>
      <c r="V551" s="193"/>
      <c r="W551" s="193"/>
      <c r="X551" s="193"/>
      <c r="Y551" s="193"/>
      <c r="Z551" s="193"/>
      <c r="AA551" s="193"/>
      <c r="AB551" s="193"/>
      <c r="AC551" s="193"/>
    </row>
    <row r="552" spans="1:29" ht="15.75" customHeight="1">
      <c r="A552" s="193"/>
      <c r="B552" s="193"/>
      <c r="C552" s="193"/>
      <c r="D552" s="193"/>
      <c r="E552" s="193"/>
      <c r="F552" s="193"/>
      <c r="G552" s="193"/>
      <c r="H552" s="193"/>
      <c r="I552" s="193"/>
      <c r="J552" s="193"/>
      <c r="K552" s="193"/>
      <c r="L552" s="193"/>
      <c r="M552" s="193"/>
      <c r="N552" s="193"/>
      <c r="O552" s="193"/>
      <c r="P552" s="193"/>
      <c r="Q552" s="193"/>
      <c r="R552" s="193"/>
      <c r="S552" s="193"/>
      <c r="T552" s="193"/>
      <c r="U552" s="193"/>
      <c r="V552" s="193"/>
      <c r="W552" s="193"/>
      <c r="X552" s="193"/>
      <c r="Y552" s="193"/>
      <c r="Z552" s="193"/>
      <c r="AA552" s="193"/>
      <c r="AB552" s="193"/>
      <c r="AC552" s="193"/>
    </row>
    <row r="553" spans="1:29" ht="15.75" customHeight="1">
      <c r="A553" s="193"/>
      <c r="B553" s="193"/>
      <c r="C553" s="193"/>
      <c r="D553" s="193"/>
      <c r="E553" s="193"/>
      <c r="F553" s="193"/>
      <c r="G553" s="193"/>
      <c r="H553" s="193"/>
      <c r="I553" s="193"/>
      <c r="J553" s="193"/>
      <c r="K553" s="193"/>
      <c r="L553" s="193"/>
      <c r="M553" s="193"/>
      <c r="N553" s="193"/>
      <c r="O553" s="193"/>
      <c r="P553" s="193"/>
      <c r="Q553" s="193"/>
      <c r="R553" s="193"/>
      <c r="S553" s="193"/>
      <c r="T553" s="193"/>
      <c r="U553" s="193"/>
      <c r="V553" s="193"/>
      <c r="W553" s="193"/>
      <c r="X553" s="193"/>
      <c r="Y553" s="193"/>
      <c r="Z553" s="193"/>
      <c r="AA553" s="193"/>
      <c r="AB553" s="193"/>
      <c r="AC553" s="193"/>
    </row>
    <row r="554" spans="1:29" ht="15.75" customHeight="1">
      <c r="A554" s="193"/>
      <c r="B554" s="193"/>
      <c r="C554" s="193"/>
      <c r="D554" s="193"/>
      <c r="E554" s="193"/>
      <c r="F554" s="193"/>
      <c r="G554" s="193"/>
      <c r="H554" s="193"/>
      <c r="I554" s="193"/>
      <c r="J554" s="193"/>
      <c r="K554" s="193"/>
      <c r="L554" s="193"/>
      <c r="M554" s="193"/>
      <c r="N554" s="193"/>
      <c r="O554" s="193"/>
      <c r="P554" s="193"/>
      <c r="Q554" s="193"/>
      <c r="R554" s="193"/>
      <c r="S554" s="193"/>
      <c r="T554" s="193"/>
      <c r="U554" s="193"/>
      <c r="V554" s="193"/>
      <c r="W554" s="193"/>
      <c r="X554" s="193"/>
      <c r="Y554" s="193"/>
      <c r="Z554" s="193"/>
      <c r="AA554" s="193"/>
      <c r="AB554" s="193"/>
      <c r="AC554" s="193"/>
    </row>
    <row r="555" spans="1:29" ht="15.75" customHeight="1">
      <c r="A555" s="193"/>
      <c r="B555" s="193"/>
      <c r="C555" s="193"/>
      <c r="D555" s="193"/>
      <c r="E555" s="193"/>
      <c r="F555" s="193"/>
      <c r="G555" s="193"/>
      <c r="H555" s="193"/>
      <c r="I555" s="193"/>
      <c r="J555" s="193"/>
      <c r="K555" s="193"/>
      <c r="L555" s="193"/>
      <c r="M555" s="193"/>
      <c r="N555" s="193"/>
      <c r="O555" s="193"/>
      <c r="P555" s="193"/>
      <c r="Q555" s="193"/>
      <c r="R555" s="193"/>
      <c r="S555" s="193"/>
      <c r="T555" s="193"/>
      <c r="U555" s="193"/>
      <c r="V555" s="193"/>
      <c r="W555" s="193"/>
      <c r="X555" s="193"/>
      <c r="Y555" s="193"/>
      <c r="Z555" s="193"/>
      <c r="AA555" s="193"/>
      <c r="AB555" s="193"/>
      <c r="AC555" s="193"/>
    </row>
    <row r="556" spans="1:29" ht="15.75" customHeight="1">
      <c r="A556" s="193"/>
      <c r="B556" s="193"/>
      <c r="C556" s="193"/>
      <c r="D556" s="193"/>
      <c r="E556" s="193"/>
      <c r="F556" s="193"/>
      <c r="G556" s="193"/>
      <c r="H556" s="193"/>
      <c r="I556" s="193"/>
      <c r="J556" s="193"/>
      <c r="K556" s="193"/>
      <c r="L556" s="193"/>
      <c r="M556" s="193"/>
      <c r="N556" s="193"/>
      <c r="O556" s="193"/>
      <c r="P556" s="193"/>
      <c r="Q556" s="193"/>
      <c r="R556" s="193"/>
      <c r="S556" s="193"/>
      <c r="T556" s="193"/>
      <c r="U556" s="193"/>
      <c r="V556" s="193"/>
      <c r="W556" s="193"/>
      <c r="X556" s="193"/>
      <c r="Y556" s="193"/>
      <c r="Z556" s="193"/>
      <c r="AA556" s="193"/>
      <c r="AB556" s="193"/>
      <c r="AC556" s="193"/>
    </row>
    <row r="557" spans="1:29" ht="15.75" customHeight="1">
      <c r="A557" s="193"/>
      <c r="B557" s="193"/>
      <c r="C557" s="193"/>
      <c r="D557" s="193"/>
      <c r="E557" s="193"/>
      <c r="F557" s="193"/>
      <c r="G557" s="193"/>
      <c r="H557" s="193"/>
      <c r="I557" s="193"/>
      <c r="J557" s="193"/>
      <c r="K557" s="193"/>
      <c r="L557" s="193"/>
      <c r="M557" s="193"/>
      <c r="N557" s="193"/>
      <c r="O557" s="193"/>
      <c r="P557" s="193"/>
      <c r="Q557" s="193"/>
      <c r="R557" s="193"/>
      <c r="S557" s="193"/>
      <c r="T557" s="193"/>
      <c r="U557" s="193"/>
      <c r="V557" s="193"/>
      <c r="W557" s="193"/>
      <c r="X557" s="193"/>
      <c r="Y557" s="193"/>
      <c r="Z557" s="193"/>
      <c r="AA557" s="193"/>
      <c r="AB557" s="193"/>
      <c r="AC557" s="193"/>
    </row>
    <row r="558" spans="1:29" ht="15.75" customHeight="1">
      <c r="A558" s="193"/>
      <c r="B558" s="193"/>
      <c r="C558" s="193"/>
      <c r="D558" s="193"/>
      <c r="E558" s="193"/>
      <c r="F558" s="193"/>
      <c r="G558" s="193"/>
      <c r="H558" s="193"/>
      <c r="I558" s="193"/>
      <c r="J558" s="193"/>
      <c r="K558" s="193"/>
      <c r="L558" s="193"/>
      <c r="M558" s="193"/>
      <c r="N558" s="193"/>
      <c r="O558" s="193"/>
      <c r="P558" s="193"/>
      <c r="Q558" s="193"/>
      <c r="R558" s="193"/>
      <c r="S558" s="193"/>
      <c r="T558" s="193"/>
      <c r="U558" s="193"/>
      <c r="V558" s="193"/>
      <c r="W558" s="193"/>
      <c r="X558" s="193"/>
      <c r="Y558" s="193"/>
      <c r="Z558" s="193"/>
      <c r="AA558" s="193"/>
      <c r="AB558" s="193"/>
      <c r="AC558" s="193"/>
    </row>
    <row r="559" spans="1:29" ht="15.75" customHeight="1">
      <c r="A559" s="193"/>
      <c r="B559" s="193"/>
      <c r="C559" s="193"/>
      <c r="D559" s="193"/>
      <c r="E559" s="193"/>
      <c r="F559" s="193"/>
      <c r="G559" s="193"/>
      <c r="H559" s="193"/>
      <c r="I559" s="193"/>
      <c r="J559" s="193"/>
      <c r="K559" s="193"/>
      <c r="L559" s="193"/>
      <c r="M559" s="193"/>
      <c r="N559" s="193"/>
      <c r="O559" s="193"/>
      <c r="P559" s="193"/>
      <c r="Q559" s="193"/>
      <c r="R559" s="193"/>
      <c r="S559" s="193"/>
      <c r="T559" s="193"/>
      <c r="U559" s="193"/>
      <c r="V559" s="193"/>
      <c r="W559" s="193"/>
      <c r="X559" s="193"/>
      <c r="Y559" s="193"/>
      <c r="Z559" s="193"/>
      <c r="AA559" s="193"/>
      <c r="AB559" s="193"/>
      <c r="AC559" s="193"/>
    </row>
    <row r="560" spans="1:29" ht="15.75" customHeight="1">
      <c r="A560" s="193"/>
      <c r="B560" s="193"/>
      <c r="C560" s="193"/>
      <c r="D560" s="193"/>
      <c r="E560" s="193"/>
      <c r="F560" s="193"/>
      <c r="G560" s="193"/>
      <c r="H560" s="193"/>
      <c r="I560" s="193"/>
      <c r="J560" s="193"/>
      <c r="K560" s="193"/>
      <c r="L560" s="193"/>
      <c r="M560" s="193"/>
      <c r="N560" s="193"/>
      <c r="O560" s="193"/>
      <c r="P560" s="193"/>
      <c r="Q560" s="193"/>
      <c r="R560" s="193"/>
      <c r="S560" s="193"/>
      <c r="T560" s="193"/>
      <c r="U560" s="193"/>
      <c r="V560" s="193"/>
      <c r="W560" s="193"/>
      <c r="X560" s="193"/>
      <c r="Y560" s="193"/>
      <c r="Z560" s="193"/>
      <c r="AA560" s="193"/>
      <c r="AB560" s="193"/>
      <c r="AC560" s="193"/>
    </row>
    <row r="561" spans="1:29" ht="15.75" customHeight="1">
      <c r="A561" s="193"/>
      <c r="B561" s="193"/>
      <c r="C561" s="193"/>
      <c r="D561" s="193"/>
      <c r="E561" s="193"/>
      <c r="F561" s="193"/>
      <c r="G561" s="193"/>
      <c r="H561" s="193"/>
      <c r="I561" s="193"/>
      <c r="J561" s="193"/>
      <c r="K561" s="193"/>
      <c r="L561" s="193"/>
      <c r="M561" s="193"/>
      <c r="N561" s="193"/>
      <c r="O561" s="193"/>
      <c r="P561" s="193"/>
      <c r="Q561" s="193"/>
      <c r="R561" s="193"/>
      <c r="S561" s="193"/>
      <c r="T561" s="193"/>
      <c r="U561" s="193"/>
      <c r="V561" s="193"/>
      <c r="W561" s="193"/>
      <c r="X561" s="193"/>
      <c r="Y561" s="193"/>
      <c r="Z561" s="193"/>
      <c r="AA561" s="193"/>
      <c r="AB561" s="193"/>
      <c r="AC561" s="193"/>
    </row>
    <row r="562" spans="1:29" ht="15.75" customHeight="1">
      <c r="A562" s="193"/>
      <c r="B562" s="193"/>
      <c r="C562" s="193"/>
      <c r="D562" s="193"/>
      <c r="E562" s="193"/>
      <c r="F562" s="193"/>
      <c r="G562" s="193"/>
      <c r="H562" s="193"/>
      <c r="I562" s="193"/>
      <c r="J562" s="193"/>
      <c r="K562" s="193"/>
      <c r="L562" s="193"/>
      <c r="M562" s="193"/>
      <c r="N562" s="193"/>
      <c r="O562" s="193"/>
      <c r="P562" s="193"/>
      <c r="Q562" s="193"/>
      <c r="R562" s="193"/>
      <c r="S562" s="193"/>
      <c r="T562" s="193"/>
      <c r="U562" s="193"/>
      <c r="V562" s="193"/>
      <c r="W562" s="193"/>
      <c r="X562" s="193"/>
      <c r="Y562" s="193"/>
      <c r="Z562" s="193"/>
      <c r="AA562" s="193"/>
      <c r="AB562" s="193"/>
      <c r="AC562" s="193"/>
    </row>
    <row r="563" spans="1:29" ht="15.75" customHeight="1">
      <c r="A563" s="193"/>
      <c r="B563" s="193"/>
      <c r="C563" s="193"/>
      <c r="D563" s="193"/>
      <c r="E563" s="193"/>
      <c r="F563" s="193"/>
      <c r="G563" s="193"/>
      <c r="H563" s="193"/>
      <c r="I563" s="193"/>
      <c r="J563" s="193"/>
      <c r="K563" s="193"/>
      <c r="L563" s="193"/>
      <c r="M563" s="193"/>
      <c r="N563" s="193"/>
      <c r="O563" s="193"/>
      <c r="P563" s="193"/>
      <c r="Q563" s="193"/>
      <c r="R563" s="193"/>
      <c r="S563" s="193"/>
      <c r="T563" s="193"/>
      <c r="U563" s="193"/>
      <c r="V563" s="193"/>
      <c r="W563" s="193"/>
      <c r="X563" s="193"/>
      <c r="Y563" s="193"/>
      <c r="Z563" s="193"/>
      <c r="AA563" s="193"/>
      <c r="AB563" s="193"/>
      <c r="AC563" s="193"/>
    </row>
    <row r="564" spans="1:29" ht="15.75" customHeight="1">
      <c r="A564" s="193"/>
      <c r="B564" s="193"/>
      <c r="C564" s="193"/>
      <c r="D564" s="193"/>
      <c r="E564" s="193"/>
      <c r="F564" s="193"/>
      <c r="G564" s="193"/>
      <c r="H564" s="193"/>
      <c r="I564" s="193"/>
      <c r="J564" s="193"/>
      <c r="K564" s="193"/>
      <c r="L564" s="193"/>
      <c r="M564" s="193"/>
      <c r="N564" s="193"/>
      <c r="O564" s="193"/>
      <c r="P564" s="193"/>
      <c r="Q564" s="193"/>
      <c r="R564" s="193"/>
      <c r="S564" s="193"/>
      <c r="T564" s="193"/>
      <c r="U564" s="193"/>
      <c r="V564" s="193"/>
      <c r="W564" s="193"/>
      <c r="X564" s="193"/>
      <c r="Y564" s="193"/>
      <c r="Z564" s="193"/>
      <c r="AA564" s="193"/>
      <c r="AB564" s="193"/>
      <c r="AC564" s="193"/>
    </row>
    <row r="565" spans="1:29" ht="15.75" customHeight="1">
      <c r="A565" s="193"/>
      <c r="B565" s="193"/>
      <c r="C565" s="193"/>
      <c r="D565" s="193"/>
      <c r="E565" s="193"/>
      <c r="F565" s="193"/>
      <c r="G565" s="193"/>
      <c r="H565" s="193"/>
      <c r="I565" s="193"/>
      <c r="J565" s="193"/>
      <c r="K565" s="193"/>
      <c r="L565" s="193"/>
      <c r="M565" s="193"/>
      <c r="N565" s="193"/>
      <c r="O565" s="193"/>
      <c r="P565" s="193"/>
      <c r="Q565" s="193"/>
      <c r="R565" s="193"/>
      <c r="S565" s="193"/>
      <c r="T565" s="193"/>
      <c r="U565" s="193"/>
      <c r="V565" s="193"/>
      <c r="W565" s="193"/>
      <c r="X565" s="193"/>
      <c r="Y565" s="193"/>
      <c r="Z565" s="193"/>
      <c r="AA565" s="193"/>
      <c r="AB565" s="193"/>
      <c r="AC565" s="193"/>
    </row>
    <row r="566" spans="1:29" ht="15.75" customHeight="1">
      <c r="A566" s="193"/>
      <c r="B566" s="193"/>
      <c r="C566" s="193"/>
      <c r="D566" s="193"/>
      <c r="E566" s="193"/>
      <c r="F566" s="193"/>
      <c r="G566" s="193"/>
      <c r="H566" s="193"/>
      <c r="I566" s="193"/>
      <c r="J566" s="193"/>
      <c r="K566" s="193"/>
      <c r="L566" s="193"/>
      <c r="M566" s="193"/>
      <c r="N566" s="193"/>
      <c r="O566" s="193"/>
      <c r="P566" s="193"/>
      <c r="Q566" s="193"/>
      <c r="R566" s="193"/>
      <c r="S566" s="193"/>
      <c r="T566" s="193"/>
      <c r="U566" s="193"/>
      <c r="V566" s="193"/>
      <c r="W566" s="193"/>
      <c r="X566" s="193"/>
      <c r="Y566" s="193"/>
      <c r="Z566" s="193"/>
      <c r="AA566" s="193"/>
      <c r="AB566" s="193"/>
      <c r="AC566" s="193"/>
    </row>
    <row r="567" spans="1:29" ht="15.75" customHeight="1">
      <c r="A567" s="193"/>
      <c r="B567" s="193"/>
      <c r="C567" s="193"/>
      <c r="D567" s="193"/>
      <c r="E567" s="193"/>
      <c r="F567" s="193"/>
      <c r="G567" s="193"/>
      <c r="H567" s="193"/>
      <c r="I567" s="193"/>
      <c r="J567" s="193"/>
      <c r="K567" s="193"/>
      <c r="L567" s="193"/>
      <c r="M567" s="193"/>
      <c r="N567" s="193"/>
      <c r="O567" s="193"/>
      <c r="P567" s="193"/>
      <c r="Q567" s="193"/>
      <c r="R567" s="193"/>
      <c r="S567" s="193"/>
      <c r="T567" s="193"/>
      <c r="U567" s="193"/>
      <c r="V567" s="193"/>
      <c r="W567" s="193"/>
      <c r="X567" s="193"/>
      <c r="Y567" s="193"/>
      <c r="Z567" s="193"/>
      <c r="AA567" s="193"/>
      <c r="AB567" s="193"/>
      <c r="AC567" s="193"/>
    </row>
    <row r="568" spans="1:29" ht="15.75" customHeight="1">
      <c r="A568" s="193"/>
      <c r="B568" s="193"/>
      <c r="C568" s="193"/>
      <c r="D568" s="193"/>
      <c r="E568" s="193"/>
      <c r="F568" s="193"/>
      <c r="G568" s="193"/>
      <c r="H568" s="193"/>
      <c r="I568" s="193"/>
      <c r="J568" s="193"/>
      <c r="K568" s="193"/>
      <c r="L568" s="193"/>
      <c r="M568" s="193"/>
      <c r="N568" s="193"/>
      <c r="O568" s="193"/>
      <c r="P568" s="193"/>
      <c r="Q568" s="193"/>
      <c r="R568" s="193"/>
      <c r="S568" s="193"/>
      <c r="T568" s="193"/>
      <c r="U568" s="193"/>
      <c r="V568" s="193"/>
      <c r="W568" s="193"/>
      <c r="X568" s="193"/>
      <c r="Y568" s="193"/>
      <c r="Z568" s="193"/>
      <c r="AA568" s="193"/>
      <c r="AB568" s="193"/>
      <c r="AC568" s="193"/>
    </row>
    <row r="569" spans="1:29" ht="15.75" customHeight="1">
      <c r="A569" s="193"/>
      <c r="B569" s="193"/>
      <c r="C569" s="193"/>
      <c r="D569" s="193"/>
      <c r="E569" s="193"/>
      <c r="F569" s="193"/>
      <c r="G569" s="193"/>
      <c r="H569" s="193"/>
      <c r="I569" s="193"/>
      <c r="J569" s="193"/>
      <c r="K569" s="193"/>
      <c r="L569" s="193"/>
      <c r="M569" s="193"/>
      <c r="N569" s="193"/>
      <c r="O569" s="193"/>
      <c r="P569" s="193"/>
      <c r="Q569" s="193"/>
      <c r="R569" s="193"/>
      <c r="S569" s="193"/>
      <c r="T569" s="193"/>
      <c r="U569" s="193"/>
      <c r="V569" s="193"/>
      <c r="W569" s="193"/>
      <c r="X569" s="193"/>
      <c r="Y569" s="193"/>
      <c r="Z569" s="193"/>
      <c r="AA569" s="193"/>
      <c r="AB569" s="193"/>
      <c r="AC569" s="193"/>
    </row>
    <row r="570" spans="1:29" ht="15.75" customHeight="1">
      <c r="A570" s="193"/>
      <c r="B570" s="193"/>
      <c r="C570" s="193"/>
      <c r="D570" s="193"/>
      <c r="E570" s="193"/>
      <c r="F570" s="193"/>
      <c r="G570" s="193"/>
      <c r="H570" s="193"/>
      <c r="I570" s="193"/>
      <c r="J570" s="193"/>
      <c r="K570" s="193"/>
      <c r="L570" s="193"/>
      <c r="M570" s="193"/>
      <c r="N570" s="193"/>
      <c r="O570" s="193"/>
      <c r="P570" s="193"/>
      <c r="Q570" s="193"/>
      <c r="R570" s="193"/>
      <c r="S570" s="193"/>
      <c r="T570" s="193"/>
      <c r="U570" s="193"/>
      <c r="V570" s="193"/>
      <c r="W570" s="193"/>
      <c r="X570" s="193"/>
      <c r="Y570" s="193"/>
      <c r="Z570" s="193"/>
      <c r="AA570" s="193"/>
      <c r="AB570" s="193"/>
      <c r="AC570" s="193"/>
    </row>
    <row r="571" spans="1:29" ht="15.75" customHeight="1">
      <c r="A571" s="193"/>
      <c r="B571" s="193"/>
      <c r="C571" s="193"/>
      <c r="D571" s="193"/>
      <c r="E571" s="193"/>
      <c r="F571" s="193"/>
      <c r="G571" s="193"/>
      <c r="H571" s="193"/>
      <c r="I571" s="193"/>
      <c r="J571" s="193"/>
      <c r="K571" s="193"/>
      <c r="L571" s="193"/>
      <c r="M571" s="193"/>
      <c r="N571" s="193"/>
      <c r="O571" s="193"/>
      <c r="P571" s="193"/>
      <c r="Q571" s="193"/>
      <c r="R571" s="193"/>
      <c r="S571" s="193"/>
      <c r="T571" s="193"/>
      <c r="U571" s="193"/>
      <c r="V571" s="193"/>
      <c r="W571" s="193"/>
      <c r="X571" s="193"/>
      <c r="Y571" s="193"/>
      <c r="Z571" s="193"/>
      <c r="AA571" s="193"/>
      <c r="AB571" s="193"/>
      <c r="AC571" s="193"/>
    </row>
    <row r="572" spans="1:29" ht="15.75" customHeight="1">
      <c r="A572" s="193"/>
      <c r="B572" s="193"/>
      <c r="C572" s="193"/>
      <c r="D572" s="193"/>
      <c r="E572" s="193"/>
      <c r="F572" s="193"/>
      <c r="G572" s="193"/>
      <c r="H572" s="193"/>
      <c r="I572" s="193"/>
      <c r="J572" s="193"/>
      <c r="K572" s="193"/>
      <c r="L572" s="193"/>
      <c r="M572" s="193"/>
      <c r="N572" s="193"/>
      <c r="O572" s="193"/>
      <c r="P572" s="193"/>
      <c r="Q572" s="193"/>
      <c r="R572" s="193"/>
      <c r="S572" s="193"/>
      <c r="T572" s="193"/>
      <c r="U572" s="193"/>
      <c r="V572" s="193"/>
      <c r="W572" s="193"/>
      <c r="X572" s="193"/>
      <c r="Y572" s="193"/>
      <c r="Z572" s="193"/>
      <c r="AA572" s="193"/>
      <c r="AB572" s="193"/>
      <c r="AC572" s="193"/>
    </row>
    <row r="573" spans="1:29" ht="15.75" customHeight="1">
      <c r="A573" s="193"/>
      <c r="B573" s="193"/>
      <c r="C573" s="193"/>
      <c r="D573" s="193"/>
      <c r="E573" s="193"/>
      <c r="F573" s="193"/>
      <c r="G573" s="193"/>
      <c r="H573" s="193"/>
      <c r="I573" s="193"/>
      <c r="J573" s="193"/>
      <c r="K573" s="193"/>
      <c r="L573" s="193"/>
      <c r="M573" s="193"/>
      <c r="N573" s="193"/>
      <c r="O573" s="193"/>
      <c r="P573" s="193"/>
      <c r="Q573" s="193"/>
      <c r="R573" s="193"/>
      <c r="S573" s="193"/>
      <c r="T573" s="193"/>
      <c r="U573" s="193"/>
      <c r="V573" s="193"/>
      <c r="W573" s="193"/>
      <c r="X573" s="193"/>
      <c r="Y573" s="193"/>
      <c r="Z573" s="193"/>
      <c r="AA573" s="193"/>
      <c r="AB573" s="193"/>
      <c r="AC573" s="193"/>
    </row>
    <row r="574" spans="1:29" ht="15.75" customHeight="1">
      <c r="A574" s="193"/>
      <c r="B574" s="193"/>
      <c r="C574" s="193"/>
      <c r="D574" s="193"/>
      <c r="E574" s="193"/>
      <c r="F574" s="193"/>
      <c r="G574" s="193"/>
      <c r="H574" s="193"/>
      <c r="I574" s="193"/>
      <c r="J574" s="193"/>
      <c r="K574" s="193"/>
      <c r="L574" s="193"/>
      <c r="M574" s="193"/>
      <c r="N574" s="193"/>
      <c r="O574" s="193"/>
      <c r="P574" s="193"/>
      <c r="Q574" s="193"/>
      <c r="R574" s="193"/>
      <c r="S574" s="193"/>
      <c r="T574" s="193"/>
      <c r="U574" s="193"/>
      <c r="V574" s="193"/>
      <c r="W574" s="193"/>
      <c r="X574" s="193"/>
      <c r="Y574" s="193"/>
      <c r="Z574" s="193"/>
      <c r="AA574" s="193"/>
      <c r="AB574" s="193"/>
      <c r="AC574" s="193"/>
    </row>
    <row r="575" spans="1:29" ht="15.75" customHeight="1">
      <c r="A575" s="193"/>
      <c r="B575" s="193"/>
      <c r="C575" s="193"/>
      <c r="D575" s="193"/>
      <c r="E575" s="193"/>
      <c r="F575" s="193"/>
      <c r="G575" s="193"/>
      <c r="H575" s="193"/>
      <c r="I575" s="193"/>
      <c r="J575" s="193"/>
      <c r="K575" s="193"/>
      <c r="L575" s="193"/>
      <c r="M575" s="193"/>
      <c r="N575" s="193"/>
      <c r="O575" s="193"/>
      <c r="P575" s="193"/>
      <c r="Q575" s="193"/>
      <c r="R575" s="193"/>
      <c r="S575" s="193"/>
      <c r="T575" s="193"/>
      <c r="U575" s="193"/>
      <c r="V575" s="193"/>
      <c r="W575" s="193"/>
      <c r="X575" s="193"/>
      <c r="Y575" s="193"/>
      <c r="Z575" s="193"/>
      <c r="AA575" s="193"/>
      <c r="AB575" s="193"/>
      <c r="AC575" s="193"/>
    </row>
    <row r="576" spans="1:29" ht="15.75" customHeight="1">
      <c r="A576" s="193"/>
      <c r="B576" s="193"/>
      <c r="C576" s="193"/>
      <c r="D576" s="193"/>
      <c r="E576" s="193"/>
      <c r="F576" s="193"/>
      <c r="G576" s="193"/>
      <c r="H576" s="193"/>
      <c r="I576" s="193"/>
      <c r="J576" s="193"/>
      <c r="K576" s="193"/>
      <c r="L576" s="193"/>
      <c r="M576" s="193"/>
      <c r="N576" s="193"/>
      <c r="O576" s="193"/>
      <c r="P576" s="193"/>
      <c r="Q576" s="193"/>
      <c r="R576" s="193"/>
      <c r="S576" s="193"/>
      <c r="T576" s="193"/>
      <c r="U576" s="193"/>
      <c r="V576" s="193"/>
      <c r="W576" s="193"/>
      <c r="X576" s="193"/>
      <c r="Y576" s="193"/>
      <c r="Z576" s="193"/>
      <c r="AA576" s="193"/>
      <c r="AB576" s="193"/>
      <c r="AC576" s="193"/>
    </row>
    <row r="577" spans="1:29" ht="15.75" customHeight="1">
      <c r="A577" s="193"/>
      <c r="B577" s="193"/>
      <c r="C577" s="193"/>
      <c r="D577" s="193"/>
      <c r="E577" s="193"/>
      <c r="F577" s="193"/>
      <c r="G577" s="193"/>
      <c r="H577" s="193"/>
      <c r="I577" s="193"/>
      <c r="J577" s="193"/>
      <c r="K577" s="193"/>
      <c r="L577" s="193"/>
      <c r="M577" s="193"/>
      <c r="N577" s="193"/>
      <c r="O577" s="193"/>
      <c r="P577" s="193"/>
      <c r="Q577" s="193"/>
      <c r="R577" s="193"/>
      <c r="S577" s="193"/>
      <c r="T577" s="193"/>
      <c r="U577" s="193"/>
      <c r="V577" s="193"/>
      <c r="W577" s="193"/>
      <c r="X577" s="193"/>
      <c r="Y577" s="193"/>
      <c r="Z577" s="193"/>
      <c r="AA577" s="193"/>
      <c r="AB577" s="193"/>
      <c r="AC577" s="193"/>
    </row>
    <row r="578" spans="1:29" ht="15.75" customHeight="1">
      <c r="A578" s="193"/>
      <c r="B578" s="193"/>
      <c r="C578" s="193"/>
      <c r="D578" s="193"/>
      <c r="E578" s="193"/>
      <c r="F578" s="193"/>
      <c r="G578" s="193"/>
      <c r="H578" s="193"/>
      <c r="I578" s="193"/>
      <c r="J578" s="193"/>
      <c r="K578" s="193"/>
      <c r="L578" s="193"/>
      <c r="M578" s="193"/>
      <c r="N578" s="193"/>
      <c r="O578" s="193"/>
      <c r="P578" s="193"/>
      <c r="Q578" s="193"/>
      <c r="R578" s="193"/>
      <c r="S578" s="193"/>
      <c r="T578" s="193"/>
      <c r="U578" s="193"/>
      <c r="V578" s="193"/>
      <c r="W578" s="193"/>
      <c r="X578" s="193"/>
      <c r="Y578" s="193"/>
      <c r="Z578" s="193"/>
      <c r="AA578" s="193"/>
      <c r="AB578" s="193"/>
      <c r="AC578" s="193"/>
    </row>
    <row r="579" spans="1:29" ht="15.75" customHeight="1">
      <c r="A579" s="193"/>
      <c r="B579" s="193"/>
      <c r="C579" s="193"/>
      <c r="D579" s="193"/>
      <c r="E579" s="193"/>
      <c r="F579" s="193"/>
      <c r="G579" s="193"/>
      <c r="H579" s="193"/>
      <c r="I579" s="193"/>
      <c r="J579" s="193"/>
      <c r="K579" s="193"/>
      <c r="L579" s="193"/>
      <c r="M579" s="193"/>
      <c r="N579" s="193"/>
      <c r="O579" s="193"/>
      <c r="P579" s="193"/>
      <c r="Q579" s="193"/>
      <c r="R579" s="193"/>
      <c r="S579" s="193"/>
      <c r="T579" s="193"/>
      <c r="U579" s="193"/>
      <c r="V579" s="193"/>
      <c r="W579" s="193"/>
      <c r="X579" s="193"/>
      <c r="Y579" s="193"/>
      <c r="Z579" s="193"/>
      <c r="AA579" s="193"/>
      <c r="AB579" s="193"/>
      <c r="AC579" s="193"/>
    </row>
    <row r="580" spans="1:29" ht="15.75" customHeight="1">
      <c r="A580" s="193"/>
      <c r="B580" s="193"/>
      <c r="C580" s="193"/>
      <c r="D580" s="193"/>
      <c r="E580" s="193"/>
      <c r="F580" s="193"/>
      <c r="G580" s="193"/>
      <c r="H580" s="193"/>
      <c r="I580" s="193"/>
      <c r="J580" s="193"/>
      <c r="K580" s="193"/>
      <c r="L580" s="193"/>
      <c r="M580" s="193"/>
      <c r="N580" s="193"/>
      <c r="O580" s="193"/>
      <c r="P580" s="193"/>
      <c r="Q580" s="193"/>
      <c r="R580" s="193"/>
      <c r="S580" s="193"/>
      <c r="T580" s="193"/>
      <c r="U580" s="193"/>
      <c r="V580" s="193"/>
      <c r="W580" s="193"/>
      <c r="X580" s="193"/>
      <c r="Y580" s="193"/>
      <c r="Z580" s="193"/>
      <c r="AA580" s="193"/>
      <c r="AB580" s="193"/>
      <c r="AC580" s="193"/>
    </row>
    <row r="581" spans="1:29" ht="15.75" customHeight="1">
      <c r="A581" s="193"/>
      <c r="B581" s="193"/>
      <c r="C581" s="193"/>
      <c r="D581" s="193"/>
      <c r="E581" s="193"/>
      <c r="F581" s="193"/>
      <c r="G581" s="193"/>
      <c r="H581" s="193"/>
      <c r="I581" s="193"/>
      <c r="J581" s="193"/>
      <c r="K581" s="193"/>
      <c r="L581" s="193"/>
      <c r="M581" s="193"/>
      <c r="N581" s="193"/>
      <c r="O581" s="193"/>
      <c r="P581" s="193"/>
      <c r="Q581" s="193"/>
      <c r="R581" s="193"/>
      <c r="S581" s="193"/>
      <c r="T581" s="193"/>
      <c r="U581" s="193"/>
      <c r="V581" s="193"/>
      <c r="W581" s="193"/>
      <c r="X581" s="193"/>
      <c r="Y581" s="193"/>
      <c r="Z581" s="193"/>
      <c r="AA581" s="193"/>
      <c r="AB581" s="193"/>
      <c r="AC581" s="193"/>
    </row>
    <row r="582" spans="1:29" ht="15.75" customHeight="1">
      <c r="A582" s="193"/>
      <c r="B582" s="193"/>
      <c r="C582" s="193"/>
      <c r="D582" s="193"/>
      <c r="E582" s="193"/>
      <c r="F582" s="193"/>
      <c r="G582" s="193"/>
      <c r="H582" s="193"/>
      <c r="I582" s="193"/>
      <c r="J582" s="193"/>
      <c r="K582" s="193"/>
      <c r="L582" s="193"/>
      <c r="M582" s="193"/>
      <c r="N582" s="193"/>
      <c r="O582" s="193"/>
      <c r="P582" s="193"/>
      <c r="Q582" s="193"/>
      <c r="R582" s="193"/>
      <c r="S582" s="193"/>
      <c r="T582" s="193"/>
      <c r="U582" s="193"/>
      <c r="V582" s="193"/>
      <c r="W582" s="193"/>
      <c r="X582" s="193"/>
      <c r="Y582" s="193"/>
      <c r="Z582" s="193"/>
      <c r="AA582" s="193"/>
      <c r="AB582" s="193"/>
      <c r="AC582" s="193"/>
    </row>
    <row r="583" spans="1:29" ht="15.75" customHeight="1">
      <c r="A583" s="193"/>
      <c r="B583" s="193"/>
      <c r="C583" s="193"/>
      <c r="D583" s="193"/>
      <c r="E583" s="193"/>
      <c r="F583" s="193"/>
      <c r="G583" s="193"/>
      <c r="H583" s="193"/>
      <c r="I583" s="193"/>
      <c r="J583" s="193"/>
      <c r="K583" s="193"/>
      <c r="L583" s="193"/>
      <c r="M583" s="193"/>
      <c r="N583" s="193"/>
      <c r="O583" s="193"/>
      <c r="P583" s="193"/>
      <c r="Q583" s="193"/>
      <c r="R583" s="193"/>
      <c r="S583" s="193"/>
      <c r="T583" s="193"/>
      <c r="U583" s="193"/>
      <c r="V583" s="193"/>
      <c r="W583" s="193"/>
      <c r="X583" s="193"/>
      <c r="Y583" s="193"/>
      <c r="Z583" s="193"/>
      <c r="AA583" s="193"/>
      <c r="AB583" s="193"/>
      <c r="AC583" s="193"/>
    </row>
    <row r="584" spans="1:29" ht="15.75" customHeight="1">
      <c r="A584" s="193"/>
      <c r="B584" s="193"/>
      <c r="C584" s="193"/>
      <c r="D584" s="193"/>
      <c r="E584" s="193"/>
      <c r="F584" s="193"/>
      <c r="G584" s="193"/>
      <c r="H584" s="193"/>
      <c r="I584" s="193"/>
      <c r="J584" s="193"/>
      <c r="K584" s="193"/>
      <c r="L584" s="193"/>
      <c r="M584" s="193"/>
      <c r="N584" s="193"/>
      <c r="O584" s="193"/>
      <c r="P584" s="193"/>
      <c r="Q584" s="193"/>
      <c r="R584" s="193"/>
      <c r="S584" s="193"/>
      <c r="T584" s="193"/>
      <c r="U584" s="193"/>
      <c r="V584" s="193"/>
      <c r="W584" s="193"/>
      <c r="X584" s="193"/>
      <c r="Y584" s="193"/>
      <c r="Z584" s="193"/>
      <c r="AA584" s="193"/>
      <c r="AB584" s="193"/>
      <c r="AC584" s="193"/>
    </row>
    <row r="585" spans="1:29" ht="15.75" customHeight="1">
      <c r="A585" s="193"/>
      <c r="B585" s="193"/>
      <c r="C585" s="193"/>
      <c r="D585" s="193"/>
      <c r="E585" s="193"/>
      <c r="F585" s="193"/>
      <c r="G585" s="193"/>
      <c r="H585" s="193"/>
      <c r="I585" s="193"/>
      <c r="J585" s="193"/>
      <c r="K585" s="193"/>
      <c r="L585" s="193"/>
      <c r="M585" s="193"/>
      <c r="N585" s="193"/>
      <c r="O585" s="193"/>
      <c r="P585" s="193"/>
      <c r="Q585" s="193"/>
      <c r="R585" s="193"/>
      <c r="S585" s="193"/>
      <c r="T585" s="193"/>
      <c r="U585" s="193"/>
      <c r="V585" s="193"/>
      <c r="W585" s="193"/>
      <c r="X585" s="193"/>
      <c r="Y585" s="193"/>
      <c r="Z585" s="193"/>
      <c r="AA585" s="193"/>
      <c r="AB585" s="193"/>
      <c r="AC585" s="193"/>
    </row>
    <row r="586" spans="1:29" ht="15.75" customHeight="1">
      <c r="A586" s="193"/>
      <c r="B586" s="193"/>
      <c r="C586" s="193"/>
      <c r="D586" s="193"/>
      <c r="E586" s="193"/>
      <c r="F586" s="193"/>
      <c r="G586" s="193"/>
      <c r="H586" s="193"/>
      <c r="I586" s="193"/>
      <c r="J586" s="193"/>
      <c r="K586" s="193"/>
      <c r="L586" s="193"/>
      <c r="M586" s="193"/>
      <c r="N586" s="193"/>
      <c r="O586" s="193"/>
      <c r="P586" s="193"/>
      <c r="Q586" s="193"/>
      <c r="R586" s="193"/>
      <c r="S586" s="193"/>
      <c r="T586" s="193"/>
      <c r="U586" s="193"/>
      <c r="V586" s="193"/>
      <c r="W586" s="193"/>
      <c r="X586" s="193"/>
      <c r="Y586" s="193"/>
      <c r="Z586" s="193"/>
      <c r="AA586" s="193"/>
      <c r="AB586" s="193"/>
      <c r="AC586" s="193"/>
    </row>
    <row r="587" spans="1:29" ht="15.75" customHeight="1">
      <c r="A587" s="193"/>
      <c r="B587" s="193"/>
      <c r="C587" s="193"/>
      <c r="D587" s="193"/>
      <c r="E587" s="193"/>
      <c r="F587" s="193"/>
      <c r="G587" s="193"/>
      <c r="H587" s="193"/>
      <c r="I587" s="193"/>
      <c r="J587" s="193"/>
      <c r="K587" s="193"/>
      <c r="L587" s="193"/>
      <c r="M587" s="193"/>
      <c r="N587" s="193"/>
      <c r="O587" s="193"/>
      <c r="P587" s="193"/>
      <c r="Q587" s="193"/>
      <c r="R587" s="193"/>
      <c r="S587" s="193"/>
      <c r="T587" s="193"/>
      <c r="U587" s="193"/>
      <c r="V587" s="193"/>
      <c r="W587" s="193"/>
      <c r="X587" s="193"/>
      <c r="Y587" s="193"/>
      <c r="Z587" s="193"/>
      <c r="AA587" s="193"/>
      <c r="AB587" s="193"/>
      <c r="AC587" s="193"/>
    </row>
    <row r="588" spans="1:29" ht="15.75" customHeight="1">
      <c r="A588" s="193"/>
      <c r="B588" s="193"/>
      <c r="C588" s="193"/>
      <c r="D588" s="193"/>
      <c r="E588" s="193"/>
      <c r="F588" s="193"/>
      <c r="G588" s="193"/>
      <c r="H588" s="193"/>
      <c r="I588" s="193"/>
      <c r="J588" s="193"/>
      <c r="K588" s="193"/>
      <c r="L588" s="193"/>
      <c r="M588" s="193"/>
      <c r="N588" s="193"/>
      <c r="O588" s="193"/>
      <c r="P588" s="193"/>
      <c r="Q588" s="193"/>
      <c r="R588" s="193"/>
      <c r="S588" s="193"/>
      <c r="T588" s="193"/>
      <c r="U588" s="193"/>
      <c r="V588" s="193"/>
      <c r="W588" s="193"/>
      <c r="X588" s="193"/>
      <c r="Y588" s="193"/>
      <c r="Z588" s="193"/>
      <c r="AA588" s="193"/>
      <c r="AB588" s="193"/>
      <c r="AC588" s="193"/>
    </row>
    <row r="589" spans="1:29" ht="15.75" customHeight="1">
      <c r="A589" s="193"/>
      <c r="B589" s="193"/>
      <c r="C589" s="193"/>
      <c r="D589" s="193"/>
      <c r="E589" s="193"/>
      <c r="F589" s="193"/>
      <c r="G589" s="193"/>
      <c r="H589" s="193"/>
      <c r="I589" s="193"/>
      <c r="J589" s="193"/>
      <c r="K589" s="193"/>
      <c r="L589" s="193"/>
      <c r="M589" s="193"/>
      <c r="N589" s="193"/>
      <c r="O589" s="193"/>
      <c r="P589" s="193"/>
      <c r="Q589" s="193"/>
      <c r="R589" s="193"/>
      <c r="S589" s="193"/>
      <c r="T589" s="193"/>
      <c r="U589" s="193"/>
      <c r="V589" s="193"/>
      <c r="W589" s="193"/>
      <c r="X589" s="193"/>
      <c r="Y589" s="193"/>
      <c r="Z589" s="193"/>
      <c r="AA589" s="193"/>
      <c r="AB589" s="193"/>
      <c r="AC589" s="193"/>
    </row>
    <row r="590" spans="1:29" ht="15.75" customHeight="1">
      <c r="A590" s="193"/>
      <c r="B590" s="193"/>
      <c r="C590" s="193"/>
      <c r="D590" s="193"/>
      <c r="E590" s="193"/>
      <c r="F590" s="193"/>
      <c r="G590" s="193"/>
      <c r="H590" s="193"/>
      <c r="I590" s="193"/>
      <c r="J590" s="193"/>
      <c r="K590" s="193"/>
      <c r="L590" s="193"/>
      <c r="M590" s="193"/>
      <c r="N590" s="193"/>
      <c r="O590" s="193"/>
      <c r="P590" s="193"/>
      <c r="Q590" s="193"/>
      <c r="R590" s="193"/>
      <c r="S590" s="193"/>
      <c r="T590" s="193"/>
      <c r="U590" s="193"/>
      <c r="V590" s="193"/>
      <c r="W590" s="193"/>
      <c r="X590" s="193"/>
      <c r="Y590" s="193"/>
      <c r="Z590" s="193"/>
      <c r="AA590" s="193"/>
      <c r="AB590" s="193"/>
      <c r="AC590" s="193"/>
    </row>
    <row r="591" spans="1:29" ht="15.75" customHeight="1">
      <c r="A591" s="193"/>
      <c r="B591" s="193"/>
      <c r="C591" s="193"/>
      <c r="D591" s="193"/>
      <c r="E591" s="193"/>
      <c r="F591" s="193"/>
      <c r="G591" s="193"/>
      <c r="H591" s="193"/>
      <c r="I591" s="193"/>
      <c r="J591" s="193"/>
      <c r="K591" s="193"/>
      <c r="L591" s="193"/>
      <c r="M591" s="193"/>
      <c r="N591" s="193"/>
      <c r="O591" s="193"/>
      <c r="P591" s="193"/>
      <c r="Q591" s="193"/>
      <c r="R591" s="193"/>
      <c r="S591" s="193"/>
      <c r="T591" s="193"/>
      <c r="U591" s="193"/>
      <c r="V591" s="193"/>
      <c r="W591" s="193"/>
      <c r="X591" s="193"/>
      <c r="Y591" s="193"/>
      <c r="Z591" s="193"/>
      <c r="AA591" s="193"/>
      <c r="AB591" s="193"/>
      <c r="AC591" s="193"/>
    </row>
    <row r="592" spans="1:29" ht="15.75" customHeight="1">
      <c r="A592" s="193"/>
      <c r="B592" s="193"/>
      <c r="C592" s="193"/>
      <c r="D592" s="193"/>
      <c r="E592" s="193"/>
      <c r="F592" s="193"/>
      <c r="G592" s="193"/>
      <c r="H592" s="193"/>
      <c r="I592" s="193"/>
      <c r="J592" s="193"/>
      <c r="K592" s="193"/>
      <c r="L592" s="193"/>
      <c r="M592" s="193"/>
      <c r="N592" s="193"/>
      <c r="O592" s="193"/>
      <c r="P592" s="193"/>
      <c r="Q592" s="193"/>
      <c r="R592" s="193"/>
      <c r="S592" s="193"/>
      <c r="T592" s="193"/>
      <c r="U592" s="193"/>
      <c r="V592" s="193"/>
      <c r="W592" s="193"/>
      <c r="X592" s="193"/>
      <c r="Y592" s="193"/>
      <c r="Z592" s="193"/>
      <c r="AA592" s="193"/>
      <c r="AB592" s="193"/>
      <c r="AC592" s="193"/>
    </row>
    <row r="593" spans="1:29" ht="15.75" customHeight="1">
      <c r="A593" s="193"/>
      <c r="B593" s="193"/>
      <c r="C593" s="193"/>
      <c r="D593" s="193"/>
      <c r="E593" s="193"/>
      <c r="F593" s="193"/>
      <c r="G593" s="193"/>
      <c r="H593" s="193"/>
      <c r="I593" s="193"/>
      <c r="J593" s="193"/>
      <c r="K593" s="193"/>
      <c r="L593" s="193"/>
      <c r="M593" s="193"/>
      <c r="N593" s="193"/>
      <c r="O593" s="193"/>
      <c r="P593" s="193"/>
      <c r="Q593" s="193"/>
      <c r="R593" s="193"/>
      <c r="S593" s="193"/>
      <c r="T593" s="193"/>
      <c r="U593" s="193"/>
      <c r="V593" s="193"/>
      <c r="W593" s="193"/>
      <c r="X593" s="193"/>
      <c r="Y593" s="193"/>
      <c r="Z593" s="193"/>
      <c r="AA593" s="193"/>
      <c r="AB593" s="193"/>
      <c r="AC593" s="193"/>
    </row>
    <row r="594" spans="1:29" ht="15.75" customHeight="1">
      <c r="A594" s="193"/>
      <c r="B594" s="193"/>
      <c r="C594" s="193"/>
      <c r="D594" s="193"/>
      <c r="E594" s="193"/>
      <c r="F594" s="193"/>
      <c r="G594" s="193"/>
      <c r="H594" s="193"/>
      <c r="I594" s="193"/>
      <c r="J594" s="193"/>
      <c r="K594" s="193"/>
      <c r="L594" s="193"/>
      <c r="M594" s="193"/>
      <c r="N594" s="193"/>
      <c r="O594" s="193"/>
      <c r="P594" s="193"/>
      <c r="Q594" s="193"/>
      <c r="R594" s="193"/>
      <c r="S594" s="193"/>
      <c r="T594" s="193"/>
      <c r="U594" s="193"/>
      <c r="V594" s="193"/>
      <c r="W594" s="193"/>
      <c r="X594" s="193"/>
      <c r="Y594" s="193"/>
      <c r="Z594" s="193"/>
      <c r="AA594" s="193"/>
      <c r="AB594" s="193"/>
      <c r="AC594" s="193"/>
    </row>
    <row r="595" spans="1:29" ht="15.75" customHeight="1">
      <c r="A595" s="193"/>
      <c r="B595" s="193"/>
      <c r="C595" s="193"/>
      <c r="D595" s="193"/>
      <c r="E595" s="193"/>
      <c r="F595" s="193"/>
      <c r="G595" s="193"/>
      <c r="H595" s="193"/>
      <c r="I595" s="193"/>
      <c r="J595" s="193"/>
      <c r="K595" s="193"/>
      <c r="L595" s="193"/>
      <c r="M595" s="193"/>
      <c r="N595" s="193"/>
      <c r="O595" s="193"/>
      <c r="P595" s="193"/>
      <c r="Q595" s="193"/>
      <c r="R595" s="193"/>
      <c r="S595" s="193"/>
      <c r="T595" s="193"/>
      <c r="U595" s="193"/>
      <c r="V595" s="193"/>
      <c r="W595" s="193"/>
      <c r="X595" s="193"/>
      <c r="Y595" s="193"/>
      <c r="Z595" s="193"/>
      <c r="AA595" s="193"/>
      <c r="AB595" s="193"/>
      <c r="AC595" s="193"/>
    </row>
    <row r="596" spans="1:29" ht="15.75" customHeight="1">
      <c r="A596" s="193"/>
      <c r="B596" s="193"/>
      <c r="C596" s="193"/>
      <c r="D596" s="193"/>
      <c r="E596" s="193"/>
      <c r="F596" s="193"/>
      <c r="G596" s="193"/>
      <c r="H596" s="193"/>
      <c r="I596" s="193"/>
      <c r="J596" s="193"/>
      <c r="K596" s="193"/>
      <c r="L596" s="193"/>
      <c r="M596" s="193"/>
      <c r="N596" s="193"/>
      <c r="O596" s="193"/>
      <c r="P596" s="193"/>
      <c r="Q596" s="193"/>
      <c r="R596" s="193"/>
      <c r="S596" s="193"/>
      <c r="T596" s="193"/>
      <c r="U596" s="193"/>
      <c r="V596" s="193"/>
      <c r="W596" s="193"/>
      <c r="X596" s="193"/>
      <c r="Y596" s="193"/>
      <c r="Z596" s="193"/>
      <c r="AA596" s="193"/>
      <c r="AB596" s="193"/>
      <c r="AC596" s="193"/>
    </row>
    <row r="597" spans="1:29" ht="15.75" customHeight="1">
      <c r="A597" s="193"/>
      <c r="B597" s="193"/>
      <c r="C597" s="193"/>
      <c r="D597" s="193"/>
      <c r="E597" s="193"/>
      <c r="F597" s="193"/>
      <c r="G597" s="193"/>
      <c r="H597" s="193"/>
      <c r="I597" s="193"/>
      <c r="J597" s="193"/>
      <c r="K597" s="193"/>
      <c r="L597" s="193"/>
      <c r="M597" s="193"/>
      <c r="N597" s="193"/>
      <c r="O597" s="193"/>
      <c r="P597" s="193"/>
      <c r="Q597" s="193"/>
      <c r="R597" s="193"/>
      <c r="S597" s="193"/>
      <c r="T597" s="193"/>
      <c r="U597" s="193"/>
      <c r="V597" s="193"/>
      <c r="W597" s="193"/>
      <c r="X597" s="193"/>
      <c r="Y597" s="193"/>
      <c r="Z597" s="193"/>
      <c r="AA597" s="193"/>
      <c r="AB597" s="193"/>
      <c r="AC597" s="193"/>
    </row>
    <row r="598" spans="1:29" ht="15.75" customHeight="1">
      <c r="A598" s="193"/>
      <c r="B598" s="193"/>
      <c r="C598" s="193"/>
      <c r="D598" s="193"/>
      <c r="E598" s="193"/>
      <c r="F598" s="193"/>
      <c r="G598" s="193"/>
      <c r="H598" s="193"/>
      <c r="I598" s="193"/>
      <c r="J598" s="193"/>
      <c r="K598" s="193"/>
      <c r="L598" s="193"/>
      <c r="M598" s="193"/>
      <c r="N598" s="193"/>
      <c r="O598" s="193"/>
      <c r="P598" s="193"/>
      <c r="Q598" s="193"/>
      <c r="R598" s="193"/>
      <c r="S598" s="193"/>
      <c r="T598" s="193"/>
      <c r="U598" s="193"/>
      <c r="V598" s="193"/>
      <c r="W598" s="193"/>
      <c r="X598" s="193"/>
      <c r="Y598" s="193"/>
      <c r="Z598" s="193"/>
      <c r="AA598" s="193"/>
      <c r="AB598" s="193"/>
      <c r="AC598" s="193"/>
    </row>
    <row r="599" spans="1:29" ht="15.75" customHeight="1">
      <c r="A599" s="193"/>
      <c r="B599" s="193"/>
      <c r="C599" s="193"/>
      <c r="D599" s="193"/>
      <c r="E599" s="193"/>
      <c r="F599" s="193"/>
      <c r="G599" s="193"/>
      <c r="H599" s="193"/>
      <c r="I599" s="193"/>
      <c r="J599" s="193"/>
      <c r="K599" s="193"/>
      <c r="L599" s="193"/>
      <c r="M599" s="193"/>
      <c r="N599" s="193"/>
      <c r="O599" s="193"/>
      <c r="P599" s="193"/>
      <c r="Q599" s="193"/>
      <c r="R599" s="193"/>
      <c r="S599" s="193"/>
      <c r="T599" s="193"/>
      <c r="U599" s="193"/>
      <c r="V599" s="193"/>
      <c r="W599" s="193"/>
      <c r="X599" s="193"/>
      <c r="Y599" s="193"/>
      <c r="Z599" s="193"/>
      <c r="AA599" s="193"/>
      <c r="AB599" s="193"/>
      <c r="AC599" s="193"/>
    </row>
    <row r="600" spans="1:29" ht="15.75" customHeight="1">
      <c r="A600" s="193"/>
      <c r="B600" s="193"/>
      <c r="C600" s="193"/>
      <c r="D600" s="193"/>
      <c r="E600" s="193"/>
      <c r="F600" s="193"/>
      <c r="G600" s="193"/>
      <c r="H600" s="193"/>
      <c r="I600" s="193"/>
      <c r="J600" s="193"/>
      <c r="K600" s="193"/>
      <c r="L600" s="193"/>
      <c r="M600" s="193"/>
      <c r="N600" s="193"/>
      <c r="O600" s="193"/>
      <c r="P600" s="193"/>
      <c r="Q600" s="193"/>
      <c r="R600" s="193"/>
      <c r="S600" s="193"/>
      <c r="T600" s="193"/>
      <c r="U600" s="193"/>
      <c r="V600" s="193"/>
      <c r="W600" s="193"/>
      <c r="X600" s="193"/>
      <c r="Y600" s="193"/>
      <c r="Z600" s="193"/>
      <c r="AA600" s="193"/>
      <c r="AB600" s="193"/>
      <c r="AC600" s="193"/>
    </row>
    <row r="601" spans="1:29" ht="15.75" customHeight="1">
      <c r="A601" s="193"/>
      <c r="B601" s="193"/>
      <c r="C601" s="193"/>
      <c r="D601" s="193"/>
      <c r="E601" s="193"/>
      <c r="F601" s="193"/>
      <c r="G601" s="193"/>
      <c r="H601" s="193"/>
      <c r="I601" s="193"/>
      <c r="J601" s="193"/>
      <c r="K601" s="193"/>
      <c r="L601" s="193"/>
      <c r="M601" s="193"/>
      <c r="N601" s="193"/>
      <c r="O601" s="193"/>
      <c r="P601" s="193"/>
      <c r="Q601" s="193"/>
      <c r="R601" s="193"/>
      <c r="S601" s="193"/>
      <c r="T601" s="193"/>
      <c r="U601" s="193"/>
      <c r="V601" s="193"/>
      <c r="W601" s="193"/>
      <c r="X601" s="193"/>
      <c r="Y601" s="193"/>
      <c r="Z601" s="193"/>
      <c r="AA601" s="193"/>
      <c r="AB601" s="193"/>
      <c r="AC601" s="193"/>
    </row>
    <row r="602" spans="1:29" ht="15.75" customHeight="1">
      <c r="A602" s="193"/>
      <c r="B602" s="193"/>
      <c r="C602" s="193"/>
      <c r="D602" s="193"/>
      <c r="E602" s="193"/>
      <c r="F602" s="193"/>
      <c r="G602" s="193"/>
      <c r="H602" s="193"/>
      <c r="I602" s="193"/>
      <c r="J602" s="193"/>
      <c r="K602" s="193"/>
      <c r="L602" s="193"/>
      <c r="M602" s="193"/>
      <c r="N602" s="193"/>
      <c r="O602" s="193"/>
      <c r="P602" s="193"/>
      <c r="Q602" s="193"/>
      <c r="R602" s="193"/>
      <c r="S602" s="193"/>
      <c r="T602" s="193"/>
      <c r="U602" s="193"/>
      <c r="V602" s="193"/>
      <c r="W602" s="193"/>
      <c r="X602" s="193"/>
      <c r="Y602" s="193"/>
      <c r="Z602" s="193"/>
      <c r="AA602" s="193"/>
      <c r="AB602" s="193"/>
      <c r="AC602" s="193"/>
    </row>
    <row r="603" spans="1:29" ht="15.75" customHeight="1">
      <c r="A603" s="193"/>
      <c r="B603" s="193"/>
      <c r="C603" s="193"/>
      <c r="D603" s="193"/>
      <c r="E603" s="193"/>
      <c r="F603" s="193"/>
      <c r="G603" s="193"/>
      <c r="H603" s="193"/>
      <c r="I603" s="193"/>
      <c r="J603" s="193"/>
      <c r="K603" s="193"/>
      <c r="L603" s="193"/>
      <c r="M603" s="193"/>
      <c r="N603" s="193"/>
      <c r="O603" s="193"/>
      <c r="P603" s="193"/>
      <c r="Q603" s="193"/>
      <c r="R603" s="193"/>
      <c r="S603" s="193"/>
      <c r="T603" s="193"/>
      <c r="U603" s="193"/>
      <c r="V603" s="193"/>
      <c r="W603" s="193"/>
      <c r="X603" s="193"/>
      <c r="Y603" s="193"/>
      <c r="Z603" s="193"/>
      <c r="AA603" s="193"/>
      <c r="AB603" s="193"/>
      <c r="AC603" s="193"/>
    </row>
    <row r="604" spans="1:29" ht="15.75" customHeight="1">
      <c r="A604" s="193"/>
      <c r="B604" s="193"/>
      <c r="C604" s="193"/>
      <c r="D604" s="193"/>
      <c r="E604" s="193"/>
      <c r="F604" s="193"/>
      <c r="G604" s="193"/>
      <c r="H604" s="193"/>
      <c r="I604" s="193"/>
      <c r="J604" s="193"/>
      <c r="K604" s="193"/>
      <c r="L604" s="193"/>
      <c r="M604" s="193"/>
      <c r="N604" s="193"/>
      <c r="O604" s="193"/>
      <c r="P604" s="193"/>
      <c r="Q604" s="193"/>
      <c r="R604" s="193"/>
      <c r="S604" s="193"/>
      <c r="T604" s="193"/>
      <c r="U604" s="193"/>
      <c r="V604" s="193"/>
      <c r="W604" s="193"/>
      <c r="X604" s="193"/>
      <c r="Y604" s="193"/>
      <c r="Z604" s="193"/>
      <c r="AA604" s="193"/>
      <c r="AB604" s="193"/>
      <c r="AC604" s="193"/>
    </row>
    <row r="605" spans="1:29" ht="15.75" customHeight="1">
      <c r="A605" s="193"/>
      <c r="B605" s="193"/>
      <c r="C605" s="193"/>
      <c r="D605" s="193"/>
      <c r="E605" s="193"/>
      <c r="F605" s="193"/>
      <c r="G605" s="193"/>
      <c r="H605" s="193"/>
      <c r="I605" s="193"/>
      <c r="J605" s="193"/>
      <c r="K605" s="193"/>
      <c r="L605" s="193"/>
      <c r="M605" s="193"/>
      <c r="N605" s="193"/>
      <c r="O605" s="193"/>
      <c r="P605" s="193"/>
      <c r="Q605" s="193"/>
      <c r="R605" s="193"/>
      <c r="S605" s="193"/>
      <c r="T605" s="193"/>
      <c r="U605" s="193"/>
      <c r="V605" s="193"/>
      <c r="W605" s="193"/>
      <c r="X605" s="193"/>
      <c r="Y605" s="193"/>
      <c r="Z605" s="193"/>
      <c r="AA605" s="193"/>
      <c r="AB605" s="193"/>
      <c r="AC605" s="193"/>
    </row>
    <row r="606" spans="1:29" ht="15.75" customHeight="1">
      <c r="A606" s="193"/>
      <c r="B606" s="193"/>
      <c r="C606" s="193"/>
      <c r="D606" s="193"/>
      <c r="E606" s="193"/>
      <c r="F606" s="193"/>
      <c r="G606" s="193"/>
      <c r="H606" s="193"/>
      <c r="I606" s="193"/>
      <c r="J606" s="193"/>
      <c r="K606" s="193"/>
      <c r="L606" s="193"/>
      <c r="M606" s="193"/>
      <c r="N606" s="193"/>
      <c r="O606" s="193"/>
      <c r="P606" s="193"/>
      <c r="Q606" s="193"/>
      <c r="R606" s="193"/>
      <c r="S606" s="193"/>
      <c r="T606" s="193"/>
      <c r="U606" s="193"/>
      <c r="V606" s="193"/>
      <c r="W606" s="193"/>
      <c r="X606" s="193"/>
      <c r="Y606" s="193"/>
      <c r="Z606" s="193"/>
      <c r="AA606" s="193"/>
      <c r="AB606" s="193"/>
      <c r="AC606" s="193"/>
    </row>
    <row r="607" spans="1:29" ht="15.75" customHeight="1">
      <c r="A607" s="193"/>
      <c r="B607" s="193"/>
      <c r="C607" s="193"/>
      <c r="D607" s="193"/>
      <c r="E607" s="193"/>
      <c r="F607" s="193"/>
      <c r="G607" s="193"/>
      <c r="H607" s="193"/>
      <c r="I607" s="193"/>
      <c r="J607" s="193"/>
      <c r="K607" s="193"/>
      <c r="L607" s="193"/>
      <c r="M607" s="193"/>
      <c r="N607" s="193"/>
      <c r="O607" s="193"/>
      <c r="P607" s="193"/>
      <c r="Q607" s="193"/>
      <c r="R607" s="193"/>
      <c r="S607" s="193"/>
      <c r="T607" s="193"/>
      <c r="U607" s="193"/>
      <c r="V607" s="193"/>
      <c r="W607" s="193"/>
      <c r="X607" s="193"/>
      <c r="Y607" s="193"/>
      <c r="Z607" s="193"/>
      <c r="AA607" s="193"/>
      <c r="AB607" s="193"/>
      <c r="AC607" s="193"/>
    </row>
    <row r="608" spans="1:29" ht="15.75" customHeight="1">
      <c r="A608" s="193"/>
      <c r="B608" s="193"/>
      <c r="C608" s="193"/>
      <c r="D608" s="193"/>
      <c r="E608" s="193"/>
      <c r="F608" s="193"/>
      <c r="G608" s="193"/>
      <c r="H608" s="193"/>
      <c r="I608" s="193"/>
      <c r="J608" s="193"/>
      <c r="K608" s="193"/>
      <c r="L608" s="193"/>
      <c r="M608" s="193"/>
      <c r="N608" s="193"/>
      <c r="O608" s="193"/>
      <c r="P608" s="193"/>
      <c r="Q608" s="193"/>
      <c r="R608" s="193"/>
      <c r="S608" s="193"/>
      <c r="T608" s="193"/>
      <c r="U608" s="193"/>
      <c r="V608" s="193"/>
      <c r="W608" s="193"/>
      <c r="X608" s="193"/>
      <c r="Y608" s="193"/>
      <c r="Z608" s="193"/>
      <c r="AA608" s="193"/>
      <c r="AB608" s="193"/>
      <c r="AC608" s="193"/>
    </row>
    <row r="609" spans="1:29" ht="15.75" customHeight="1">
      <c r="A609" s="193"/>
      <c r="B609" s="193"/>
      <c r="C609" s="193"/>
      <c r="D609" s="193"/>
      <c r="E609" s="193"/>
      <c r="F609" s="193"/>
      <c r="G609" s="193"/>
      <c r="H609" s="193"/>
      <c r="I609" s="193"/>
      <c r="J609" s="193"/>
      <c r="K609" s="193"/>
      <c r="L609" s="193"/>
      <c r="M609" s="193"/>
      <c r="N609" s="193"/>
      <c r="O609" s="193"/>
      <c r="P609" s="193"/>
      <c r="Q609" s="193"/>
      <c r="R609" s="193"/>
      <c r="S609" s="193"/>
      <c r="T609" s="193"/>
      <c r="U609" s="193"/>
      <c r="V609" s="193"/>
      <c r="W609" s="193"/>
      <c r="X609" s="193"/>
      <c r="Y609" s="193"/>
      <c r="Z609" s="193"/>
      <c r="AA609" s="193"/>
      <c r="AB609" s="193"/>
      <c r="AC609" s="193"/>
    </row>
    <row r="610" spans="1:29" ht="15.75" customHeight="1">
      <c r="A610" s="193"/>
      <c r="B610" s="193"/>
      <c r="C610" s="193"/>
      <c r="D610" s="193"/>
      <c r="E610" s="193"/>
      <c r="F610" s="193"/>
      <c r="G610" s="193"/>
      <c r="H610" s="193"/>
      <c r="I610" s="193"/>
      <c r="J610" s="193"/>
      <c r="K610" s="193"/>
      <c r="L610" s="193"/>
      <c r="M610" s="193"/>
      <c r="N610" s="193"/>
      <c r="O610" s="193"/>
      <c r="P610" s="193"/>
      <c r="Q610" s="193"/>
      <c r="R610" s="193"/>
      <c r="S610" s="193"/>
      <c r="T610" s="193"/>
      <c r="U610" s="193"/>
      <c r="V610" s="193"/>
      <c r="W610" s="193"/>
      <c r="X610" s="193"/>
      <c r="Y610" s="193"/>
      <c r="Z610" s="193"/>
      <c r="AA610" s="193"/>
      <c r="AB610" s="193"/>
      <c r="AC610" s="193"/>
    </row>
    <row r="611" spans="1:29" ht="15.75" customHeight="1">
      <c r="A611" s="193"/>
      <c r="B611" s="193"/>
      <c r="C611" s="193"/>
      <c r="D611" s="193"/>
      <c r="E611" s="193"/>
      <c r="F611" s="193"/>
      <c r="G611" s="193"/>
      <c r="H611" s="193"/>
      <c r="I611" s="193"/>
      <c r="J611" s="193"/>
      <c r="K611" s="193"/>
      <c r="L611" s="193"/>
      <c r="M611" s="193"/>
      <c r="N611" s="193"/>
      <c r="O611" s="193"/>
      <c r="P611" s="193"/>
      <c r="Q611" s="193"/>
      <c r="R611" s="193"/>
      <c r="S611" s="193"/>
      <c r="T611" s="193"/>
      <c r="U611" s="193"/>
      <c r="V611" s="193"/>
      <c r="W611" s="193"/>
      <c r="X611" s="193"/>
      <c r="Y611" s="193"/>
      <c r="Z611" s="193"/>
      <c r="AA611" s="193"/>
      <c r="AB611" s="193"/>
      <c r="AC611" s="193"/>
    </row>
    <row r="612" spans="1:29" ht="15.75" customHeight="1">
      <c r="A612" s="193"/>
      <c r="B612" s="193"/>
      <c r="C612" s="193"/>
      <c r="D612" s="193"/>
      <c r="E612" s="193"/>
      <c r="F612" s="193"/>
      <c r="G612" s="193"/>
      <c r="H612" s="193"/>
      <c r="I612" s="193"/>
      <c r="J612" s="193"/>
      <c r="K612" s="193"/>
      <c r="L612" s="193"/>
      <c r="M612" s="193"/>
      <c r="N612" s="193"/>
      <c r="O612" s="193"/>
      <c r="P612" s="193"/>
      <c r="Q612" s="193"/>
      <c r="R612" s="193"/>
      <c r="S612" s="193"/>
      <c r="T612" s="193"/>
      <c r="U612" s="193"/>
      <c r="V612" s="193"/>
      <c r="W612" s="193"/>
      <c r="X612" s="193"/>
      <c r="Y612" s="193"/>
      <c r="Z612" s="193"/>
      <c r="AA612" s="193"/>
      <c r="AB612" s="193"/>
      <c r="AC612" s="193"/>
    </row>
    <row r="613" spans="1:29" ht="15.75" customHeight="1">
      <c r="A613" s="193"/>
      <c r="B613" s="193"/>
      <c r="C613" s="193"/>
      <c r="D613" s="193"/>
      <c r="E613" s="193"/>
      <c r="F613" s="193"/>
      <c r="G613" s="193"/>
      <c r="H613" s="193"/>
      <c r="I613" s="193"/>
      <c r="J613" s="193"/>
      <c r="K613" s="193"/>
      <c r="L613" s="193"/>
      <c r="M613" s="193"/>
      <c r="N613" s="193"/>
      <c r="O613" s="193"/>
      <c r="P613" s="193"/>
      <c r="Q613" s="193"/>
      <c r="R613" s="193"/>
      <c r="S613" s="193"/>
      <c r="T613" s="193"/>
      <c r="U613" s="193"/>
      <c r="V613" s="193"/>
      <c r="W613" s="193"/>
      <c r="X613" s="193"/>
      <c r="Y613" s="193"/>
      <c r="Z613" s="193"/>
      <c r="AA613" s="193"/>
      <c r="AB613" s="193"/>
      <c r="AC613" s="193"/>
    </row>
    <row r="614" spans="1:29" ht="15.75" customHeight="1">
      <c r="A614" s="193"/>
      <c r="B614" s="193"/>
      <c r="C614" s="193"/>
      <c r="D614" s="193"/>
      <c r="E614" s="193"/>
      <c r="F614" s="193"/>
      <c r="G614" s="193"/>
      <c r="H614" s="193"/>
      <c r="I614" s="193"/>
      <c r="J614" s="193"/>
      <c r="K614" s="193"/>
      <c r="L614" s="193"/>
      <c r="M614" s="193"/>
      <c r="N614" s="193"/>
      <c r="O614" s="193"/>
      <c r="P614" s="193"/>
      <c r="Q614" s="193"/>
      <c r="R614" s="193"/>
      <c r="S614" s="193"/>
      <c r="T614" s="193"/>
      <c r="U614" s="193"/>
      <c r="V614" s="193"/>
      <c r="W614" s="193"/>
      <c r="X614" s="193"/>
      <c r="Y614" s="193"/>
      <c r="Z614" s="193"/>
      <c r="AA614" s="193"/>
      <c r="AB614" s="193"/>
      <c r="AC614" s="193"/>
    </row>
    <row r="615" spans="1:29" ht="15.75" customHeight="1">
      <c r="A615" s="193"/>
      <c r="B615" s="193"/>
      <c r="C615" s="193"/>
      <c r="D615" s="193"/>
      <c r="E615" s="193"/>
      <c r="F615" s="193"/>
      <c r="G615" s="193"/>
      <c r="H615" s="193"/>
      <c r="I615" s="193"/>
      <c r="J615" s="193"/>
      <c r="K615" s="193"/>
      <c r="L615" s="193"/>
      <c r="M615" s="193"/>
      <c r="N615" s="193"/>
      <c r="O615" s="193"/>
      <c r="P615" s="193"/>
      <c r="Q615" s="193"/>
      <c r="R615" s="193"/>
      <c r="S615" s="193"/>
      <c r="T615" s="193"/>
      <c r="U615" s="193"/>
      <c r="V615" s="193"/>
      <c r="W615" s="193"/>
      <c r="X615" s="193"/>
      <c r="Y615" s="193"/>
      <c r="Z615" s="193"/>
      <c r="AA615" s="193"/>
      <c r="AB615" s="193"/>
      <c r="AC615" s="193"/>
    </row>
    <row r="616" spans="1:29" ht="15.75" customHeight="1">
      <c r="A616" s="193"/>
      <c r="B616" s="193"/>
      <c r="C616" s="193"/>
      <c r="D616" s="193"/>
      <c r="E616" s="193"/>
      <c r="F616" s="193"/>
      <c r="G616" s="193"/>
      <c r="H616" s="193"/>
      <c r="I616" s="193"/>
      <c r="J616" s="193"/>
      <c r="K616" s="193"/>
      <c r="L616" s="193"/>
      <c r="M616" s="193"/>
      <c r="N616" s="193"/>
      <c r="O616" s="193"/>
      <c r="P616" s="193"/>
      <c r="Q616" s="193"/>
      <c r="R616" s="193"/>
      <c r="S616" s="193"/>
      <c r="T616" s="193"/>
      <c r="U616" s="193"/>
      <c r="V616" s="193"/>
      <c r="W616" s="193"/>
      <c r="X616" s="193"/>
      <c r="Y616" s="193"/>
      <c r="Z616" s="193"/>
      <c r="AA616" s="193"/>
      <c r="AB616" s="193"/>
      <c r="AC616" s="193"/>
    </row>
    <row r="617" spans="1:29" ht="15.75" customHeight="1">
      <c r="A617" s="193"/>
      <c r="B617" s="193"/>
      <c r="C617" s="193"/>
      <c r="D617" s="193"/>
      <c r="E617" s="193"/>
      <c r="F617" s="193"/>
      <c r="G617" s="193"/>
      <c r="H617" s="193"/>
      <c r="I617" s="193"/>
      <c r="J617" s="193"/>
      <c r="K617" s="193"/>
      <c r="L617" s="193"/>
      <c r="M617" s="193"/>
      <c r="N617" s="193"/>
      <c r="O617" s="193"/>
      <c r="P617" s="193"/>
      <c r="Q617" s="193"/>
      <c r="R617" s="193"/>
      <c r="S617" s="193"/>
      <c r="T617" s="193"/>
      <c r="U617" s="193"/>
      <c r="V617" s="193"/>
      <c r="W617" s="193"/>
      <c r="X617" s="193"/>
      <c r="Y617" s="193"/>
      <c r="Z617" s="193"/>
      <c r="AA617" s="193"/>
      <c r="AB617" s="193"/>
      <c r="AC617" s="193"/>
    </row>
    <row r="618" spans="1:29" ht="15.75" customHeight="1">
      <c r="A618" s="193"/>
      <c r="B618" s="193"/>
      <c r="C618" s="193"/>
      <c r="D618" s="193"/>
      <c r="E618" s="193"/>
      <c r="F618" s="193"/>
      <c r="G618" s="193"/>
      <c r="H618" s="193"/>
      <c r="I618" s="193"/>
      <c r="J618" s="193"/>
      <c r="K618" s="193"/>
      <c r="L618" s="193"/>
      <c r="M618" s="193"/>
      <c r="N618" s="193"/>
      <c r="O618" s="193"/>
      <c r="P618" s="193"/>
      <c r="Q618" s="193"/>
      <c r="R618" s="193"/>
      <c r="S618" s="193"/>
      <c r="T618" s="193"/>
      <c r="U618" s="193"/>
      <c r="V618" s="193"/>
      <c r="W618" s="193"/>
      <c r="X618" s="193"/>
      <c r="Y618" s="193"/>
      <c r="Z618" s="193"/>
      <c r="AA618" s="193"/>
      <c r="AB618" s="193"/>
      <c r="AC618" s="193"/>
    </row>
    <row r="619" spans="1:29" ht="15.75" customHeight="1">
      <c r="A619" s="193"/>
      <c r="B619" s="193"/>
      <c r="C619" s="193"/>
      <c r="D619" s="193"/>
      <c r="E619" s="193"/>
      <c r="F619" s="193"/>
      <c r="G619" s="193"/>
      <c r="H619" s="193"/>
      <c r="I619" s="193"/>
      <c r="J619" s="193"/>
      <c r="K619" s="193"/>
      <c r="L619" s="193"/>
      <c r="M619" s="193"/>
      <c r="N619" s="193"/>
      <c r="O619" s="193"/>
      <c r="P619" s="193"/>
      <c r="Q619" s="193"/>
      <c r="R619" s="193"/>
      <c r="S619" s="193"/>
      <c r="T619" s="193"/>
      <c r="U619" s="193"/>
      <c r="V619" s="193"/>
      <c r="W619" s="193"/>
      <c r="X619" s="193"/>
      <c r="Y619" s="193"/>
      <c r="Z619" s="193"/>
      <c r="AA619" s="193"/>
      <c r="AB619" s="193"/>
      <c r="AC619" s="193"/>
    </row>
    <row r="620" spans="1:29" ht="15.75" customHeight="1">
      <c r="A620" s="193"/>
      <c r="B620" s="193"/>
      <c r="C620" s="193"/>
      <c r="D620" s="193"/>
      <c r="E620" s="193"/>
      <c r="F620" s="193"/>
      <c r="G620" s="193"/>
      <c r="H620" s="193"/>
      <c r="I620" s="193"/>
      <c r="J620" s="193"/>
      <c r="K620" s="193"/>
      <c r="L620" s="193"/>
      <c r="M620" s="193"/>
      <c r="N620" s="193"/>
      <c r="O620" s="193"/>
      <c r="P620" s="193"/>
      <c r="Q620" s="193"/>
      <c r="R620" s="193"/>
      <c r="S620" s="193"/>
      <c r="T620" s="193"/>
      <c r="U620" s="193"/>
      <c r="V620" s="193"/>
      <c r="W620" s="193"/>
      <c r="X620" s="193"/>
      <c r="Y620" s="193"/>
      <c r="Z620" s="193"/>
      <c r="AA620" s="193"/>
      <c r="AB620" s="193"/>
      <c r="AC620" s="193"/>
    </row>
    <row r="621" spans="1:29" ht="15.75" customHeight="1">
      <c r="A621" s="193"/>
      <c r="B621" s="193"/>
      <c r="C621" s="193"/>
      <c r="D621" s="193"/>
      <c r="E621" s="193"/>
      <c r="F621" s="193"/>
      <c r="G621" s="193"/>
      <c r="H621" s="193"/>
      <c r="I621" s="193"/>
      <c r="J621" s="193"/>
      <c r="K621" s="193"/>
      <c r="L621" s="193"/>
      <c r="M621" s="193"/>
      <c r="N621" s="193"/>
      <c r="O621" s="193"/>
      <c r="P621" s="193"/>
      <c r="Q621" s="193"/>
      <c r="R621" s="193"/>
      <c r="S621" s="193"/>
      <c r="T621" s="193"/>
      <c r="U621" s="193"/>
      <c r="V621" s="193"/>
      <c r="W621" s="193"/>
      <c r="X621" s="193"/>
      <c r="Y621" s="193"/>
      <c r="Z621" s="193"/>
      <c r="AA621" s="193"/>
      <c r="AB621" s="193"/>
      <c r="AC621" s="193"/>
    </row>
    <row r="622" spans="1:29" ht="15.75" customHeight="1">
      <c r="A622" s="193"/>
      <c r="B622" s="193"/>
      <c r="C622" s="193"/>
      <c r="D622" s="193"/>
      <c r="E622" s="193"/>
      <c r="F622" s="193"/>
      <c r="G622" s="193"/>
      <c r="H622" s="193"/>
      <c r="I622" s="193"/>
      <c r="J622" s="193"/>
      <c r="K622" s="193"/>
      <c r="L622" s="193"/>
      <c r="M622" s="193"/>
      <c r="N622" s="193"/>
      <c r="O622" s="193"/>
      <c r="P622" s="193"/>
      <c r="Q622" s="193"/>
      <c r="R622" s="193"/>
      <c r="S622" s="193"/>
      <c r="T622" s="193"/>
      <c r="U622" s="193"/>
      <c r="V622" s="193"/>
      <c r="W622" s="193"/>
      <c r="X622" s="193"/>
      <c r="Y622" s="193"/>
      <c r="Z622" s="193"/>
      <c r="AA622" s="193"/>
      <c r="AB622" s="193"/>
      <c r="AC622" s="193"/>
    </row>
    <row r="623" spans="1:29" ht="15.75" customHeight="1">
      <c r="A623" s="193"/>
      <c r="B623" s="193"/>
      <c r="C623" s="193"/>
      <c r="D623" s="193"/>
      <c r="E623" s="193"/>
      <c r="F623" s="193"/>
      <c r="G623" s="193"/>
      <c r="H623" s="193"/>
      <c r="I623" s="193"/>
      <c r="J623" s="193"/>
      <c r="K623" s="193"/>
      <c r="L623" s="193"/>
      <c r="M623" s="193"/>
      <c r="N623" s="193"/>
      <c r="O623" s="193"/>
      <c r="P623" s="193"/>
      <c r="Q623" s="193"/>
      <c r="R623" s="193"/>
      <c r="S623" s="193"/>
      <c r="T623" s="193"/>
      <c r="U623" s="193"/>
      <c r="V623" s="193"/>
      <c r="W623" s="193"/>
      <c r="X623" s="193"/>
      <c r="Y623" s="193"/>
      <c r="Z623" s="193"/>
      <c r="AA623" s="193"/>
      <c r="AB623" s="193"/>
      <c r="AC623" s="193"/>
    </row>
    <row r="624" spans="1:29" ht="15.75" customHeight="1">
      <c r="A624" s="193"/>
      <c r="B624" s="193"/>
      <c r="C624" s="193"/>
      <c r="D624" s="193"/>
      <c r="E624" s="193"/>
      <c r="F624" s="193"/>
      <c r="G624" s="193"/>
      <c r="H624" s="193"/>
      <c r="I624" s="193"/>
      <c r="J624" s="193"/>
      <c r="K624" s="193"/>
      <c r="L624" s="193"/>
      <c r="M624" s="193"/>
      <c r="N624" s="193"/>
      <c r="O624" s="193"/>
      <c r="P624" s="193"/>
      <c r="Q624" s="193"/>
      <c r="R624" s="193"/>
      <c r="S624" s="193"/>
      <c r="T624" s="193"/>
      <c r="U624" s="193"/>
      <c r="V624" s="193"/>
      <c r="W624" s="193"/>
      <c r="X624" s="193"/>
      <c r="Y624" s="193"/>
      <c r="Z624" s="193"/>
      <c r="AA624" s="193"/>
      <c r="AB624" s="193"/>
      <c r="AC624" s="193"/>
    </row>
    <row r="625" spans="1:29" ht="15.75" customHeight="1">
      <c r="A625" s="193"/>
      <c r="B625" s="193"/>
      <c r="C625" s="193"/>
      <c r="D625" s="193"/>
      <c r="E625" s="193"/>
      <c r="F625" s="193"/>
      <c r="G625" s="193"/>
      <c r="H625" s="193"/>
      <c r="I625" s="193"/>
      <c r="J625" s="193"/>
      <c r="K625" s="193"/>
      <c r="L625" s="193"/>
      <c r="M625" s="193"/>
      <c r="N625" s="193"/>
      <c r="O625" s="193"/>
      <c r="P625" s="193"/>
      <c r="Q625" s="193"/>
      <c r="R625" s="193"/>
      <c r="S625" s="193"/>
      <c r="T625" s="193"/>
      <c r="U625" s="193"/>
      <c r="V625" s="193"/>
      <c r="W625" s="193"/>
      <c r="X625" s="193"/>
      <c r="Y625" s="193"/>
      <c r="Z625" s="193"/>
      <c r="AA625" s="193"/>
      <c r="AB625" s="193"/>
      <c r="AC625" s="193"/>
    </row>
    <row r="626" spans="1:29" ht="15.75" customHeight="1">
      <c r="A626" s="193"/>
      <c r="B626" s="193"/>
      <c r="C626" s="193"/>
      <c r="D626" s="193"/>
      <c r="E626" s="193"/>
      <c r="F626" s="193"/>
      <c r="G626" s="193"/>
      <c r="H626" s="193"/>
      <c r="I626" s="193"/>
      <c r="J626" s="193"/>
      <c r="K626" s="193"/>
      <c r="L626" s="193"/>
      <c r="M626" s="193"/>
      <c r="N626" s="193"/>
      <c r="O626" s="193"/>
      <c r="P626" s="193"/>
      <c r="Q626" s="193"/>
      <c r="R626" s="193"/>
      <c r="S626" s="193"/>
      <c r="T626" s="193"/>
      <c r="U626" s="193"/>
      <c r="V626" s="193"/>
      <c r="W626" s="193"/>
      <c r="X626" s="193"/>
      <c r="Y626" s="193"/>
      <c r="Z626" s="193"/>
      <c r="AA626" s="193"/>
      <c r="AB626" s="193"/>
      <c r="AC626" s="193"/>
    </row>
    <row r="627" spans="1:29" ht="15.75" customHeight="1">
      <c r="A627" s="193"/>
      <c r="B627" s="193"/>
      <c r="C627" s="193"/>
      <c r="D627" s="193"/>
      <c r="E627" s="193"/>
      <c r="F627" s="193"/>
      <c r="G627" s="193"/>
      <c r="H627" s="193"/>
      <c r="I627" s="193"/>
      <c r="J627" s="193"/>
      <c r="K627" s="193"/>
      <c r="L627" s="193"/>
      <c r="M627" s="193"/>
      <c r="N627" s="193"/>
      <c r="O627" s="193"/>
      <c r="P627" s="193"/>
      <c r="Q627" s="193"/>
      <c r="R627" s="193"/>
      <c r="S627" s="193"/>
      <c r="T627" s="193"/>
      <c r="U627" s="193"/>
      <c r="V627" s="193"/>
      <c r="W627" s="193"/>
      <c r="X627" s="193"/>
      <c r="Y627" s="193"/>
      <c r="Z627" s="193"/>
      <c r="AA627" s="193"/>
      <c r="AB627" s="193"/>
      <c r="AC627" s="193"/>
    </row>
    <row r="628" spans="1:29" ht="15.75" customHeight="1">
      <c r="A628" s="193"/>
      <c r="B628" s="193"/>
      <c r="C628" s="193"/>
      <c r="D628" s="193"/>
      <c r="E628" s="193"/>
      <c r="F628" s="193"/>
      <c r="G628" s="193"/>
      <c r="H628" s="193"/>
      <c r="I628" s="193"/>
      <c r="J628" s="193"/>
      <c r="K628" s="193"/>
      <c r="L628" s="193"/>
      <c r="M628" s="193"/>
      <c r="N628" s="193"/>
      <c r="O628" s="193"/>
      <c r="P628" s="193"/>
      <c r="Q628" s="193"/>
      <c r="R628" s="193"/>
      <c r="S628" s="193"/>
      <c r="T628" s="193"/>
      <c r="U628" s="193"/>
      <c r="V628" s="193"/>
      <c r="W628" s="193"/>
      <c r="X628" s="193"/>
      <c r="Y628" s="193"/>
      <c r="Z628" s="193"/>
      <c r="AA628" s="193"/>
      <c r="AB628" s="193"/>
      <c r="AC628" s="193"/>
    </row>
    <row r="629" spans="1:29" ht="15.75" customHeight="1">
      <c r="A629" s="193"/>
      <c r="B629" s="193"/>
      <c r="C629" s="193"/>
      <c r="D629" s="193"/>
      <c r="E629" s="193"/>
      <c r="F629" s="193"/>
      <c r="G629" s="193"/>
      <c r="H629" s="193"/>
      <c r="I629" s="193"/>
      <c r="J629" s="193"/>
      <c r="K629" s="193"/>
      <c r="L629" s="193"/>
      <c r="M629" s="193"/>
      <c r="N629" s="193"/>
      <c r="O629" s="193"/>
      <c r="P629" s="193"/>
      <c r="Q629" s="193"/>
      <c r="R629" s="193"/>
      <c r="S629" s="193"/>
      <c r="T629" s="193"/>
      <c r="U629" s="193"/>
      <c r="V629" s="193"/>
      <c r="W629" s="193"/>
      <c r="X629" s="193"/>
      <c r="Y629" s="193"/>
      <c r="Z629" s="193"/>
      <c r="AA629" s="193"/>
      <c r="AB629" s="193"/>
      <c r="AC629" s="193"/>
    </row>
    <row r="630" spans="1:29" ht="15.75" customHeight="1">
      <c r="A630" s="193"/>
      <c r="B630" s="193"/>
      <c r="C630" s="193"/>
      <c r="D630" s="193"/>
      <c r="E630" s="193"/>
      <c r="F630" s="193"/>
      <c r="G630" s="193"/>
      <c r="H630" s="193"/>
      <c r="I630" s="193"/>
      <c r="J630" s="193"/>
      <c r="K630" s="193"/>
      <c r="L630" s="193"/>
      <c r="M630" s="193"/>
      <c r="N630" s="193"/>
      <c r="O630" s="193"/>
      <c r="P630" s="193"/>
      <c r="Q630" s="193"/>
      <c r="R630" s="193"/>
      <c r="S630" s="193"/>
      <c r="T630" s="193"/>
      <c r="U630" s="193"/>
      <c r="V630" s="193"/>
      <c r="W630" s="193"/>
      <c r="X630" s="193"/>
      <c r="Y630" s="193"/>
      <c r="Z630" s="193"/>
      <c r="AA630" s="193"/>
      <c r="AB630" s="193"/>
      <c r="AC630" s="193"/>
    </row>
    <row r="631" spans="1:29" ht="15.75" customHeight="1">
      <c r="A631" s="193"/>
      <c r="B631" s="193"/>
      <c r="C631" s="193"/>
      <c r="D631" s="193"/>
      <c r="E631" s="193"/>
      <c r="F631" s="193"/>
      <c r="G631" s="193"/>
      <c r="H631" s="193"/>
      <c r="I631" s="193"/>
      <c r="J631" s="193"/>
      <c r="K631" s="193"/>
      <c r="L631" s="193"/>
      <c r="M631" s="193"/>
      <c r="N631" s="193"/>
      <c r="O631" s="193"/>
      <c r="P631" s="193"/>
      <c r="Q631" s="193"/>
      <c r="R631" s="193"/>
      <c r="S631" s="193"/>
      <c r="T631" s="193"/>
      <c r="U631" s="193"/>
      <c r="V631" s="193"/>
      <c r="W631" s="193"/>
      <c r="X631" s="193"/>
      <c r="Y631" s="193"/>
      <c r="Z631" s="193"/>
      <c r="AA631" s="193"/>
      <c r="AB631" s="193"/>
      <c r="AC631" s="193"/>
    </row>
    <row r="632" spans="1:29" ht="15.75" customHeight="1">
      <c r="A632" s="193"/>
      <c r="B632" s="193"/>
      <c r="C632" s="193"/>
      <c r="D632" s="193"/>
      <c r="E632" s="193"/>
      <c r="F632" s="193"/>
      <c r="G632" s="193"/>
      <c r="H632" s="193"/>
      <c r="I632" s="193"/>
      <c r="J632" s="193"/>
      <c r="K632" s="193"/>
      <c r="L632" s="193"/>
      <c r="M632" s="193"/>
      <c r="N632" s="193"/>
      <c r="O632" s="193"/>
      <c r="P632" s="193"/>
      <c r="Q632" s="193"/>
      <c r="R632" s="193"/>
      <c r="S632" s="193"/>
      <c r="T632" s="193"/>
      <c r="U632" s="193"/>
      <c r="V632" s="193"/>
      <c r="W632" s="193"/>
      <c r="X632" s="193"/>
      <c r="Y632" s="193"/>
      <c r="Z632" s="193"/>
      <c r="AA632" s="193"/>
      <c r="AB632" s="193"/>
      <c r="AC632" s="193"/>
    </row>
    <row r="633" spans="1:29" ht="15.75" customHeight="1">
      <c r="A633" s="193"/>
      <c r="B633" s="193"/>
      <c r="C633" s="193"/>
      <c r="D633" s="193"/>
      <c r="E633" s="193"/>
      <c r="F633" s="193"/>
      <c r="G633" s="193"/>
      <c r="H633" s="193"/>
      <c r="I633" s="193"/>
      <c r="J633" s="193"/>
      <c r="K633" s="193"/>
      <c r="L633" s="193"/>
      <c r="M633" s="193"/>
      <c r="N633" s="193"/>
      <c r="O633" s="193"/>
      <c r="P633" s="193"/>
      <c r="Q633" s="193"/>
      <c r="R633" s="193"/>
      <c r="S633" s="193"/>
      <c r="T633" s="193"/>
      <c r="U633" s="193"/>
      <c r="V633" s="193"/>
      <c r="W633" s="193"/>
      <c r="X633" s="193"/>
      <c r="Y633" s="193"/>
      <c r="Z633" s="193"/>
      <c r="AA633" s="193"/>
      <c r="AB633" s="193"/>
      <c r="AC633" s="193"/>
    </row>
    <row r="634" spans="1:29" ht="15.75" customHeight="1">
      <c r="A634" s="193"/>
      <c r="B634" s="193"/>
      <c r="C634" s="193"/>
      <c r="D634" s="193"/>
      <c r="E634" s="193"/>
      <c r="F634" s="193"/>
      <c r="G634" s="193"/>
      <c r="H634" s="193"/>
      <c r="I634" s="193"/>
      <c r="J634" s="193"/>
      <c r="K634" s="193"/>
      <c r="L634" s="193"/>
      <c r="M634" s="193"/>
      <c r="N634" s="193"/>
      <c r="O634" s="193"/>
      <c r="P634" s="193"/>
      <c r="Q634" s="193"/>
      <c r="R634" s="193"/>
      <c r="S634" s="193"/>
      <c r="T634" s="193"/>
      <c r="U634" s="193"/>
      <c r="V634" s="193"/>
      <c r="W634" s="193"/>
      <c r="X634" s="193"/>
      <c r="Y634" s="193"/>
      <c r="Z634" s="193"/>
      <c r="AA634" s="193"/>
      <c r="AB634" s="193"/>
      <c r="AC634" s="193"/>
    </row>
    <row r="635" spans="1:29" ht="15.75" customHeight="1">
      <c r="A635" s="193"/>
      <c r="B635" s="193"/>
      <c r="C635" s="193"/>
      <c r="D635" s="193"/>
      <c r="E635" s="193"/>
      <c r="F635" s="193"/>
      <c r="G635" s="193"/>
      <c r="H635" s="193"/>
      <c r="I635" s="193"/>
      <c r="J635" s="193"/>
      <c r="K635" s="193"/>
      <c r="L635" s="193"/>
      <c r="M635" s="193"/>
      <c r="N635" s="193"/>
      <c r="O635" s="193"/>
      <c r="P635" s="193"/>
      <c r="Q635" s="193"/>
      <c r="R635" s="193"/>
      <c r="S635" s="193"/>
      <c r="T635" s="193"/>
      <c r="U635" s="193"/>
      <c r="V635" s="193"/>
      <c r="W635" s="193"/>
      <c r="X635" s="193"/>
      <c r="Y635" s="193"/>
      <c r="Z635" s="193"/>
      <c r="AA635" s="193"/>
      <c r="AB635" s="193"/>
      <c r="AC635" s="193"/>
    </row>
    <row r="636" spans="1:29" ht="15.75" customHeight="1">
      <c r="A636" s="193"/>
      <c r="B636" s="193"/>
      <c r="C636" s="193"/>
      <c r="D636" s="193"/>
      <c r="E636" s="193"/>
      <c r="F636" s="193"/>
      <c r="G636" s="193"/>
      <c r="H636" s="193"/>
      <c r="I636" s="193"/>
      <c r="J636" s="193"/>
      <c r="K636" s="193"/>
      <c r="L636" s="193"/>
      <c r="M636" s="193"/>
      <c r="N636" s="193"/>
      <c r="O636" s="193"/>
      <c r="P636" s="193"/>
      <c r="Q636" s="193"/>
      <c r="R636" s="193"/>
      <c r="S636" s="193"/>
      <c r="T636" s="193"/>
      <c r="U636" s="193"/>
      <c r="V636" s="193"/>
      <c r="W636" s="193"/>
      <c r="X636" s="193"/>
      <c r="Y636" s="193"/>
      <c r="Z636" s="193"/>
      <c r="AA636" s="193"/>
      <c r="AB636" s="193"/>
      <c r="AC636" s="193"/>
    </row>
    <row r="637" spans="1:29" ht="15.75" customHeight="1">
      <c r="A637" s="193"/>
      <c r="B637" s="193"/>
      <c r="C637" s="193"/>
      <c r="D637" s="193"/>
      <c r="E637" s="193"/>
      <c r="F637" s="193"/>
      <c r="G637" s="193"/>
      <c r="H637" s="193"/>
      <c r="I637" s="193"/>
      <c r="J637" s="193"/>
      <c r="K637" s="193"/>
      <c r="L637" s="193"/>
      <c r="M637" s="193"/>
      <c r="N637" s="193"/>
      <c r="O637" s="193"/>
      <c r="P637" s="193"/>
      <c r="Q637" s="193"/>
      <c r="R637" s="193"/>
      <c r="S637" s="193"/>
      <c r="T637" s="193"/>
      <c r="U637" s="193"/>
      <c r="V637" s="193"/>
      <c r="W637" s="193"/>
      <c r="X637" s="193"/>
      <c r="Y637" s="193"/>
      <c r="Z637" s="193"/>
      <c r="AA637" s="193"/>
      <c r="AB637" s="193"/>
      <c r="AC637" s="193"/>
    </row>
    <row r="638" spans="1:29" ht="15.75" customHeight="1">
      <c r="A638" s="193"/>
      <c r="B638" s="193"/>
      <c r="C638" s="193"/>
      <c r="D638" s="193"/>
      <c r="E638" s="193"/>
      <c r="F638" s="193"/>
      <c r="G638" s="193"/>
      <c r="H638" s="193"/>
      <c r="I638" s="193"/>
      <c r="J638" s="193"/>
      <c r="K638" s="193"/>
      <c r="L638" s="193"/>
      <c r="M638" s="193"/>
      <c r="N638" s="193"/>
      <c r="O638" s="193"/>
      <c r="P638" s="193"/>
      <c r="Q638" s="193"/>
      <c r="R638" s="193"/>
      <c r="S638" s="193"/>
      <c r="T638" s="193"/>
      <c r="U638" s="193"/>
      <c r="V638" s="193"/>
      <c r="W638" s="193"/>
      <c r="X638" s="193"/>
      <c r="Y638" s="193"/>
      <c r="Z638" s="193"/>
      <c r="AA638" s="193"/>
      <c r="AB638" s="193"/>
      <c r="AC638" s="193"/>
    </row>
    <row r="639" spans="1:29" ht="15.75" customHeight="1">
      <c r="A639" s="193"/>
      <c r="B639" s="193"/>
      <c r="C639" s="193"/>
      <c r="D639" s="193"/>
      <c r="E639" s="193"/>
      <c r="F639" s="193"/>
      <c r="G639" s="193"/>
      <c r="H639" s="193"/>
      <c r="I639" s="193"/>
      <c r="J639" s="193"/>
      <c r="K639" s="193"/>
      <c r="L639" s="193"/>
      <c r="M639" s="193"/>
      <c r="N639" s="193"/>
      <c r="O639" s="193"/>
      <c r="P639" s="193"/>
      <c r="Q639" s="193"/>
      <c r="R639" s="193"/>
      <c r="S639" s="193"/>
      <c r="T639" s="193"/>
      <c r="U639" s="193"/>
      <c r="V639" s="193"/>
      <c r="W639" s="193"/>
      <c r="X639" s="193"/>
      <c r="Y639" s="193"/>
      <c r="Z639" s="193"/>
      <c r="AA639" s="193"/>
      <c r="AB639" s="193"/>
      <c r="AC639" s="193"/>
    </row>
    <row r="640" spans="1:29" ht="15.75" customHeight="1">
      <c r="A640" s="193"/>
      <c r="B640" s="193"/>
      <c r="C640" s="193"/>
      <c r="D640" s="193"/>
      <c r="E640" s="193"/>
      <c r="F640" s="193"/>
      <c r="G640" s="193"/>
      <c r="H640" s="193"/>
      <c r="I640" s="193"/>
      <c r="J640" s="193"/>
      <c r="K640" s="193"/>
      <c r="L640" s="193"/>
      <c r="M640" s="193"/>
      <c r="N640" s="193"/>
      <c r="O640" s="193"/>
      <c r="P640" s="193"/>
      <c r="Q640" s="193"/>
      <c r="R640" s="193"/>
      <c r="S640" s="193"/>
      <c r="T640" s="193"/>
      <c r="U640" s="193"/>
      <c r="V640" s="193"/>
      <c r="W640" s="193"/>
      <c r="X640" s="193"/>
      <c r="Y640" s="193"/>
      <c r="Z640" s="193"/>
      <c r="AA640" s="193"/>
      <c r="AB640" s="193"/>
      <c r="AC640" s="193"/>
    </row>
    <row r="641" spans="1:29" ht="15.75" customHeight="1">
      <c r="A641" s="193"/>
      <c r="B641" s="193"/>
      <c r="C641" s="193"/>
      <c r="D641" s="193"/>
      <c r="E641" s="193"/>
      <c r="F641" s="193"/>
      <c r="G641" s="193"/>
      <c r="H641" s="193"/>
      <c r="I641" s="193"/>
      <c r="J641" s="193"/>
      <c r="K641" s="193"/>
      <c r="L641" s="193"/>
      <c r="M641" s="193"/>
      <c r="N641" s="193"/>
      <c r="O641" s="193"/>
      <c r="P641" s="193"/>
      <c r="Q641" s="193"/>
      <c r="R641" s="193"/>
      <c r="S641" s="193"/>
      <c r="T641" s="193"/>
      <c r="U641" s="193"/>
      <c r="V641" s="193"/>
      <c r="W641" s="193"/>
      <c r="X641" s="193"/>
      <c r="Y641" s="193"/>
      <c r="Z641" s="193"/>
      <c r="AA641" s="193"/>
      <c r="AB641" s="193"/>
      <c r="AC641" s="193"/>
    </row>
    <row r="642" spans="1:29" ht="15.75" customHeight="1">
      <c r="A642" s="193"/>
      <c r="B642" s="193"/>
      <c r="C642" s="193"/>
      <c r="D642" s="193"/>
      <c r="E642" s="193"/>
      <c r="F642" s="193"/>
      <c r="G642" s="193"/>
      <c r="H642" s="193"/>
      <c r="I642" s="193"/>
      <c r="J642" s="193"/>
      <c r="K642" s="193"/>
      <c r="L642" s="193"/>
      <c r="M642" s="193"/>
      <c r="N642" s="193"/>
      <c r="O642" s="193"/>
      <c r="P642" s="193"/>
      <c r="Q642" s="193"/>
      <c r="R642" s="193"/>
      <c r="S642" s="193"/>
      <c r="T642" s="193"/>
      <c r="U642" s="193"/>
      <c r="V642" s="193"/>
      <c r="W642" s="193"/>
      <c r="X642" s="193"/>
      <c r="Y642" s="193"/>
      <c r="Z642" s="193"/>
      <c r="AA642" s="193"/>
      <c r="AB642" s="193"/>
      <c r="AC642" s="193"/>
    </row>
    <row r="643" spans="1:29" ht="15.75" customHeight="1">
      <c r="A643" s="193"/>
      <c r="B643" s="193"/>
      <c r="C643" s="193"/>
      <c r="D643" s="193"/>
      <c r="E643" s="193"/>
      <c r="F643" s="193"/>
      <c r="G643" s="193"/>
      <c r="H643" s="193"/>
      <c r="I643" s="193"/>
      <c r="J643" s="193"/>
      <c r="K643" s="193"/>
      <c r="L643" s="193"/>
      <c r="M643" s="193"/>
      <c r="N643" s="193"/>
      <c r="O643" s="193"/>
      <c r="P643" s="193"/>
      <c r="Q643" s="193"/>
      <c r="R643" s="193"/>
      <c r="S643" s="193"/>
      <c r="T643" s="193"/>
      <c r="U643" s="193"/>
      <c r="V643" s="193"/>
      <c r="W643" s="193"/>
      <c r="X643" s="193"/>
      <c r="Y643" s="193"/>
      <c r="Z643" s="193"/>
      <c r="AA643" s="193"/>
      <c r="AB643" s="193"/>
      <c r="AC643" s="193"/>
    </row>
    <row r="644" spans="1:29" ht="15.75" customHeight="1">
      <c r="A644" s="193"/>
      <c r="B644" s="193"/>
      <c r="C644" s="193"/>
      <c r="D644" s="193"/>
      <c r="E644" s="193"/>
      <c r="F644" s="193"/>
      <c r="G644" s="193"/>
      <c r="H644" s="193"/>
      <c r="I644" s="193"/>
      <c r="J644" s="193"/>
      <c r="K644" s="193"/>
      <c r="L644" s="193"/>
      <c r="M644" s="193"/>
      <c r="N644" s="193"/>
      <c r="O644" s="193"/>
      <c r="P644" s="193"/>
      <c r="Q644" s="193"/>
      <c r="R644" s="193"/>
      <c r="S644" s="193"/>
      <c r="T644" s="193"/>
      <c r="U644" s="193"/>
      <c r="V644" s="193"/>
      <c r="W644" s="193"/>
      <c r="X644" s="193"/>
      <c r="Y644" s="193"/>
      <c r="Z644" s="193"/>
      <c r="AA644" s="193"/>
      <c r="AB644" s="193"/>
      <c r="AC644" s="193"/>
    </row>
    <row r="645" spans="1:29" ht="15.75" customHeight="1">
      <c r="A645" s="193"/>
      <c r="B645" s="193"/>
      <c r="C645" s="193"/>
      <c r="D645" s="193"/>
      <c r="E645" s="193"/>
      <c r="F645" s="193"/>
      <c r="G645" s="193"/>
      <c r="H645" s="193"/>
      <c r="I645" s="193"/>
      <c r="J645" s="193"/>
      <c r="K645" s="193"/>
      <c r="L645" s="193"/>
      <c r="M645" s="193"/>
      <c r="N645" s="193"/>
      <c r="O645" s="193"/>
      <c r="P645" s="193"/>
      <c r="Q645" s="193"/>
      <c r="R645" s="193"/>
      <c r="S645" s="193"/>
      <c r="T645" s="193"/>
      <c r="U645" s="193"/>
      <c r="V645" s="193"/>
      <c r="W645" s="193"/>
      <c r="X645" s="193"/>
      <c r="Y645" s="193"/>
      <c r="Z645" s="193"/>
      <c r="AA645" s="193"/>
      <c r="AB645" s="193"/>
      <c r="AC645" s="193"/>
    </row>
    <row r="646" spans="1:29" ht="15.75" customHeight="1">
      <c r="A646" s="193"/>
      <c r="B646" s="193"/>
      <c r="C646" s="193"/>
      <c r="D646" s="193"/>
      <c r="E646" s="193"/>
      <c r="F646" s="193"/>
      <c r="G646" s="193"/>
      <c r="H646" s="193"/>
      <c r="I646" s="193"/>
      <c r="J646" s="193"/>
      <c r="K646" s="193"/>
      <c r="L646" s="193"/>
      <c r="M646" s="193"/>
      <c r="N646" s="193"/>
      <c r="O646" s="193"/>
      <c r="P646" s="193"/>
      <c r="Q646" s="193"/>
      <c r="R646" s="193"/>
      <c r="S646" s="193"/>
      <c r="T646" s="193"/>
      <c r="U646" s="193"/>
      <c r="V646" s="193"/>
      <c r="W646" s="193"/>
      <c r="X646" s="193"/>
      <c r="Y646" s="193"/>
      <c r="Z646" s="193"/>
      <c r="AA646" s="193"/>
      <c r="AB646" s="193"/>
      <c r="AC646" s="193"/>
    </row>
    <row r="647" spans="1:29" ht="15.75" customHeight="1">
      <c r="A647" s="193"/>
      <c r="B647" s="193"/>
      <c r="C647" s="193"/>
      <c r="D647" s="193"/>
      <c r="E647" s="193"/>
      <c r="F647" s="193"/>
      <c r="G647" s="193"/>
      <c r="H647" s="193"/>
      <c r="I647" s="193"/>
      <c r="J647" s="193"/>
      <c r="K647" s="193"/>
      <c r="L647" s="193"/>
      <c r="M647" s="193"/>
      <c r="N647" s="193"/>
      <c r="O647" s="193"/>
      <c r="P647" s="193"/>
      <c r="Q647" s="193"/>
      <c r="R647" s="193"/>
      <c r="S647" s="193"/>
      <c r="T647" s="193"/>
      <c r="U647" s="193"/>
      <c r="V647" s="193"/>
      <c r="W647" s="193"/>
      <c r="X647" s="193"/>
      <c r="Y647" s="193"/>
      <c r="Z647" s="193"/>
      <c r="AA647" s="193"/>
      <c r="AB647" s="193"/>
      <c r="AC647" s="193"/>
    </row>
    <row r="648" spans="1:29" ht="15.75" customHeight="1">
      <c r="A648" s="193"/>
      <c r="B648" s="193"/>
      <c r="C648" s="193"/>
      <c r="D648" s="193"/>
      <c r="E648" s="193"/>
      <c r="F648" s="193"/>
      <c r="G648" s="193"/>
      <c r="H648" s="193"/>
      <c r="I648" s="193"/>
      <c r="J648" s="193"/>
      <c r="K648" s="193"/>
      <c r="L648" s="193"/>
      <c r="M648" s="193"/>
      <c r="N648" s="193"/>
      <c r="O648" s="193"/>
      <c r="P648" s="193"/>
      <c r="Q648" s="193"/>
      <c r="R648" s="193"/>
      <c r="S648" s="193"/>
      <c r="T648" s="193"/>
      <c r="U648" s="193"/>
      <c r="V648" s="193"/>
      <c r="W648" s="193"/>
      <c r="X648" s="193"/>
      <c r="Y648" s="193"/>
      <c r="Z648" s="193"/>
      <c r="AA648" s="193"/>
      <c r="AB648" s="193"/>
      <c r="AC648" s="193"/>
    </row>
    <row r="649" spans="1:29" ht="15.75" customHeight="1">
      <c r="A649" s="193"/>
      <c r="B649" s="193"/>
      <c r="C649" s="193"/>
      <c r="D649" s="193"/>
      <c r="E649" s="193"/>
      <c r="F649" s="193"/>
      <c r="G649" s="193"/>
      <c r="H649" s="193"/>
      <c r="I649" s="193"/>
      <c r="J649" s="193"/>
      <c r="K649" s="193"/>
      <c r="L649" s="193"/>
      <c r="M649" s="193"/>
      <c r="N649" s="193"/>
      <c r="O649" s="193"/>
      <c r="P649" s="193"/>
      <c r="Q649" s="193"/>
      <c r="R649" s="193"/>
      <c r="S649" s="193"/>
      <c r="T649" s="193"/>
      <c r="U649" s="193"/>
      <c r="V649" s="193"/>
      <c r="W649" s="193"/>
      <c r="X649" s="193"/>
      <c r="Y649" s="193"/>
      <c r="Z649" s="193"/>
      <c r="AA649" s="193"/>
      <c r="AB649" s="193"/>
      <c r="AC649" s="193"/>
    </row>
    <row r="650" spans="1:29" ht="15.75" customHeight="1">
      <c r="A650" s="193"/>
      <c r="B650" s="193"/>
      <c r="C650" s="193"/>
      <c r="D650" s="193"/>
      <c r="E650" s="193"/>
      <c r="F650" s="193"/>
      <c r="G650" s="193"/>
      <c r="H650" s="193"/>
      <c r="I650" s="193"/>
      <c r="J650" s="193"/>
      <c r="K650" s="193"/>
      <c r="L650" s="193"/>
      <c r="M650" s="193"/>
      <c r="N650" s="193"/>
      <c r="O650" s="193"/>
      <c r="P650" s="193"/>
      <c r="Q650" s="193"/>
      <c r="R650" s="193"/>
      <c r="S650" s="193"/>
      <c r="T650" s="193"/>
      <c r="U650" s="193"/>
      <c r="V650" s="193"/>
      <c r="W650" s="193"/>
      <c r="X650" s="193"/>
      <c r="Y650" s="193"/>
      <c r="Z650" s="193"/>
      <c r="AA650" s="193"/>
      <c r="AB650" s="193"/>
      <c r="AC650" s="193"/>
    </row>
    <row r="651" spans="1:29" ht="15.75" customHeight="1">
      <c r="A651" s="193"/>
      <c r="B651" s="193"/>
      <c r="C651" s="193"/>
      <c r="D651" s="193"/>
      <c r="E651" s="193"/>
      <c r="F651" s="193"/>
      <c r="G651" s="193"/>
      <c r="H651" s="193"/>
      <c r="I651" s="193"/>
      <c r="J651" s="193"/>
      <c r="K651" s="193"/>
      <c r="L651" s="193"/>
      <c r="M651" s="193"/>
      <c r="N651" s="193"/>
      <c r="O651" s="193"/>
      <c r="P651" s="193"/>
      <c r="Q651" s="193"/>
      <c r="R651" s="193"/>
      <c r="S651" s="193"/>
      <c r="T651" s="193"/>
      <c r="U651" s="193"/>
      <c r="V651" s="193"/>
      <c r="W651" s="193"/>
      <c r="X651" s="193"/>
      <c r="Y651" s="193"/>
      <c r="Z651" s="193"/>
      <c r="AA651" s="193"/>
      <c r="AB651" s="193"/>
      <c r="AC651" s="193"/>
    </row>
    <row r="652" spans="1:29" ht="15.75" customHeight="1">
      <c r="A652" s="193"/>
      <c r="B652" s="193"/>
      <c r="C652" s="193"/>
      <c r="D652" s="193"/>
      <c r="E652" s="193"/>
      <c r="F652" s="193"/>
      <c r="G652" s="193"/>
      <c r="H652" s="193"/>
      <c r="I652" s="193"/>
      <c r="J652" s="193"/>
      <c r="K652" s="193"/>
      <c r="L652" s="193"/>
      <c r="M652" s="193"/>
      <c r="N652" s="193"/>
      <c r="O652" s="193"/>
      <c r="P652" s="193"/>
      <c r="Q652" s="193"/>
      <c r="R652" s="193"/>
      <c r="S652" s="193"/>
      <c r="T652" s="193"/>
      <c r="U652" s="193"/>
      <c r="V652" s="193"/>
      <c r="W652" s="193"/>
      <c r="X652" s="193"/>
      <c r="Y652" s="193"/>
      <c r="Z652" s="193"/>
      <c r="AA652" s="193"/>
      <c r="AB652" s="193"/>
      <c r="AC652" s="193"/>
    </row>
    <row r="653" spans="1:29" ht="15.75" customHeight="1">
      <c r="A653" s="193"/>
      <c r="B653" s="193"/>
      <c r="C653" s="193"/>
      <c r="D653" s="193"/>
      <c r="E653" s="193"/>
      <c r="F653" s="193"/>
      <c r="G653" s="193"/>
      <c r="H653" s="193"/>
      <c r="I653" s="193"/>
      <c r="J653" s="193"/>
      <c r="K653" s="193"/>
      <c r="L653" s="193"/>
      <c r="M653" s="193"/>
      <c r="N653" s="193"/>
      <c r="O653" s="193"/>
      <c r="P653" s="193"/>
      <c r="Q653" s="193"/>
      <c r="R653" s="193"/>
      <c r="S653" s="193"/>
      <c r="T653" s="193"/>
      <c r="U653" s="193"/>
      <c r="V653" s="193"/>
      <c r="W653" s="193"/>
      <c r="X653" s="193"/>
      <c r="Y653" s="193"/>
      <c r="Z653" s="193"/>
      <c r="AA653" s="193"/>
      <c r="AB653" s="193"/>
      <c r="AC653" s="193"/>
    </row>
    <row r="654" spans="1:29" ht="15.75" customHeight="1">
      <c r="A654" s="193"/>
      <c r="B654" s="193"/>
      <c r="C654" s="193"/>
      <c r="D654" s="193"/>
      <c r="E654" s="193"/>
      <c r="F654" s="193"/>
      <c r="G654" s="193"/>
      <c r="H654" s="193"/>
      <c r="I654" s="193"/>
      <c r="J654" s="193"/>
      <c r="K654" s="193"/>
      <c r="L654" s="193"/>
      <c r="M654" s="193"/>
      <c r="N654" s="193"/>
      <c r="O654" s="193"/>
      <c r="P654" s="193"/>
      <c r="Q654" s="193"/>
      <c r="R654" s="193"/>
      <c r="S654" s="193"/>
      <c r="T654" s="193"/>
      <c r="U654" s="193"/>
      <c r="V654" s="193"/>
      <c r="W654" s="193"/>
      <c r="X654" s="193"/>
      <c r="Y654" s="193"/>
      <c r="Z654" s="193"/>
      <c r="AA654" s="193"/>
      <c r="AB654" s="193"/>
      <c r="AC654" s="193"/>
    </row>
    <row r="655" spans="1:29" ht="15.75" customHeight="1">
      <c r="A655" s="193"/>
      <c r="B655" s="193"/>
      <c r="C655" s="193"/>
      <c r="D655" s="193"/>
      <c r="E655" s="193"/>
      <c r="F655" s="193"/>
      <c r="G655" s="193"/>
      <c r="H655" s="193"/>
      <c r="I655" s="193"/>
      <c r="J655" s="193"/>
      <c r="K655" s="193"/>
      <c r="L655" s="193"/>
      <c r="M655" s="193"/>
      <c r="N655" s="193"/>
      <c r="O655" s="193"/>
      <c r="P655" s="193"/>
      <c r="Q655" s="193"/>
      <c r="R655" s="193"/>
      <c r="S655" s="193"/>
      <c r="T655" s="193"/>
      <c r="U655" s="193"/>
      <c r="V655" s="193"/>
      <c r="W655" s="193"/>
      <c r="X655" s="193"/>
      <c r="Y655" s="193"/>
      <c r="Z655" s="193"/>
      <c r="AA655" s="193"/>
      <c r="AB655" s="193"/>
      <c r="AC655" s="193"/>
    </row>
    <row r="656" spans="1:29" ht="15.75" customHeight="1">
      <c r="A656" s="193"/>
      <c r="B656" s="193"/>
      <c r="C656" s="193"/>
      <c r="D656" s="193"/>
      <c r="E656" s="193"/>
      <c r="F656" s="193"/>
      <c r="G656" s="193"/>
      <c r="H656" s="193"/>
      <c r="I656" s="193"/>
      <c r="J656" s="193"/>
      <c r="K656" s="193"/>
      <c r="L656" s="193"/>
      <c r="M656" s="193"/>
      <c r="N656" s="193"/>
      <c r="O656" s="193"/>
      <c r="P656" s="193"/>
      <c r="Q656" s="193"/>
      <c r="R656" s="193"/>
      <c r="S656" s="193"/>
      <c r="T656" s="193"/>
      <c r="U656" s="193"/>
      <c r="V656" s="193"/>
      <c r="W656" s="193"/>
      <c r="X656" s="193"/>
      <c r="Y656" s="193"/>
      <c r="Z656" s="193"/>
      <c r="AA656" s="193"/>
      <c r="AB656" s="193"/>
      <c r="AC656" s="193"/>
    </row>
    <row r="657" spans="1:29" ht="15.75" customHeight="1">
      <c r="A657" s="193"/>
      <c r="B657" s="193"/>
      <c r="C657" s="193"/>
      <c r="D657" s="193"/>
      <c r="E657" s="193"/>
      <c r="F657" s="193"/>
      <c r="G657" s="193"/>
      <c r="H657" s="193"/>
      <c r="I657" s="193"/>
      <c r="J657" s="193"/>
      <c r="K657" s="193"/>
      <c r="L657" s="193"/>
      <c r="M657" s="193"/>
      <c r="N657" s="193"/>
      <c r="O657" s="193"/>
      <c r="P657" s="193"/>
      <c r="Q657" s="193"/>
      <c r="R657" s="193"/>
      <c r="S657" s="193"/>
      <c r="T657" s="193"/>
      <c r="U657" s="193"/>
      <c r="V657" s="193"/>
      <c r="W657" s="193"/>
      <c r="X657" s="193"/>
      <c r="Y657" s="193"/>
      <c r="Z657" s="193"/>
      <c r="AA657" s="193"/>
      <c r="AB657" s="193"/>
      <c r="AC657" s="193"/>
    </row>
    <row r="658" spans="1:29" ht="15.75" customHeight="1">
      <c r="A658" s="193"/>
      <c r="B658" s="193"/>
      <c r="C658" s="193"/>
      <c r="D658" s="193"/>
      <c r="E658" s="193"/>
      <c r="F658" s="193"/>
      <c r="G658" s="193"/>
      <c r="H658" s="193"/>
      <c r="I658" s="193"/>
      <c r="J658" s="193"/>
      <c r="K658" s="193"/>
      <c r="L658" s="193"/>
      <c r="M658" s="193"/>
      <c r="N658" s="193"/>
      <c r="O658" s="193"/>
      <c r="P658" s="193"/>
      <c r="Q658" s="193"/>
      <c r="R658" s="193"/>
      <c r="S658" s="193"/>
      <c r="T658" s="193"/>
      <c r="U658" s="193"/>
      <c r="V658" s="193"/>
      <c r="W658" s="193"/>
      <c r="X658" s="193"/>
      <c r="Y658" s="193"/>
      <c r="Z658" s="193"/>
      <c r="AA658" s="193"/>
      <c r="AB658" s="193"/>
      <c r="AC658" s="193"/>
    </row>
    <row r="659" spans="1:29" ht="15.75" customHeight="1">
      <c r="A659" s="193"/>
      <c r="B659" s="193"/>
      <c r="C659" s="193"/>
      <c r="D659" s="193"/>
      <c r="E659" s="193"/>
      <c r="F659" s="193"/>
      <c r="G659" s="193"/>
      <c r="H659" s="193"/>
      <c r="I659" s="193"/>
      <c r="J659" s="193"/>
      <c r="K659" s="193"/>
      <c r="L659" s="193"/>
      <c r="M659" s="193"/>
      <c r="N659" s="193"/>
      <c r="O659" s="193"/>
      <c r="P659" s="193"/>
      <c r="Q659" s="193"/>
      <c r="R659" s="193"/>
      <c r="S659" s="193"/>
      <c r="T659" s="193"/>
      <c r="U659" s="193"/>
      <c r="V659" s="193"/>
      <c r="W659" s="193"/>
      <c r="X659" s="193"/>
      <c r="Y659" s="193"/>
      <c r="Z659" s="193"/>
      <c r="AA659" s="193"/>
      <c r="AB659" s="193"/>
      <c r="AC659" s="193"/>
    </row>
    <row r="660" spans="1:29" ht="15.75" customHeight="1">
      <c r="A660" s="193"/>
      <c r="B660" s="193"/>
      <c r="C660" s="193"/>
      <c r="D660" s="193"/>
      <c r="E660" s="193"/>
      <c r="F660" s="193"/>
      <c r="G660" s="193"/>
      <c r="H660" s="193"/>
      <c r="I660" s="193"/>
      <c r="J660" s="193"/>
      <c r="K660" s="193"/>
      <c r="L660" s="193"/>
      <c r="M660" s="193"/>
      <c r="N660" s="193"/>
      <c r="O660" s="193"/>
      <c r="P660" s="193"/>
      <c r="Q660" s="193"/>
      <c r="R660" s="193"/>
      <c r="S660" s="193"/>
      <c r="T660" s="193"/>
      <c r="U660" s="193"/>
      <c r="V660" s="193"/>
      <c r="W660" s="193"/>
      <c r="X660" s="193"/>
      <c r="Y660" s="193"/>
      <c r="Z660" s="193"/>
      <c r="AA660" s="193"/>
      <c r="AB660" s="193"/>
      <c r="AC660" s="193"/>
    </row>
    <row r="661" spans="1:29" ht="15.75" customHeight="1">
      <c r="A661" s="193"/>
      <c r="B661" s="193"/>
      <c r="C661" s="193"/>
      <c r="D661" s="193"/>
      <c r="E661" s="193"/>
      <c r="F661" s="193"/>
      <c r="G661" s="193"/>
      <c r="H661" s="193"/>
      <c r="I661" s="193"/>
      <c r="J661" s="193"/>
      <c r="K661" s="193"/>
      <c r="L661" s="193"/>
      <c r="M661" s="193"/>
      <c r="N661" s="193"/>
      <c r="O661" s="193"/>
      <c r="P661" s="193"/>
      <c r="Q661" s="193"/>
      <c r="R661" s="193"/>
      <c r="S661" s="193"/>
      <c r="T661" s="193"/>
      <c r="U661" s="193"/>
      <c r="V661" s="193"/>
      <c r="W661" s="193"/>
      <c r="X661" s="193"/>
      <c r="Y661" s="193"/>
      <c r="Z661" s="193"/>
      <c r="AA661" s="193"/>
      <c r="AB661" s="193"/>
      <c r="AC661" s="193"/>
    </row>
    <row r="662" spans="1:29" ht="15.75" customHeight="1">
      <c r="A662" s="193"/>
      <c r="B662" s="193"/>
      <c r="C662" s="193"/>
      <c r="D662" s="193"/>
      <c r="E662" s="193"/>
      <c r="F662" s="193"/>
      <c r="G662" s="193"/>
      <c r="H662" s="193"/>
      <c r="I662" s="193"/>
      <c r="J662" s="193"/>
      <c r="K662" s="193"/>
      <c r="L662" s="193"/>
      <c r="M662" s="193"/>
      <c r="N662" s="193"/>
      <c r="O662" s="193"/>
      <c r="P662" s="193"/>
      <c r="Q662" s="193"/>
      <c r="R662" s="193"/>
      <c r="S662" s="193"/>
      <c r="T662" s="193"/>
      <c r="U662" s="193"/>
      <c r="V662" s="193"/>
      <c r="W662" s="193"/>
      <c r="X662" s="193"/>
      <c r="Y662" s="193"/>
      <c r="Z662" s="193"/>
      <c r="AA662" s="193"/>
      <c r="AB662" s="193"/>
      <c r="AC662" s="193"/>
    </row>
    <row r="663" spans="1:29" ht="15.75" customHeight="1">
      <c r="A663" s="193"/>
      <c r="B663" s="193"/>
      <c r="C663" s="193"/>
      <c r="D663" s="193"/>
      <c r="E663" s="193"/>
      <c r="F663" s="193"/>
      <c r="G663" s="193"/>
      <c r="H663" s="193"/>
      <c r="I663" s="193"/>
      <c r="J663" s="193"/>
      <c r="K663" s="193"/>
      <c r="L663" s="193"/>
      <c r="M663" s="193"/>
      <c r="N663" s="193"/>
      <c r="O663" s="193"/>
      <c r="P663" s="193"/>
      <c r="Q663" s="193"/>
      <c r="R663" s="193"/>
      <c r="S663" s="193"/>
      <c r="T663" s="193"/>
      <c r="U663" s="193"/>
      <c r="V663" s="193"/>
      <c r="W663" s="193"/>
      <c r="X663" s="193"/>
      <c r="Y663" s="193"/>
      <c r="Z663" s="193"/>
      <c r="AA663" s="193"/>
      <c r="AB663" s="193"/>
      <c r="AC663" s="193"/>
    </row>
    <row r="664" spans="1:29" ht="15.75" customHeight="1">
      <c r="A664" s="193"/>
      <c r="B664" s="193"/>
      <c r="C664" s="193"/>
      <c r="D664" s="193"/>
      <c r="E664" s="193"/>
      <c r="F664" s="193"/>
      <c r="G664" s="193"/>
      <c r="H664" s="193"/>
      <c r="I664" s="193"/>
      <c r="J664" s="193"/>
      <c r="K664" s="193"/>
      <c r="L664" s="193"/>
      <c r="M664" s="193"/>
      <c r="N664" s="193"/>
      <c r="O664" s="193"/>
      <c r="P664" s="193"/>
      <c r="Q664" s="193"/>
      <c r="R664" s="193"/>
      <c r="S664" s="193"/>
      <c r="T664" s="193"/>
      <c r="U664" s="193"/>
      <c r="V664" s="193"/>
      <c r="W664" s="193"/>
      <c r="X664" s="193"/>
      <c r="Y664" s="193"/>
      <c r="Z664" s="193"/>
      <c r="AA664" s="193"/>
      <c r="AB664" s="193"/>
      <c r="AC664" s="193"/>
    </row>
    <row r="665" spans="1:29" ht="15.75" customHeight="1">
      <c r="A665" s="193"/>
      <c r="B665" s="193"/>
      <c r="C665" s="193"/>
      <c r="D665" s="193"/>
      <c r="E665" s="193"/>
      <c r="F665" s="193"/>
      <c r="G665" s="193"/>
      <c r="H665" s="193"/>
      <c r="I665" s="193"/>
      <c r="J665" s="193"/>
      <c r="K665" s="193"/>
      <c r="L665" s="193"/>
      <c r="M665" s="193"/>
      <c r="N665" s="193"/>
      <c r="O665" s="193"/>
      <c r="P665" s="193"/>
      <c r="Q665" s="193"/>
      <c r="R665" s="193"/>
      <c r="S665" s="193"/>
      <c r="T665" s="193"/>
      <c r="U665" s="193"/>
      <c r="V665" s="193"/>
      <c r="W665" s="193"/>
      <c r="X665" s="193"/>
      <c r="Y665" s="193"/>
      <c r="Z665" s="193"/>
      <c r="AA665" s="193"/>
      <c r="AB665" s="193"/>
      <c r="AC665" s="193"/>
    </row>
    <row r="666" spans="1:29" ht="15.75" customHeight="1">
      <c r="A666" s="193"/>
      <c r="B666" s="193"/>
      <c r="C666" s="193"/>
      <c r="D666" s="193"/>
      <c r="E666" s="193"/>
      <c r="F666" s="193"/>
      <c r="G666" s="193"/>
      <c r="H666" s="193"/>
      <c r="I666" s="193"/>
      <c r="J666" s="193"/>
      <c r="K666" s="193"/>
      <c r="L666" s="193"/>
      <c r="M666" s="193"/>
      <c r="N666" s="193"/>
      <c r="O666" s="193"/>
      <c r="P666" s="193"/>
      <c r="Q666" s="193"/>
      <c r="R666" s="193"/>
      <c r="S666" s="193"/>
      <c r="T666" s="193"/>
      <c r="U666" s="193"/>
      <c r="V666" s="193"/>
      <c r="W666" s="193"/>
      <c r="X666" s="193"/>
      <c r="Y666" s="193"/>
      <c r="Z666" s="193"/>
      <c r="AA666" s="193"/>
      <c r="AB666" s="193"/>
      <c r="AC666" s="193"/>
    </row>
    <row r="667" spans="1:29" ht="15.75" customHeight="1">
      <c r="A667" s="193"/>
      <c r="B667" s="193"/>
      <c r="C667" s="193"/>
      <c r="D667" s="193"/>
      <c r="E667" s="193"/>
      <c r="F667" s="193"/>
      <c r="G667" s="193"/>
      <c r="H667" s="193"/>
      <c r="I667" s="193"/>
      <c r="J667" s="193"/>
      <c r="K667" s="193"/>
      <c r="L667" s="193"/>
      <c r="M667" s="193"/>
      <c r="N667" s="193"/>
      <c r="O667" s="193"/>
      <c r="P667" s="193"/>
      <c r="Q667" s="193"/>
      <c r="R667" s="193"/>
      <c r="S667" s="193"/>
      <c r="T667" s="193"/>
      <c r="U667" s="193"/>
      <c r="V667" s="193"/>
      <c r="W667" s="193"/>
      <c r="X667" s="193"/>
      <c r="Y667" s="193"/>
      <c r="Z667" s="193"/>
      <c r="AA667" s="193"/>
      <c r="AB667" s="193"/>
      <c r="AC667" s="193"/>
    </row>
    <row r="668" spans="1:29" ht="15.75" customHeight="1">
      <c r="A668" s="193"/>
      <c r="B668" s="193"/>
      <c r="C668" s="193"/>
      <c r="D668" s="193"/>
      <c r="E668" s="193"/>
      <c r="F668" s="193"/>
      <c r="G668" s="193"/>
      <c r="H668" s="193"/>
      <c r="I668" s="193"/>
      <c r="J668" s="193"/>
      <c r="K668" s="193"/>
      <c r="L668" s="193"/>
      <c r="M668" s="193"/>
      <c r="N668" s="193"/>
      <c r="O668" s="193"/>
      <c r="P668" s="193"/>
      <c r="Q668" s="193"/>
      <c r="R668" s="193"/>
      <c r="S668" s="193"/>
      <c r="T668" s="193"/>
      <c r="U668" s="193"/>
      <c r="V668" s="193"/>
      <c r="W668" s="193"/>
      <c r="X668" s="193"/>
      <c r="Y668" s="193"/>
      <c r="Z668" s="193"/>
      <c r="AA668" s="193"/>
      <c r="AB668" s="193"/>
      <c r="AC668" s="193"/>
    </row>
    <row r="669" spans="1:29" ht="15.75" customHeight="1">
      <c r="A669" s="193"/>
      <c r="B669" s="193"/>
      <c r="C669" s="193"/>
      <c r="D669" s="193"/>
      <c r="E669" s="193"/>
      <c r="F669" s="193"/>
      <c r="G669" s="193"/>
      <c r="H669" s="193"/>
      <c r="I669" s="193"/>
      <c r="J669" s="193"/>
      <c r="K669" s="193"/>
      <c r="L669" s="193"/>
      <c r="M669" s="193"/>
      <c r="N669" s="193"/>
      <c r="O669" s="193"/>
      <c r="P669" s="193"/>
      <c r="Q669" s="193"/>
      <c r="R669" s="193"/>
      <c r="S669" s="193"/>
      <c r="T669" s="193"/>
      <c r="U669" s="193"/>
      <c r="V669" s="193"/>
      <c r="W669" s="193"/>
      <c r="X669" s="193"/>
      <c r="Y669" s="193"/>
      <c r="Z669" s="193"/>
      <c r="AA669" s="193"/>
      <c r="AB669" s="193"/>
      <c r="AC669" s="193"/>
    </row>
    <row r="670" spans="1:29" ht="15.75" customHeight="1">
      <c r="A670" s="193"/>
      <c r="B670" s="193"/>
      <c r="C670" s="193"/>
      <c r="D670" s="193"/>
      <c r="E670" s="193"/>
      <c r="F670" s="193"/>
      <c r="G670" s="193"/>
      <c r="H670" s="193"/>
      <c r="I670" s="193"/>
      <c r="J670" s="193"/>
      <c r="K670" s="193"/>
      <c r="L670" s="193"/>
      <c r="M670" s="193"/>
      <c r="N670" s="193"/>
      <c r="O670" s="193"/>
      <c r="P670" s="193"/>
      <c r="Q670" s="193"/>
      <c r="R670" s="193"/>
      <c r="S670" s="193"/>
      <c r="T670" s="193"/>
      <c r="U670" s="193"/>
      <c r="V670" s="193"/>
      <c r="W670" s="193"/>
      <c r="X670" s="193"/>
      <c r="Y670" s="193"/>
      <c r="Z670" s="193"/>
      <c r="AA670" s="193"/>
      <c r="AB670" s="193"/>
      <c r="AC670" s="193"/>
    </row>
    <row r="671" spans="1:29" ht="15.75" customHeight="1">
      <c r="A671" s="193"/>
      <c r="B671" s="193"/>
      <c r="C671" s="193"/>
      <c r="D671" s="193"/>
      <c r="E671" s="193"/>
      <c r="F671" s="193"/>
      <c r="G671" s="193"/>
      <c r="H671" s="193"/>
      <c r="I671" s="193"/>
      <c r="J671" s="193"/>
      <c r="K671" s="193"/>
      <c r="L671" s="193"/>
      <c r="M671" s="193"/>
      <c r="N671" s="193"/>
      <c r="O671" s="193"/>
      <c r="P671" s="193"/>
      <c r="Q671" s="193"/>
      <c r="R671" s="193"/>
      <c r="S671" s="193"/>
      <c r="T671" s="193"/>
      <c r="U671" s="193"/>
      <c r="V671" s="193"/>
      <c r="W671" s="193"/>
      <c r="X671" s="193"/>
      <c r="Y671" s="193"/>
      <c r="Z671" s="193"/>
      <c r="AA671" s="193"/>
      <c r="AB671" s="193"/>
      <c r="AC671" s="193"/>
    </row>
    <row r="672" spans="1:29" ht="15.75" customHeight="1">
      <c r="A672" s="193"/>
      <c r="B672" s="193"/>
      <c r="C672" s="193"/>
      <c r="D672" s="193"/>
      <c r="E672" s="193"/>
      <c r="F672" s="193"/>
      <c r="G672" s="193"/>
      <c r="H672" s="193"/>
      <c r="I672" s="193"/>
      <c r="J672" s="193"/>
      <c r="K672" s="193"/>
      <c r="L672" s="193"/>
      <c r="M672" s="193"/>
      <c r="N672" s="193"/>
      <c r="O672" s="193"/>
      <c r="P672" s="193"/>
      <c r="Q672" s="193"/>
      <c r="R672" s="193"/>
      <c r="S672" s="193"/>
      <c r="T672" s="193"/>
      <c r="U672" s="193"/>
      <c r="V672" s="193"/>
      <c r="W672" s="193"/>
      <c r="X672" s="193"/>
      <c r="Y672" s="193"/>
      <c r="Z672" s="193"/>
      <c r="AA672" s="193"/>
      <c r="AB672" s="193"/>
      <c r="AC672" s="193"/>
    </row>
    <row r="673" spans="1:29" ht="15.75" customHeight="1">
      <c r="A673" s="193"/>
      <c r="B673" s="193"/>
      <c r="C673" s="193"/>
      <c r="D673" s="193"/>
      <c r="E673" s="193"/>
      <c r="F673" s="193"/>
      <c r="G673" s="193"/>
      <c r="H673" s="193"/>
      <c r="I673" s="193"/>
      <c r="J673" s="193"/>
      <c r="K673" s="193"/>
      <c r="L673" s="193"/>
      <c r="M673" s="193"/>
      <c r="N673" s="193"/>
      <c r="O673" s="193"/>
      <c r="P673" s="193"/>
      <c r="Q673" s="193"/>
      <c r="R673" s="193"/>
      <c r="S673" s="193"/>
      <c r="T673" s="193"/>
      <c r="U673" s="193"/>
      <c r="V673" s="193"/>
      <c r="W673" s="193"/>
      <c r="X673" s="193"/>
      <c r="Y673" s="193"/>
      <c r="Z673" s="193"/>
      <c r="AA673" s="193"/>
      <c r="AB673" s="193"/>
      <c r="AC673" s="193"/>
    </row>
    <row r="674" spans="1:29" ht="15.75" customHeight="1">
      <c r="A674" s="193"/>
      <c r="B674" s="193"/>
      <c r="C674" s="193"/>
      <c r="D674" s="193"/>
      <c r="E674" s="193"/>
      <c r="F674" s="193"/>
      <c r="G674" s="193"/>
      <c r="H674" s="193"/>
      <c r="I674" s="193"/>
      <c r="J674" s="193"/>
      <c r="K674" s="193"/>
      <c r="L674" s="193"/>
      <c r="M674" s="193"/>
      <c r="N674" s="193"/>
      <c r="O674" s="193"/>
      <c r="P674" s="193"/>
      <c r="Q674" s="193"/>
      <c r="R674" s="193"/>
      <c r="S674" s="193"/>
      <c r="T674" s="193"/>
      <c r="U674" s="193"/>
      <c r="V674" s="193"/>
      <c r="W674" s="193"/>
      <c r="X674" s="193"/>
      <c r="Y674" s="193"/>
      <c r="Z674" s="193"/>
      <c r="AA674" s="193"/>
      <c r="AB674" s="193"/>
      <c r="AC674" s="193"/>
    </row>
    <row r="675" spans="1:29" ht="15.75" customHeight="1">
      <c r="A675" s="193"/>
      <c r="B675" s="193"/>
      <c r="C675" s="193"/>
      <c r="D675" s="193"/>
      <c r="E675" s="193"/>
      <c r="F675" s="193"/>
      <c r="G675" s="193"/>
      <c r="H675" s="193"/>
      <c r="I675" s="193"/>
      <c r="J675" s="193"/>
      <c r="K675" s="193"/>
      <c r="L675" s="193"/>
      <c r="M675" s="193"/>
      <c r="N675" s="193"/>
      <c r="O675" s="193"/>
      <c r="P675" s="193"/>
      <c r="Q675" s="193"/>
      <c r="R675" s="193"/>
      <c r="S675" s="193"/>
      <c r="T675" s="193"/>
      <c r="U675" s="193"/>
      <c r="V675" s="193"/>
      <c r="W675" s="193"/>
      <c r="X675" s="193"/>
      <c r="Y675" s="193"/>
      <c r="Z675" s="193"/>
      <c r="AA675" s="193"/>
      <c r="AB675" s="193"/>
      <c r="AC675" s="193"/>
    </row>
    <row r="676" spans="1:29" ht="15.75" customHeight="1">
      <c r="A676" s="193"/>
      <c r="B676" s="193"/>
      <c r="C676" s="193"/>
      <c r="D676" s="193"/>
      <c r="E676" s="193"/>
      <c r="F676" s="193"/>
      <c r="G676" s="193"/>
      <c r="H676" s="193"/>
      <c r="I676" s="193"/>
      <c r="J676" s="193"/>
      <c r="K676" s="193"/>
      <c r="L676" s="193"/>
      <c r="M676" s="193"/>
      <c r="N676" s="193"/>
      <c r="O676" s="193"/>
      <c r="P676" s="193"/>
      <c r="Q676" s="193"/>
      <c r="R676" s="193"/>
      <c r="S676" s="193"/>
      <c r="T676" s="193"/>
      <c r="U676" s="193"/>
      <c r="V676" s="193"/>
      <c r="W676" s="193"/>
      <c r="X676" s="193"/>
      <c r="Y676" s="193"/>
      <c r="Z676" s="193"/>
      <c r="AA676" s="193"/>
      <c r="AB676" s="193"/>
      <c r="AC676" s="193"/>
    </row>
    <row r="677" spans="1:29" ht="15.75" customHeight="1">
      <c r="A677" s="193"/>
      <c r="B677" s="193"/>
      <c r="C677" s="193"/>
      <c r="D677" s="193"/>
      <c r="E677" s="193"/>
      <c r="F677" s="193"/>
      <c r="G677" s="193"/>
      <c r="H677" s="193"/>
      <c r="I677" s="193"/>
      <c r="J677" s="193"/>
      <c r="K677" s="193"/>
      <c r="L677" s="193"/>
      <c r="M677" s="193"/>
      <c r="N677" s="193"/>
      <c r="O677" s="193"/>
      <c r="P677" s="193"/>
      <c r="Q677" s="193"/>
      <c r="R677" s="193"/>
      <c r="S677" s="193"/>
      <c r="T677" s="193"/>
      <c r="U677" s="193"/>
      <c r="V677" s="193"/>
      <c r="W677" s="193"/>
      <c r="X677" s="193"/>
      <c r="Y677" s="193"/>
      <c r="Z677" s="193"/>
      <c r="AA677" s="193"/>
      <c r="AB677" s="193"/>
      <c r="AC677" s="193"/>
    </row>
    <row r="678" spans="1:29" ht="15.75" customHeight="1">
      <c r="A678" s="193"/>
      <c r="B678" s="193"/>
      <c r="C678" s="193"/>
      <c r="D678" s="193"/>
      <c r="E678" s="193"/>
      <c r="F678" s="193"/>
      <c r="G678" s="193"/>
      <c r="H678" s="193"/>
      <c r="I678" s="193"/>
      <c r="J678" s="193"/>
      <c r="K678" s="193"/>
      <c r="L678" s="193"/>
      <c r="M678" s="193"/>
      <c r="N678" s="193"/>
      <c r="O678" s="193"/>
      <c r="P678" s="193"/>
      <c r="Q678" s="193"/>
      <c r="R678" s="193"/>
      <c r="S678" s="193"/>
      <c r="T678" s="193"/>
      <c r="U678" s="193"/>
      <c r="V678" s="193"/>
      <c r="W678" s="193"/>
      <c r="X678" s="193"/>
      <c r="Y678" s="193"/>
      <c r="Z678" s="193"/>
      <c r="AA678" s="193"/>
      <c r="AB678" s="193"/>
      <c r="AC678" s="193"/>
    </row>
    <row r="679" spans="1:29" ht="15.75" customHeight="1">
      <c r="A679" s="193"/>
      <c r="B679" s="193"/>
      <c r="C679" s="193"/>
      <c r="D679" s="193"/>
      <c r="E679" s="193"/>
      <c r="F679" s="193"/>
      <c r="G679" s="193"/>
      <c r="H679" s="193"/>
      <c r="I679" s="193"/>
      <c r="J679" s="193"/>
      <c r="K679" s="193"/>
      <c r="L679" s="193"/>
      <c r="M679" s="193"/>
      <c r="N679" s="193"/>
      <c r="O679" s="193"/>
      <c r="P679" s="193"/>
      <c r="Q679" s="193"/>
      <c r="R679" s="193"/>
      <c r="S679" s="193"/>
      <c r="T679" s="193"/>
      <c r="U679" s="193"/>
      <c r="V679" s="193"/>
      <c r="W679" s="193"/>
      <c r="X679" s="193"/>
      <c r="Y679" s="193"/>
      <c r="Z679" s="193"/>
      <c r="AA679" s="193"/>
      <c r="AB679" s="193"/>
      <c r="AC679" s="193"/>
    </row>
    <row r="680" spans="1:29" ht="15.75" customHeight="1">
      <c r="A680" s="193"/>
      <c r="B680" s="193"/>
      <c r="C680" s="193"/>
      <c r="D680" s="193"/>
      <c r="E680" s="193"/>
      <c r="F680" s="193"/>
      <c r="G680" s="193"/>
      <c r="H680" s="193"/>
      <c r="I680" s="193"/>
      <c r="J680" s="193"/>
      <c r="K680" s="193"/>
      <c r="L680" s="193"/>
      <c r="M680" s="193"/>
      <c r="N680" s="193"/>
      <c r="O680" s="193"/>
      <c r="P680" s="193"/>
      <c r="Q680" s="193"/>
      <c r="R680" s="193"/>
      <c r="S680" s="193"/>
      <c r="T680" s="193"/>
      <c r="U680" s="193"/>
      <c r="V680" s="193"/>
      <c r="W680" s="193"/>
      <c r="X680" s="193"/>
      <c r="Y680" s="193"/>
      <c r="Z680" s="193"/>
      <c r="AA680" s="193"/>
      <c r="AB680" s="193"/>
      <c r="AC680" s="193"/>
    </row>
    <row r="681" spans="1:29" ht="15.75" customHeight="1">
      <c r="A681" s="193"/>
      <c r="B681" s="193"/>
      <c r="C681" s="193"/>
      <c r="D681" s="193"/>
      <c r="E681" s="193"/>
      <c r="F681" s="193"/>
      <c r="G681" s="193"/>
      <c r="H681" s="193"/>
      <c r="I681" s="193"/>
      <c r="J681" s="193"/>
      <c r="K681" s="193"/>
      <c r="L681" s="193"/>
      <c r="M681" s="193"/>
      <c r="N681" s="193"/>
      <c r="O681" s="193"/>
      <c r="P681" s="193"/>
      <c r="Q681" s="193"/>
      <c r="R681" s="193"/>
      <c r="S681" s="193"/>
      <c r="T681" s="193"/>
      <c r="U681" s="193"/>
      <c r="V681" s="193"/>
      <c r="W681" s="193"/>
      <c r="X681" s="193"/>
      <c r="Y681" s="193"/>
      <c r="Z681" s="193"/>
      <c r="AA681" s="193"/>
      <c r="AB681" s="193"/>
      <c r="AC681" s="193"/>
    </row>
    <row r="682" spans="1:29" ht="15.75" customHeight="1">
      <c r="A682" s="193"/>
      <c r="B682" s="193"/>
      <c r="C682" s="193"/>
      <c r="D682" s="193"/>
      <c r="E682" s="193"/>
      <c r="F682" s="193"/>
      <c r="G682" s="193"/>
      <c r="H682" s="193"/>
      <c r="I682" s="193"/>
      <c r="J682" s="193"/>
      <c r="K682" s="193"/>
      <c r="L682" s="193"/>
      <c r="M682" s="193"/>
      <c r="N682" s="193"/>
      <c r="O682" s="193"/>
      <c r="P682" s="193"/>
      <c r="Q682" s="193"/>
      <c r="R682" s="193"/>
      <c r="S682" s="193"/>
      <c r="T682" s="193"/>
      <c r="U682" s="193"/>
      <c r="V682" s="193"/>
      <c r="W682" s="193"/>
      <c r="X682" s="193"/>
      <c r="Y682" s="193"/>
      <c r="Z682" s="193"/>
      <c r="AA682" s="193"/>
      <c r="AB682" s="193"/>
      <c r="AC682" s="193"/>
    </row>
    <row r="683" spans="1:29" ht="15.75" customHeight="1">
      <c r="A683" s="193"/>
      <c r="B683" s="193"/>
      <c r="C683" s="193"/>
      <c r="D683" s="193"/>
      <c r="E683" s="193"/>
      <c r="F683" s="193"/>
      <c r="G683" s="193"/>
      <c r="H683" s="193"/>
      <c r="I683" s="193"/>
      <c r="J683" s="193"/>
      <c r="K683" s="193"/>
      <c r="L683" s="193"/>
      <c r="M683" s="193"/>
      <c r="N683" s="193"/>
      <c r="O683" s="193"/>
      <c r="P683" s="193"/>
      <c r="Q683" s="193"/>
      <c r="R683" s="193"/>
      <c r="S683" s="193"/>
      <c r="T683" s="193"/>
      <c r="U683" s="193"/>
      <c r="V683" s="193"/>
      <c r="W683" s="193"/>
      <c r="X683" s="193"/>
      <c r="Y683" s="193"/>
      <c r="Z683" s="193"/>
      <c r="AA683" s="193"/>
      <c r="AB683" s="193"/>
      <c r="AC683" s="193"/>
    </row>
    <row r="684" spans="1:29" ht="15.75" customHeight="1">
      <c r="A684" s="193"/>
      <c r="B684" s="193"/>
      <c r="C684" s="193"/>
      <c r="D684" s="193"/>
      <c r="E684" s="193"/>
      <c r="F684" s="193"/>
      <c r="G684" s="193"/>
      <c r="H684" s="193"/>
      <c r="I684" s="193"/>
      <c r="J684" s="193"/>
      <c r="K684" s="193"/>
      <c r="L684" s="193"/>
      <c r="M684" s="193"/>
      <c r="N684" s="193"/>
      <c r="O684" s="193"/>
      <c r="P684" s="193"/>
      <c r="Q684" s="193"/>
      <c r="R684" s="193"/>
      <c r="S684" s="193"/>
      <c r="T684" s="193"/>
      <c r="U684" s="193"/>
      <c r="V684" s="193"/>
      <c r="W684" s="193"/>
      <c r="X684" s="193"/>
      <c r="Y684" s="193"/>
      <c r="Z684" s="193"/>
      <c r="AA684" s="193"/>
      <c r="AB684" s="193"/>
      <c r="AC684" s="193"/>
    </row>
    <row r="685" spans="1:29" ht="15.75" customHeight="1">
      <c r="A685" s="193"/>
      <c r="B685" s="193"/>
      <c r="C685" s="193"/>
      <c r="D685" s="193"/>
      <c r="E685" s="193"/>
      <c r="F685" s="193"/>
      <c r="G685" s="193"/>
      <c r="H685" s="193"/>
      <c r="I685" s="193"/>
      <c r="J685" s="193"/>
      <c r="K685" s="193"/>
      <c r="L685" s="193"/>
      <c r="M685" s="193"/>
      <c r="N685" s="193"/>
      <c r="O685" s="193"/>
      <c r="P685" s="193"/>
      <c r="Q685" s="193"/>
      <c r="R685" s="193"/>
      <c r="S685" s="193"/>
      <c r="T685" s="193"/>
      <c r="U685" s="193"/>
      <c r="V685" s="193"/>
      <c r="W685" s="193"/>
      <c r="X685" s="193"/>
      <c r="Y685" s="193"/>
      <c r="Z685" s="193"/>
      <c r="AA685" s="193"/>
      <c r="AB685" s="193"/>
      <c r="AC685" s="193"/>
    </row>
    <row r="686" spans="1:29" ht="15.75" customHeight="1">
      <c r="A686" s="193"/>
      <c r="B686" s="193"/>
      <c r="C686" s="193"/>
      <c r="D686" s="193"/>
      <c r="E686" s="193"/>
      <c r="F686" s="193"/>
      <c r="G686" s="193"/>
      <c r="H686" s="193"/>
      <c r="I686" s="193"/>
      <c r="J686" s="193"/>
      <c r="K686" s="193"/>
      <c r="L686" s="193"/>
      <c r="M686" s="193"/>
      <c r="N686" s="193"/>
      <c r="O686" s="193"/>
      <c r="P686" s="193"/>
      <c r="Q686" s="193"/>
      <c r="R686" s="193"/>
      <c r="S686" s="193"/>
      <c r="T686" s="193"/>
      <c r="U686" s="193"/>
      <c r="V686" s="193"/>
      <c r="W686" s="193"/>
      <c r="X686" s="193"/>
      <c r="Y686" s="193"/>
      <c r="Z686" s="193"/>
      <c r="AA686" s="193"/>
      <c r="AB686" s="193"/>
      <c r="AC686" s="193"/>
    </row>
    <row r="687" spans="1:29" ht="15.75" customHeight="1">
      <c r="A687" s="193"/>
      <c r="B687" s="193"/>
      <c r="C687" s="193"/>
      <c r="D687" s="193"/>
      <c r="E687" s="193"/>
      <c r="F687" s="193"/>
      <c r="G687" s="193"/>
      <c r="H687" s="193"/>
      <c r="I687" s="193"/>
      <c r="J687" s="193"/>
      <c r="K687" s="193"/>
      <c r="L687" s="193"/>
      <c r="M687" s="193"/>
      <c r="N687" s="193"/>
      <c r="O687" s="193"/>
      <c r="P687" s="193"/>
      <c r="Q687" s="193"/>
      <c r="R687" s="193"/>
      <c r="S687" s="193"/>
      <c r="T687" s="193"/>
      <c r="U687" s="193"/>
      <c r="V687" s="193"/>
      <c r="W687" s="193"/>
      <c r="X687" s="193"/>
      <c r="Y687" s="193"/>
      <c r="Z687" s="193"/>
      <c r="AA687" s="193"/>
      <c r="AB687" s="193"/>
      <c r="AC687" s="193"/>
    </row>
    <row r="688" spans="1:29" ht="15.75" customHeight="1">
      <c r="A688" s="193"/>
      <c r="B688" s="193"/>
      <c r="C688" s="193"/>
      <c r="D688" s="193"/>
      <c r="E688" s="193"/>
      <c r="F688" s="193"/>
      <c r="G688" s="193"/>
      <c r="H688" s="193"/>
      <c r="I688" s="193"/>
      <c r="J688" s="193"/>
      <c r="K688" s="193"/>
      <c r="L688" s="193"/>
      <c r="M688" s="193"/>
      <c r="N688" s="193"/>
      <c r="O688" s="193"/>
      <c r="P688" s="193"/>
      <c r="Q688" s="193"/>
      <c r="R688" s="193"/>
      <c r="S688" s="193"/>
      <c r="T688" s="193"/>
      <c r="U688" s="193"/>
      <c r="V688" s="193"/>
      <c r="W688" s="193"/>
      <c r="X688" s="193"/>
      <c r="Y688" s="193"/>
      <c r="Z688" s="193"/>
      <c r="AA688" s="193"/>
      <c r="AB688" s="193"/>
      <c r="AC688" s="193"/>
    </row>
    <row r="689" spans="1:29" ht="15.75" customHeight="1">
      <c r="A689" s="193"/>
      <c r="B689" s="193"/>
      <c r="C689" s="193"/>
      <c r="D689" s="193"/>
      <c r="E689" s="193"/>
      <c r="F689" s="193"/>
      <c r="G689" s="193"/>
      <c r="H689" s="193"/>
      <c r="I689" s="193"/>
      <c r="J689" s="193"/>
      <c r="K689" s="193"/>
      <c r="L689" s="193"/>
      <c r="M689" s="193"/>
      <c r="N689" s="193"/>
      <c r="O689" s="193"/>
      <c r="P689" s="193"/>
      <c r="Q689" s="193"/>
      <c r="R689" s="193"/>
      <c r="S689" s="193"/>
      <c r="T689" s="193"/>
      <c r="U689" s="193"/>
      <c r="V689" s="193"/>
      <c r="W689" s="193"/>
      <c r="X689" s="193"/>
      <c r="Y689" s="193"/>
      <c r="Z689" s="193"/>
      <c r="AA689" s="193"/>
      <c r="AB689" s="193"/>
      <c r="AC689" s="193"/>
    </row>
    <row r="690" spans="1:29" ht="15.75" customHeight="1">
      <c r="A690" s="193"/>
      <c r="B690" s="193"/>
      <c r="C690" s="193"/>
      <c r="D690" s="193"/>
      <c r="E690" s="193"/>
      <c r="F690" s="193"/>
      <c r="G690" s="193"/>
      <c r="H690" s="193"/>
      <c r="I690" s="193"/>
      <c r="J690" s="193"/>
      <c r="K690" s="193"/>
      <c r="L690" s="193"/>
      <c r="M690" s="193"/>
      <c r="N690" s="193"/>
      <c r="O690" s="193"/>
      <c r="P690" s="193"/>
      <c r="Q690" s="193"/>
      <c r="R690" s="193"/>
      <c r="S690" s="193"/>
      <c r="T690" s="193"/>
      <c r="U690" s="193"/>
      <c r="V690" s="193"/>
      <c r="W690" s="193"/>
      <c r="X690" s="193"/>
      <c r="Y690" s="193"/>
      <c r="Z690" s="193"/>
      <c r="AA690" s="193"/>
      <c r="AB690" s="193"/>
      <c r="AC690" s="193"/>
    </row>
    <row r="691" spans="1:29" ht="15.75" customHeight="1">
      <c r="A691" s="193"/>
      <c r="B691" s="193"/>
      <c r="C691" s="193"/>
      <c r="D691" s="193"/>
      <c r="E691" s="193"/>
      <c r="F691" s="193"/>
      <c r="G691" s="193"/>
      <c r="H691" s="193"/>
      <c r="I691" s="193"/>
      <c r="J691" s="193"/>
      <c r="K691" s="193"/>
      <c r="L691" s="193"/>
      <c r="M691" s="193"/>
      <c r="N691" s="193"/>
      <c r="O691" s="193"/>
      <c r="P691" s="193"/>
      <c r="Q691" s="193"/>
      <c r="R691" s="193"/>
      <c r="S691" s="193"/>
      <c r="T691" s="193"/>
      <c r="U691" s="193"/>
      <c r="V691" s="193"/>
      <c r="W691" s="193"/>
      <c r="X691" s="193"/>
      <c r="Y691" s="193"/>
      <c r="Z691" s="193"/>
      <c r="AA691" s="193"/>
      <c r="AB691" s="193"/>
      <c r="AC691" s="193"/>
    </row>
    <row r="692" spans="1:29" ht="15.75" customHeight="1">
      <c r="A692" s="193"/>
      <c r="B692" s="193"/>
      <c r="C692" s="193"/>
      <c r="D692" s="193"/>
      <c r="E692" s="193"/>
      <c r="F692" s="193"/>
      <c r="G692" s="193"/>
      <c r="H692" s="193"/>
      <c r="I692" s="193"/>
      <c r="J692" s="193"/>
      <c r="K692" s="193"/>
      <c r="L692" s="193"/>
      <c r="M692" s="193"/>
      <c r="N692" s="193"/>
      <c r="O692" s="193"/>
      <c r="P692" s="193"/>
      <c r="Q692" s="193"/>
      <c r="R692" s="193"/>
      <c r="S692" s="193"/>
      <c r="T692" s="193"/>
      <c r="U692" s="193"/>
      <c r="V692" s="193"/>
      <c r="W692" s="193"/>
      <c r="X692" s="193"/>
      <c r="Y692" s="193"/>
      <c r="Z692" s="193"/>
      <c r="AA692" s="193"/>
      <c r="AB692" s="193"/>
      <c r="AC692" s="193"/>
    </row>
    <row r="693" spans="1:29" ht="15.75" customHeight="1">
      <c r="A693" s="193"/>
      <c r="B693" s="193"/>
      <c r="C693" s="193"/>
      <c r="D693" s="193"/>
      <c r="E693" s="193"/>
      <c r="F693" s="193"/>
      <c r="G693" s="193"/>
      <c r="H693" s="193"/>
      <c r="I693" s="193"/>
      <c r="J693" s="193"/>
      <c r="K693" s="193"/>
      <c r="L693" s="193"/>
      <c r="M693" s="193"/>
      <c r="N693" s="193"/>
      <c r="O693" s="193"/>
      <c r="P693" s="193"/>
      <c r="Q693" s="193"/>
      <c r="R693" s="193"/>
      <c r="S693" s="193"/>
      <c r="T693" s="193"/>
      <c r="U693" s="193"/>
      <c r="V693" s="193"/>
      <c r="W693" s="193"/>
      <c r="X693" s="193"/>
      <c r="Y693" s="193"/>
      <c r="Z693" s="193"/>
      <c r="AA693" s="193"/>
      <c r="AB693" s="193"/>
      <c r="AC693" s="193"/>
    </row>
    <row r="694" spans="1:29" ht="15.75" customHeight="1">
      <c r="A694" s="193"/>
      <c r="B694" s="193"/>
      <c r="C694" s="193"/>
      <c r="D694" s="193"/>
      <c r="E694" s="193"/>
      <c r="F694" s="193"/>
      <c r="G694" s="193"/>
      <c r="H694" s="193"/>
      <c r="I694" s="193"/>
      <c r="J694" s="193"/>
      <c r="K694" s="193"/>
      <c r="L694" s="193"/>
      <c r="M694" s="193"/>
      <c r="N694" s="193"/>
      <c r="O694" s="193"/>
      <c r="P694" s="193"/>
      <c r="Q694" s="193"/>
      <c r="R694" s="193"/>
      <c r="S694" s="193"/>
      <c r="T694" s="193"/>
      <c r="U694" s="193"/>
      <c r="V694" s="193"/>
      <c r="W694" s="193"/>
      <c r="X694" s="193"/>
      <c r="Y694" s="193"/>
      <c r="Z694" s="193"/>
      <c r="AA694" s="193"/>
      <c r="AB694" s="193"/>
      <c r="AC694" s="193"/>
    </row>
    <row r="695" spans="1:29" ht="15.75" customHeight="1">
      <c r="A695" s="193"/>
      <c r="B695" s="193"/>
      <c r="C695" s="193"/>
      <c r="D695" s="193"/>
      <c r="E695" s="193"/>
      <c r="F695" s="193"/>
      <c r="G695" s="193"/>
      <c r="H695" s="193"/>
      <c r="I695" s="193"/>
      <c r="J695" s="193"/>
      <c r="K695" s="193"/>
      <c r="L695" s="193"/>
      <c r="M695" s="193"/>
      <c r="N695" s="193"/>
      <c r="O695" s="193"/>
      <c r="P695" s="193"/>
      <c r="Q695" s="193"/>
      <c r="R695" s="193"/>
      <c r="S695" s="193"/>
      <c r="T695" s="193"/>
      <c r="U695" s="193"/>
      <c r="V695" s="193"/>
      <c r="W695" s="193"/>
      <c r="X695" s="193"/>
      <c r="Y695" s="193"/>
      <c r="Z695" s="193"/>
      <c r="AA695" s="193"/>
      <c r="AB695" s="193"/>
      <c r="AC695" s="193"/>
    </row>
    <row r="696" spans="1:29" ht="15.75" customHeight="1">
      <c r="A696" s="193"/>
      <c r="B696" s="193"/>
      <c r="C696" s="193"/>
      <c r="D696" s="193"/>
      <c r="E696" s="193"/>
      <c r="F696" s="193"/>
      <c r="G696" s="193"/>
      <c r="H696" s="193"/>
      <c r="I696" s="193"/>
      <c r="J696" s="193"/>
      <c r="K696" s="193"/>
      <c r="L696" s="193"/>
      <c r="M696" s="193"/>
      <c r="N696" s="193"/>
      <c r="O696" s="193"/>
      <c r="P696" s="193"/>
      <c r="Q696" s="193"/>
      <c r="R696" s="193"/>
      <c r="S696" s="193"/>
      <c r="T696" s="193"/>
      <c r="U696" s="193"/>
      <c r="V696" s="193"/>
      <c r="W696" s="193"/>
      <c r="X696" s="193"/>
      <c r="Y696" s="193"/>
      <c r="Z696" s="193"/>
      <c r="AA696" s="193"/>
      <c r="AB696" s="193"/>
      <c r="AC696" s="193"/>
    </row>
    <row r="697" spans="1:29" ht="15.75" customHeight="1">
      <c r="A697" s="193"/>
      <c r="B697" s="193"/>
      <c r="C697" s="193"/>
      <c r="D697" s="193"/>
      <c r="E697" s="193"/>
      <c r="F697" s="193"/>
      <c r="G697" s="193"/>
      <c r="H697" s="193"/>
      <c r="I697" s="193"/>
      <c r="J697" s="193"/>
      <c r="K697" s="193"/>
      <c r="L697" s="193"/>
      <c r="M697" s="193"/>
      <c r="N697" s="193"/>
      <c r="O697" s="193"/>
      <c r="P697" s="193"/>
      <c r="Q697" s="193"/>
      <c r="R697" s="193"/>
      <c r="S697" s="193"/>
      <c r="T697" s="193"/>
      <c r="U697" s="193"/>
      <c r="V697" s="193"/>
      <c r="W697" s="193"/>
      <c r="X697" s="193"/>
      <c r="Y697" s="193"/>
      <c r="Z697" s="193"/>
      <c r="AA697" s="193"/>
      <c r="AB697" s="193"/>
      <c r="AC697" s="193"/>
    </row>
    <row r="698" spans="1:29" ht="15.75" customHeight="1">
      <c r="A698" s="193"/>
      <c r="B698" s="193"/>
      <c r="C698" s="193"/>
      <c r="D698" s="193"/>
      <c r="E698" s="193"/>
      <c r="F698" s="193"/>
      <c r="G698" s="193"/>
      <c r="H698" s="193"/>
      <c r="I698" s="193"/>
      <c r="J698" s="193"/>
      <c r="K698" s="193"/>
      <c r="L698" s="193"/>
      <c r="M698" s="193"/>
      <c r="N698" s="193"/>
      <c r="O698" s="193"/>
      <c r="P698" s="193"/>
      <c r="Q698" s="193"/>
      <c r="R698" s="193"/>
      <c r="S698" s="193"/>
      <c r="T698" s="193"/>
      <c r="U698" s="193"/>
      <c r="V698" s="193"/>
      <c r="W698" s="193"/>
      <c r="X698" s="193"/>
      <c r="Y698" s="193"/>
      <c r="Z698" s="193"/>
      <c r="AA698" s="193"/>
      <c r="AB698" s="193"/>
      <c r="AC698" s="193"/>
    </row>
    <row r="699" spans="1:29" ht="15.75" customHeight="1">
      <c r="A699" s="193"/>
      <c r="B699" s="193"/>
      <c r="C699" s="193"/>
      <c r="D699" s="193"/>
      <c r="E699" s="193"/>
      <c r="F699" s="193"/>
      <c r="G699" s="193"/>
      <c r="H699" s="193"/>
      <c r="I699" s="193"/>
      <c r="J699" s="193"/>
      <c r="K699" s="193"/>
      <c r="L699" s="193"/>
      <c r="M699" s="193"/>
      <c r="N699" s="193"/>
      <c r="O699" s="193"/>
      <c r="P699" s="193"/>
      <c r="Q699" s="193"/>
      <c r="R699" s="193"/>
      <c r="S699" s="193"/>
      <c r="T699" s="193"/>
      <c r="U699" s="193"/>
      <c r="V699" s="193"/>
      <c r="W699" s="193"/>
      <c r="X699" s="193"/>
      <c r="Y699" s="193"/>
      <c r="Z699" s="193"/>
      <c r="AA699" s="193"/>
      <c r="AB699" s="193"/>
      <c r="AC699" s="193"/>
    </row>
    <row r="700" spans="1:29" ht="15.75" customHeight="1">
      <c r="A700" s="193"/>
      <c r="B700" s="193"/>
      <c r="C700" s="193"/>
      <c r="D700" s="193"/>
      <c r="E700" s="193"/>
      <c r="F700" s="193"/>
      <c r="G700" s="193"/>
      <c r="H700" s="193"/>
      <c r="I700" s="193"/>
      <c r="J700" s="193"/>
      <c r="K700" s="193"/>
      <c r="L700" s="193"/>
      <c r="M700" s="193"/>
      <c r="N700" s="193"/>
      <c r="O700" s="193"/>
      <c r="P700" s="193"/>
      <c r="Q700" s="193"/>
      <c r="R700" s="193"/>
      <c r="S700" s="193"/>
      <c r="T700" s="193"/>
      <c r="U700" s="193"/>
      <c r="V700" s="193"/>
      <c r="W700" s="193"/>
      <c r="X700" s="193"/>
      <c r="Y700" s="193"/>
      <c r="Z700" s="193"/>
      <c r="AA700" s="193"/>
      <c r="AB700" s="193"/>
      <c r="AC700" s="193"/>
    </row>
    <row r="701" spans="1:29" ht="15.75" customHeight="1">
      <c r="A701" s="193"/>
      <c r="B701" s="193"/>
      <c r="C701" s="193"/>
      <c r="D701" s="193"/>
      <c r="E701" s="193"/>
      <c r="F701" s="193"/>
      <c r="G701" s="193"/>
      <c r="H701" s="193"/>
      <c r="I701" s="193"/>
      <c r="J701" s="193"/>
      <c r="K701" s="193"/>
      <c r="L701" s="193"/>
      <c r="M701" s="193"/>
      <c r="N701" s="193"/>
      <c r="O701" s="193"/>
      <c r="P701" s="193"/>
      <c r="Q701" s="193"/>
      <c r="R701" s="193"/>
      <c r="S701" s="193"/>
      <c r="T701" s="193"/>
      <c r="U701" s="193"/>
      <c r="V701" s="193"/>
      <c r="W701" s="193"/>
      <c r="X701" s="193"/>
      <c r="Y701" s="193"/>
      <c r="Z701" s="193"/>
      <c r="AA701" s="193"/>
      <c r="AB701" s="193"/>
      <c r="AC701" s="193"/>
    </row>
    <row r="702" spans="1:29" ht="15.75" customHeight="1">
      <c r="A702" s="193"/>
      <c r="B702" s="193"/>
      <c r="C702" s="193"/>
      <c r="D702" s="193"/>
      <c r="E702" s="193"/>
      <c r="F702" s="193"/>
      <c r="G702" s="193"/>
      <c r="H702" s="193"/>
      <c r="I702" s="193"/>
      <c r="J702" s="193"/>
      <c r="K702" s="193"/>
      <c r="L702" s="193"/>
      <c r="M702" s="193"/>
      <c r="N702" s="193"/>
      <c r="O702" s="193"/>
      <c r="P702" s="193"/>
      <c r="Q702" s="193"/>
      <c r="R702" s="193"/>
      <c r="S702" s="193"/>
      <c r="T702" s="193"/>
      <c r="U702" s="193"/>
      <c r="V702" s="193"/>
      <c r="W702" s="193"/>
      <c r="X702" s="193"/>
      <c r="Y702" s="193"/>
      <c r="Z702" s="193"/>
      <c r="AA702" s="193"/>
      <c r="AB702" s="193"/>
      <c r="AC702" s="193"/>
    </row>
    <row r="703" spans="1:29" ht="15.75" customHeight="1">
      <c r="A703" s="193"/>
      <c r="B703" s="193"/>
      <c r="C703" s="193"/>
      <c r="D703" s="193"/>
      <c r="E703" s="193"/>
      <c r="F703" s="193"/>
      <c r="G703" s="193"/>
      <c r="H703" s="193"/>
      <c r="I703" s="193"/>
      <c r="J703" s="193"/>
      <c r="K703" s="193"/>
      <c r="L703" s="193"/>
      <c r="M703" s="193"/>
      <c r="N703" s="193"/>
      <c r="O703" s="193"/>
      <c r="P703" s="193"/>
      <c r="Q703" s="193"/>
      <c r="R703" s="193"/>
      <c r="S703" s="193"/>
      <c r="T703" s="193"/>
      <c r="U703" s="193"/>
      <c r="V703" s="193"/>
      <c r="W703" s="193"/>
      <c r="X703" s="193"/>
      <c r="Y703" s="193"/>
      <c r="Z703" s="193"/>
      <c r="AA703" s="193"/>
      <c r="AB703" s="193"/>
      <c r="AC703" s="193"/>
    </row>
    <row r="704" spans="1:29" ht="15.75" customHeight="1">
      <c r="A704" s="193"/>
      <c r="B704" s="193"/>
      <c r="C704" s="193"/>
      <c r="D704" s="193"/>
      <c r="E704" s="193"/>
      <c r="F704" s="193"/>
      <c r="G704" s="193"/>
      <c r="H704" s="193"/>
      <c r="I704" s="193"/>
      <c r="J704" s="193"/>
      <c r="K704" s="193"/>
      <c r="L704" s="193"/>
      <c r="M704" s="193"/>
      <c r="N704" s="193"/>
      <c r="O704" s="193"/>
      <c r="P704" s="193"/>
      <c r="Q704" s="193"/>
      <c r="R704" s="193"/>
      <c r="S704" s="193"/>
      <c r="T704" s="193"/>
      <c r="U704" s="193"/>
      <c r="V704" s="193"/>
      <c r="W704" s="193"/>
      <c r="X704" s="193"/>
      <c r="Y704" s="193"/>
      <c r="Z704" s="193"/>
      <c r="AA704" s="193"/>
      <c r="AB704" s="193"/>
      <c r="AC704" s="193"/>
    </row>
    <row r="705" spans="1:29" ht="15.75" customHeight="1">
      <c r="A705" s="193"/>
      <c r="B705" s="193"/>
      <c r="C705" s="193"/>
      <c r="D705" s="193"/>
      <c r="E705" s="193"/>
      <c r="F705" s="193"/>
      <c r="G705" s="193"/>
      <c r="H705" s="193"/>
      <c r="I705" s="193"/>
      <c r="J705" s="193"/>
      <c r="K705" s="193"/>
      <c r="L705" s="193"/>
      <c r="M705" s="193"/>
      <c r="N705" s="193"/>
      <c r="O705" s="193"/>
      <c r="P705" s="193"/>
      <c r="Q705" s="193"/>
      <c r="R705" s="193"/>
      <c r="S705" s="193"/>
      <c r="T705" s="193"/>
      <c r="U705" s="193"/>
      <c r="V705" s="193"/>
      <c r="W705" s="193"/>
      <c r="X705" s="193"/>
      <c r="Y705" s="193"/>
      <c r="Z705" s="193"/>
      <c r="AA705" s="193"/>
      <c r="AB705" s="193"/>
      <c r="AC705" s="193"/>
    </row>
    <row r="706" spans="1:29" ht="15.75" customHeight="1">
      <c r="A706" s="193"/>
      <c r="B706" s="193"/>
      <c r="C706" s="193"/>
      <c r="D706" s="193"/>
      <c r="E706" s="193"/>
      <c r="F706" s="193"/>
      <c r="G706" s="193"/>
      <c r="H706" s="193"/>
      <c r="I706" s="193"/>
      <c r="J706" s="193"/>
      <c r="K706" s="193"/>
      <c r="L706" s="193"/>
      <c r="M706" s="193"/>
      <c r="N706" s="193"/>
      <c r="O706" s="193"/>
      <c r="P706" s="193"/>
      <c r="Q706" s="193"/>
      <c r="R706" s="193"/>
      <c r="S706" s="193"/>
      <c r="T706" s="193"/>
      <c r="U706" s="193"/>
      <c r="V706" s="193"/>
      <c r="W706" s="193"/>
      <c r="X706" s="193"/>
      <c r="Y706" s="193"/>
      <c r="Z706" s="193"/>
      <c r="AA706" s="193"/>
      <c r="AB706" s="193"/>
      <c r="AC706" s="193"/>
    </row>
    <row r="707" spans="1:29" ht="15.75" customHeight="1">
      <c r="A707" s="193"/>
      <c r="B707" s="193"/>
      <c r="C707" s="193"/>
      <c r="D707" s="193"/>
      <c r="E707" s="193"/>
      <c r="F707" s="193"/>
      <c r="G707" s="193"/>
      <c r="H707" s="193"/>
      <c r="I707" s="193"/>
      <c r="J707" s="193"/>
      <c r="K707" s="193"/>
      <c r="L707" s="193"/>
      <c r="M707" s="193"/>
      <c r="N707" s="193"/>
      <c r="O707" s="193"/>
      <c r="P707" s="193"/>
      <c r="Q707" s="193"/>
      <c r="R707" s="193"/>
      <c r="S707" s="193"/>
      <c r="T707" s="193"/>
      <c r="U707" s="193"/>
      <c r="V707" s="193"/>
      <c r="W707" s="193"/>
      <c r="X707" s="193"/>
      <c r="Y707" s="193"/>
      <c r="Z707" s="193"/>
      <c r="AA707" s="193"/>
      <c r="AB707" s="193"/>
      <c r="AC707" s="193"/>
    </row>
    <row r="708" spans="1:29" ht="15.75" customHeight="1">
      <c r="A708" s="193"/>
      <c r="B708" s="193"/>
      <c r="C708" s="193"/>
      <c r="D708" s="193"/>
      <c r="E708" s="193"/>
      <c r="F708" s="193"/>
      <c r="G708" s="193"/>
      <c r="H708" s="193"/>
      <c r="I708" s="193"/>
      <c r="J708" s="193"/>
      <c r="K708" s="193"/>
      <c r="L708" s="193"/>
      <c r="M708" s="193"/>
      <c r="N708" s="193"/>
      <c r="O708" s="193"/>
      <c r="P708" s="193"/>
      <c r="Q708" s="193"/>
      <c r="R708" s="193"/>
      <c r="S708" s="193"/>
      <c r="T708" s="193"/>
      <c r="U708" s="193"/>
      <c r="V708" s="193"/>
      <c r="W708" s="193"/>
      <c r="X708" s="193"/>
      <c r="Y708" s="193"/>
      <c r="Z708" s="193"/>
      <c r="AA708" s="193"/>
      <c r="AB708" s="193"/>
      <c r="AC708" s="193"/>
    </row>
    <row r="709" spans="1:29" ht="15.75" customHeight="1">
      <c r="A709" s="193"/>
      <c r="B709" s="193"/>
      <c r="C709" s="193"/>
      <c r="D709" s="193"/>
      <c r="E709" s="193"/>
      <c r="F709" s="193"/>
      <c r="G709" s="193"/>
      <c r="H709" s="193"/>
      <c r="I709" s="193"/>
      <c r="J709" s="193"/>
      <c r="K709" s="193"/>
      <c r="L709" s="193"/>
      <c r="M709" s="193"/>
      <c r="N709" s="193"/>
      <c r="O709" s="193"/>
      <c r="P709" s="193"/>
      <c r="Q709" s="193"/>
      <c r="R709" s="193"/>
      <c r="S709" s="193"/>
      <c r="T709" s="193"/>
      <c r="U709" s="193"/>
      <c r="V709" s="193"/>
      <c r="W709" s="193"/>
      <c r="X709" s="193"/>
      <c r="Y709" s="193"/>
      <c r="Z709" s="193"/>
      <c r="AA709" s="193"/>
      <c r="AB709" s="193"/>
      <c r="AC709" s="193"/>
    </row>
    <row r="710" spans="1:29" ht="15.75" customHeight="1">
      <c r="A710" s="193"/>
      <c r="B710" s="193"/>
      <c r="C710" s="193"/>
      <c r="D710" s="193"/>
      <c r="E710" s="193"/>
      <c r="F710" s="193"/>
      <c r="G710" s="193"/>
      <c r="H710" s="193"/>
      <c r="I710" s="193"/>
      <c r="J710" s="193"/>
      <c r="K710" s="193"/>
      <c r="L710" s="193"/>
      <c r="M710" s="193"/>
      <c r="N710" s="193"/>
      <c r="O710" s="193"/>
      <c r="P710" s="193"/>
      <c r="Q710" s="193"/>
      <c r="R710" s="193"/>
      <c r="S710" s="193"/>
      <c r="T710" s="193"/>
      <c r="U710" s="193"/>
      <c r="V710" s="193"/>
      <c r="W710" s="193"/>
      <c r="X710" s="193"/>
      <c r="Y710" s="193"/>
      <c r="Z710" s="193"/>
      <c r="AA710" s="193"/>
      <c r="AB710" s="193"/>
      <c r="AC710" s="193"/>
    </row>
    <row r="711" spans="1:29" ht="15.75" customHeight="1">
      <c r="A711" s="193"/>
      <c r="B711" s="193"/>
      <c r="C711" s="193"/>
      <c r="D711" s="193"/>
      <c r="E711" s="193"/>
      <c r="F711" s="193"/>
      <c r="G711" s="193"/>
      <c r="H711" s="193"/>
      <c r="I711" s="193"/>
      <c r="J711" s="193"/>
      <c r="K711" s="193"/>
      <c r="L711" s="193"/>
      <c r="M711" s="193"/>
      <c r="N711" s="193"/>
      <c r="O711" s="193"/>
      <c r="P711" s="193"/>
      <c r="Q711" s="193"/>
      <c r="R711" s="193"/>
      <c r="S711" s="193"/>
      <c r="T711" s="193"/>
      <c r="U711" s="193"/>
      <c r="V711" s="193"/>
      <c r="W711" s="193"/>
      <c r="X711" s="193"/>
      <c r="Y711" s="193"/>
      <c r="Z711" s="193"/>
      <c r="AA711" s="193"/>
      <c r="AB711" s="193"/>
      <c r="AC711" s="193"/>
    </row>
    <row r="712" spans="1:29" ht="15.75" customHeight="1">
      <c r="A712" s="193"/>
      <c r="B712" s="193"/>
      <c r="C712" s="193"/>
      <c r="D712" s="193"/>
      <c r="E712" s="193"/>
      <c r="F712" s="193"/>
      <c r="G712" s="193"/>
      <c r="H712" s="193"/>
      <c r="I712" s="193"/>
      <c r="J712" s="193"/>
      <c r="K712" s="193"/>
      <c r="L712" s="193"/>
      <c r="M712" s="193"/>
      <c r="N712" s="193"/>
      <c r="O712" s="193"/>
      <c r="P712" s="193"/>
      <c r="Q712" s="193"/>
      <c r="R712" s="193"/>
      <c r="S712" s="193"/>
      <c r="T712" s="193"/>
      <c r="U712" s="193"/>
      <c r="V712" s="193"/>
      <c r="W712" s="193"/>
      <c r="X712" s="193"/>
      <c r="Y712" s="193"/>
      <c r="Z712" s="193"/>
      <c r="AA712" s="193"/>
      <c r="AB712" s="193"/>
      <c r="AC712" s="193"/>
    </row>
    <row r="713" spans="1:29" ht="15.75" customHeight="1">
      <c r="A713" s="193"/>
      <c r="B713" s="193"/>
      <c r="C713" s="193"/>
      <c r="D713" s="193"/>
      <c r="E713" s="193"/>
      <c r="F713" s="193"/>
      <c r="G713" s="193"/>
      <c r="H713" s="193"/>
      <c r="I713" s="193"/>
      <c r="J713" s="193"/>
      <c r="K713" s="193"/>
      <c r="L713" s="193"/>
      <c r="M713" s="193"/>
      <c r="N713" s="193"/>
      <c r="O713" s="193"/>
      <c r="P713" s="193"/>
      <c r="Q713" s="193"/>
      <c r="R713" s="193"/>
      <c r="S713" s="193"/>
      <c r="T713" s="193"/>
      <c r="U713" s="193"/>
      <c r="V713" s="193"/>
      <c r="W713" s="193"/>
      <c r="X713" s="193"/>
      <c r="Y713" s="193"/>
      <c r="Z713" s="193"/>
      <c r="AA713" s="193"/>
      <c r="AB713" s="193"/>
      <c r="AC713" s="193"/>
    </row>
    <row r="714" spans="1:29" ht="15.75" customHeight="1">
      <c r="A714" s="193"/>
      <c r="B714" s="193"/>
      <c r="C714" s="193"/>
      <c r="D714" s="193"/>
      <c r="E714" s="193"/>
      <c r="F714" s="193"/>
      <c r="G714" s="193"/>
      <c r="H714" s="193"/>
      <c r="I714" s="193"/>
      <c r="J714" s="193"/>
      <c r="K714" s="193"/>
      <c r="L714" s="193"/>
      <c r="M714" s="193"/>
      <c r="N714" s="193"/>
      <c r="O714" s="193"/>
      <c r="P714" s="193"/>
      <c r="Q714" s="193"/>
      <c r="R714" s="193"/>
      <c r="S714" s="193"/>
      <c r="T714" s="193"/>
      <c r="U714" s="193"/>
      <c r="V714" s="193"/>
      <c r="W714" s="193"/>
      <c r="X714" s="193"/>
      <c r="Y714" s="193"/>
      <c r="Z714" s="193"/>
      <c r="AA714" s="193"/>
      <c r="AB714" s="193"/>
      <c r="AC714" s="193"/>
    </row>
    <row r="715" spans="1:29" ht="15.75" customHeight="1">
      <c r="A715" s="193"/>
      <c r="B715" s="193"/>
      <c r="C715" s="193"/>
      <c r="D715" s="193"/>
      <c r="E715" s="193"/>
      <c r="F715" s="193"/>
      <c r="G715" s="193"/>
      <c r="H715" s="193"/>
      <c r="I715" s="193"/>
      <c r="J715" s="193"/>
      <c r="K715" s="193"/>
      <c r="L715" s="193"/>
      <c r="M715" s="193"/>
      <c r="N715" s="193"/>
      <c r="O715" s="193"/>
      <c r="P715" s="193"/>
      <c r="Q715" s="193"/>
      <c r="R715" s="193"/>
      <c r="S715" s="193"/>
      <c r="T715" s="193"/>
      <c r="U715" s="193"/>
      <c r="V715" s="193"/>
      <c r="W715" s="193"/>
      <c r="X715" s="193"/>
      <c r="Y715" s="193"/>
      <c r="Z715" s="193"/>
      <c r="AA715" s="193"/>
      <c r="AB715" s="193"/>
      <c r="AC715" s="193"/>
    </row>
    <row r="716" spans="1:29" ht="15.75" customHeight="1">
      <c r="A716" s="193"/>
      <c r="B716" s="193"/>
      <c r="C716" s="193"/>
      <c r="D716" s="193"/>
      <c r="E716" s="193"/>
      <c r="F716" s="193"/>
      <c r="G716" s="193"/>
      <c r="H716" s="193"/>
      <c r="I716" s="193"/>
      <c r="J716" s="193"/>
      <c r="K716" s="193"/>
      <c r="L716" s="193"/>
      <c r="M716" s="193"/>
      <c r="N716" s="193"/>
      <c r="O716" s="193"/>
      <c r="P716" s="193"/>
      <c r="Q716" s="193"/>
      <c r="R716" s="193"/>
      <c r="S716" s="193"/>
      <c r="T716" s="193"/>
      <c r="U716" s="193"/>
      <c r="V716" s="193"/>
      <c r="W716" s="193"/>
      <c r="X716" s="193"/>
      <c r="Y716" s="193"/>
      <c r="Z716" s="193"/>
      <c r="AA716" s="193"/>
      <c r="AB716" s="193"/>
      <c r="AC716" s="193"/>
    </row>
    <row r="717" spans="1:29" ht="15.75" customHeight="1">
      <c r="A717" s="193"/>
      <c r="B717" s="193"/>
      <c r="C717" s="193"/>
      <c r="D717" s="193"/>
      <c r="E717" s="193"/>
      <c r="F717" s="193"/>
      <c r="G717" s="193"/>
      <c r="H717" s="193"/>
      <c r="I717" s="193"/>
      <c r="J717" s="193"/>
      <c r="K717" s="193"/>
      <c r="L717" s="193"/>
      <c r="M717" s="193"/>
      <c r="N717" s="193"/>
      <c r="O717" s="193"/>
      <c r="P717" s="193"/>
      <c r="Q717" s="193"/>
      <c r="R717" s="193"/>
      <c r="S717" s="193"/>
      <c r="T717" s="193"/>
      <c r="U717" s="193"/>
      <c r="V717" s="193"/>
      <c r="W717" s="193"/>
      <c r="X717" s="193"/>
      <c r="Y717" s="193"/>
      <c r="Z717" s="193"/>
      <c r="AA717" s="193"/>
      <c r="AB717" s="193"/>
      <c r="AC717" s="193"/>
    </row>
    <row r="718" spans="1:29" ht="15.75" customHeight="1">
      <c r="A718" s="193"/>
      <c r="B718" s="193"/>
      <c r="C718" s="193"/>
      <c r="D718" s="193"/>
      <c r="E718" s="193"/>
      <c r="F718" s="193"/>
      <c r="G718" s="193"/>
      <c r="H718" s="193"/>
      <c r="I718" s="193"/>
      <c r="J718" s="193"/>
      <c r="K718" s="193"/>
      <c r="L718" s="193"/>
      <c r="M718" s="193"/>
      <c r="N718" s="193"/>
      <c r="O718" s="193"/>
      <c r="P718" s="193"/>
      <c r="Q718" s="193"/>
      <c r="R718" s="193"/>
      <c r="S718" s="193"/>
      <c r="T718" s="193"/>
      <c r="U718" s="193"/>
      <c r="V718" s="193"/>
      <c r="W718" s="193"/>
      <c r="X718" s="193"/>
      <c r="Y718" s="193"/>
      <c r="Z718" s="193"/>
      <c r="AA718" s="193"/>
      <c r="AB718" s="193"/>
      <c r="AC718" s="193"/>
    </row>
    <row r="719" spans="1:29" ht="15.75" customHeight="1">
      <c r="A719" s="193"/>
      <c r="B719" s="193"/>
      <c r="C719" s="193"/>
      <c r="D719" s="193"/>
      <c r="E719" s="193"/>
      <c r="F719" s="193"/>
      <c r="G719" s="193"/>
      <c r="H719" s="193"/>
      <c r="I719" s="193"/>
      <c r="J719" s="193"/>
      <c r="K719" s="193"/>
      <c r="L719" s="193"/>
      <c r="M719" s="193"/>
      <c r="N719" s="193"/>
      <c r="O719" s="193"/>
      <c r="P719" s="193"/>
      <c r="Q719" s="193"/>
      <c r="R719" s="193"/>
      <c r="S719" s="193"/>
      <c r="T719" s="193"/>
      <c r="U719" s="193"/>
      <c r="V719" s="193"/>
      <c r="W719" s="193"/>
      <c r="X719" s="193"/>
      <c r="Y719" s="193"/>
      <c r="Z719" s="193"/>
      <c r="AA719" s="193"/>
      <c r="AB719" s="193"/>
      <c r="AC719" s="193"/>
    </row>
    <row r="720" spans="1:29" ht="15.75" customHeight="1">
      <c r="A720" s="193"/>
      <c r="B720" s="193"/>
      <c r="C720" s="193"/>
      <c r="D720" s="193"/>
      <c r="E720" s="193"/>
      <c r="F720" s="193"/>
      <c r="G720" s="193"/>
      <c r="H720" s="193"/>
      <c r="I720" s="193"/>
      <c r="J720" s="193"/>
      <c r="K720" s="193"/>
      <c r="L720" s="193"/>
      <c r="M720" s="193"/>
      <c r="N720" s="193"/>
      <c r="O720" s="193"/>
      <c r="P720" s="193"/>
      <c r="Q720" s="193"/>
      <c r="R720" s="193"/>
      <c r="S720" s="193"/>
      <c r="T720" s="193"/>
      <c r="U720" s="193"/>
      <c r="V720" s="193"/>
      <c r="W720" s="193"/>
      <c r="X720" s="193"/>
      <c r="Y720" s="193"/>
      <c r="Z720" s="193"/>
      <c r="AA720" s="193"/>
      <c r="AB720" s="193"/>
      <c r="AC720" s="193"/>
    </row>
    <row r="721" spans="1:29" ht="15.75" customHeight="1">
      <c r="A721" s="193"/>
      <c r="B721" s="193"/>
      <c r="C721" s="193"/>
      <c r="D721" s="193"/>
      <c r="E721" s="193"/>
      <c r="F721" s="193"/>
      <c r="G721" s="193"/>
      <c r="H721" s="193"/>
      <c r="I721" s="193"/>
      <c r="J721" s="193"/>
      <c r="K721" s="193"/>
      <c r="L721" s="193"/>
      <c r="M721" s="193"/>
      <c r="N721" s="193"/>
      <c r="O721" s="193"/>
      <c r="P721" s="193"/>
      <c r="Q721" s="193"/>
      <c r="R721" s="193"/>
      <c r="S721" s="193"/>
      <c r="T721" s="193"/>
      <c r="U721" s="193"/>
      <c r="V721" s="193"/>
      <c r="W721" s="193"/>
      <c r="X721" s="193"/>
      <c r="Y721" s="193"/>
      <c r="Z721" s="193"/>
      <c r="AA721" s="193"/>
      <c r="AB721" s="193"/>
      <c r="AC721" s="193"/>
    </row>
    <row r="722" spans="1:29" ht="15.75" customHeight="1">
      <c r="A722" s="193"/>
      <c r="B722" s="193"/>
      <c r="C722" s="193"/>
      <c r="D722" s="193"/>
      <c r="E722" s="193"/>
      <c r="F722" s="193"/>
      <c r="G722" s="193"/>
      <c r="H722" s="193"/>
      <c r="I722" s="193"/>
      <c r="J722" s="193"/>
      <c r="K722" s="193"/>
      <c r="L722" s="193"/>
      <c r="M722" s="193"/>
      <c r="N722" s="193"/>
      <c r="O722" s="193"/>
      <c r="P722" s="193"/>
      <c r="Q722" s="193"/>
      <c r="R722" s="193"/>
      <c r="S722" s="193"/>
      <c r="T722" s="193"/>
      <c r="U722" s="193"/>
      <c r="V722" s="193"/>
      <c r="W722" s="193"/>
      <c r="X722" s="193"/>
      <c r="Y722" s="193"/>
      <c r="Z722" s="193"/>
      <c r="AA722" s="193"/>
      <c r="AB722" s="193"/>
      <c r="AC722" s="193"/>
    </row>
    <row r="723" spans="1:29" ht="15.75" customHeight="1">
      <c r="A723" s="193"/>
      <c r="B723" s="193"/>
      <c r="C723" s="193"/>
      <c r="D723" s="193"/>
      <c r="E723" s="193"/>
      <c r="F723" s="193"/>
      <c r="G723" s="193"/>
      <c r="H723" s="193"/>
      <c r="I723" s="193"/>
      <c r="J723" s="193"/>
      <c r="K723" s="193"/>
      <c r="L723" s="193"/>
      <c r="M723" s="193"/>
      <c r="N723" s="193"/>
      <c r="O723" s="193"/>
      <c r="P723" s="193"/>
      <c r="Q723" s="193"/>
      <c r="R723" s="193"/>
      <c r="S723" s="193"/>
      <c r="T723" s="193"/>
      <c r="U723" s="193"/>
      <c r="V723" s="193"/>
      <c r="W723" s="193"/>
      <c r="X723" s="193"/>
      <c r="Y723" s="193"/>
      <c r="Z723" s="193"/>
      <c r="AA723" s="193"/>
      <c r="AB723" s="193"/>
      <c r="AC723" s="193"/>
    </row>
    <row r="724" spans="1:29" ht="15.75" customHeight="1">
      <c r="A724" s="193"/>
      <c r="B724" s="193"/>
      <c r="C724" s="193"/>
      <c r="D724" s="193"/>
      <c r="E724" s="193"/>
      <c r="F724" s="193"/>
      <c r="G724" s="193"/>
      <c r="H724" s="193"/>
      <c r="I724" s="193"/>
      <c r="J724" s="193"/>
      <c r="K724" s="193"/>
      <c r="L724" s="193"/>
      <c r="M724" s="193"/>
      <c r="N724" s="193"/>
      <c r="O724" s="193"/>
      <c r="P724" s="193"/>
      <c r="Q724" s="193"/>
      <c r="R724" s="193"/>
      <c r="S724" s="193"/>
      <c r="T724" s="193"/>
      <c r="U724" s="193"/>
      <c r="V724" s="193"/>
      <c r="W724" s="193"/>
      <c r="X724" s="193"/>
      <c r="Y724" s="193"/>
      <c r="Z724" s="193"/>
      <c r="AA724" s="193"/>
      <c r="AB724" s="193"/>
      <c r="AC724" s="193"/>
    </row>
    <row r="725" spans="1:29" ht="15.75" customHeight="1">
      <c r="A725" s="193"/>
      <c r="B725" s="193"/>
      <c r="C725" s="193"/>
      <c r="D725" s="193"/>
      <c r="E725" s="193"/>
      <c r="F725" s="193"/>
      <c r="G725" s="193"/>
      <c r="H725" s="193"/>
      <c r="I725" s="193"/>
      <c r="J725" s="193"/>
      <c r="K725" s="193"/>
      <c r="L725" s="193"/>
      <c r="M725" s="193"/>
      <c r="N725" s="193"/>
      <c r="O725" s="193"/>
      <c r="P725" s="193"/>
      <c r="Q725" s="193"/>
      <c r="R725" s="193"/>
      <c r="S725" s="193"/>
      <c r="T725" s="193"/>
      <c r="U725" s="193"/>
      <c r="V725" s="193"/>
      <c r="W725" s="193"/>
      <c r="X725" s="193"/>
      <c r="Y725" s="193"/>
      <c r="Z725" s="193"/>
      <c r="AA725" s="193"/>
      <c r="AB725" s="193"/>
      <c r="AC725" s="193"/>
    </row>
    <row r="726" spans="1:29" ht="15.75" customHeight="1">
      <c r="A726" s="193"/>
      <c r="B726" s="193"/>
      <c r="C726" s="193"/>
      <c r="D726" s="193"/>
      <c r="E726" s="193"/>
      <c r="F726" s="193"/>
      <c r="G726" s="193"/>
      <c r="H726" s="193"/>
      <c r="I726" s="193"/>
      <c r="J726" s="193"/>
      <c r="K726" s="193"/>
      <c r="L726" s="193"/>
      <c r="M726" s="193"/>
      <c r="N726" s="193"/>
      <c r="O726" s="193"/>
      <c r="P726" s="193"/>
      <c r="Q726" s="193"/>
      <c r="R726" s="193"/>
      <c r="S726" s="193"/>
      <c r="T726" s="193"/>
      <c r="U726" s="193"/>
      <c r="V726" s="193"/>
      <c r="W726" s="193"/>
      <c r="X726" s="193"/>
      <c r="Y726" s="193"/>
      <c r="Z726" s="193"/>
      <c r="AA726" s="193"/>
      <c r="AB726" s="193"/>
      <c r="AC726" s="193"/>
    </row>
    <row r="727" spans="1:29" ht="15.75" customHeight="1">
      <c r="A727" s="193"/>
      <c r="B727" s="193"/>
      <c r="C727" s="193"/>
      <c r="D727" s="193"/>
      <c r="E727" s="193"/>
      <c r="F727" s="193"/>
      <c r="G727" s="193"/>
      <c r="H727" s="193"/>
      <c r="I727" s="193"/>
      <c r="J727" s="193"/>
      <c r="K727" s="193"/>
      <c r="L727" s="193"/>
      <c r="M727" s="193"/>
      <c r="N727" s="193"/>
      <c r="O727" s="193"/>
      <c r="P727" s="193"/>
      <c r="Q727" s="193"/>
      <c r="R727" s="193"/>
      <c r="S727" s="193"/>
      <c r="T727" s="193"/>
      <c r="U727" s="193"/>
      <c r="V727" s="193"/>
      <c r="W727" s="193"/>
      <c r="X727" s="193"/>
      <c r="Y727" s="193"/>
      <c r="Z727" s="193"/>
      <c r="AA727" s="193"/>
      <c r="AB727" s="193"/>
      <c r="AC727" s="193"/>
    </row>
    <row r="728" spans="1:29" ht="15.75" customHeight="1">
      <c r="A728" s="193"/>
      <c r="B728" s="193"/>
      <c r="C728" s="193"/>
      <c r="D728" s="193"/>
      <c r="E728" s="193"/>
      <c r="F728" s="193"/>
      <c r="G728" s="193"/>
      <c r="H728" s="193"/>
      <c r="I728" s="193"/>
      <c r="J728" s="193"/>
      <c r="K728" s="193"/>
      <c r="L728" s="193"/>
      <c r="M728" s="193"/>
      <c r="N728" s="193"/>
      <c r="O728" s="193"/>
      <c r="P728" s="193"/>
      <c r="Q728" s="193"/>
      <c r="R728" s="193"/>
      <c r="S728" s="193"/>
      <c r="T728" s="193"/>
      <c r="U728" s="193"/>
      <c r="V728" s="193"/>
      <c r="W728" s="193"/>
      <c r="X728" s="193"/>
      <c r="Y728" s="193"/>
      <c r="Z728" s="193"/>
      <c r="AA728" s="193"/>
      <c r="AB728" s="193"/>
      <c r="AC728" s="193"/>
    </row>
    <row r="729" spans="1:29" ht="15.75" customHeight="1">
      <c r="A729" s="193"/>
      <c r="B729" s="193"/>
      <c r="C729" s="193"/>
      <c r="D729" s="193"/>
      <c r="E729" s="193"/>
      <c r="F729" s="193"/>
      <c r="G729" s="193"/>
      <c r="H729" s="193"/>
      <c r="I729" s="193"/>
      <c r="J729" s="193"/>
      <c r="K729" s="193"/>
      <c r="L729" s="193"/>
      <c r="M729" s="193"/>
      <c r="N729" s="193"/>
      <c r="O729" s="193"/>
      <c r="P729" s="193"/>
      <c r="Q729" s="193"/>
      <c r="R729" s="193"/>
      <c r="S729" s="193"/>
      <c r="T729" s="193"/>
      <c r="U729" s="193"/>
      <c r="V729" s="193"/>
      <c r="W729" s="193"/>
      <c r="X729" s="193"/>
      <c r="Y729" s="193"/>
      <c r="Z729" s="193"/>
      <c r="AA729" s="193"/>
      <c r="AB729" s="193"/>
      <c r="AC729" s="193"/>
    </row>
    <row r="730" spans="1:29" ht="15.75" customHeight="1">
      <c r="A730" s="193"/>
      <c r="B730" s="193"/>
      <c r="C730" s="193"/>
      <c r="D730" s="193"/>
      <c r="E730" s="193"/>
      <c r="F730" s="193"/>
      <c r="G730" s="193"/>
      <c r="H730" s="193"/>
      <c r="I730" s="193"/>
      <c r="J730" s="193"/>
      <c r="K730" s="193"/>
      <c r="L730" s="193"/>
      <c r="M730" s="193"/>
      <c r="N730" s="193"/>
      <c r="O730" s="193"/>
      <c r="P730" s="193"/>
      <c r="Q730" s="193"/>
      <c r="R730" s="193"/>
      <c r="S730" s="193"/>
      <c r="T730" s="193"/>
      <c r="U730" s="193"/>
      <c r="V730" s="193"/>
      <c r="W730" s="193"/>
      <c r="X730" s="193"/>
      <c r="Y730" s="193"/>
      <c r="Z730" s="193"/>
      <c r="AA730" s="193"/>
      <c r="AB730" s="193"/>
      <c r="AC730" s="193"/>
    </row>
    <row r="731" spans="1:29" ht="15.75" customHeight="1">
      <c r="A731" s="193"/>
      <c r="B731" s="193"/>
      <c r="C731" s="193"/>
      <c r="D731" s="193"/>
      <c r="E731" s="193"/>
      <c r="F731" s="193"/>
      <c r="G731" s="193"/>
      <c r="H731" s="193"/>
      <c r="I731" s="193"/>
      <c r="J731" s="193"/>
      <c r="K731" s="193"/>
      <c r="L731" s="193"/>
      <c r="M731" s="193"/>
      <c r="N731" s="193"/>
      <c r="O731" s="193"/>
      <c r="P731" s="193"/>
      <c r="Q731" s="193"/>
      <c r="R731" s="193"/>
      <c r="S731" s="193"/>
      <c r="T731" s="193"/>
      <c r="U731" s="193"/>
      <c r="V731" s="193"/>
      <c r="W731" s="193"/>
      <c r="X731" s="193"/>
      <c r="Y731" s="193"/>
      <c r="Z731" s="193"/>
      <c r="AA731" s="193"/>
      <c r="AB731" s="193"/>
      <c r="AC731" s="193"/>
    </row>
    <row r="732" spans="1:29" ht="15.75" customHeight="1">
      <c r="A732" s="193"/>
      <c r="B732" s="193"/>
      <c r="C732" s="193"/>
      <c r="D732" s="193"/>
      <c r="E732" s="193"/>
      <c r="F732" s="193"/>
      <c r="G732" s="193"/>
      <c r="H732" s="193"/>
      <c r="I732" s="193"/>
      <c r="J732" s="193"/>
      <c r="K732" s="193"/>
      <c r="L732" s="193"/>
      <c r="M732" s="193"/>
      <c r="N732" s="193"/>
      <c r="O732" s="193"/>
      <c r="P732" s="193"/>
      <c r="Q732" s="193"/>
      <c r="R732" s="193"/>
      <c r="S732" s="193"/>
      <c r="T732" s="193"/>
      <c r="U732" s="193"/>
      <c r="V732" s="193"/>
      <c r="W732" s="193"/>
      <c r="X732" s="193"/>
      <c r="Y732" s="193"/>
      <c r="Z732" s="193"/>
      <c r="AA732" s="193"/>
      <c r="AB732" s="193"/>
      <c r="AC732" s="193"/>
    </row>
    <row r="733" spans="1:29" ht="15.75" customHeight="1">
      <c r="A733" s="193"/>
      <c r="B733" s="193"/>
      <c r="C733" s="193"/>
      <c r="D733" s="193"/>
      <c r="E733" s="193"/>
      <c r="F733" s="193"/>
      <c r="G733" s="193"/>
      <c r="H733" s="193"/>
      <c r="I733" s="193"/>
      <c r="J733" s="193"/>
      <c r="K733" s="193"/>
      <c r="L733" s="193"/>
      <c r="M733" s="193"/>
      <c r="N733" s="193"/>
      <c r="O733" s="193"/>
      <c r="P733" s="193"/>
      <c r="Q733" s="193"/>
      <c r="R733" s="193"/>
      <c r="S733" s="193"/>
      <c r="T733" s="193"/>
      <c r="U733" s="193"/>
      <c r="V733" s="193"/>
      <c r="W733" s="193"/>
      <c r="X733" s="193"/>
      <c r="Y733" s="193"/>
      <c r="Z733" s="193"/>
      <c r="AA733" s="193"/>
      <c r="AB733" s="193"/>
      <c r="AC733" s="193"/>
    </row>
    <row r="734" spans="1:29" ht="15.75" customHeight="1">
      <c r="A734" s="193"/>
      <c r="B734" s="193"/>
      <c r="C734" s="193"/>
      <c r="D734" s="193"/>
      <c r="E734" s="193"/>
      <c r="F734" s="193"/>
      <c r="G734" s="193"/>
      <c r="H734" s="193"/>
      <c r="I734" s="193"/>
      <c r="J734" s="193"/>
      <c r="K734" s="193"/>
      <c r="L734" s="193"/>
      <c r="M734" s="193"/>
      <c r="N734" s="193"/>
      <c r="O734" s="193"/>
      <c r="P734" s="193"/>
      <c r="Q734" s="193"/>
      <c r="R734" s="193"/>
      <c r="S734" s="193"/>
      <c r="T734" s="193"/>
      <c r="U734" s="193"/>
      <c r="V734" s="193"/>
      <c r="W734" s="193"/>
      <c r="X734" s="193"/>
      <c r="Y734" s="193"/>
      <c r="Z734" s="193"/>
      <c r="AA734" s="193"/>
      <c r="AB734" s="193"/>
      <c r="AC734" s="193"/>
    </row>
    <row r="735" spans="1:29" ht="15.75" customHeight="1">
      <c r="A735" s="193"/>
      <c r="B735" s="193"/>
      <c r="C735" s="193"/>
      <c r="D735" s="193"/>
      <c r="E735" s="193"/>
      <c r="F735" s="193"/>
      <c r="G735" s="193"/>
      <c r="H735" s="193"/>
      <c r="I735" s="193"/>
      <c r="J735" s="193"/>
      <c r="K735" s="193"/>
      <c r="L735" s="193"/>
      <c r="M735" s="193"/>
      <c r="N735" s="193"/>
      <c r="O735" s="193"/>
      <c r="P735" s="193"/>
      <c r="Q735" s="193"/>
      <c r="R735" s="193"/>
      <c r="S735" s="193"/>
      <c r="T735" s="193"/>
      <c r="U735" s="193"/>
      <c r="V735" s="193"/>
      <c r="W735" s="193"/>
      <c r="X735" s="193"/>
      <c r="Y735" s="193"/>
      <c r="Z735" s="193"/>
      <c r="AA735" s="193"/>
      <c r="AB735" s="193"/>
      <c r="AC735" s="193"/>
    </row>
    <row r="736" spans="1:29" ht="15.75" customHeight="1">
      <c r="A736" s="193"/>
      <c r="B736" s="193"/>
      <c r="C736" s="193"/>
      <c r="D736" s="193"/>
      <c r="E736" s="193"/>
      <c r="F736" s="193"/>
      <c r="G736" s="193"/>
      <c r="H736" s="193"/>
      <c r="I736" s="193"/>
      <c r="J736" s="193"/>
      <c r="K736" s="193"/>
      <c r="L736" s="193"/>
      <c r="M736" s="193"/>
      <c r="N736" s="193"/>
      <c r="O736" s="193"/>
      <c r="P736" s="193"/>
      <c r="Q736" s="193"/>
      <c r="R736" s="193"/>
      <c r="S736" s="193"/>
      <c r="T736" s="193"/>
      <c r="U736" s="193"/>
      <c r="V736" s="193"/>
      <c r="W736" s="193"/>
      <c r="X736" s="193"/>
      <c r="Y736" s="193"/>
      <c r="Z736" s="193"/>
      <c r="AA736" s="193"/>
      <c r="AB736" s="193"/>
      <c r="AC736" s="193"/>
    </row>
    <row r="737" spans="1:29" ht="15.75" customHeight="1">
      <c r="A737" s="193"/>
      <c r="B737" s="193"/>
      <c r="C737" s="193"/>
      <c r="D737" s="193"/>
      <c r="E737" s="193"/>
      <c r="F737" s="193"/>
      <c r="G737" s="193"/>
      <c r="H737" s="193"/>
      <c r="I737" s="193"/>
      <c r="J737" s="193"/>
      <c r="K737" s="193"/>
      <c r="L737" s="193"/>
      <c r="M737" s="193"/>
      <c r="N737" s="193"/>
      <c r="O737" s="193"/>
      <c r="P737" s="193"/>
      <c r="Q737" s="193"/>
      <c r="R737" s="193"/>
      <c r="S737" s="193"/>
      <c r="T737" s="193"/>
      <c r="U737" s="193"/>
      <c r="V737" s="193"/>
      <c r="W737" s="193"/>
      <c r="X737" s="193"/>
      <c r="Y737" s="193"/>
      <c r="Z737" s="193"/>
      <c r="AA737" s="193"/>
      <c r="AB737" s="193"/>
      <c r="AC737" s="193"/>
    </row>
    <row r="738" spans="1:29" ht="15.75" customHeight="1">
      <c r="A738" s="193"/>
      <c r="B738" s="193"/>
      <c r="C738" s="193"/>
      <c r="D738" s="193"/>
      <c r="E738" s="193"/>
      <c r="F738" s="193"/>
      <c r="G738" s="193"/>
      <c r="H738" s="193"/>
      <c r="I738" s="193"/>
      <c r="J738" s="193"/>
      <c r="K738" s="193"/>
      <c r="L738" s="193"/>
      <c r="M738" s="193"/>
      <c r="N738" s="193"/>
      <c r="O738" s="193"/>
      <c r="P738" s="193"/>
      <c r="Q738" s="193"/>
      <c r="R738" s="193"/>
      <c r="S738" s="193"/>
      <c r="T738" s="193"/>
      <c r="U738" s="193"/>
      <c r="V738" s="193"/>
      <c r="W738" s="193"/>
      <c r="X738" s="193"/>
      <c r="Y738" s="193"/>
      <c r="Z738" s="193"/>
      <c r="AA738" s="193"/>
      <c r="AB738" s="193"/>
      <c r="AC738" s="193"/>
    </row>
    <row r="739" spans="1:29" ht="15.75" customHeight="1">
      <c r="A739" s="193"/>
      <c r="B739" s="193"/>
      <c r="C739" s="193"/>
      <c r="D739" s="193"/>
      <c r="E739" s="193"/>
      <c r="F739" s="193"/>
      <c r="G739" s="193"/>
      <c r="H739" s="193"/>
      <c r="I739" s="193"/>
      <c r="J739" s="193"/>
      <c r="K739" s="193"/>
      <c r="L739" s="193"/>
      <c r="M739" s="193"/>
      <c r="N739" s="193"/>
      <c r="O739" s="193"/>
      <c r="P739" s="193"/>
      <c r="Q739" s="193"/>
      <c r="R739" s="193"/>
      <c r="S739" s="193"/>
      <c r="T739" s="193"/>
      <c r="U739" s="193"/>
      <c r="V739" s="193"/>
      <c r="W739" s="193"/>
      <c r="X739" s="193"/>
      <c r="Y739" s="193"/>
      <c r="Z739" s="193"/>
      <c r="AA739" s="193"/>
      <c r="AB739" s="193"/>
      <c r="AC739" s="193"/>
    </row>
    <row r="740" spans="1:29" ht="15.75" customHeight="1">
      <c r="A740" s="193"/>
      <c r="B740" s="193"/>
      <c r="C740" s="193"/>
      <c r="D740" s="193"/>
      <c r="E740" s="193"/>
      <c r="F740" s="193"/>
      <c r="G740" s="193"/>
      <c r="H740" s="193"/>
      <c r="I740" s="193"/>
      <c r="J740" s="193"/>
      <c r="K740" s="193"/>
      <c r="L740" s="193"/>
      <c r="M740" s="193"/>
      <c r="N740" s="193"/>
      <c r="O740" s="193"/>
      <c r="P740" s="193"/>
      <c r="Q740" s="193"/>
      <c r="R740" s="193"/>
      <c r="S740" s="193"/>
      <c r="T740" s="193"/>
      <c r="U740" s="193"/>
      <c r="V740" s="193"/>
      <c r="W740" s="193"/>
      <c r="X740" s="193"/>
      <c r="Y740" s="193"/>
      <c r="Z740" s="193"/>
      <c r="AA740" s="193"/>
      <c r="AB740" s="193"/>
      <c r="AC740" s="193"/>
    </row>
    <row r="741" spans="1:29" ht="15.75" customHeight="1">
      <c r="A741" s="193"/>
      <c r="B741" s="193"/>
      <c r="C741" s="193"/>
      <c r="D741" s="193"/>
      <c r="E741" s="193"/>
      <c r="F741" s="193"/>
      <c r="G741" s="193"/>
      <c r="H741" s="193"/>
      <c r="I741" s="193"/>
      <c r="J741" s="193"/>
      <c r="K741" s="193"/>
      <c r="L741" s="193"/>
      <c r="M741" s="193"/>
      <c r="N741" s="193"/>
      <c r="O741" s="193"/>
      <c r="P741" s="193"/>
      <c r="Q741" s="193"/>
      <c r="R741" s="193"/>
      <c r="S741" s="193"/>
      <c r="T741" s="193"/>
      <c r="U741" s="193"/>
      <c r="V741" s="193"/>
      <c r="W741" s="193"/>
      <c r="X741" s="193"/>
      <c r="Y741" s="193"/>
      <c r="Z741" s="193"/>
      <c r="AA741" s="193"/>
      <c r="AB741" s="193"/>
      <c r="AC741" s="193"/>
    </row>
    <row r="742" spans="1:29" ht="15.75" customHeight="1">
      <c r="A742" s="193"/>
      <c r="B742" s="193"/>
      <c r="C742" s="193"/>
      <c r="D742" s="193"/>
      <c r="E742" s="193"/>
      <c r="F742" s="193"/>
      <c r="G742" s="193"/>
      <c r="H742" s="193"/>
      <c r="I742" s="193"/>
      <c r="J742" s="193"/>
      <c r="K742" s="193"/>
      <c r="L742" s="193"/>
      <c r="M742" s="193"/>
      <c r="N742" s="193"/>
      <c r="O742" s="193"/>
      <c r="P742" s="193"/>
      <c r="Q742" s="193"/>
      <c r="R742" s="193"/>
      <c r="S742" s="193"/>
      <c r="T742" s="193"/>
      <c r="U742" s="193"/>
      <c r="V742" s="193"/>
      <c r="W742" s="193"/>
      <c r="X742" s="193"/>
      <c r="Y742" s="193"/>
      <c r="Z742" s="193"/>
      <c r="AA742" s="193"/>
      <c r="AB742" s="193"/>
      <c r="AC742" s="193"/>
    </row>
    <row r="743" spans="1:29" ht="15.75" customHeight="1">
      <c r="A743" s="193"/>
      <c r="B743" s="193"/>
      <c r="C743" s="193"/>
      <c r="D743" s="193"/>
      <c r="E743" s="193"/>
      <c r="F743" s="193"/>
      <c r="G743" s="193"/>
      <c r="H743" s="193"/>
      <c r="I743" s="193"/>
      <c r="J743" s="193"/>
      <c r="K743" s="193"/>
      <c r="L743" s="193"/>
      <c r="M743" s="193"/>
      <c r="N743" s="193"/>
      <c r="O743" s="193"/>
      <c r="P743" s="193"/>
      <c r="Q743" s="193"/>
      <c r="R743" s="193"/>
      <c r="S743" s="193"/>
      <c r="T743" s="193"/>
      <c r="U743" s="193"/>
      <c r="V743" s="193"/>
      <c r="W743" s="193"/>
      <c r="X743" s="193"/>
      <c r="Y743" s="193"/>
      <c r="Z743" s="193"/>
      <c r="AA743" s="193"/>
      <c r="AB743" s="193"/>
      <c r="AC743" s="193"/>
    </row>
    <row r="744" spans="1:29" ht="15.75" customHeight="1">
      <c r="A744" s="193"/>
      <c r="B744" s="193"/>
      <c r="C744" s="193"/>
      <c r="D744" s="193"/>
      <c r="E744" s="193"/>
      <c r="F744" s="193"/>
      <c r="G744" s="193"/>
      <c r="H744" s="193"/>
      <c r="I744" s="193"/>
      <c r="J744" s="193"/>
      <c r="K744" s="193"/>
      <c r="L744" s="193"/>
      <c r="M744" s="193"/>
      <c r="N744" s="193"/>
      <c r="O744" s="193"/>
      <c r="P744" s="193"/>
      <c r="Q744" s="193"/>
      <c r="R744" s="193"/>
      <c r="S744" s="193"/>
      <c r="T744" s="193"/>
      <c r="U744" s="193"/>
      <c r="V744" s="193"/>
      <c r="W744" s="193"/>
      <c r="X744" s="193"/>
      <c r="Y744" s="193"/>
      <c r="Z744" s="193"/>
      <c r="AA744" s="193"/>
      <c r="AB744" s="193"/>
      <c r="AC744" s="193"/>
    </row>
    <row r="745" spans="1:29" ht="15.75" customHeight="1">
      <c r="A745" s="193"/>
      <c r="B745" s="193"/>
      <c r="C745" s="193"/>
      <c r="D745" s="193"/>
      <c r="E745" s="193"/>
      <c r="F745" s="193"/>
      <c r="G745" s="193"/>
      <c r="H745" s="193"/>
      <c r="I745" s="193"/>
      <c r="J745" s="193"/>
      <c r="K745" s="193"/>
      <c r="L745" s="193"/>
      <c r="M745" s="193"/>
      <c r="N745" s="193"/>
      <c r="O745" s="193"/>
      <c r="P745" s="193"/>
      <c r="Q745" s="193"/>
      <c r="R745" s="193"/>
      <c r="S745" s="193"/>
      <c r="T745" s="193"/>
      <c r="U745" s="193"/>
      <c r="V745" s="193"/>
      <c r="W745" s="193"/>
      <c r="X745" s="193"/>
      <c r="Y745" s="193"/>
      <c r="Z745" s="193"/>
      <c r="AA745" s="193"/>
      <c r="AB745" s="193"/>
      <c r="AC745" s="193"/>
    </row>
    <row r="746" spans="1:29" ht="15.75" customHeight="1">
      <c r="A746" s="193"/>
      <c r="B746" s="193"/>
      <c r="C746" s="193"/>
      <c r="D746" s="193"/>
      <c r="E746" s="193"/>
      <c r="F746" s="193"/>
      <c r="G746" s="193"/>
      <c r="H746" s="193"/>
      <c r="I746" s="193"/>
      <c r="J746" s="193"/>
      <c r="K746" s="193"/>
      <c r="L746" s="193"/>
      <c r="M746" s="193"/>
      <c r="N746" s="193"/>
      <c r="O746" s="193"/>
      <c r="P746" s="193"/>
      <c r="Q746" s="193"/>
      <c r="R746" s="193"/>
      <c r="S746" s="193"/>
      <c r="T746" s="193"/>
      <c r="U746" s="193"/>
      <c r="V746" s="193"/>
      <c r="W746" s="193"/>
      <c r="X746" s="193"/>
      <c r="Y746" s="193"/>
      <c r="Z746" s="193"/>
      <c r="AA746" s="193"/>
      <c r="AB746" s="193"/>
      <c r="AC746" s="193"/>
    </row>
    <row r="747" spans="1:29" ht="15.75" customHeight="1">
      <c r="A747" s="193"/>
      <c r="B747" s="193"/>
      <c r="C747" s="193"/>
      <c r="D747" s="193"/>
      <c r="E747" s="193"/>
      <c r="F747" s="193"/>
      <c r="G747" s="193"/>
      <c r="H747" s="193"/>
      <c r="I747" s="193"/>
      <c r="J747" s="193"/>
      <c r="K747" s="193"/>
      <c r="L747" s="193"/>
      <c r="M747" s="193"/>
      <c r="N747" s="193"/>
      <c r="O747" s="193"/>
      <c r="P747" s="193"/>
      <c r="Q747" s="193"/>
      <c r="R747" s="193"/>
      <c r="S747" s="193"/>
      <c r="T747" s="193"/>
      <c r="U747" s="193"/>
      <c r="V747" s="193"/>
      <c r="W747" s="193"/>
      <c r="X747" s="193"/>
      <c r="Y747" s="193"/>
      <c r="Z747" s="193"/>
      <c r="AA747" s="193"/>
      <c r="AB747" s="193"/>
      <c r="AC747" s="193"/>
    </row>
    <row r="748" spans="1:29" ht="15.75" customHeight="1">
      <c r="A748" s="193"/>
      <c r="B748" s="193"/>
      <c r="C748" s="193"/>
      <c r="D748" s="193"/>
      <c r="E748" s="193"/>
      <c r="F748" s="193"/>
      <c r="G748" s="193"/>
      <c r="H748" s="193"/>
      <c r="I748" s="193"/>
      <c r="J748" s="193"/>
      <c r="K748" s="193"/>
      <c r="L748" s="193"/>
      <c r="M748" s="193"/>
      <c r="N748" s="193"/>
      <c r="O748" s="193"/>
      <c r="P748" s="193"/>
      <c r="Q748" s="193"/>
      <c r="R748" s="193"/>
      <c r="S748" s="193"/>
      <c r="T748" s="193"/>
      <c r="U748" s="193"/>
      <c r="V748" s="193"/>
      <c r="W748" s="193"/>
      <c r="X748" s="193"/>
      <c r="Y748" s="193"/>
      <c r="Z748" s="193"/>
      <c r="AA748" s="193"/>
      <c r="AB748" s="193"/>
      <c r="AC748" s="193"/>
    </row>
    <row r="749" spans="1:29" ht="15.75" customHeight="1">
      <c r="A749" s="193"/>
      <c r="B749" s="193"/>
      <c r="C749" s="193"/>
      <c r="D749" s="193"/>
      <c r="E749" s="193"/>
      <c r="F749" s="193"/>
      <c r="G749" s="193"/>
      <c r="H749" s="193"/>
      <c r="I749" s="193"/>
      <c r="J749" s="193"/>
      <c r="K749" s="193"/>
      <c r="L749" s="193"/>
      <c r="M749" s="193"/>
      <c r="N749" s="193"/>
      <c r="O749" s="193"/>
      <c r="P749" s="193"/>
      <c r="Q749" s="193"/>
      <c r="R749" s="193"/>
      <c r="S749" s="193"/>
      <c r="T749" s="193"/>
      <c r="U749" s="193"/>
      <c r="V749" s="193"/>
      <c r="W749" s="193"/>
      <c r="X749" s="193"/>
      <c r="Y749" s="193"/>
      <c r="Z749" s="193"/>
      <c r="AA749" s="193"/>
      <c r="AB749" s="193"/>
      <c r="AC749" s="193"/>
    </row>
    <row r="750" spans="1:29" ht="15.75" customHeight="1">
      <c r="A750" s="193"/>
      <c r="B750" s="193"/>
      <c r="C750" s="193"/>
      <c r="D750" s="193"/>
      <c r="E750" s="193"/>
      <c r="F750" s="193"/>
      <c r="G750" s="193"/>
      <c r="H750" s="193"/>
      <c r="I750" s="193"/>
      <c r="J750" s="193"/>
      <c r="K750" s="193"/>
      <c r="L750" s="193"/>
      <c r="M750" s="193"/>
      <c r="N750" s="193"/>
      <c r="O750" s="193"/>
      <c r="P750" s="193"/>
      <c r="Q750" s="193"/>
      <c r="R750" s="193"/>
      <c r="S750" s="193"/>
      <c r="T750" s="193"/>
      <c r="U750" s="193"/>
      <c r="V750" s="193"/>
      <c r="W750" s="193"/>
      <c r="X750" s="193"/>
      <c r="Y750" s="193"/>
      <c r="Z750" s="193"/>
      <c r="AA750" s="193"/>
      <c r="AB750" s="193"/>
      <c r="AC750" s="193"/>
    </row>
    <row r="751" spans="1:29" ht="15.75" customHeight="1">
      <c r="A751" s="193"/>
      <c r="B751" s="193"/>
      <c r="C751" s="193"/>
      <c r="D751" s="193"/>
      <c r="E751" s="193"/>
      <c r="F751" s="193"/>
      <c r="G751" s="193"/>
      <c r="H751" s="193"/>
      <c r="I751" s="193"/>
      <c r="J751" s="193"/>
      <c r="K751" s="193"/>
      <c r="L751" s="193"/>
      <c r="M751" s="193"/>
      <c r="N751" s="193"/>
      <c r="O751" s="193"/>
      <c r="P751" s="193"/>
      <c r="Q751" s="193"/>
      <c r="R751" s="193"/>
      <c r="S751" s="193"/>
      <c r="T751" s="193"/>
      <c r="U751" s="193"/>
      <c r="V751" s="193"/>
      <c r="W751" s="193"/>
      <c r="X751" s="193"/>
      <c r="Y751" s="193"/>
      <c r="Z751" s="193"/>
      <c r="AA751" s="193"/>
      <c r="AB751" s="193"/>
      <c r="AC751" s="193"/>
    </row>
    <row r="752" spans="1:29" ht="15.75" customHeight="1">
      <c r="A752" s="193"/>
      <c r="B752" s="193"/>
      <c r="C752" s="193"/>
      <c r="D752" s="193"/>
      <c r="E752" s="193"/>
      <c r="F752" s="193"/>
      <c r="G752" s="193"/>
      <c r="H752" s="193"/>
      <c r="I752" s="193"/>
      <c r="J752" s="193"/>
      <c r="K752" s="193"/>
      <c r="L752" s="193"/>
      <c r="M752" s="193"/>
      <c r="N752" s="193"/>
      <c r="O752" s="193"/>
      <c r="P752" s="193"/>
      <c r="Q752" s="193"/>
      <c r="R752" s="193"/>
      <c r="S752" s="193"/>
      <c r="T752" s="193"/>
      <c r="U752" s="193"/>
      <c r="V752" s="193"/>
      <c r="W752" s="193"/>
      <c r="X752" s="193"/>
      <c r="Y752" s="193"/>
      <c r="Z752" s="193"/>
      <c r="AA752" s="193"/>
      <c r="AB752" s="193"/>
      <c r="AC752" s="193"/>
    </row>
    <row r="753" spans="1:29" ht="15.75" customHeight="1">
      <c r="A753" s="193"/>
      <c r="B753" s="193"/>
      <c r="C753" s="193"/>
      <c r="D753" s="193"/>
      <c r="E753" s="193"/>
      <c r="F753" s="193"/>
      <c r="G753" s="193"/>
      <c r="H753" s="193"/>
      <c r="I753" s="193"/>
      <c r="J753" s="193"/>
      <c r="K753" s="193"/>
      <c r="L753" s="193"/>
      <c r="M753" s="193"/>
      <c r="N753" s="193"/>
      <c r="O753" s="193"/>
      <c r="P753" s="193"/>
      <c r="Q753" s="193"/>
      <c r="R753" s="193"/>
      <c r="S753" s="193"/>
      <c r="T753" s="193"/>
      <c r="U753" s="193"/>
      <c r="V753" s="193"/>
      <c r="W753" s="193"/>
      <c r="X753" s="193"/>
      <c r="Y753" s="193"/>
      <c r="Z753" s="193"/>
      <c r="AA753" s="193"/>
      <c r="AB753" s="193"/>
      <c r="AC753" s="193"/>
    </row>
    <row r="754" spans="1:29" ht="15.75" customHeight="1">
      <c r="A754" s="193"/>
      <c r="B754" s="193"/>
      <c r="C754" s="193"/>
      <c r="D754" s="193"/>
      <c r="E754" s="193"/>
      <c r="F754" s="193"/>
      <c r="G754" s="193"/>
      <c r="H754" s="193"/>
      <c r="I754" s="193"/>
      <c r="J754" s="193"/>
      <c r="K754" s="193"/>
      <c r="L754" s="193"/>
      <c r="M754" s="193"/>
      <c r="N754" s="193"/>
      <c r="O754" s="193"/>
      <c r="P754" s="193"/>
      <c r="Q754" s="193"/>
      <c r="R754" s="193"/>
      <c r="S754" s="193"/>
      <c r="T754" s="193"/>
      <c r="U754" s="193"/>
      <c r="V754" s="193"/>
      <c r="W754" s="193"/>
      <c r="X754" s="193"/>
      <c r="Y754" s="193"/>
      <c r="Z754" s="193"/>
      <c r="AA754" s="193"/>
      <c r="AB754" s="193"/>
      <c r="AC754" s="193"/>
    </row>
    <row r="755" spans="1:29" ht="15.75" customHeight="1">
      <c r="A755" s="193"/>
      <c r="B755" s="193"/>
      <c r="C755" s="193"/>
      <c r="D755" s="193"/>
      <c r="E755" s="193"/>
      <c r="F755" s="193"/>
      <c r="G755" s="193"/>
      <c r="H755" s="193"/>
      <c r="I755" s="193"/>
      <c r="J755" s="193"/>
      <c r="K755" s="193"/>
      <c r="L755" s="193"/>
      <c r="M755" s="193"/>
      <c r="N755" s="193"/>
      <c r="O755" s="193"/>
      <c r="P755" s="193"/>
      <c r="Q755" s="193"/>
      <c r="R755" s="193"/>
      <c r="S755" s="193"/>
      <c r="T755" s="193"/>
      <c r="U755" s="193"/>
      <c r="V755" s="193"/>
      <c r="W755" s="193"/>
      <c r="X755" s="193"/>
      <c r="Y755" s="193"/>
      <c r="Z755" s="193"/>
      <c r="AA755" s="193"/>
      <c r="AB755" s="193"/>
      <c r="AC755" s="193"/>
    </row>
    <row r="756" spans="1:29" ht="15.75" customHeight="1">
      <c r="A756" s="193"/>
      <c r="B756" s="193"/>
      <c r="C756" s="193"/>
      <c r="D756" s="193"/>
      <c r="E756" s="193"/>
      <c r="F756" s="193"/>
      <c r="G756" s="193"/>
      <c r="H756" s="193"/>
      <c r="I756" s="193"/>
      <c r="J756" s="193"/>
      <c r="K756" s="193"/>
      <c r="L756" s="193"/>
      <c r="M756" s="193"/>
      <c r="N756" s="193"/>
      <c r="O756" s="193"/>
      <c r="P756" s="193"/>
      <c r="Q756" s="193"/>
      <c r="R756" s="193"/>
      <c r="S756" s="193"/>
      <c r="T756" s="193"/>
      <c r="U756" s="193"/>
      <c r="V756" s="193"/>
      <c r="W756" s="193"/>
      <c r="X756" s="193"/>
      <c r="Y756" s="193"/>
      <c r="Z756" s="193"/>
      <c r="AA756" s="193"/>
      <c r="AB756" s="193"/>
      <c r="AC756" s="193"/>
    </row>
    <row r="757" spans="1:29" ht="15.75" customHeight="1">
      <c r="A757" s="193"/>
      <c r="B757" s="193"/>
      <c r="C757" s="193"/>
      <c r="D757" s="193"/>
      <c r="E757" s="193"/>
      <c r="F757" s="193"/>
      <c r="G757" s="193"/>
      <c r="H757" s="193"/>
      <c r="I757" s="193"/>
      <c r="J757" s="193"/>
      <c r="K757" s="193"/>
      <c r="L757" s="193"/>
      <c r="M757" s="193"/>
      <c r="N757" s="193"/>
      <c r="O757" s="193"/>
      <c r="P757" s="193"/>
      <c r="Q757" s="193"/>
      <c r="R757" s="193"/>
      <c r="S757" s="193"/>
      <c r="T757" s="193"/>
      <c r="U757" s="193"/>
      <c r="V757" s="193"/>
      <c r="W757" s="193"/>
      <c r="X757" s="193"/>
      <c r="Y757" s="193"/>
      <c r="Z757" s="193"/>
      <c r="AA757" s="193"/>
      <c r="AB757" s="193"/>
      <c r="AC757" s="193"/>
    </row>
    <row r="758" spans="1:29" ht="15.75" customHeight="1">
      <c r="A758" s="193"/>
      <c r="B758" s="193"/>
      <c r="C758" s="193"/>
      <c r="D758" s="193"/>
      <c r="E758" s="193"/>
      <c r="F758" s="193"/>
      <c r="G758" s="193"/>
      <c r="H758" s="193"/>
      <c r="I758" s="193"/>
      <c r="J758" s="193"/>
      <c r="K758" s="193"/>
      <c r="L758" s="193"/>
      <c r="M758" s="193"/>
      <c r="N758" s="193"/>
      <c r="O758" s="193"/>
      <c r="P758" s="193"/>
      <c r="Q758" s="193"/>
      <c r="R758" s="193"/>
      <c r="S758" s="193"/>
      <c r="T758" s="193"/>
      <c r="U758" s="193"/>
      <c r="V758" s="193"/>
      <c r="W758" s="193"/>
      <c r="X758" s="193"/>
      <c r="Y758" s="193"/>
      <c r="Z758" s="193"/>
      <c r="AA758" s="193"/>
      <c r="AB758" s="193"/>
      <c r="AC758" s="193"/>
    </row>
    <row r="759" spans="1:29" ht="15.75" customHeight="1">
      <c r="A759" s="193"/>
      <c r="B759" s="193"/>
      <c r="C759" s="193"/>
      <c r="D759" s="193"/>
      <c r="E759" s="193"/>
      <c r="F759" s="193"/>
      <c r="G759" s="193"/>
      <c r="H759" s="193"/>
      <c r="I759" s="193"/>
      <c r="J759" s="193"/>
      <c r="K759" s="193"/>
      <c r="L759" s="193"/>
      <c r="M759" s="193"/>
      <c r="N759" s="193"/>
      <c r="O759" s="193"/>
      <c r="P759" s="193"/>
      <c r="Q759" s="193"/>
      <c r="R759" s="193"/>
      <c r="S759" s="193"/>
      <c r="T759" s="193"/>
      <c r="U759" s="193"/>
      <c r="V759" s="193"/>
      <c r="W759" s="193"/>
      <c r="X759" s="193"/>
      <c r="Y759" s="193"/>
      <c r="Z759" s="193"/>
      <c r="AA759" s="193"/>
      <c r="AB759" s="193"/>
      <c r="AC759" s="193"/>
    </row>
    <row r="760" spans="1:29" ht="15.75" customHeight="1">
      <c r="A760" s="193"/>
      <c r="B760" s="193"/>
      <c r="C760" s="193"/>
      <c r="D760" s="193"/>
      <c r="E760" s="193"/>
      <c r="F760" s="193"/>
      <c r="G760" s="193"/>
      <c r="H760" s="193"/>
      <c r="I760" s="193"/>
      <c r="J760" s="193"/>
      <c r="K760" s="193"/>
      <c r="L760" s="193"/>
      <c r="M760" s="193"/>
      <c r="N760" s="193"/>
      <c r="O760" s="193"/>
      <c r="P760" s="193"/>
      <c r="Q760" s="193"/>
      <c r="R760" s="193"/>
      <c r="S760" s="193"/>
      <c r="T760" s="193"/>
      <c r="U760" s="193"/>
      <c r="V760" s="193"/>
      <c r="W760" s="193"/>
      <c r="X760" s="193"/>
      <c r="Y760" s="193"/>
      <c r="Z760" s="193"/>
      <c r="AA760" s="193"/>
      <c r="AB760" s="193"/>
      <c r="AC760" s="193"/>
    </row>
    <row r="761" spans="1:29" ht="15.75" customHeight="1">
      <c r="A761" s="193"/>
      <c r="B761" s="193"/>
      <c r="C761" s="193"/>
      <c r="D761" s="193"/>
      <c r="E761" s="193"/>
      <c r="F761" s="193"/>
      <c r="G761" s="193"/>
      <c r="H761" s="193"/>
      <c r="I761" s="193"/>
      <c r="J761" s="193"/>
      <c r="K761" s="193"/>
      <c r="L761" s="193"/>
      <c r="M761" s="193"/>
      <c r="N761" s="193"/>
      <c r="O761" s="193"/>
      <c r="P761" s="193"/>
      <c r="Q761" s="193"/>
      <c r="R761" s="193"/>
      <c r="S761" s="193"/>
      <c r="T761" s="193"/>
      <c r="U761" s="193"/>
      <c r="V761" s="193"/>
      <c r="W761" s="193"/>
      <c r="X761" s="193"/>
      <c r="Y761" s="193"/>
      <c r="Z761" s="193"/>
      <c r="AA761" s="193"/>
      <c r="AB761" s="193"/>
      <c r="AC761" s="193"/>
    </row>
    <row r="762" spans="1:29" ht="15.75" customHeight="1">
      <c r="A762" s="193"/>
      <c r="B762" s="193"/>
      <c r="C762" s="193"/>
      <c r="D762" s="193"/>
      <c r="E762" s="193"/>
      <c r="F762" s="193"/>
      <c r="G762" s="193"/>
      <c r="H762" s="193"/>
      <c r="I762" s="193"/>
      <c r="J762" s="193"/>
      <c r="K762" s="193"/>
      <c r="L762" s="193"/>
      <c r="M762" s="193"/>
      <c r="N762" s="193"/>
      <c r="O762" s="193"/>
      <c r="P762" s="193"/>
      <c r="Q762" s="193"/>
      <c r="R762" s="193"/>
      <c r="S762" s="193"/>
      <c r="T762" s="193"/>
      <c r="U762" s="193"/>
      <c r="V762" s="193"/>
      <c r="W762" s="193"/>
      <c r="X762" s="193"/>
      <c r="Y762" s="193"/>
      <c r="Z762" s="193"/>
      <c r="AA762" s="193"/>
      <c r="AB762" s="193"/>
      <c r="AC762" s="193"/>
    </row>
    <row r="763" spans="1:29" ht="15.75" customHeight="1">
      <c r="A763" s="193"/>
      <c r="B763" s="193"/>
      <c r="C763" s="193"/>
      <c r="D763" s="193"/>
      <c r="E763" s="193"/>
      <c r="F763" s="193"/>
      <c r="G763" s="193"/>
      <c r="H763" s="193"/>
      <c r="I763" s="193"/>
      <c r="J763" s="193"/>
      <c r="K763" s="193"/>
      <c r="L763" s="193"/>
      <c r="M763" s="193"/>
      <c r="N763" s="193"/>
      <c r="O763" s="193"/>
      <c r="P763" s="193"/>
      <c r="Q763" s="193"/>
      <c r="R763" s="193"/>
      <c r="S763" s="193"/>
      <c r="T763" s="193"/>
      <c r="U763" s="193"/>
      <c r="V763" s="193"/>
      <c r="W763" s="193"/>
      <c r="X763" s="193"/>
      <c r="Y763" s="193"/>
      <c r="Z763" s="193"/>
      <c r="AA763" s="193"/>
      <c r="AB763" s="193"/>
      <c r="AC763" s="193"/>
    </row>
    <row r="764" spans="1:29" ht="15.75" customHeight="1">
      <c r="A764" s="193"/>
      <c r="B764" s="193"/>
      <c r="C764" s="193"/>
      <c r="D764" s="193"/>
      <c r="E764" s="193"/>
      <c r="F764" s="193"/>
      <c r="G764" s="193"/>
      <c r="H764" s="193"/>
      <c r="I764" s="193"/>
      <c r="J764" s="193"/>
      <c r="K764" s="193"/>
      <c r="L764" s="193"/>
      <c r="M764" s="193"/>
      <c r="N764" s="193"/>
      <c r="O764" s="193"/>
      <c r="P764" s="193"/>
      <c r="Q764" s="193"/>
      <c r="R764" s="193"/>
      <c r="S764" s="193"/>
      <c r="T764" s="193"/>
      <c r="U764" s="193"/>
      <c r="V764" s="193"/>
      <c r="W764" s="193"/>
      <c r="X764" s="193"/>
      <c r="Y764" s="193"/>
      <c r="Z764" s="193"/>
      <c r="AA764" s="193"/>
      <c r="AB764" s="193"/>
      <c r="AC764" s="193"/>
    </row>
    <row r="765" spans="1:29" ht="15.75" customHeight="1">
      <c r="A765" s="193"/>
      <c r="B765" s="193"/>
      <c r="C765" s="193"/>
      <c r="D765" s="193"/>
      <c r="E765" s="193"/>
      <c r="F765" s="193"/>
      <c r="G765" s="193"/>
      <c r="H765" s="193"/>
      <c r="I765" s="193"/>
      <c r="J765" s="193"/>
      <c r="K765" s="193"/>
      <c r="L765" s="193"/>
      <c r="M765" s="193"/>
      <c r="N765" s="193"/>
      <c r="O765" s="193"/>
      <c r="P765" s="193"/>
      <c r="Q765" s="193"/>
      <c r="R765" s="193"/>
      <c r="S765" s="193"/>
      <c r="T765" s="193"/>
      <c r="U765" s="193"/>
      <c r="V765" s="193"/>
      <c r="W765" s="193"/>
      <c r="X765" s="193"/>
      <c r="Y765" s="193"/>
      <c r="Z765" s="193"/>
      <c r="AA765" s="193"/>
      <c r="AB765" s="193"/>
      <c r="AC765" s="193"/>
    </row>
    <row r="766" spans="1:29" ht="15.75" customHeight="1">
      <c r="A766" s="193"/>
      <c r="B766" s="193"/>
      <c r="C766" s="193"/>
      <c r="D766" s="193"/>
      <c r="E766" s="193"/>
      <c r="F766" s="193"/>
      <c r="G766" s="193"/>
      <c r="H766" s="193"/>
      <c r="I766" s="193"/>
      <c r="J766" s="193"/>
      <c r="K766" s="193"/>
      <c r="L766" s="193"/>
      <c r="M766" s="193"/>
      <c r="N766" s="193"/>
      <c r="O766" s="193"/>
      <c r="P766" s="193"/>
      <c r="Q766" s="193"/>
      <c r="R766" s="193"/>
      <c r="S766" s="193"/>
      <c r="T766" s="193"/>
      <c r="U766" s="193"/>
      <c r="V766" s="193"/>
      <c r="W766" s="193"/>
      <c r="X766" s="193"/>
      <c r="Y766" s="193"/>
      <c r="Z766" s="193"/>
      <c r="AA766" s="193"/>
      <c r="AB766" s="193"/>
      <c r="AC766" s="193"/>
    </row>
    <row r="767" spans="1:29" ht="15.75" customHeight="1">
      <c r="A767" s="193"/>
      <c r="B767" s="193"/>
      <c r="C767" s="193"/>
      <c r="D767" s="193"/>
      <c r="E767" s="193"/>
      <c r="F767" s="193"/>
      <c r="G767" s="193"/>
      <c r="H767" s="193"/>
      <c r="I767" s="193"/>
      <c r="J767" s="193"/>
      <c r="K767" s="193"/>
      <c r="L767" s="193"/>
      <c r="M767" s="193"/>
      <c r="N767" s="193"/>
      <c r="O767" s="193"/>
      <c r="P767" s="193"/>
      <c r="Q767" s="193"/>
      <c r="R767" s="193"/>
      <c r="S767" s="193"/>
      <c r="T767" s="193"/>
      <c r="U767" s="193"/>
      <c r="V767" s="193"/>
      <c r="W767" s="193"/>
      <c r="X767" s="193"/>
      <c r="Y767" s="193"/>
      <c r="Z767" s="193"/>
      <c r="AA767" s="193"/>
      <c r="AB767" s="193"/>
      <c r="AC767" s="193"/>
    </row>
    <row r="768" spans="1:29" ht="15.75" customHeight="1">
      <c r="A768" s="193"/>
      <c r="B768" s="193"/>
      <c r="C768" s="193"/>
      <c r="D768" s="193"/>
      <c r="E768" s="193"/>
      <c r="F768" s="193"/>
      <c r="G768" s="193"/>
      <c r="H768" s="193"/>
      <c r="I768" s="193"/>
      <c r="J768" s="193"/>
      <c r="K768" s="193"/>
      <c r="L768" s="193"/>
      <c r="M768" s="193"/>
      <c r="N768" s="193"/>
      <c r="O768" s="193"/>
      <c r="P768" s="193"/>
      <c r="Q768" s="193"/>
      <c r="R768" s="193"/>
      <c r="S768" s="193"/>
      <c r="T768" s="193"/>
      <c r="U768" s="193"/>
      <c r="V768" s="193"/>
      <c r="W768" s="193"/>
      <c r="X768" s="193"/>
      <c r="Y768" s="193"/>
      <c r="Z768" s="193"/>
      <c r="AA768" s="193"/>
      <c r="AB768" s="193"/>
      <c r="AC768" s="193"/>
    </row>
    <row r="769" spans="1:29" ht="15.75" customHeight="1">
      <c r="A769" s="193"/>
      <c r="B769" s="193"/>
      <c r="C769" s="193"/>
      <c r="D769" s="193"/>
      <c r="E769" s="193"/>
      <c r="F769" s="193"/>
      <c r="G769" s="193"/>
      <c r="H769" s="193"/>
      <c r="I769" s="193"/>
      <c r="J769" s="193"/>
      <c r="K769" s="193"/>
      <c r="L769" s="193"/>
      <c r="M769" s="193"/>
      <c r="N769" s="193"/>
      <c r="O769" s="193"/>
      <c r="P769" s="193"/>
      <c r="Q769" s="193"/>
      <c r="R769" s="193"/>
      <c r="S769" s="193"/>
      <c r="T769" s="193"/>
      <c r="U769" s="193"/>
      <c r="V769" s="193"/>
      <c r="W769" s="193"/>
      <c r="X769" s="193"/>
      <c r="Y769" s="193"/>
      <c r="Z769" s="193"/>
      <c r="AA769" s="193"/>
      <c r="AB769" s="193"/>
      <c r="AC769" s="193"/>
    </row>
    <row r="770" spans="1:29" ht="15.75" customHeight="1">
      <c r="A770" s="193"/>
      <c r="B770" s="193"/>
      <c r="C770" s="193"/>
      <c r="D770" s="193"/>
      <c r="E770" s="193"/>
      <c r="F770" s="193"/>
      <c r="G770" s="193"/>
      <c r="H770" s="193"/>
      <c r="I770" s="193"/>
      <c r="J770" s="193"/>
      <c r="K770" s="193"/>
      <c r="L770" s="193"/>
      <c r="M770" s="193"/>
      <c r="N770" s="193"/>
      <c r="O770" s="193"/>
      <c r="P770" s="193"/>
      <c r="Q770" s="193"/>
      <c r="R770" s="193"/>
      <c r="S770" s="193"/>
      <c r="T770" s="193"/>
      <c r="U770" s="193"/>
      <c r="V770" s="193"/>
      <c r="W770" s="193"/>
      <c r="X770" s="193"/>
      <c r="Y770" s="193"/>
      <c r="Z770" s="193"/>
      <c r="AA770" s="193"/>
      <c r="AB770" s="193"/>
      <c r="AC770" s="193"/>
    </row>
    <row r="771" spans="1:29" ht="15.75" customHeight="1">
      <c r="A771" s="193"/>
      <c r="B771" s="193"/>
      <c r="C771" s="193"/>
      <c r="D771" s="193"/>
      <c r="E771" s="193"/>
      <c r="F771" s="193"/>
      <c r="G771" s="193"/>
      <c r="H771" s="193"/>
      <c r="I771" s="193"/>
      <c r="J771" s="193"/>
      <c r="K771" s="193"/>
      <c r="L771" s="193"/>
      <c r="M771" s="193"/>
      <c r="N771" s="193"/>
      <c r="O771" s="193"/>
      <c r="P771" s="193"/>
      <c r="Q771" s="193"/>
      <c r="R771" s="193"/>
      <c r="S771" s="193"/>
      <c r="T771" s="193"/>
      <c r="U771" s="193"/>
      <c r="V771" s="193"/>
      <c r="W771" s="193"/>
      <c r="X771" s="193"/>
      <c r="Y771" s="193"/>
      <c r="Z771" s="193"/>
      <c r="AA771" s="193"/>
      <c r="AB771" s="193"/>
      <c r="AC771" s="193"/>
    </row>
    <row r="772" spans="1:29" ht="15.75" customHeight="1">
      <c r="A772" s="193"/>
      <c r="B772" s="193"/>
      <c r="C772" s="193"/>
      <c r="D772" s="193"/>
      <c r="E772" s="193"/>
      <c r="F772" s="193"/>
      <c r="G772" s="193"/>
      <c r="H772" s="193"/>
      <c r="I772" s="193"/>
      <c r="J772" s="193"/>
      <c r="K772" s="193"/>
      <c r="L772" s="193"/>
      <c r="M772" s="193"/>
      <c r="N772" s="193"/>
      <c r="O772" s="193"/>
      <c r="P772" s="193"/>
      <c r="Q772" s="193"/>
      <c r="R772" s="193"/>
      <c r="S772" s="193"/>
      <c r="T772" s="193"/>
      <c r="U772" s="193"/>
      <c r="V772" s="193"/>
      <c r="W772" s="193"/>
      <c r="X772" s="193"/>
      <c r="Y772" s="193"/>
      <c r="Z772" s="193"/>
      <c r="AA772" s="193"/>
      <c r="AB772" s="193"/>
      <c r="AC772" s="193"/>
    </row>
    <row r="773" spans="1:29" ht="15.75" customHeight="1">
      <c r="A773" s="193"/>
      <c r="B773" s="193"/>
      <c r="C773" s="193"/>
      <c r="D773" s="193"/>
      <c r="E773" s="193"/>
      <c r="F773" s="193"/>
      <c r="G773" s="193"/>
      <c r="H773" s="193"/>
      <c r="I773" s="193"/>
      <c r="J773" s="193"/>
      <c r="K773" s="193"/>
      <c r="L773" s="193"/>
      <c r="M773" s="193"/>
      <c r="N773" s="193"/>
      <c r="O773" s="193"/>
      <c r="P773" s="193"/>
      <c r="Q773" s="193"/>
      <c r="R773" s="193"/>
      <c r="S773" s="193"/>
      <c r="T773" s="193"/>
      <c r="U773" s="193"/>
      <c r="V773" s="193"/>
      <c r="W773" s="193"/>
      <c r="X773" s="193"/>
      <c r="Y773" s="193"/>
      <c r="Z773" s="193"/>
      <c r="AA773" s="193"/>
      <c r="AB773" s="193"/>
      <c r="AC773" s="193"/>
    </row>
    <row r="774" spans="1:29" ht="15.75" customHeight="1">
      <c r="A774" s="193"/>
      <c r="B774" s="193"/>
      <c r="C774" s="193"/>
      <c r="D774" s="193"/>
      <c r="E774" s="193"/>
      <c r="F774" s="193"/>
      <c r="G774" s="193"/>
      <c r="H774" s="193"/>
      <c r="I774" s="193"/>
      <c r="J774" s="193"/>
      <c r="K774" s="193"/>
      <c r="L774" s="193"/>
      <c r="M774" s="193"/>
      <c r="N774" s="193"/>
      <c r="O774" s="193"/>
      <c r="P774" s="193"/>
      <c r="Q774" s="193"/>
      <c r="R774" s="193"/>
      <c r="S774" s="193"/>
      <c r="T774" s="193"/>
      <c r="U774" s="193"/>
      <c r="V774" s="193"/>
      <c r="W774" s="193"/>
      <c r="X774" s="193"/>
      <c r="Y774" s="193"/>
      <c r="Z774" s="193"/>
      <c r="AA774" s="193"/>
      <c r="AB774" s="193"/>
      <c r="AC774" s="193"/>
    </row>
    <row r="775" spans="1:29" ht="15.75" customHeight="1">
      <c r="A775" s="193"/>
      <c r="B775" s="193"/>
      <c r="C775" s="193"/>
      <c r="D775" s="193"/>
      <c r="E775" s="193"/>
      <c r="F775" s="193"/>
      <c r="G775" s="193"/>
      <c r="H775" s="193"/>
      <c r="I775" s="193"/>
      <c r="J775" s="193"/>
      <c r="K775" s="193"/>
      <c r="L775" s="193"/>
      <c r="M775" s="193"/>
      <c r="N775" s="193"/>
      <c r="O775" s="193"/>
      <c r="P775" s="193"/>
      <c r="Q775" s="193"/>
      <c r="R775" s="193"/>
      <c r="S775" s="193"/>
      <c r="T775" s="193"/>
      <c r="U775" s="193"/>
      <c r="V775" s="193"/>
      <c r="W775" s="193"/>
      <c r="X775" s="193"/>
      <c r="Y775" s="193"/>
      <c r="Z775" s="193"/>
      <c r="AA775" s="193"/>
      <c r="AB775" s="193"/>
      <c r="AC775" s="193"/>
    </row>
    <row r="776" spans="1:29" ht="15.75" customHeight="1">
      <c r="A776" s="193"/>
      <c r="B776" s="193"/>
      <c r="C776" s="193"/>
      <c r="D776" s="193"/>
      <c r="E776" s="193"/>
      <c r="F776" s="193"/>
      <c r="G776" s="193"/>
      <c r="H776" s="193"/>
      <c r="I776" s="193"/>
      <c r="J776" s="193"/>
      <c r="K776" s="193"/>
      <c r="L776" s="193"/>
      <c r="M776" s="193"/>
      <c r="N776" s="193"/>
      <c r="O776" s="193"/>
      <c r="P776" s="193"/>
      <c r="Q776" s="193"/>
      <c r="R776" s="193"/>
      <c r="S776" s="193"/>
      <c r="T776" s="193"/>
      <c r="U776" s="193"/>
      <c r="V776" s="193"/>
      <c r="W776" s="193"/>
      <c r="X776" s="193"/>
      <c r="Y776" s="193"/>
      <c r="Z776" s="193"/>
      <c r="AA776" s="193"/>
      <c r="AB776" s="193"/>
      <c r="AC776" s="193"/>
    </row>
    <row r="777" spans="1:29" ht="15.75" customHeight="1">
      <c r="A777" s="193"/>
      <c r="B777" s="193"/>
      <c r="C777" s="193"/>
      <c r="D777" s="193"/>
      <c r="E777" s="193"/>
      <c r="F777" s="193"/>
      <c r="G777" s="193"/>
      <c r="H777" s="193"/>
      <c r="I777" s="193"/>
      <c r="J777" s="193"/>
      <c r="K777" s="193"/>
      <c r="L777" s="193"/>
      <c r="M777" s="193"/>
      <c r="N777" s="193"/>
      <c r="O777" s="193"/>
      <c r="P777" s="193"/>
      <c r="Q777" s="193"/>
      <c r="R777" s="193"/>
      <c r="S777" s="193"/>
      <c r="T777" s="193"/>
      <c r="U777" s="193"/>
      <c r="V777" s="193"/>
      <c r="W777" s="193"/>
      <c r="X777" s="193"/>
      <c r="Y777" s="193"/>
      <c r="Z777" s="193"/>
      <c r="AA777" s="193"/>
      <c r="AB777" s="193"/>
      <c r="AC777" s="193"/>
    </row>
    <row r="778" spans="1:29" ht="15.75" customHeight="1">
      <c r="A778" s="193"/>
      <c r="B778" s="193"/>
      <c r="C778" s="193"/>
      <c r="D778" s="193"/>
      <c r="E778" s="193"/>
      <c r="F778" s="193"/>
      <c r="G778" s="193"/>
      <c r="H778" s="193"/>
      <c r="I778" s="193"/>
      <c r="J778" s="193"/>
      <c r="K778" s="193"/>
      <c r="L778" s="193"/>
      <c r="M778" s="193"/>
      <c r="N778" s="193"/>
      <c r="O778" s="193"/>
      <c r="P778" s="193"/>
      <c r="Q778" s="193"/>
      <c r="R778" s="193"/>
      <c r="S778" s="193"/>
      <c r="T778" s="193"/>
      <c r="U778" s="193"/>
      <c r="V778" s="193"/>
      <c r="W778" s="193"/>
      <c r="X778" s="193"/>
      <c r="Y778" s="193"/>
      <c r="Z778" s="193"/>
      <c r="AA778" s="193"/>
      <c r="AB778" s="193"/>
      <c r="AC778" s="193"/>
    </row>
    <row r="779" spans="1:29" ht="15.75" customHeight="1">
      <c r="A779" s="193"/>
      <c r="B779" s="193"/>
      <c r="C779" s="193"/>
      <c r="D779" s="193"/>
      <c r="E779" s="193"/>
      <c r="F779" s="193"/>
      <c r="G779" s="193"/>
      <c r="H779" s="193"/>
      <c r="I779" s="193"/>
      <c r="J779" s="193"/>
      <c r="K779" s="193"/>
      <c r="L779" s="193"/>
      <c r="M779" s="193"/>
      <c r="N779" s="193"/>
      <c r="O779" s="193"/>
      <c r="P779" s="193"/>
      <c r="Q779" s="193"/>
      <c r="R779" s="193"/>
      <c r="S779" s="193"/>
      <c r="T779" s="193"/>
      <c r="U779" s="193"/>
      <c r="V779" s="193"/>
      <c r="W779" s="193"/>
      <c r="X779" s="193"/>
      <c r="Y779" s="193"/>
      <c r="Z779" s="193"/>
      <c r="AA779" s="193"/>
      <c r="AB779" s="193"/>
      <c r="AC779" s="193"/>
    </row>
    <row r="780" spans="1:29" ht="15.75" customHeight="1">
      <c r="A780" s="193"/>
      <c r="B780" s="193"/>
      <c r="C780" s="193"/>
      <c r="D780" s="193"/>
      <c r="E780" s="193"/>
      <c r="F780" s="193"/>
      <c r="G780" s="193"/>
      <c r="H780" s="193"/>
      <c r="I780" s="193"/>
      <c r="J780" s="193"/>
      <c r="K780" s="193"/>
      <c r="L780" s="193"/>
      <c r="M780" s="193"/>
      <c r="N780" s="193"/>
      <c r="O780" s="193"/>
      <c r="P780" s="193"/>
      <c r="Q780" s="193"/>
      <c r="R780" s="193"/>
      <c r="S780" s="193"/>
      <c r="T780" s="193"/>
      <c r="U780" s="193"/>
      <c r="V780" s="193"/>
      <c r="W780" s="193"/>
      <c r="X780" s="193"/>
      <c r="Y780" s="193"/>
      <c r="Z780" s="193"/>
      <c r="AA780" s="193"/>
      <c r="AB780" s="193"/>
      <c r="AC780" s="193"/>
    </row>
    <row r="781" spans="1:29" ht="15.75" customHeight="1">
      <c r="A781" s="193"/>
      <c r="B781" s="193"/>
      <c r="C781" s="193"/>
      <c r="D781" s="193"/>
      <c r="E781" s="193"/>
      <c r="F781" s="193"/>
      <c r="G781" s="193"/>
      <c r="H781" s="193"/>
      <c r="I781" s="193"/>
      <c r="J781" s="193"/>
      <c r="K781" s="193"/>
      <c r="L781" s="193"/>
      <c r="M781" s="193"/>
      <c r="N781" s="193"/>
      <c r="O781" s="193"/>
      <c r="P781" s="193"/>
      <c r="Q781" s="193"/>
      <c r="R781" s="193"/>
      <c r="S781" s="193"/>
      <c r="T781" s="193"/>
      <c r="U781" s="193"/>
      <c r="V781" s="193"/>
      <c r="W781" s="193"/>
      <c r="X781" s="193"/>
      <c r="Y781" s="193"/>
      <c r="Z781" s="193"/>
      <c r="AA781" s="193"/>
      <c r="AB781" s="193"/>
      <c r="AC781" s="193"/>
    </row>
    <row r="782" spans="1:29" ht="15.75" customHeight="1">
      <c r="A782" s="193"/>
      <c r="B782" s="193"/>
      <c r="C782" s="193"/>
      <c r="D782" s="193"/>
      <c r="E782" s="193"/>
      <c r="F782" s="193"/>
      <c r="G782" s="193"/>
      <c r="H782" s="193"/>
      <c r="I782" s="193"/>
      <c r="J782" s="193"/>
      <c r="K782" s="193"/>
      <c r="L782" s="193"/>
      <c r="M782" s="193"/>
      <c r="N782" s="193"/>
      <c r="O782" s="193"/>
      <c r="P782" s="193"/>
      <c r="Q782" s="193"/>
      <c r="R782" s="193"/>
      <c r="S782" s="193"/>
      <c r="T782" s="193"/>
      <c r="U782" s="193"/>
      <c r="V782" s="193"/>
      <c r="W782" s="193"/>
      <c r="X782" s="193"/>
      <c r="Y782" s="193"/>
      <c r="Z782" s="193"/>
      <c r="AA782" s="193"/>
      <c r="AB782" s="193"/>
      <c r="AC782" s="193"/>
    </row>
    <row r="783" spans="1:29" ht="15.75" customHeight="1">
      <c r="A783" s="193"/>
      <c r="B783" s="193"/>
      <c r="C783" s="193"/>
      <c r="D783" s="193"/>
      <c r="E783" s="193"/>
      <c r="F783" s="193"/>
      <c r="G783" s="193"/>
      <c r="H783" s="193"/>
      <c r="I783" s="193"/>
      <c r="J783" s="193"/>
      <c r="K783" s="193"/>
      <c r="L783" s="193"/>
      <c r="M783" s="193"/>
      <c r="N783" s="193"/>
      <c r="O783" s="193"/>
      <c r="P783" s="193"/>
      <c r="Q783" s="193"/>
      <c r="R783" s="193"/>
      <c r="S783" s="193"/>
      <c r="T783" s="193"/>
      <c r="U783" s="193"/>
      <c r="V783" s="193"/>
      <c r="W783" s="193"/>
      <c r="X783" s="193"/>
      <c r="Y783" s="193"/>
      <c r="Z783" s="193"/>
      <c r="AA783" s="193"/>
      <c r="AB783" s="193"/>
      <c r="AC783" s="193"/>
    </row>
    <row r="784" spans="1:29" ht="15.75" customHeight="1">
      <c r="A784" s="193"/>
      <c r="B784" s="193"/>
      <c r="C784" s="193"/>
      <c r="D784" s="193"/>
      <c r="E784" s="193"/>
      <c r="F784" s="193"/>
      <c r="G784" s="193"/>
      <c r="H784" s="193"/>
      <c r="I784" s="193"/>
      <c r="J784" s="193"/>
      <c r="K784" s="193"/>
      <c r="L784" s="193"/>
      <c r="M784" s="193"/>
      <c r="N784" s="193"/>
      <c r="O784" s="193"/>
      <c r="P784" s="193"/>
      <c r="Q784" s="193"/>
      <c r="R784" s="193"/>
      <c r="S784" s="193"/>
      <c r="T784" s="193"/>
      <c r="U784" s="193"/>
      <c r="V784" s="193"/>
      <c r="W784" s="193"/>
      <c r="X784" s="193"/>
      <c r="Y784" s="193"/>
      <c r="Z784" s="193"/>
      <c r="AA784" s="193"/>
      <c r="AB784" s="193"/>
      <c r="AC784" s="193"/>
    </row>
    <row r="785" spans="1:29" ht="15.75" customHeight="1">
      <c r="A785" s="193"/>
      <c r="B785" s="193"/>
      <c r="C785" s="193"/>
      <c r="D785" s="193"/>
      <c r="E785" s="193"/>
      <c r="F785" s="193"/>
      <c r="G785" s="193"/>
      <c r="H785" s="193"/>
      <c r="I785" s="193"/>
      <c r="J785" s="193"/>
      <c r="K785" s="193"/>
      <c r="L785" s="193"/>
      <c r="M785" s="193"/>
      <c r="N785" s="193"/>
      <c r="O785" s="193"/>
      <c r="P785" s="193"/>
      <c r="Q785" s="193"/>
      <c r="R785" s="193"/>
      <c r="S785" s="193"/>
      <c r="T785" s="193"/>
      <c r="U785" s="193"/>
      <c r="V785" s="193"/>
      <c r="W785" s="193"/>
      <c r="X785" s="193"/>
      <c r="Y785" s="193"/>
      <c r="Z785" s="193"/>
      <c r="AA785" s="193"/>
      <c r="AB785" s="193"/>
      <c r="AC785" s="193"/>
    </row>
    <row r="786" spans="1:29" ht="15.75" customHeight="1">
      <c r="A786" s="193"/>
      <c r="B786" s="193"/>
      <c r="C786" s="193"/>
      <c r="D786" s="193"/>
      <c r="E786" s="193"/>
      <c r="F786" s="193"/>
      <c r="G786" s="193"/>
      <c r="H786" s="193"/>
      <c r="I786" s="193"/>
      <c r="J786" s="193"/>
      <c r="K786" s="193"/>
      <c r="L786" s="193"/>
      <c r="M786" s="193"/>
      <c r="N786" s="193"/>
      <c r="O786" s="193"/>
      <c r="P786" s="193"/>
      <c r="Q786" s="193"/>
      <c r="R786" s="193"/>
      <c r="S786" s="193"/>
      <c r="T786" s="193"/>
      <c r="U786" s="193"/>
      <c r="V786" s="193"/>
      <c r="W786" s="193"/>
      <c r="X786" s="193"/>
      <c r="Y786" s="193"/>
      <c r="Z786" s="193"/>
      <c r="AA786" s="193"/>
      <c r="AB786" s="193"/>
      <c r="AC786" s="193"/>
    </row>
    <row r="787" spans="1:29" ht="15.75" customHeight="1">
      <c r="A787" s="193"/>
      <c r="B787" s="193"/>
      <c r="C787" s="193"/>
      <c r="D787" s="193"/>
      <c r="E787" s="193"/>
      <c r="F787" s="193"/>
      <c r="G787" s="193"/>
      <c r="H787" s="193"/>
      <c r="I787" s="193"/>
      <c r="J787" s="193"/>
      <c r="K787" s="193"/>
      <c r="L787" s="193"/>
      <c r="M787" s="193"/>
      <c r="N787" s="193"/>
      <c r="O787" s="193"/>
      <c r="P787" s="193"/>
      <c r="Q787" s="193"/>
      <c r="R787" s="193"/>
      <c r="S787" s="193"/>
      <c r="T787" s="193"/>
      <c r="U787" s="193"/>
      <c r="V787" s="193"/>
      <c r="W787" s="193"/>
      <c r="X787" s="193"/>
      <c r="Y787" s="193"/>
      <c r="Z787" s="193"/>
      <c r="AA787" s="193"/>
      <c r="AB787" s="193"/>
      <c r="AC787" s="193"/>
    </row>
    <row r="788" spans="1:29" ht="15.75" customHeight="1">
      <c r="A788" s="193"/>
      <c r="B788" s="193"/>
      <c r="C788" s="193"/>
      <c r="D788" s="193"/>
      <c r="E788" s="193"/>
      <c r="F788" s="193"/>
      <c r="G788" s="193"/>
      <c r="H788" s="193"/>
      <c r="I788" s="193"/>
      <c r="J788" s="193"/>
      <c r="K788" s="193"/>
      <c r="L788" s="193"/>
      <c r="M788" s="193"/>
      <c r="N788" s="193"/>
      <c r="O788" s="193"/>
      <c r="P788" s="193"/>
      <c r="Q788" s="193"/>
      <c r="R788" s="193"/>
      <c r="S788" s="193"/>
      <c r="T788" s="193"/>
      <c r="U788" s="193"/>
      <c r="V788" s="193"/>
      <c r="W788" s="193"/>
      <c r="X788" s="193"/>
      <c r="Y788" s="193"/>
      <c r="Z788" s="193"/>
      <c r="AA788" s="193"/>
      <c r="AB788" s="193"/>
      <c r="AC788" s="193"/>
    </row>
    <row r="789" spans="1:29" ht="15.75" customHeight="1">
      <c r="A789" s="193"/>
      <c r="B789" s="193"/>
      <c r="C789" s="193"/>
      <c r="D789" s="193"/>
      <c r="E789" s="193"/>
      <c r="F789" s="193"/>
      <c r="G789" s="193"/>
      <c r="H789" s="193"/>
      <c r="I789" s="193"/>
      <c r="J789" s="193"/>
      <c r="K789" s="193"/>
      <c r="L789" s="193"/>
      <c r="M789" s="193"/>
      <c r="N789" s="193"/>
      <c r="O789" s="193"/>
      <c r="P789" s="193"/>
      <c r="Q789" s="193"/>
      <c r="R789" s="193"/>
      <c r="S789" s="193"/>
      <c r="T789" s="193"/>
      <c r="U789" s="193"/>
      <c r="V789" s="193"/>
      <c r="W789" s="193"/>
      <c r="X789" s="193"/>
      <c r="Y789" s="193"/>
      <c r="Z789" s="193"/>
      <c r="AA789" s="193"/>
      <c r="AB789" s="193"/>
      <c r="AC789" s="193"/>
    </row>
    <row r="790" spans="1:29" ht="15.75" customHeight="1">
      <c r="A790" s="193"/>
      <c r="B790" s="193"/>
      <c r="C790" s="193"/>
      <c r="D790" s="193"/>
      <c r="E790" s="193"/>
      <c r="F790" s="193"/>
      <c r="G790" s="193"/>
      <c r="H790" s="193"/>
      <c r="I790" s="193"/>
      <c r="J790" s="193"/>
      <c r="K790" s="193"/>
      <c r="L790" s="193"/>
      <c r="M790" s="193"/>
      <c r="N790" s="193"/>
      <c r="O790" s="193"/>
      <c r="P790" s="193"/>
      <c r="Q790" s="193"/>
      <c r="R790" s="193"/>
      <c r="S790" s="193"/>
      <c r="T790" s="193"/>
      <c r="U790" s="193"/>
      <c r="V790" s="193"/>
      <c r="W790" s="193"/>
      <c r="X790" s="193"/>
      <c r="Y790" s="193"/>
      <c r="Z790" s="193"/>
      <c r="AA790" s="193"/>
      <c r="AB790" s="193"/>
      <c r="AC790" s="193"/>
    </row>
    <row r="791" spans="1:29" ht="15.75" customHeight="1">
      <c r="A791" s="193"/>
      <c r="B791" s="193"/>
      <c r="C791" s="193"/>
      <c r="D791" s="193"/>
      <c r="E791" s="193"/>
      <c r="F791" s="193"/>
      <c r="G791" s="193"/>
      <c r="H791" s="193"/>
      <c r="I791" s="193"/>
      <c r="J791" s="193"/>
      <c r="K791" s="193"/>
      <c r="L791" s="193"/>
      <c r="M791" s="193"/>
      <c r="N791" s="193"/>
      <c r="O791" s="193"/>
      <c r="P791" s="193"/>
      <c r="Q791" s="193"/>
      <c r="R791" s="193"/>
      <c r="S791" s="193"/>
      <c r="T791" s="193"/>
      <c r="U791" s="193"/>
      <c r="V791" s="193"/>
      <c r="W791" s="193"/>
      <c r="X791" s="193"/>
      <c r="Y791" s="193"/>
      <c r="Z791" s="193"/>
      <c r="AA791" s="193"/>
      <c r="AB791" s="193"/>
      <c r="AC791" s="193"/>
    </row>
    <row r="792" spans="1:29" ht="15.75" customHeight="1">
      <c r="A792" s="193"/>
      <c r="B792" s="193"/>
      <c r="C792" s="193"/>
      <c r="D792" s="193"/>
      <c r="E792" s="193"/>
      <c r="F792" s="193"/>
      <c r="G792" s="193"/>
      <c r="H792" s="193"/>
      <c r="I792" s="193"/>
      <c r="J792" s="193"/>
      <c r="K792" s="193"/>
      <c r="L792" s="193"/>
      <c r="M792" s="193"/>
      <c r="N792" s="193"/>
      <c r="O792" s="193"/>
      <c r="P792" s="193"/>
      <c r="Q792" s="193"/>
      <c r="R792" s="193"/>
      <c r="S792" s="193"/>
      <c r="T792" s="193"/>
      <c r="U792" s="193"/>
      <c r="V792" s="193"/>
      <c r="W792" s="193"/>
      <c r="X792" s="193"/>
      <c r="Y792" s="193"/>
      <c r="Z792" s="193"/>
      <c r="AA792" s="193"/>
      <c r="AB792" s="193"/>
      <c r="AC792" s="193"/>
    </row>
    <row r="793" spans="1:29" ht="15.75" customHeight="1">
      <c r="A793" s="193"/>
      <c r="B793" s="193"/>
      <c r="C793" s="193"/>
      <c r="D793" s="193"/>
      <c r="E793" s="193"/>
      <c r="F793" s="193"/>
      <c r="G793" s="193"/>
      <c r="H793" s="193"/>
      <c r="I793" s="193"/>
      <c r="J793" s="193"/>
      <c r="K793" s="193"/>
      <c r="L793" s="193"/>
      <c r="M793" s="193"/>
      <c r="N793" s="193"/>
      <c r="O793" s="193"/>
      <c r="P793" s="193"/>
      <c r="Q793" s="193"/>
      <c r="R793" s="193"/>
      <c r="S793" s="193"/>
      <c r="T793" s="193"/>
      <c r="U793" s="193"/>
      <c r="V793" s="193"/>
      <c r="W793" s="193"/>
      <c r="X793" s="193"/>
      <c r="Y793" s="193"/>
      <c r="Z793" s="193"/>
      <c r="AA793" s="193"/>
      <c r="AB793" s="193"/>
      <c r="AC793" s="193"/>
    </row>
    <row r="794" spans="1:29" ht="15.75" customHeight="1">
      <c r="A794" s="193"/>
      <c r="B794" s="193"/>
      <c r="C794" s="193"/>
      <c r="D794" s="193"/>
      <c r="E794" s="193"/>
      <c r="F794" s="193"/>
      <c r="G794" s="193"/>
      <c r="H794" s="193"/>
      <c r="I794" s="193"/>
      <c r="J794" s="193"/>
      <c r="K794" s="193"/>
      <c r="L794" s="193"/>
      <c r="M794" s="193"/>
      <c r="N794" s="193"/>
      <c r="O794" s="193"/>
      <c r="P794" s="193"/>
      <c r="Q794" s="193"/>
      <c r="R794" s="193"/>
      <c r="S794" s="193"/>
      <c r="T794" s="193"/>
      <c r="U794" s="193"/>
      <c r="V794" s="193"/>
      <c r="W794" s="193"/>
      <c r="X794" s="193"/>
      <c r="Y794" s="193"/>
      <c r="Z794" s="193"/>
      <c r="AA794" s="193"/>
      <c r="AB794" s="193"/>
      <c r="AC794" s="193"/>
    </row>
    <row r="795" spans="1:29" ht="15.75" customHeight="1">
      <c r="A795" s="193"/>
      <c r="B795" s="193"/>
      <c r="C795" s="193"/>
      <c r="D795" s="193"/>
      <c r="E795" s="193"/>
      <c r="F795" s="193"/>
      <c r="G795" s="193"/>
      <c r="H795" s="193"/>
      <c r="I795" s="193"/>
      <c r="J795" s="193"/>
      <c r="K795" s="193"/>
      <c r="L795" s="193"/>
      <c r="M795" s="193"/>
      <c r="N795" s="193"/>
      <c r="O795" s="193"/>
      <c r="P795" s="193"/>
      <c r="Q795" s="193"/>
      <c r="R795" s="193"/>
      <c r="S795" s="193"/>
      <c r="T795" s="193"/>
      <c r="U795" s="193"/>
      <c r="V795" s="193"/>
      <c r="W795" s="193"/>
      <c r="X795" s="193"/>
      <c r="Y795" s="193"/>
      <c r="Z795" s="193"/>
      <c r="AA795" s="193"/>
      <c r="AB795" s="193"/>
      <c r="AC795" s="193"/>
    </row>
    <row r="796" spans="1:29" ht="15.75" customHeight="1">
      <c r="A796" s="193"/>
      <c r="B796" s="193"/>
      <c r="C796" s="193"/>
      <c r="D796" s="193"/>
      <c r="E796" s="193"/>
      <c r="F796" s="193"/>
      <c r="G796" s="193"/>
      <c r="H796" s="193"/>
      <c r="I796" s="193"/>
      <c r="J796" s="193"/>
      <c r="K796" s="193"/>
      <c r="L796" s="193"/>
      <c r="M796" s="193"/>
      <c r="N796" s="193"/>
      <c r="O796" s="193"/>
      <c r="P796" s="193"/>
      <c r="Q796" s="193"/>
      <c r="R796" s="193"/>
      <c r="S796" s="193"/>
      <c r="T796" s="193"/>
      <c r="U796" s="193"/>
      <c r="V796" s="193"/>
      <c r="W796" s="193"/>
      <c r="X796" s="193"/>
      <c r="Y796" s="193"/>
      <c r="Z796" s="193"/>
      <c r="AA796" s="193"/>
      <c r="AB796" s="193"/>
      <c r="AC796" s="193"/>
    </row>
    <row r="797" spans="1:29" ht="15.75" customHeight="1">
      <c r="A797" s="193"/>
      <c r="B797" s="193"/>
      <c r="C797" s="193"/>
      <c r="D797" s="193"/>
      <c r="E797" s="193"/>
      <c r="F797" s="193"/>
      <c r="G797" s="193"/>
      <c r="H797" s="193"/>
      <c r="I797" s="193"/>
      <c r="J797" s="193"/>
      <c r="K797" s="193"/>
      <c r="L797" s="193"/>
      <c r="M797" s="193"/>
      <c r="N797" s="193"/>
      <c r="O797" s="193"/>
      <c r="P797" s="193"/>
      <c r="Q797" s="193"/>
      <c r="R797" s="193"/>
      <c r="S797" s="193"/>
      <c r="T797" s="193"/>
      <c r="U797" s="193"/>
      <c r="V797" s="193"/>
      <c r="W797" s="193"/>
      <c r="X797" s="193"/>
      <c r="Y797" s="193"/>
      <c r="Z797" s="193"/>
      <c r="AA797" s="193"/>
      <c r="AB797" s="193"/>
      <c r="AC797" s="193"/>
    </row>
    <row r="798" spans="1:29" ht="15.75" customHeight="1">
      <c r="A798" s="193"/>
      <c r="B798" s="193"/>
      <c r="C798" s="193"/>
      <c r="D798" s="193"/>
      <c r="E798" s="193"/>
      <c r="F798" s="193"/>
      <c r="G798" s="193"/>
      <c r="H798" s="193"/>
      <c r="I798" s="193"/>
      <c r="J798" s="193"/>
      <c r="K798" s="193"/>
      <c r="L798" s="193"/>
      <c r="M798" s="193"/>
      <c r="N798" s="193"/>
      <c r="O798" s="193"/>
      <c r="P798" s="193"/>
      <c r="Q798" s="193"/>
      <c r="R798" s="193"/>
      <c r="S798" s="193"/>
      <c r="T798" s="193"/>
      <c r="U798" s="193"/>
      <c r="V798" s="193"/>
      <c r="W798" s="193"/>
      <c r="X798" s="193"/>
      <c r="Y798" s="193"/>
      <c r="Z798" s="193"/>
      <c r="AA798" s="193"/>
      <c r="AB798" s="193"/>
      <c r="AC798" s="193"/>
    </row>
    <row r="799" spans="1:29" ht="15.75" customHeight="1">
      <c r="A799" s="193"/>
      <c r="B799" s="193"/>
      <c r="C799" s="193"/>
      <c r="D799" s="193"/>
      <c r="E799" s="193"/>
      <c r="F799" s="193"/>
      <c r="G799" s="193"/>
      <c r="H799" s="193"/>
      <c r="I799" s="193"/>
      <c r="J799" s="193"/>
      <c r="K799" s="193"/>
      <c r="L799" s="193"/>
      <c r="M799" s="193"/>
      <c r="N799" s="193"/>
      <c r="O799" s="193"/>
      <c r="P799" s="193"/>
      <c r="Q799" s="193"/>
      <c r="R799" s="193"/>
      <c r="S799" s="193"/>
      <c r="T799" s="193"/>
      <c r="U799" s="193"/>
      <c r="V799" s="193"/>
      <c r="W799" s="193"/>
      <c r="X799" s="193"/>
      <c r="Y799" s="193"/>
      <c r="Z799" s="193"/>
      <c r="AA799" s="193"/>
      <c r="AB799" s="193"/>
      <c r="AC799" s="193"/>
    </row>
    <row r="800" spans="1:29" ht="15.75" customHeight="1">
      <c r="A800" s="193"/>
      <c r="B800" s="193"/>
      <c r="C800" s="193"/>
      <c r="D800" s="193"/>
      <c r="E800" s="193"/>
      <c r="F800" s="193"/>
      <c r="G800" s="193"/>
      <c r="H800" s="193"/>
      <c r="I800" s="193"/>
      <c r="J800" s="193"/>
      <c r="K800" s="193"/>
      <c r="L800" s="193"/>
      <c r="M800" s="193"/>
      <c r="N800" s="193"/>
      <c r="O800" s="193"/>
      <c r="P800" s="193"/>
      <c r="Q800" s="193"/>
      <c r="R800" s="193"/>
      <c r="S800" s="193"/>
      <c r="T800" s="193"/>
      <c r="U800" s="193"/>
      <c r="V800" s="193"/>
      <c r="W800" s="193"/>
      <c r="X800" s="193"/>
      <c r="Y800" s="193"/>
      <c r="Z800" s="193"/>
      <c r="AA800" s="193"/>
      <c r="AB800" s="193"/>
      <c r="AC800" s="193"/>
    </row>
    <row r="801" spans="1:29" ht="15.75" customHeight="1">
      <c r="A801" s="193"/>
      <c r="B801" s="193"/>
      <c r="C801" s="193"/>
      <c r="D801" s="193"/>
      <c r="E801" s="193"/>
      <c r="F801" s="193"/>
      <c r="G801" s="193"/>
      <c r="H801" s="193"/>
      <c r="I801" s="193"/>
      <c r="J801" s="193"/>
      <c r="K801" s="193"/>
      <c r="L801" s="193"/>
      <c r="M801" s="193"/>
      <c r="N801" s="193"/>
      <c r="O801" s="193"/>
      <c r="P801" s="193"/>
      <c r="Q801" s="193"/>
      <c r="R801" s="193"/>
      <c r="S801" s="193"/>
      <c r="T801" s="193"/>
      <c r="U801" s="193"/>
      <c r="V801" s="193"/>
      <c r="W801" s="193"/>
      <c r="X801" s="193"/>
      <c r="Y801" s="193"/>
      <c r="Z801" s="193"/>
      <c r="AA801" s="193"/>
      <c r="AB801" s="193"/>
      <c r="AC801" s="193"/>
    </row>
    <row r="802" spans="1:29" ht="15.75" customHeight="1">
      <c r="A802" s="193"/>
      <c r="B802" s="193"/>
      <c r="C802" s="193"/>
      <c r="D802" s="193"/>
      <c r="E802" s="193"/>
      <c r="F802" s="193"/>
      <c r="G802" s="193"/>
      <c r="H802" s="193"/>
      <c r="I802" s="193"/>
      <c r="J802" s="193"/>
      <c r="K802" s="193"/>
      <c r="L802" s="193"/>
      <c r="M802" s="193"/>
      <c r="N802" s="193"/>
      <c r="O802" s="193"/>
      <c r="P802" s="193"/>
      <c r="Q802" s="193"/>
      <c r="R802" s="193"/>
      <c r="S802" s="193"/>
      <c r="T802" s="193"/>
      <c r="U802" s="193"/>
      <c r="V802" s="193"/>
      <c r="W802" s="193"/>
      <c r="X802" s="193"/>
      <c r="Y802" s="193"/>
      <c r="Z802" s="193"/>
      <c r="AA802" s="193"/>
      <c r="AB802" s="193"/>
      <c r="AC802" s="193"/>
    </row>
    <row r="803" spans="1:29" ht="15.75" customHeight="1">
      <c r="A803" s="193"/>
      <c r="B803" s="193"/>
      <c r="C803" s="193"/>
      <c r="D803" s="193"/>
      <c r="E803" s="193"/>
      <c r="F803" s="193"/>
      <c r="G803" s="193"/>
      <c r="H803" s="193"/>
      <c r="I803" s="193"/>
      <c r="J803" s="193"/>
      <c r="K803" s="193"/>
      <c r="L803" s="193"/>
      <c r="M803" s="193"/>
      <c r="N803" s="193"/>
      <c r="O803" s="193"/>
      <c r="P803" s="193"/>
      <c r="Q803" s="193"/>
      <c r="R803" s="193"/>
      <c r="S803" s="193"/>
      <c r="T803" s="193"/>
      <c r="U803" s="193"/>
      <c r="V803" s="193"/>
      <c r="W803" s="193"/>
      <c r="X803" s="193"/>
      <c r="Y803" s="193"/>
      <c r="Z803" s="193"/>
      <c r="AA803" s="193"/>
      <c r="AB803" s="193"/>
      <c r="AC803" s="193"/>
    </row>
    <row r="804" spans="1:29" ht="15.75" customHeight="1">
      <c r="A804" s="193"/>
      <c r="B804" s="193"/>
      <c r="C804" s="193"/>
      <c r="D804" s="193"/>
      <c r="E804" s="193"/>
      <c r="F804" s="193"/>
      <c r="G804" s="193"/>
      <c r="H804" s="193"/>
      <c r="I804" s="193"/>
      <c r="J804" s="193"/>
      <c r="K804" s="193"/>
      <c r="L804" s="193"/>
      <c r="M804" s="193"/>
      <c r="N804" s="193"/>
      <c r="O804" s="193"/>
      <c r="P804" s="193"/>
      <c r="Q804" s="193"/>
      <c r="R804" s="193"/>
      <c r="S804" s="193"/>
      <c r="T804" s="193"/>
      <c r="U804" s="193"/>
      <c r="V804" s="193"/>
      <c r="W804" s="193"/>
      <c r="X804" s="193"/>
      <c r="Y804" s="193"/>
      <c r="Z804" s="193"/>
      <c r="AA804" s="193"/>
      <c r="AB804" s="193"/>
      <c r="AC804" s="193"/>
    </row>
    <row r="805" spans="1:29" ht="15.75" customHeight="1">
      <c r="A805" s="193"/>
      <c r="B805" s="193"/>
      <c r="C805" s="193"/>
      <c r="D805" s="193"/>
      <c r="E805" s="193"/>
      <c r="F805" s="193"/>
      <c r="G805" s="193"/>
      <c r="H805" s="193"/>
      <c r="I805" s="193"/>
      <c r="J805" s="193"/>
      <c r="K805" s="193"/>
      <c r="L805" s="193"/>
      <c r="M805" s="193"/>
      <c r="N805" s="193"/>
      <c r="O805" s="193"/>
      <c r="P805" s="193"/>
      <c r="Q805" s="193"/>
      <c r="R805" s="193"/>
      <c r="S805" s="193"/>
      <c r="T805" s="193"/>
      <c r="U805" s="193"/>
      <c r="V805" s="193"/>
      <c r="W805" s="193"/>
      <c r="X805" s="193"/>
      <c r="Y805" s="193"/>
      <c r="Z805" s="193"/>
      <c r="AA805" s="193"/>
      <c r="AB805" s="193"/>
      <c r="AC805" s="193"/>
    </row>
    <row r="806" spans="1:29" ht="15.75" customHeight="1">
      <c r="A806" s="193"/>
      <c r="B806" s="193"/>
      <c r="C806" s="193"/>
      <c r="D806" s="193"/>
      <c r="E806" s="193"/>
      <c r="F806" s="193"/>
      <c r="G806" s="193"/>
      <c r="H806" s="193"/>
      <c r="I806" s="193"/>
      <c r="J806" s="193"/>
      <c r="K806" s="193"/>
      <c r="L806" s="193"/>
      <c r="M806" s="193"/>
      <c r="N806" s="193"/>
      <c r="O806" s="193"/>
      <c r="P806" s="193"/>
      <c r="Q806" s="193"/>
      <c r="R806" s="193"/>
      <c r="S806" s="193"/>
      <c r="T806" s="193"/>
      <c r="U806" s="193"/>
      <c r="V806" s="193"/>
      <c r="W806" s="193"/>
      <c r="X806" s="193"/>
      <c r="Y806" s="193"/>
      <c r="Z806" s="193"/>
      <c r="AA806" s="193"/>
      <c r="AB806" s="193"/>
      <c r="AC806" s="193"/>
    </row>
    <row r="807" spans="1:29" ht="15.75" customHeight="1">
      <c r="A807" s="193"/>
      <c r="B807" s="193"/>
      <c r="C807" s="193"/>
      <c r="D807" s="193"/>
      <c r="E807" s="193"/>
      <c r="F807" s="193"/>
      <c r="G807" s="193"/>
      <c r="H807" s="193"/>
      <c r="I807" s="193"/>
      <c r="J807" s="193"/>
      <c r="K807" s="193"/>
      <c r="L807" s="193"/>
      <c r="M807" s="193"/>
      <c r="N807" s="193"/>
      <c r="O807" s="193"/>
      <c r="P807" s="193"/>
      <c r="Q807" s="193"/>
      <c r="R807" s="193"/>
      <c r="S807" s="193"/>
      <c r="T807" s="193"/>
      <c r="U807" s="193"/>
      <c r="V807" s="193"/>
      <c r="W807" s="193"/>
      <c r="X807" s="193"/>
      <c r="Y807" s="193"/>
      <c r="Z807" s="193"/>
      <c r="AA807" s="193"/>
      <c r="AB807" s="193"/>
      <c r="AC807" s="193"/>
    </row>
    <row r="808" spans="1:29" ht="15.75" customHeight="1">
      <c r="A808" s="193"/>
      <c r="B808" s="193"/>
      <c r="C808" s="193"/>
      <c r="D808" s="193"/>
      <c r="E808" s="193"/>
      <c r="F808" s="193"/>
      <c r="G808" s="193"/>
      <c r="H808" s="193"/>
      <c r="I808" s="193"/>
      <c r="J808" s="193"/>
      <c r="K808" s="193"/>
      <c r="L808" s="193"/>
      <c r="M808" s="193"/>
      <c r="N808" s="193"/>
      <c r="O808" s="193"/>
      <c r="P808" s="193"/>
      <c r="Q808" s="193"/>
      <c r="R808" s="193"/>
      <c r="S808" s="193"/>
      <c r="T808" s="193"/>
      <c r="U808" s="193"/>
      <c r="V808" s="193"/>
      <c r="W808" s="193"/>
      <c r="X808" s="193"/>
      <c r="Y808" s="193"/>
      <c r="Z808" s="193"/>
      <c r="AA808" s="193"/>
      <c r="AB808" s="193"/>
      <c r="AC808" s="193"/>
    </row>
    <row r="809" spans="1:29" ht="15.75" customHeight="1">
      <c r="A809" s="193"/>
      <c r="B809" s="193"/>
      <c r="C809" s="193"/>
      <c r="D809" s="193"/>
      <c r="E809" s="193"/>
      <c r="F809" s="193"/>
      <c r="G809" s="193"/>
      <c r="H809" s="193"/>
      <c r="I809" s="193"/>
      <c r="J809" s="193"/>
      <c r="K809" s="193"/>
      <c r="L809" s="193"/>
      <c r="M809" s="193"/>
      <c r="N809" s="193"/>
      <c r="O809" s="193"/>
      <c r="P809" s="193"/>
      <c r="Q809" s="193"/>
      <c r="R809" s="193"/>
      <c r="S809" s="193"/>
      <c r="T809" s="193"/>
      <c r="U809" s="193"/>
      <c r="V809" s="193"/>
      <c r="W809" s="193"/>
      <c r="X809" s="193"/>
      <c r="Y809" s="193"/>
      <c r="Z809" s="193"/>
      <c r="AA809" s="193"/>
      <c r="AB809" s="193"/>
      <c r="AC809" s="193"/>
    </row>
    <row r="810" spans="1:29" ht="15.75" customHeight="1">
      <c r="A810" s="193"/>
      <c r="B810" s="193"/>
      <c r="C810" s="193"/>
      <c r="D810" s="193"/>
      <c r="E810" s="193"/>
      <c r="F810" s="193"/>
      <c r="G810" s="193"/>
      <c r="H810" s="193"/>
      <c r="I810" s="193"/>
      <c r="J810" s="193"/>
      <c r="K810" s="193"/>
      <c r="L810" s="193"/>
      <c r="M810" s="193"/>
      <c r="N810" s="193"/>
      <c r="O810" s="193"/>
      <c r="P810" s="193"/>
      <c r="Q810" s="193"/>
      <c r="R810" s="193"/>
      <c r="S810" s="193"/>
      <c r="T810" s="193"/>
      <c r="U810" s="193"/>
      <c r="V810" s="193"/>
      <c r="W810" s="193"/>
      <c r="X810" s="193"/>
      <c r="Y810" s="193"/>
      <c r="Z810" s="193"/>
      <c r="AA810" s="193"/>
      <c r="AB810" s="193"/>
      <c r="AC810" s="193"/>
    </row>
    <row r="811" spans="1:29" ht="15.75" customHeight="1">
      <c r="A811" s="193"/>
      <c r="B811" s="193"/>
      <c r="C811" s="193"/>
      <c r="D811" s="193"/>
      <c r="E811" s="193"/>
      <c r="F811" s="193"/>
      <c r="G811" s="193"/>
      <c r="H811" s="193"/>
      <c r="I811" s="193"/>
      <c r="J811" s="193"/>
      <c r="K811" s="193"/>
      <c r="L811" s="193"/>
      <c r="M811" s="193"/>
      <c r="N811" s="193"/>
      <c r="O811" s="193"/>
      <c r="P811" s="193"/>
      <c r="Q811" s="193"/>
      <c r="R811" s="193"/>
      <c r="S811" s="193"/>
      <c r="T811" s="193"/>
      <c r="U811" s="193"/>
      <c r="V811" s="193"/>
      <c r="W811" s="193"/>
      <c r="X811" s="193"/>
      <c r="Y811" s="193"/>
      <c r="Z811" s="193"/>
      <c r="AA811" s="193"/>
      <c r="AB811" s="193"/>
      <c r="AC811" s="193"/>
    </row>
    <row r="812" spans="1:29" ht="15.75" customHeight="1">
      <c r="A812" s="193"/>
      <c r="B812" s="193"/>
      <c r="C812" s="193"/>
      <c r="D812" s="193"/>
      <c r="E812" s="193"/>
      <c r="F812" s="193"/>
      <c r="G812" s="193"/>
      <c r="H812" s="193"/>
      <c r="I812" s="193"/>
      <c r="J812" s="193"/>
      <c r="K812" s="193"/>
      <c r="L812" s="193"/>
      <c r="M812" s="193"/>
      <c r="N812" s="193"/>
      <c r="O812" s="193"/>
      <c r="P812" s="193"/>
      <c r="Q812" s="193"/>
      <c r="R812" s="193"/>
      <c r="S812" s="193"/>
      <c r="T812" s="193"/>
      <c r="U812" s="193"/>
      <c r="V812" s="193"/>
      <c r="W812" s="193"/>
      <c r="X812" s="193"/>
      <c r="Y812" s="193"/>
      <c r="Z812" s="193"/>
      <c r="AA812" s="193"/>
      <c r="AB812" s="193"/>
      <c r="AC812" s="193"/>
    </row>
    <row r="813" spans="1:29" ht="15.75" customHeight="1">
      <c r="A813" s="193"/>
      <c r="B813" s="193"/>
      <c r="C813" s="193"/>
      <c r="D813" s="193"/>
      <c r="E813" s="193"/>
      <c r="F813" s="193"/>
      <c r="G813" s="193"/>
      <c r="H813" s="193"/>
      <c r="I813" s="193"/>
      <c r="J813" s="193"/>
      <c r="K813" s="193"/>
      <c r="L813" s="193"/>
      <c r="M813" s="193"/>
      <c r="N813" s="193"/>
      <c r="O813" s="193"/>
      <c r="P813" s="193"/>
      <c r="Q813" s="193"/>
      <c r="R813" s="193"/>
      <c r="S813" s="193"/>
      <c r="T813" s="193"/>
      <c r="U813" s="193"/>
      <c r="V813" s="193"/>
      <c r="W813" s="193"/>
      <c r="X813" s="193"/>
      <c r="Y813" s="193"/>
      <c r="Z813" s="193"/>
      <c r="AA813" s="193"/>
      <c r="AB813" s="193"/>
      <c r="AC813" s="193"/>
    </row>
    <row r="814" spans="1:29" ht="15.75" customHeight="1">
      <c r="A814" s="193"/>
      <c r="B814" s="193"/>
      <c r="C814" s="193"/>
      <c r="D814" s="193"/>
      <c r="E814" s="193"/>
      <c r="F814" s="193"/>
      <c r="G814" s="193"/>
      <c r="H814" s="193"/>
      <c r="I814" s="193"/>
      <c r="J814" s="193"/>
      <c r="K814" s="193"/>
      <c r="L814" s="193"/>
      <c r="M814" s="193"/>
      <c r="N814" s="193"/>
      <c r="O814" s="193"/>
      <c r="P814" s="193"/>
      <c r="Q814" s="193"/>
      <c r="R814" s="193"/>
      <c r="S814" s="193"/>
      <c r="T814" s="193"/>
      <c r="U814" s="193"/>
      <c r="V814" s="193"/>
      <c r="W814" s="193"/>
      <c r="X814" s="193"/>
      <c r="Y814" s="193"/>
      <c r="Z814" s="193"/>
      <c r="AA814" s="193"/>
      <c r="AB814" s="193"/>
      <c r="AC814" s="193"/>
    </row>
    <row r="815" spans="1:29" ht="15.75" customHeight="1">
      <c r="A815" s="193"/>
      <c r="B815" s="193"/>
      <c r="C815" s="193"/>
      <c r="D815" s="193"/>
      <c r="E815" s="193"/>
      <c r="F815" s="193"/>
      <c r="G815" s="193"/>
      <c r="H815" s="193"/>
      <c r="I815" s="193"/>
      <c r="J815" s="193"/>
      <c r="K815" s="193"/>
      <c r="L815" s="193"/>
      <c r="M815" s="193"/>
      <c r="N815" s="193"/>
      <c r="O815" s="193"/>
      <c r="P815" s="193"/>
      <c r="Q815" s="193"/>
      <c r="R815" s="193"/>
      <c r="S815" s="193"/>
      <c r="T815" s="193"/>
      <c r="U815" s="193"/>
      <c r="V815" s="193"/>
      <c r="W815" s="193"/>
      <c r="X815" s="193"/>
      <c r="Y815" s="193"/>
      <c r="Z815" s="193"/>
      <c r="AA815" s="193"/>
      <c r="AB815" s="193"/>
      <c r="AC815" s="193"/>
    </row>
    <row r="816" spans="1:29" ht="15.75" customHeight="1">
      <c r="A816" s="193"/>
      <c r="B816" s="193"/>
      <c r="C816" s="193"/>
      <c r="D816" s="193"/>
      <c r="E816" s="193"/>
      <c r="F816" s="193"/>
      <c r="G816" s="193"/>
      <c r="H816" s="193"/>
      <c r="I816" s="193"/>
      <c r="J816" s="193"/>
      <c r="K816" s="193"/>
      <c r="L816" s="193"/>
      <c r="M816" s="193"/>
      <c r="N816" s="193"/>
      <c r="O816" s="193"/>
      <c r="P816" s="193"/>
      <c r="Q816" s="193"/>
      <c r="R816" s="193"/>
      <c r="S816" s="193"/>
      <c r="T816" s="193"/>
      <c r="U816" s="193"/>
      <c r="V816" s="193"/>
      <c r="W816" s="193"/>
      <c r="X816" s="193"/>
      <c r="Y816" s="193"/>
      <c r="Z816" s="193"/>
      <c r="AA816" s="193"/>
      <c r="AB816" s="193"/>
      <c r="AC816" s="193"/>
    </row>
    <row r="817" spans="1:29" ht="15.75" customHeight="1">
      <c r="A817" s="193"/>
      <c r="B817" s="193"/>
      <c r="C817" s="193"/>
      <c r="D817" s="193"/>
      <c r="E817" s="193"/>
      <c r="F817" s="193"/>
      <c r="G817" s="193"/>
      <c r="H817" s="193"/>
      <c r="I817" s="193"/>
      <c r="J817" s="193"/>
      <c r="K817" s="193"/>
      <c r="L817" s="193"/>
      <c r="M817" s="193"/>
      <c r="N817" s="193"/>
      <c r="O817" s="193"/>
      <c r="P817" s="193"/>
      <c r="Q817" s="193"/>
      <c r="R817" s="193"/>
      <c r="S817" s="193"/>
      <c r="T817" s="193"/>
      <c r="U817" s="193"/>
      <c r="V817" s="193"/>
      <c r="W817" s="193"/>
      <c r="X817" s="193"/>
      <c r="Y817" s="193"/>
      <c r="Z817" s="193"/>
      <c r="AA817" s="193"/>
      <c r="AB817" s="193"/>
      <c r="AC817" s="193"/>
    </row>
    <row r="818" spans="1:29" ht="15.75" customHeight="1">
      <c r="A818" s="193"/>
      <c r="B818" s="193"/>
      <c r="C818" s="193"/>
      <c r="D818" s="193"/>
      <c r="E818" s="193"/>
      <c r="F818" s="193"/>
      <c r="G818" s="193"/>
      <c r="H818" s="193"/>
      <c r="I818" s="193"/>
      <c r="J818" s="193"/>
      <c r="K818" s="193"/>
      <c r="L818" s="193"/>
      <c r="M818" s="193"/>
      <c r="N818" s="193"/>
      <c r="O818" s="193"/>
      <c r="P818" s="193"/>
      <c r="Q818" s="193"/>
      <c r="R818" s="193"/>
      <c r="S818" s="193"/>
      <c r="T818" s="193"/>
      <c r="U818" s="193"/>
      <c r="V818" s="193"/>
      <c r="W818" s="193"/>
      <c r="X818" s="193"/>
      <c r="Y818" s="193"/>
      <c r="Z818" s="193"/>
      <c r="AA818" s="193"/>
      <c r="AB818" s="193"/>
      <c r="AC818" s="193"/>
    </row>
    <row r="819" spans="1:29" ht="15.75" customHeight="1">
      <c r="A819" s="193"/>
      <c r="B819" s="193"/>
      <c r="C819" s="193"/>
      <c r="D819" s="193"/>
      <c r="E819" s="193"/>
      <c r="F819" s="193"/>
      <c r="G819" s="193"/>
      <c r="H819" s="193"/>
      <c r="I819" s="193"/>
      <c r="J819" s="193"/>
      <c r="K819" s="193"/>
      <c r="L819" s="193"/>
      <c r="M819" s="193"/>
      <c r="N819" s="193"/>
      <c r="O819" s="193"/>
      <c r="P819" s="193"/>
      <c r="Q819" s="193"/>
      <c r="R819" s="193"/>
      <c r="S819" s="193"/>
      <c r="T819" s="193"/>
      <c r="U819" s="193"/>
      <c r="V819" s="193"/>
      <c r="W819" s="193"/>
      <c r="X819" s="193"/>
      <c r="Y819" s="193"/>
      <c r="Z819" s="193"/>
      <c r="AA819" s="193"/>
      <c r="AB819" s="193"/>
      <c r="AC819" s="193"/>
    </row>
    <row r="820" spans="1:29" ht="15.75" customHeight="1">
      <c r="A820" s="193"/>
      <c r="B820" s="193"/>
      <c r="C820" s="193"/>
      <c r="D820" s="193"/>
      <c r="E820" s="193"/>
      <c r="F820" s="193"/>
      <c r="G820" s="193"/>
      <c r="H820" s="193"/>
      <c r="I820" s="193"/>
      <c r="J820" s="193"/>
      <c r="K820" s="193"/>
      <c r="L820" s="193"/>
      <c r="M820" s="193"/>
      <c r="N820" s="193"/>
      <c r="O820" s="193"/>
      <c r="P820" s="193"/>
      <c r="Q820" s="193"/>
      <c r="R820" s="193"/>
      <c r="S820" s="193"/>
      <c r="T820" s="193"/>
      <c r="U820" s="193"/>
      <c r="V820" s="193"/>
      <c r="W820" s="193"/>
      <c r="X820" s="193"/>
      <c r="Y820" s="193"/>
      <c r="Z820" s="193"/>
      <c r="AA820" s="193"/>
      <c r="AB820" s="193"/>
      <c r="AC820" s="193"/>
    </row>
    <row r="821" spans="1:29" ht="15.75" customHeight="1">
      <c r="A821" s="193"/>
      <c r="B821" s="193"/>
      <c r="C821" s="193"/>
      <c r="D821" s="193"/>
      <c r="E821" s="193"/>
      <c r="F821" s="193"/>
      <c r="G821" s="193"/>
      <c r="H821" s="193"/>
      <c r="I821" s="193"/>
      <c r="J821" s="193"/>
      <c r="K821" s="193"/>
      <c r="L821" s="193"/>
      <c r="M821" s="193"/>
      <c r="N821" s="193"/>
      <c r="O821" s="193"/>
      <c r="P821" s="193"/>
      <c r="Q821" s="193"/>
      <c r="R821" s="193"/>
      <c r="S821" s="193"/>
      <c r="T821" s="193"/>
      <c r="U821" s="193"/>
      <c r="V821" s="193"/>
      <c r="W821" s="193"/>
      <c r="X821" s="193"/>
      <c r="Y821" s="193"/>
      <c r="Z821" s="193"/>
      <c r="AA821" s="193"/>
      <c r="AB821" s="193"/>
      <c r="AC821" s="193"/>
    </row>
    <row r="822" spans="1:29" ht="15.75" customHeight="1">
      <c r="A822" s="193"/>
      <c r="B822" s="193"/>
      <c r="C822" s="193"/>
      <c r="D822" s="193"/>
      <c r="E822" s="193"/>
      <c r="F822" s="193"/>
      <c r="G822" s="193"/>
      <c r="H822" s="193"/>
      <c r="I822" s="193"/>
      <c r="J822" s="193"/>
      <c r="K822" s="193"/>
      <c r="L822" s="193"/>
      <c r="M822" s="193"/>
      <c r="N822" s="193"/>
      <c r="O822" s="193"/>
      <c r="P822" s="193"/>
      <c r="Q822" s="193"/>
      <c r="R822" s="193"/>
      <c r="S822" s="193"/>
      <c r="T822" s="193"/>
      <c r="U822" s="193"/>
      <c r="V822" s="193"/>
      <c r="W822" s="193"/>
      <c r="X822" s="193"/>
      <c r="Y822" s="193"/>
      <c r="Z822" s="193"/>
      <c r="AA822" s="193"/>
      <c r="AB822" s="193"/>
      <c r="AC822" s="193"/>
    </row>
    <row r="823" spans="1:29" ht="15.75" customHeight="1">
      <c r="A823" s="193"/>
      <c r="B823" s="193"/>
      <c r="C823" s="193"/>
      <c r="D823" s="193"/>
      <c r="E823" s="193"/>
      <c r="F823" s="193"/>
      <c r="G823" s="193"/>
      <c r="H823" s="193"/>
      <c r="I823" s="193"/>
      <c r="J823" s="193"/>
      <c r="K823" s="193"/>
      <c r="L823" s="193"/>
      <c r="M823" s="193"/>
      <c r="N823" s="193"/>
      <c r="O823" s="193"/>
      <c r="P823" s="193"/>
      <c r="Q823" s="193"/>
      <c r="R823" s="193"/>
      <c r="S823" s="193"/>
      <c r="T823" s="193"/>
      <c r="U823" s="193"/>
      <c r="V823" s="193"/>
      <c r="W823" s="193"/>
      <c r="X823" s="193"/>
      <c r="Y823" s="193"/>
      <c r="Z823" s="193"/>
      <c r="AA823" s="193"/>
      <c r="AB823" s="193"/>
      <c r="AC823" s="193"/>
    </row>
    <row r="824" spans="1:29" ht="15.75" customHeight="1">
      <c r="A824" s="193"/>
      <c r="B824" s="193"/>
      <c r="C824" s="193"/>
      <c r="D824" s="193"/>
      <c r="E824" s="193"/>
      <c r="F824" s="193"/>
      <c r="G824" s="193"/>
      <c r="H824" s="193"/>
      <c r="I824" s="193"/>
      <c r="J824" s="193"/>
      <c r="K824" s="193"/>
      <c r="L824" s="193"/>
      <c r="M824" s="193"/>
      <c r="N824" s="193"/>
      <c r="O824" s="193"/>
      <c r="P824" s="193"/>
      <c r="Q824" s="193"/>
      <c r="R824" s="193"/>
      <c r="S824" s="193"/>
      <c r="T824" s="193"/>
      <c r="U824" s="193"/>
      <c r="V824" s="193"/>
      <c r="W824" s="193"/>
      <c r="X824" s="193"/>
      <c r="Y824" s="193"/>
      <c r="Z824" s="193"/>
      <c r="AA824" s="193"/>
      <c r="AB824" s="193"/>
      <c r="AC824" s="193"/>
    </row>
    <row r="825" spans="1:29" ht="15.75" customHeight="1">
      <c r="A825" s="193"/>
      <c r="B825" s="193"/>
      <c r="C825" s="193"/>
      <c r="D825" s="193"/>
      <c r="E825" s="193"/>
      <c r="F825" s="193"/>
      <c r="G825" s="193"/>
      <c r="H825" s="193"/>
      <c r="I825" s="193"/>
      <c r="J825" s="193"/>
      <c r="K825" s="193"/>
      <c r="L825" s="193"/>
      <c r="M825" s="193"/>
      <c r="N825" s="193"/>
      <c r="O825" s="193"/>
      <c r="P825" s="193"/>
      <c r="Q825" s="193"/>
      <c r="R825" s="193"/>
      <c r="S825" s="193"/>
      <c r="T825" s="193"/>
      <c r="U825" s="193"/>
      <c r="V825" s="193"/>
      <c r="W825" s="193"/>
      <c r="X825" s="193"/>
      <c r="Y825" s="193"/>
      <c r="Z825" s="193"/>
      <c r="AA825" s="193"/>
      <c r="AB825" s="193"/>
      <c r="AC825" s="193"/>
    </row>
    <row r="826" spans="1:29" ht="15.75" customHeight="1">
      <c r="A826" s="193"/>
      <c r="B826" s="193"/>
      <c r="C826" s="193"/>
      <c r="D826" s="193"/>
      <c r="E826" s="193"/>
      <c r="F826" s="193"/>
      <c r="G826" s="193"/>
      <c r="H826" s="193"/>
      <c r="I826" s="193"/>
      <c r="J826" s="193"/>
      <c r="K826" s="193"/>
      <c r="L826" s="193"/>
      <c r="M826" s="193"/>
      <c r="N826" s="193"/>
      <c r="O826" s="193"/>
      <c r="P826" s="193"/>
      <c r="Q826" s="193"/>
      <c r="R826" s="193"/>
      <c r="S826" s="193"/>
      <c r="T826" s="193"/>
      <c r="U826" s="193"/>
      <c r="V826" s="193"/>
      <c r="W826" s="193"/>
      <c r="X826" s="193"/>
      <c r="Y826" s="193"/>
      <c r="Z826" s="193"/>
      <c r="AA826" s="193"/>
      <c r="AB826" s="193"/>
      <c r="AC826" s="193"/>
    </row>
    <row r="827" spans="1:29" ht="15.75" customHeight="1">
      <c r="A827" s="193"/>
      <c r="B827" s="193"/>
      <c r="C827" s="193"/>
      <c r="D827" s="193"/>
      <c r="E827" s="193"/>
      <c r="F827" s="193"/>
      <c r="G827" s="193"/>
      <c r="H827" s="193"/>
      <c r="I827" s="193"/>
      <c r="J827" s="193"/>
      <c r="K827" s="193"/>
      <c r="L827" s="193"/>
      <c r="M827" s="193"/>
      <c r="N827" s="193"/>
      <c r="O827" s="193"/>
      <c r="P827" s="193"/>
      <c r="Q827" s="193"/>
      <c r="R827" s="193"/>
      <c r="S827" s="193"/>
      <c r="T827" s="193"/>
      <c r="U827" s="193"/>
      <c r="V827" s="193"/>
      <c r="W827" s="193"/>
      <c r="X827" s="193"/>
      <c r="Y827" s="193"/>
      <c r="Z827" s="193"/>
      <c r="AA827" s="193"/>
      <c r="AB827" s="193"/>
      <c r="AC827" s="193"/>
    </row>
    <row r="828" spans="1:29" ht="15.75" customHeight="1">
      <c r="A828" s="193"/>
      <c r="B828" s="193"/>
      <c r="C828" s="193"/>
      <c r="D828" s="193"/>
      <c r="E828" s="193"/>
      <c r="F828" s="193"/>
      <c r="G828" s="193"/>
      <c r="H828" s="193"/>
      <c r="I828" s="193"/>
      <c r="J828" s="193"/>
      <c r="K828" s="193"/>
      <c r="L828" s="193"/>
      <c r="M828" s="193"/>
      <c r="N828" s="193"/>
      <c r="O828" s="193"/>
      <c r="P828" s="193"/>
      <c r="Q828" s="193"/>
      <c r="R828" s="193"/>
      <c r="S828" s="193"/>
      <c r="T828" s="193"/>
      <c r="U828" s="193"/>
      <c r="V828" s="193"/>
      <c r="W828" s="193"/>
      <c r="X828" s="193"/>
      <c r="Y828" s="193"/>
      <c r="Z828" s="193"/>
      <c r="AA828" s="193"/>
      <c r="AB828" s="193"/>
      <c r="AC828" s="193"/>
    </row>
    <row r="829" spans="1:29" ht="15.75" customHeight="1">
      <c r="A829" s="193"/>
      <c r="B829" s="193"/>
      <c r="C829" s="193"/>
      <c r="D829" s="193"/>
      <c r="E829" s="193"/>
      <c r="F829" s="193"/>
      <c r="G829" s="193"/>
      <c r="H829" s="193"/>
      <c r="I829" s="193"/>
      <c r="J829" s="193"/>
      <c r="K829" s="193"/>
      <c r="L829" s="193"/>
      <c r="M829" s="193"/>
      <c r="N829" s="193"/>
      <c r="O829" s="193"/>
      <c r="P829" s="193"/>
      <c r="Q829" s="193"/>
      <c r="R829" s="193"/>
      <c r="S829" s="193"/>
      <c r="T829" s="193"/>
      <c r="U829" s="193"/>
      <c r="V829" s="193"/>
      <c r="W829" s="193"/>
      <c r="X829" s="193"/>
      <c r="Y829" s="193"/>
      <c r="Z829" s="193"/>
      <c r="AA829" s="193"/>
      <c r="AB829" s="193"/>
      <c r="AC829" s="193"/>
    </row>
    <row r="830" spans="1:29" ht="15.75" customHeight="1">
      <c r="A830" s="193"/>
      <c r="B830" s="193"/>
      <c r="C830" s="193"/>
      <c r="D830" s="193"/>
      <c r="E830" s="193"/>
      <c r="F830" s="193"/>
      <c r="G830" s="193"/>
      <c r="H830" s="193"/>
      <c r="I830" s="193"/>
      <c r="J830" s="193"/>
      <c r="K830" s="193"/>
      <c r="L830" s="193"/>
      <c r="M830" s="193"/>
      <c r="N830" s="193"/>
      <c r="O830" s="193"/>
      <c r="P830" s="193"/>
      <c r="Q830" s="193"/>
      <c r="R830" s="193"/>
      <c r="S830" s="193"/>
      <c r="T830" s="193"/>
      <c r="U830" s="193"/>
      <c r="V830" s="193"/>
      <c r="W830" s="193"/>
      <c r="X830" s="193"/>
      <c r="Y830" s="193"/>
      <c r="Z830" s="193"/>
      <c r="AA830" s="193"/>
      <c r="AB830" s="193"/>
      <c r="AC830" s="193"/>
    </row>
    <row r="831" spans="1:29" ht="15.75" customHeight="1">
      <c r="A831" s="193"/>
      <c r="B831" s="193"/>
      <c r="C831" s="193"/>
      <c r="D831" s="193"/>
      <c r="E831" s="193"/>
      <c r="F831" s="193"/>
      <c r="G831" s="193"/>
      <c r="H831" s="193"/>
      <c r="I831" s="193"/>
      <c r="J831" s="193"/>
      <c r="K831" s="193"/>
      <c r="L831" s="193"/>
      <c r="M831" s="193"/>
      <c r="N831" s="193"/>
      <c r="O831" s="193"/>
      <c r="P831" s="193"/>
      <c r="Q831" s="193"/>
      <c r="R831" s="193"/>
      <c r="S831" s="193"/>
      <c r="T831" s="193"/>
      <c r="U831" s="193"/>
      <c r="V831" s="193"/>
      <c r="W831" s="193"/>
      <c r="X831" s="193"/>
      <c r="Y831" s="193"/>
      <c r="Z831" s="193"/>
      <c r="AA831" s="193"/>
      <c r="AB831" s="193"/>
      <c r="AC831" s="193"/>
    </row>
    <row r="832" spans="1:29" ht="15.75" customHeight="1">
      <c r="A832" s="193"/>
      <c r="B832" s="193"/>
      <c r="C832" s="193"/>
      <c r="D832" s="193"/>
      <c r="E832" s="193"/>
      <c r="F832" s="193"/>
      <c r="G832" s="193"/>
      <c r="H832" s="193"/>
      <c r="I832" s="193"/>
      <c r="J832" s="193"/>
      <c r="K832" s="193"/>
      <c r="L832" s="193"/>
      <c r="M832" s="193"/>
      <c r="N832" s="193"/>
      <c r="O832" s="193"/>
      <c r="P832" s="193"/>
      <c r="Q832" s="193"/>
      <c r="R832" s="193"/>
      <c r="S832" s="193"/>
      <c r="T832" s="193"/>
      <c r="U832" s="193"/>
      <c r="V832" s="193"/>
      <c r="W832" s="193"/>
      <c r="X832" s="193"/>
      <c r="Y832" s="193"/>
      <c r="Z832" s="193"/>
      <c r="AA832" s="193"/>
      <c r="AB832" s="193"/>
      <c r="AC832" s="193"/>
    </row>
    <row r="833" spans="1:29" ht="15.75" customHeight="1">
      <c r="A833" s="193"/>
      <c r="B833" s="193"/>
      <c r="C833" s="193"/>
      <c r="D833" s="193"/>
      <c r="E833" s="193"/>
      <c r="F833" s="193"/>
      <c r="G833" s="193"/>
      <c r="H833" s="193"/>
      <c r="I833" s="193"/>
      <c r="J833" s="193"/>
      <c r="K833" s="193"/>
      <c r="L833" s="193"/>
      <c r="M833" s="193"/>
      <c r="N833" s="193"/>
      <c r="O833" s="193"/>
      <c r="P833" s="193"/>
      <c r="Q833" s="193"/>
      <c r="R833" s="193"/>
      <c r="S833" s="193"/>
      <c r="T833" s="193"/>
      <c r="U833" s="193"/>
      <c r="V833" s="193"/>
      <c r="W833" s="193"/>
      <c r="X833" s="193"/>
      <c r="Y833" s="193"/>
      <c r="Z833" s="193"/>
      <c r="AA833" s="193"/>
      <c r="AB833" s="193"/>
      <c r="AC833" s="193"/>
    </row>
    <row r="834" spans="1:29" ht="15.75" customHeight="1">
      <c r="A834" s="193"/>
      <c r="B834" s="193"/>
      <c r="C834" s="193"/>
      <c r="D834" s="193"/>
      <c r="E834" s="193"/>
      <c r="F834" s="193"/>
      <c r="G834" s="193"/>
      <c r="H834" s="193"/>
      <c r="I834" s="193"/>
      <c r="J834" s="193"/>
      <c r="K834" s="193"/>
      <c r="L834" s="193"/>
      <c r="M834" s="193"/>
      <c r="N834" s="193"/>
      <c r="O834" s="193"/>
      <c r="P834" s="193"/>
      <c r="Q834" s="193"/>
      <c r="R834" s="193"/>
      <c r="S834" s="193"/>
      <c r="T834" s="193"/>
      <c r="U834" s="193"/>
      <c r="V834" s="193"/>
      <c r="W834" s="193"/>
      <c r="X834" s="193"/>
      <c r="Y834" s="193"/>
      <c r="Z834" s="193"/>
      <c r="AA834" s="193"/>
      <c r="AB834" s="193"/>
      <c r="AC834" s="193"/>
    </row>
    <row r="835" spans="1:29" ht="15.75" customHeight="1">
      <c r="A835" s="193"/>
      <c r="B835" s="193"/>
      <c r="C835" s="193"/>
      <c r="D835" s="193"/>
      <c r="E835" s="193"/>
      <c r="F835" s="193"/>
      <c r="G835" s="193"/>
      <c r="H835" s="193"/>
      <c r="I835" s="193"/>
      <c r="J835" s="193"/>
      <c r="K835" s="193"/>
      <c r="L835" s="193"/>
      <c r="M835" s="193"/>
      <c r="N835" s="193"/>
      <c r="O835" s="193"/>
      <c r="P835" s="193"/>
      <c r="Q835" s="193"/>
      <c r="R835" s="193"/>
      <c r="S835" s="193"/>
      <c r="T835" s="193"/>
      <c r="U835" s="193"/>
      <c r="V835" s="193"/>
      <c r="W835" s="193"/>
      <c r="X835" s="193"/>
      <c r="Y835" s="193"/>
      <c r="Z835" s="193"/>
      <c r="AA835" s="193"/>
      <c r="AB835" s="193"/>
      <c r="AC835" s="193"/>
    </row>
    <row r="836" spans="1:29" ht="15.75" customHeight="1">
      <c r="A836" s="193"/>
      <c r="B836" s="193"/>
      <c r="C836" s="193"/>
      <c r="D836" s="193"/>
      <c r="E836" s="193"/>
      <c r="F836" s="193"/>
      <c r="G836" s="193"/>
      <c r="H836" s="193"/>
      <c r="I836" s="193"/>
      <c r="J836" s="193"/>
      <c r="K836" s="193"/>
      <c r="L836" s="193"/>
      <c r="M836" s="193"/>
      <c r="N836" s="193"/>
      <c r="O836" s="193"/>
      <c r="P836" s="193"/>
      <c r="Q836" s="193"/>
      <c r="R836" s="193"/>
      <c r="S836" s="193"/>
      <c r="T836" s="193"/>
      <c r="U836" s="193"/>
      <c r="V836" s="193"/>
      <c r="W836" s="193"/>
      <c r="X836" s="193"/>
      <c r="Y836" s="193"/>
      <c r="Z836" s="193"/>
      <c r="AA836" s="193"/>
      <c r="AB836" s="193"/>
      <c r="AC836" s="193"/>
    </row>
    <row r="837" spans="1:29" ht="15.75" customHeight="1">
      <c r="A837" s="193"/>
      <c r="B837" s="193"/>
      <c r="C837" s="193"/>
      <c r="D837" s="193"/>
      <c r="E837" s="193"/>
      <c r="F837" s="193"/>
      <c r="G837" s="193"/>
      <c r="H837" s="193"/>
      <c r="I837" s="193"/>
      <c r="J837" s="193"/>
      <c r="K837" s="193"/>
      <c r="L837" s="193"/>
      <c r="M837" s="193"/>
      <c r="N837" s="193"/>
      <c r="O837" s="193"/>
      <c r="P837" s="193"/>
      <c r="Q837" s="193"/>
      <c r="R837" s="193"/>
      <c r="S837" s="193"/>
      <c r="T837" s="193"/>
      <c r="U837" s="193"/>
      <c r="V837" s="193"/>
      <c r="W837" s="193"/>
      <c r="X837" s="193"/>
      <c r="Y837" s="193"/>
      <c r="Z837" s="193"/>
      <c r="AA837" s="193"/>
      <c r="AB837" s="193"/>
      <c r="AC837" s="193"/>
    </row>
    <row r="838" spans="1:29" ht="15.75" customHeight="1">
      <c r="A838" s="193"/>
      <c r="B838" s="193"/>
      <c r="C838" s="193"/>
      <c r="D838" s="193"/>
      <c r="E838" s="193"/>
      <c r="F838" s="193"/>
      <c r="G838" s="193"/>
      <c r="H838" s="193"/>
      <c r="I838" s="193"/>
      <c r="J838" s="193"/>
      <c r="K838" s="193"/>
      <c r="L838" s="193"/>
      <c r="M838" s="193"/>
      <c r="N838" s="193"/>
      <c r="O838" s="193"/>
      <c r="P838" s="193"/>
      <c r="Q838" s="193"/>
      <c r="R838" s="193"/>
      <c r="S838" s="193"/>
      <c r="T838" s="193"/>
      <c r="U838" s="193"/>
      <c r="V838" s="193"/>
      <c r="W838" s="193"/>
      <c r="X838" s="193"/>
      <c r="Y838" s="193"/>
      <c r="Z838" s="193"/>
      <c r="AA838" s="193"/>
      <c r="AB838" s="193"/>
      <c r="AC838" s="193"/>
    </row>
    <row r="839" spans="1:29" ht="15.75" customHeight="1">
      <c r="A839" s="193"/>
      <c r="B839" s="193"/>
      <c r="C839" s="193"/>
      <c r="D839" s="193"/>
      <c r="E839" s="193"/>
      <c r="F839" s="193"/>
      <c r="G839" s="193"/>
      <c r="H839" s="193"/>
      <c r="I839" s="193"/>
      <c r="J839" s="193"/>
      <c r="K839" s="193"/>
      <c r="L839" s="193"/>
      <c r="M839" s="193"/>
      <c r="N839" s="193"/>
      <c r="O839" s="193"/>
      <c r="P839" s="193"/>
      <c r="Q839" s="193"/>
      <c r="R839" s="193"/>
      <c r="S839" s="193"/>
      <c r="T839" s="193"/>
      <c r="U839" s="193"/>
      <c r="V839" s="193"/>
      <c r="W839" s="193"/>
      <c r="X839" s="193"/>
      <c r="Y839" s="193"/>
      <c r="Z839" s="193"/>
      <c r="AA839" s="193"/>
      <c r="AB839" s="193"/>
      <c r="AC839" s="193"/>
    </row>
    <row r="840" spans="1:29" ht="15.75" customHeight="1">
      <c r="A840" s="193"/>
      <c r="B840" s="193"/>
      <c r="C840" s="193"/>
      <c r="D840" s="193"/>
      <c r="E840" s="193"/>
      <c r="F840" s="193"/>
      <c r="G840" s="193"/>
      <c r="H840" s="193"/>
      <c r="I840" s="193"/>
      <c r="J840" s="193"/>
      <c r="K840" s="193"/>
      <c r="L840" s="193"/>
      <c r="M840" s="193"/>
      <c r="N840" s="193"/>
      <c r="O840" s="193"/>
      <c r="P840" s="193"/>
      <c r="Q840" s="193"/>
      <c r="R840" s="193"/>
      <c r="S840" s="193"/>
      <c r="T840" s="193"/>
      <c r="U840" s="193"/>
      <c r="V840" s="193"/>
      <c r="W840" s="193"/>
      <c r="X840" s="193"/>
      <c r="Y840" s="193"/>
      <c r="Z840" s="193"/>
      <c r="AA840" s="193"/>
      <c r="AB840" s="193"/>
      <c r="AC840" s="193"/>
    </row>
    <row r="841" spans="1:29" ht="15.75" customHeight="1">
      <c r="A841" s="193"/>
      <c r="B841" s="193"/>
      <c r="C841" s="193"/>
      <c r="D841" s="193"/>
      <c r="E841" s="193"/>
      <c r="F841" s="193"/>
      <c r="G841" s="193"/>
      <c r="H841" s="193"/>
      <c r="I841" s="193"/>
      <c r="J841" s="193"/>
      <c r="K841" s="193"/>
      <c r="L841" s="193"/>
      <c r="M841" s="193"/>
      <c r="N841" s="193"/>
      <c r="O841" s="193"/>
      <c r="P841" s="193"/>
      <c r="Q841" s="193"/>
      <c r="R841" s="193"/>
      <c r="S841" s="193"/>
      <c r="T841" s="193"/>
      <c r="U841" s="193"/>
      <c r="V841" s="193"/>
      <c r="W841" s="193"/>
      <c r="X841" s="193"/>
      <c r="Y841" s="193"/>
      <c r="Z841" s="193"/>
      <c r="AA841" s="193"/>
      <c r="AB841" s="193"/>
      <c r="AC841" s="193"/>
    </row>
    <row r="842" spans="1:29" ht="15.75" customHeight="1">
      <c r="A842" s="193"/>
      <c r="B842" s="193"/>
      <c r="C842" s="193"/>
      <c r="D842" s="193"/>
      <c r="E842" s="193"/>
      <c r="F842" s="193"/>
      <c r="G842" s="193"/>
      <c r="H842" s="193"/>
      <c r="I842" s="193"/>
      <c r="J842" s="193"/>
      <c r="K842" s="193"/>
      <c r="L842" s="193"/>
      <c r="M842" s="193"/>
      <c r="N842" s="193"/>
      <c r="O842" s="193"/>
      <c r="P842" s="193"/>
      <c r="Q842" s="193"/>
      <c r="R842" s="193"/>
      <c r="S842" s="193"/>
      <c r="T842" s="193"/>
      <c r="U842" s="193"/>
      <c r="V842" s="193"/>
      <c r="W842" s="193"/>
      <c r="X842" s="193"/>
      <c r="Y842" s="193"/>
      <c r="Z842" s="193"/>
      <c r="AA842" s="193"/>
      <c r="AB842" s="193"/>
      <c r="AC842" s="193"/>
    </row>
    <row r="843" spans="1:29" ht="15.75" customHeight="1">
      <c r="A843" s="193"/>
      <c r="B843" s="193"/>
      <c r="C843" s="193"/>
      <c r="D843" s="193"/>
      <c r="E843" s="193"/>
      <c r="F843" s="193"/>
      <c r="G843" s="193"/>
      <c r="H843" s="193"/>
      <c r="I843" s="193"/>
      <c r="J843" s="193"/>
      <c r="K843" s="193"/>
      <c r="L843" s="193"/>
      <c r="M843" s="193"/>
      <c r="N843" s="193"/>
      <c r="O843" s="193"/>
      <c r="P843" s="193"/>
      <c r="Q843" s="193"/>
      <c r="R843" s="193"/>
      <c r="S843" s="193"/>
      <c r="T843" s="193"/>
      <c r="U843" s="193"/>
      <c r="V843" s="193"/>
      <c r="W843" s="193"/>
      <c r="X843" s="193"/>
      <c r="Y843" s="193"/>
      <c r="Z843" s="193"/>
      <c r="AA843" s="193"/>
      <c r="AB843" s="193"/>
      <c r="AC843" s="193"/>
    </row>
    <row r="844" spans="1:29" ht="15.75" customHeight="1">
      <c r="A844" s="193"/>
      <c r="B844" s="193"/>
      <c r="C844" s="193"/>
      <c r="D844" s="193"/>
      <c r="E844" s="193"/>
      <c r="F844" s="193"/>
      <c r="G844" s="193"/>
      <c r="H844" s="193"/>
      <c r="I844" s="193"/>
      <c r="J844" s="193"/>
      <c r="K844" s="193"/>
      <c r="L844" s="193"/>
      <c r="M844" s="193"/>
      <c r="N844" s="193"/>
      <c r="O844" s="193"/>
      <c r="P844" s="193"/>
      <c r="Q844" s="193"/>
      <c r="R844" s="193"/>
      <c r="S844" s="193"/>
      <c r="T844" s="193"/>
      <c r="U844" s="193"/>
      <c r="V844" s="193"/>
      <c r="W844" s="193"/>
      <c r="X844" s="193"/>
      <c r="Y844" s="193"/>
      <c r="Z844" s="193"/>
      <c r="AA844" s="193"/>
      <c r="AB844" s="193"/>
      <c r="AC844" s="193"/>
    </row>
    <row r="845" spans="1:29" ht="15.75" customHeight="1">
      <c r="A845" s="193"/>
      <c r="B845" s="193"/>
      <c r="C845" s="193"/>
      <c r="D845" s="193"/>
      <c r="E845" s="193"/>
      <c r="F845" s="193"/>
      <c r="G845" s="193"/>
      <c r="H845" s="193"/>
      <c r="I845" s="193"/>
      <c r="J845" s="193"/>
      <c r="K845" s="193"/>
      <c r="L845" s="193"/>
      <c r="M845" s="193"/>
      <c r="N845" s="193"/>
      <c r="O845" s="193"/>
      <c r="P845" s="193"/>
      <c r="Q845" s="193"/>
      <c r="R845" s="193"/>
      <c r="S845" s="193"/>
      <c r="T845" s="193"/>
      <c r="U845" s="193"/>
      <c r="V845" s="193"/>
      <c r="W845" s="193"/>
      <c r="X845" s="193"/>
      <c r="Y845" s="193"/>
      <c r="Z845" s="193"/>
      <c r="AA845" s="193"/>
      <c r="AB845" s="193"/>
      <c r="AC845" s="193"/>
    </row>
    <row r="846" spans="1:29" ht="15.75" customHeight="1">
      <c r="A846" s="193"/>
      <c r="B846" s="193"/>
      <c r="C846" s="193"/>
      <c r="D846" s="193"/>
      <c r="E846" s="193"/>
      <c r="F846" s="193"/>
      <c r="G846" s="193"/>
      <c r="H846" s="193"/>
      <c r="I846" s="193"/>
      <c r="J846" s="193"/>
      <c r="K846" s="193"/>
      <c r="L846" s="193"/>
      <c r="M846" s="193"/>
      <c r="N846" s="193"/>
      <c r="O846" s="193"/>
      <c r="P846" s="193"/>
      <c r="Q846" s="193"/>
      <c r="R846" s="193"/>
      <c r="S846" s="193"/>
      <c r="T846" s="193"/>
      <c r="U846" s="193"/>
      <c r="V846" s="193"/>
      <c r="W846" s="193"/>
      <c r="X846" s="193"/>
      <c r="Y846" s="193"/>
      <c r="Z846" s="193"/>
      <c r="AA846" s="193"/>
      <c r="AB846" s="193"/>
      <c r="AC846" s="193"/>
    </row>
    <row r="847" spans="1:29" ht="15.75" customHeight="1">
      <c r="A847" s="193"/>
      <c r="B847" s="193"/>
      <c r="C847" s="193"/>
      <c r="D847" s="193"/>
      <c r="E847" s="193"/>
      <c r="F847" s="193"/>
      <c r="G847" s="193"/>
      <c r="H847" s="193"/>
      <c r="I847" s="193"/>
      <c r="J847" s="193"/>
      <c r="K847" s="193"/>
      <c r="L847" s="193"/>
      <c r="M847" s="193"/>
      <c r="N847" s="193"/>
      <c r="O847" s="193"/>
      <c r="P847" s="193"/>
      <c r="Q847" s="193"/>
      <c r="R847" s="193"/>
      <c r="S847" s="193"/>
      <c r="T847" s="193"/>
      <c r="U847" s="193"/>
      <c r="V847" s="193"/>
      <c r="W847" s="193"/>
      <c r="X847" s="193"/>
      <c r="Y847" s="193"/>
      <c r="Z847" s="193"/>
      <c r="AA847" s="193"/>
      <c r="AB847" s="193"/>
      <c r="AC847" s="193"/>
    </row>
    <row r="848" spans="1:29" ht="15.75" customHeight="1">
      <c r="A848" s="193"/>
      <c r="B848" s="193"/>
      <c r="C848" s="193"/>
      <c r="D848" s="193"/>
      <c r="E848" s="193"/>
      <c r="F848" s="193"/>
      <c r="G848" s="193"/>
      <c r="H848" s="193"/>
      <c r="I848" s="193"/>
      <c r="J848" s="193"/>
      <c r="K848" s="193"/>
      <c r="L848" s="193"/>
      <c r="M848" s="193"/>
      <c r="N848" s="193"/>
      <c r="O848" s="193"/>
      <c r="P848" s="193"/>
      <c r="Q848" s="193"/>
      <c r="R848" s="193"/>
      <c r="S848" s="193"/>
      <c r="T848" s="193"/>
      <c r="U848" s="193"/>
      <c r="V848" s="193"/>
      <c r="W848" s="193"/>
      <c r="X848" s="193"/>
      <c r="Y848" s="193"/>
      <c r="Z848" s="193"/>
      <c r="AA848" s="193"/>
      <c r="AB848" s="193"/>
      <c r="AC848" s="193"/>
    </row>
    <row r="849" spans="1:29" ht="15.75" customHeight="1">
      <c r="A849" s="193"/>
      <c r="B849" s="193"/>
      <c r="C849" s="193"/>
      <c r="D849" s="193"/>
      <c r="E849" s="193"/>
      <c r="F849" s="193"/>
      <c r="G849" s="193"/>
      <c r="H849" s="193"/>
      <c r="I849" s="193"/>
      <c r="J849" s="193"/>
      <c r="K849" s="193"/>
      <c r="L849" s="193"/>
      <c r="M849" s="193"/>
      <c r="N849" s="193"/>
      <c r="O849" s="193"/>
      <c r="P849" s="193"/>
      <c r="Q849" s="193"/>
      <c r="R849" s="193"/>
      <c r="S849" s="193"/>
      <c r="T849" s="193"/>
      <c r="U849" s="193"/>
      <c r="V849" s="193"/>
      <c r="W849" s="193"/>
      <c r="X849" s="193"/>
      <c r="Y849" s="193"/>
      <c r="Z849" s="193"/>
      <c r="AA849" s="193"/>
      <c r="AB849" s="193"/>
      <c r="AC849" s="193"/>
    </row>
    <row r="850" spans="1:29" ht="15.75" customHeight="1">
      <c r="A850" s="193"/>
      <c r="B850" s="193"/>
      <c r="C850" s="193"/>
      <c r="D850" s="193"/>
      <c r="E850" s="193"/>
      <c r="F850" s="193"/>
      <c r="G850" s="193"/>
      <c r="H850" s="193"/>
      <c r="I850" s="193"/>
      <c r="J850" s="193"/>
      <c r="K850" s="193"/>
      <c r="L850" s="193"/>
      <c r="M850" s="193"/>
      <c r="N850" s="193"/>
      <c r="O850" s="193"/>
      <c r="P850" s="193"/>
      <c r="Q850" s="193"/>
      <c r="R850" s="193"/>
      <c r="S850" s="193"/>
      <c r="T850" s="193"/>
      <c r="U850" s="193"/>
      <c r="V850" s="193"/>
      <c r="W850" s="193"/>
      <c r="X850" s="193"/>
      <c r="Y850" s="193"/>
      <c r="Z850" s="193"/>
      <c r="AA850" s="193"/>
      <c r="AB850" s="193"/>
      <c r="AC850" s="193"/>
    </row>
    <row r="851" spans="1:29" ht="15.75" customHeight="1">
      <c r="A851" s="193"/>
      <c r="B851" s="193"/>
      <c r="C851" s="193"/>
      <c r="D851" s="193"/>
      <c r="E851" s="193"/>
      <c r="F851" s="193"/>
      <c r="G851" s="193"/>
      <c r="H851" s="193"/>
      <c r="I851" s="193"/>
      <c r="J851" s="193"/>
      <c r="K851" s="193"/>
      <c r="L851" s="193"/>
      <c r="M851" s="193"/>
      <c r="N851" s="193"/>
      <c r="O851" s="193"/>
      <c r="P851" s="193"/>
      <c r="Q851" s="193"/>
      <c r="R851" s="193"/>
      <c r="S851" s="193"/>
      <c r="T851" s="193"/>
      <c r="U851" s="193"/>
      <c r="V851" s="193"/>
      <c r="W851" s="193"/>
      <c r="X851" s="193"/>
      <c r="Y851" s="193"/>
      <c r="Z851" s="193"/>
      <c r="AA851" s="193"/>
      <c r="AB851" s="193"/>
      <c r="AC851" s="193"/>
    </row>
    <row r="852" spans="1:29" ht="15.75" customHeight="1">
      <c r="A852" s="193"/>
      <c r="B852" s="193"/>
      <c r="C852" s="193"/>
      <c r="D852" s="193"/>
      <c r="E852" s="193"/>
      <c r="F852" s="193"/>
      <c r="G852" s="193"/>
      <c r="H852" s="193"/>
      <c r="I852" s="193"/>
      <c r="J852" s="193"/>
      <c r="K852" s="193"/>
      <c r="L852" s="193"/>
      <c r="M852" s="193"/>
      <c r="N852" s="193"/>
      <c r="O852" s="193"/>
      <c r="P852" s="193"/>
      <c r="Q852" s="193"/>
      <c r="R852" s="193"/>
      <c r="S852" s="193"/>
      <c r="T852" s="193"/>
      <c r="U852" s="193"/>
      <c r="V852" s="193"/>
      <c r="W852" s="193"/>
      <c r="X852" s="193"/>
      <c r="Y852" s="193"/>
      <c r="Z852" s="193"/>
      <c r="AA852" s="193"/>
      <c r="AB852" s="193"/>
      <c r="AC852" s="193"/>
    </row>
    <row r="853" spans="1:29" ht="15.75" customHeight="1">
      <c r="A853" s="193"/>
      <c r="B853" s="193"/>
      <c r="C853" s="193"/>
      <c r="D853" s="193"/>
      <c r="E853" s="193"/>
      <c r="F853" s="193"/>
      <c r="G853" s="193"/>
      <c r="H853" s="193"/>
      <c r="I853" s="193"/>
      <c r="J853" s="193"/>
      <c r="K853" s="193"/>
      <c r="L853" s="193"/>
      <c r="M853" s="193"/>
      <c r="N853" s="193"/>
      <c r="O853" s="193"/>
      <c r="P853" s="193"/>
      <c r="Q853" s="193"/>
      <c r="R853" s="193"/>
      <c r="S853" s="193"/>
      <c r="T853" s="193"/>
      <c r="U853" s="193"/>
      <c r="V853" s="193"/>
      <c r="W853" s="193"/>
      <c r="X853" s="193"/>
      <c r="Y853" s="193"/>
      <c r="Z853" s="193"/>
      <c r="AA853" s="193"/>
      <c r="AB853" s="193"/>
      <c r="AC853" s="193"/>
    </row>
    <row r="854" spans="1:29" ht="15.75" customHeight="1">
      <c r="A854" s="193"/>
      <c r="B854" s="193"/>
      <c r="C854" s="193"/>
      <c r="D854" s="193"/>
      <c r="E854" s="193"/>
      <c r="F854" s="193"/>
      <c r="G854" s="193"/>
      <c r="H854" s="193"/>
      <c r="I854" s="193"/>
      <c r="J854" s="193"/>
      <c r="K854" s="193"/>
      <c r="L854" s="193"/>
      <c r="M854" s="193"/>
      <c r="N854" s="193"/>
      <c r="O854" s="193"/>
      <c r="P854" s="193"/>
      <c r="Q854" s="193"/>
      <c r="R854" s="193"/>
      <c r="S854" s="193"/>
      <c r="T854" s="193"/>
      <c r="U854" s="193"/>
      <c r="V854" s="193"/>
      <c r="W854" s="193"/>
      <c r="X854" s="193"/>
      <c r="Y854" s="193"/>
      <c r="Z854" s="193"/>
      <c r="AA854" s="193"/>
      <c r="AB854" s="193"/>
      <c r="AC854" s="193"/>
    </row>
    <row r="855" spans="1:29" ht="15.75" customHeight="1">
      <c r="A855" s="193"/>
      <c r="B855" s="193"/>
      <c r="C855" s="193"/>
      <c r="D855" s="193"/>
      <c r="E855" s="193"/>
      <c r="F855" s="193"/>
      <c r="G855" s="193"/>
      <c r="H855" s="193"/>
      <c r="I855" s="193"/>
      <c r="J855" s="193"/>
      <c r="K855" s="193"/>
      <c r="L855" s="193"/>
      <c r="M855" s="193"/>
      <c r="N855" s="193"/>
      <c r="O855" s="193"/>
      <c r="P855" s="193"/>
      <c r="Q855" s="193"/>
      <c r="R855" s="193"/>
      <c r="S855" s="193"/>
      <c r="T855" s="193"/>
      <c r="U855" s="193"/>
      <c r="V855" s="193"/>
      <c r="W855" s="193"/>
      <c r="X855" s="193"/>
      <c r="Y855" s="193"/>
      <c r="Z855" s="193"/>
      <c r="AA855" s="193"/>
      <c r="AB855" s="193"/>
      <c r="AC855" s="193"/>
    </row>
    <row r="856" spans="1:29" ht="15.75" customHeight="1">
      <c r="A856" s="193"/>
      <c r="B856" s="193"/>
      <c r="C856" s="193"/>
      <c r="D856" s="193"/>
      <c r="E856" s="193"/>
      <c r="F856" s="193"/>
      <c r="G856" s="193"/>
      <c r="H856" s="193"/>
      <c r="I856" s="193"/>
      <c r="J856" s="193"/>
      <c r="K856" s="193"/>
      <c r="L856" s="193"/>
      <c r="M856" s="193"/>
      <c r="N856" s="193"/>
      <c r="O856" s="193"/>
      <c r="P856" s="193"/>
      <c r="Q856" s="193"/>
      <c r="R856" s="193"/>
      <c r="S856" s="193"/>
      <c r="T856" s="193"/>
      <c r="U856" s="193"/>
      <c r="V856" s="193"/>
      <c r="W856" s="193"/>
      <c r="X856" s="193"/>
      <c r="Y856" s="193"/>
      <c r="Z856" s="193"/>
      <c r="AA856" s="193"/>
      <c r="AB856" s="193"/>
      <c r="AC856" s="193"/>
    </row>
    <row r="857" spans="1:29" ht="15.75" customHeight="1">
      <c r="A857" s="193"/>
      <c r="B857" s="193"/>
      <c r="C857" s="193"/>
      <c r="D857" s="193"/>
      <c r="E857" s="193"/>
      <c r="F857" s="193"/>
      <c r="G857" s="193"/>
      <c r="H857" s="193"/>
      <c r="I857" s="193"/>
      <c r="J857" s="193"/>
      <c r="K857" s="193"/>
      <c r="L857" s="193"/>
      <c r="M857" s="193"/>
      <c r="N857" s="193"/>
      <c r="O857" s="193"/>
      <c r="P857" s="193"/>
      <c r="Q857" s="193"/>
      <c r="R857" s="193"/>
      <c r="S857" s="193"/>
      <c r="T857" s="193"/>
      <c r="U857" s="193"/>
      <c r="V857" s="193"/>
      <c r="W857" s="193"/>
      <c r="X857" s="193"/>
      <c r="Y857" s="193"/>
      <c r="Z857" s="193"/>
      <c r="AA857" s="193"/>
      <c r="AB857" s="193"/>
      <c r="AC857" s="193"/>
    </row>
    <row r="858" spans="1:29" ht="15.75" customHeight="1">
      <c r="A858" s="193"/>
      <c r="B858" s="193"/>
      <c r="C858" s="193"/>
      <c r="D858" s="193"/>
      <c r="E858" s="193"/>
      <c r="F858" s="193"/>
      <c r="G858" s="193"/>
      <c r="H858" s="193"/>
      <c r="I858" s="193"/>
      <c r="J858" s="193"/>
      <c r="K858" s="193"/>
      <c r="L858" s="193"/>
      <c r="M858" s="193"/>
      <c r="N858" s="193"/>
      <c r="O858" s="193"/>
      <c r="P858" s="193"/>
      <c r="Q858" s="193"/>
      <c r="R858" s="193"/>
      <c r="S858" s="193"/>
      <c r="T858" s="193"/>
      <c r="U858" s="193"/>
      <c r="V858" s="193"/>
      <c r="W858" s="193"/>
      <c r="X858" s="193"/>
      <c r="Y858" s="193"/>
      <c r="Z858" s="193"/>
      <c r="AA858" s="193"/>
      <c r="AB858" s="193"/>
      <c r="AC858" s="193"/>
    </row>
    <row r="859" spans="1:29" ht="15.75" customHeight="1">
      <c r="A859" s="193"/>
      <c r="B859" s="193"/>
      <c r="C859" s="193"/>
      <c r="D859" s="193"/>
      <c r="E859" s="193"/>
      <c r="F859" s="193"/>
      <c r="G859" s="193"/>
      <c r="H859" s="193"/>
      <c r="I859" s="193"/>
      <c r="J859" s="193"/>
      <c r="K859" s="193"/>
      <c r="L859" s="193"/>
      <c r="M859" s="193"/>
      <c r="N859" s="193"/>
      <c r="O859" s="193"/>
      <c r="P859" s="193"/>
      <c r="Q859" s="193"/>
      <c r="R859" s="193"/>
      <c r="S859" s="193"/>
      <c r="T859" s="193"/>
      <c r="U859" s="193"/>
      <c r="V859" s="193"/>
      <c r="W859" s="193"/>
      <c r="X859" s="193"/>
      <c r="Y859" s="193"/>
      <c r="Z859" s="193"/>
      <c r="AA859" s="193"/>
      <c r="AB859" s="193"/>
      <c r="AC859" s="193"/>
    </row>
    <row r="860" spans="1:29" ht="15.75" customHeight="1">
      <c r="A860" s="193"/>
      <c r="B860" s="193"/>
      <c r="C860" s="193"/>
      <c r="D860" s="193"/>
      <c r="E860" s="193"/>
      <c r="F860" s="193"/>
      <c r="G860" s="193"/>
      <c r="H860" s="193"/>
      <c r="I860" s="193"/>
      <c r="J860" s="193"/>
      <c r="K860" s="193"/>
      <c r="L860" s="193"/>
      <c r="M860" s="193"/>
      <c r="N860" s="193"/>
      <c r="O860" s="193"/>
      <c r="P860" s="193"/>
      <c r="Q860" s="193"/>
      <c r="R860" s="193"/>
      <c r="S860" s="193"/>
      <c r="T860" s="193"/>
      <c r="U860" s="193"/>
      <c r="V860" s="193"/>
      <c r="W860" s="193"/>
      <c r="X860" s="193"/>
      <c r="Y860" s="193"/>
      <c r="Z860" s="193"/>
      <c r="AA860" s="193"/>
      <c r="AB860" s="193"/>
      <c r="AC860" s="193"/>
    </row>
    <row r="861" spans="1:29" ht="15.75" customHeight="1">
      <c r="A861" s="193"/>
      <c r="B861" s="193"/>
      <c r="C861" s="193"/>
      <c r="D861" s="193"/>
      <c r="E861" s="193"/>
      <c r="F861" s="193"/>
      <c r="G861" s="193"/>
      <c r="H861" s="193"/>
      <c r="I861" s="193"/>
      <c r="J861" s="193"/>
      <c r="K861" s="193"/>
      <c r="L861" s="193"/>
      <c r="M861" s="193"/>
      <c r="N861" s="193"/>
      <c r="O861" s="193"/>
      <c r="P861" s="193"/>
      <c r="Q861" s="193"/>
      <c r="R861" s="193"/>
      <c r="S861" s="193"/>
      <c r="T861" s="193"/>
      <c r="U861" s="193"/>
      <c r="V861" s="193"/>
      <c r="W861" s="193"/>
      <c r="X861" s="193"/>
      <c r="Y861" s="193"/>
      <c r="Z861" s="193"/>
      <c r="AA861" s="193"/>
      <c r="AB861" s="193"/>
      <c r="AC861" s="193"/>
    </row>
    <row r="862" spans="1:29" ht="15.75" customHeight="1">
      <c r="A862" s="193"/>
      <c r="B862" s="193"/>
      <c r="C862" s="193"/>
      <c r="D862" s="193"/>
      <c r="E862" s="193"/>
      <c r="F862" s="193"/>
      <c r="G862" s="193"/>
      <c r="H862" s="193"/>
      <c r="I862" s="193"/>
      <c r="J862" s="193"/>
      <c r="K862" s="193"/>
      <c r="L862" s="193"/>
      <c r="M862" s="193"/>
      <c r="N862" s="193"/>
      <c r="O862" s="193"/>
      <c r="P862" s="193"/>
      <c r="Q862" s="193"/>
      <c r="R862" s="193"/>
      <c r="S862" s="193"/>
      <c r="T862" s="193"/>
      <c r="U862" s="193"/>
      <c r="V862" s="193"/>
      <c r="W862" s="193"/>
      <c r="X862" s="193"/>
      <c r="Y862" s="193"/>
      <c r="Z862" s="193"/>
      <c r="AA862" s="193"/>
      <c r="AB862" s="193"/>
      <c r="AC862" s="193"/>
    </row>
    <row r="863" spans="1:29" ht="15.75" customHeight="1">
      <c r="A863" s="193"/>
      <c r="B863" s="193"/>
      <c r="C863" s="193"/>
      <c r="D863" s="193"/>
      <c r="E863" s="193"/>
      <c r="F863" s="193"/>
      <c r="G863" s="193"/>
      <c r="H863" s="193"/>
      <c r="I863" s="193"/>
      <c r="J863" s="193"/>
      <c r="K863" s="193"/>
      <c r="L863" s="193"/>
      <c r="M863" s="193"/>
      <c r="N863" s="193"/>
      <c r="O863" s="193"/>
      <c r="P863" s="193"/>
      <c r="Q863" s="193"/>
      <c r="R863" s="193"/>
      <c r="S863" s="193"/>
      <c r="T863" s="193"/>
      <c r="U863" s="193"/>
      <c r="V863" s="193"/>
      <c r="W863" s="193"/>
      <c r="X863" s="193"/>
      <c r="Y863" s="193"/>
      <c r="Z863" s="193"/>
      <c r="AA863" s="193"/>
      <c r="AB863" s="193"/>
      <c r="AC863" s="193"/>
    </row>
    <row r="864" spans="1:29" ht="15.75" customHeight="1">
      <c r="A864" s="193"/>
      <c r="B864" s="193"/>
      <c r="C864" s="193"/>
      <c r="D864" s="193"/>
      <c r="E864" s="193"/>
      <c r="F864" s="193"/>
      <c r="G864" s="193"/>
      <c r="H864" s="193"/>
      <c r="I864" s="193"/>
      <c r="J864" s="193"/>
      <c r="K864" s="193"/>
      <c r="L864" s="193"/>
      <c r="M864" s="193"/>
      <c r="N864" s="193"/>
      <c r="O864" s="193"/>
      <c r="P864" s="193"/>
      <c r="Q864" s="193"/>
      <c r="R864" s="193"/>
      <c r="S864" s="193"/>
      <c r="T864" s="193"/>
      <c r="U864" s="193"/>
      <c r="V864" s="193"/>
      <c r="W864" s="193"/>
      <c r="X864" s="193"/>
      <c r="Y864" s="193"/>
      <c r="Z864" s="193"/>
      <c r="AA864" s="193"/>
      <c r="AB864" s="193"/>
      <c r="AC864" s="193"/>
    </row>
    <row r="865" spans="1:29" ht="15.75" customHeight="1">
      <c r="A865" s="193"/>
      <c r="B865" s="193"/>
      <c r="C865" s="193"/>
      <c r="D865" s="193"/>
      <c r="E865" s="193"/>
      <c r="F865" s="193"/>
      <c r="G865" s="193"/>
      <c r="H865" s="193"/>
      <c r="I865" s="193"/>
      <c r="J865" s="193"/>
      <c r="K865" s="193"/>
      <c r="L865" s="193"/>
      <c r="M865" s="193"/>
      <c r="N865" s="193"/>
      <c r="O865" s="193"/>
      <c r="P865" s="193"/>
      <c r="Q865" s="193"/>
      <c r="R865" s="193"/>
      <c r="S865" s="193"/>
      <c r="T865" s="193"/>
      <c r="U865" s="193"/>
      <c r="V865" s="193"/>
      <c r="W865" s="193"/>
      <c r="X865" s="193"/>
      <c r="Y865" s="193"/>
      <c r="Z865" s="193"/>
      <c r="AA865" s="193"/>
      <c r="AB865" s="193"/>
      <c r="AC865" s="193"/>
    </row>
    <row r="866" spans="1:29" ht="15.75" customHeight="1">
      <c r="A866" s="193"/>
      <c r="B866" s="193"/>
      <c r="C866" s="193"/>
      <c r="D866" s="193"/>
      <c r="E866" s="193"/>
      <c r="F866" s="193"/>
      <c r="G866" s="193"/>
      <c r="H866" s="193"/>
      <c r="I866" s="193"/>
      <c r="J866" s="193"/>
      <c r="K866" s="193"/>
      <c r="L866" s="193"/>
      <c r="M866" s="193"/>
      <c r="N866" s="193"/>
      <c r="O866" s="193"/>
      <c r="P866" s="193"/>
      <c r="Q866" s="193"/>
      <c r="R866" s="193"/>
      <c r="S866" s="193"/>
      <c r="T866" s="193"/>
      <c r="U866" s="193"/>
      <c r="V866" s="193"/>
      <c r="W866" s="193"/>
      <c r="X866" s="193"/>
      <c r="Y866" s="193"/>
      <c r="Z866" s="193"/>
      <c r="AA866" s="193"/>
      <c r="AB866" s="193"/>
      <c r="AC866" s="193"/>
    </row>
    <row r="867" spans="1:29" ht="15.75" customHeight="1">
      <c r="A867" s="193"/>
      <c r="B867" s="193"/>
      <c r="C867" s="193"/>
      <c r="D867" s="193"/>
      <c r="E867" s="193"/>
      <c r="F867" s="193"/>
      <c r="G867" s="193"/>
      <c r="H867" s="193"/>
      <c r="I867" s="193"/>
      <c r="J867" s="193"/>
      <c r="K867" s="193"/>
      <c r="L867" s="193"/>
      <c r="M867" s="193"/>
      <c r="N867" s="193"/>
      <c r="O867" s="193"/>
      <c r="P867" s="193"/>
      <c r="Q867" s="193"/>
      <c r="R867" s="193"/>
      <c r="S867" s="193"/>
      <c r="T867" s="193"/>
      <c r="U867" s="193"/>
      <c r="V867" s="193"/>
      <c r="W867" s="193"/>
      <c r="X867" s="193"/>
      <c r="Y867" s="193"/>
      <c r="Z867" s="193"/>
      <c r="AA867" s="193"/>
      <c r="AB867" s="193"/>
      <c r="AC867" s="193"/>
    </row>
    <row r="868" spans="1:29" ht="15.75" customHeight="1">
      <c r="A868" s="193"/>
      <c r="B868" s="193"/>
      <c r="C868" s="193"/>
      <c r="D868" s="193"/>
      <c r="E868" s="193"/>
      <c r="F868" s="193"/>
      <c r="G868" s="193"/>
      <c r="H868" s="193"/>
      <c r="I868" s="193"/>
      <c r="J868" s="193"/>
      <c r="K868" s="193"/>
      <c r="L868" s="193"/>
      <c r="M868" s="193"/>
      <c r="N868" s="193"/>
      <c r="O868" s="193"/>
      <c r="P868" s="193"/>
      <c r="Q868" s="193"/>
      <c r="R868" s="193"/>
      <c r="S868" s="193"/>
      <c r="T868" s="193"/>
      <c r="U868" s="193"/>
      <c r="V868" s="193"/>
      <c r="W868" s="193"/>
      <c r="X868" s="193"/>
      <c r="Y868" s="193"/>
      <c r="Z868" s="193"/>
      <c r="AA868" s="193"/>
      <c r="AB868" s="193"/>
      <c r="AC868" s="193"/>
    </row>
    <row r="869" spans="1:29" ht="15.75" customHeight="1">
      <c r="A869" s="193"/>
      <c r="B869" s="193"/>
      <c r="C869" s="193"/>
      <c r="D869" s="193"/>
      <c r="E869" s="193"/>
      <c r="F869" s="193"/>
      <c r="G869" s="193"/>
      <c r="H869" s="193"/>
      <c r="I869" s="193"/>
      <c r="J869" s="193"/>
      <c r="K869" s="193"/>
      <c r="L869" s="193"/>
      <c r="M869" s="193"/>
      <c r="N869" s="193"/>
      <c r="O869" s="193"/>
      <c r="P869" s="193"/>
      <c r="Q869" s="193"/>
      <c r="R869" s="193"/>
      <c r="S869" s="193"/>
      <c r="T869" s="193"/>
      <c r="U869" s="193"/>
      <c r="V869" s="193"/>
      <c r="W869" s="193"/>
      <c r="X869" s="193"/>
      <c r="Y869" s="193"/>
      <c r="Z869" s="193"/>
      <c r="AA869" s="193"/>
      <c r="AB869" s="193"/>
      <c r="AC869" s="193"/>
    </row>
    <row r="870" spans="1:29" ht="15.75" customHeight="1">
      <c r="A870" s="193"/>
      <c r="B870" s="193"/>
      <c r="C870" s="193"/>
      <c r="D870" s="193"/>
      <c r="E870" s="193"/>
      <c r="F870" s="193"/>
      <c r="G870" s="193"/>
      <c r="H870" s="193"/>
      <c r="I870" s="193"/>
      <c r="J870" s="193"/>
      <c r="K870" s="193"/>
      <c r="L870" s="193"/>
      <c r="M870" s="193"/>
      <c r="N870" s="193"/>
      <c r="O870" s="193"/>
      <c r="P870" s="193"/>
      <c r="Q870" s="193"/>
      <c r="R870" s="193"/>
      <c r="S870" s="193"/>
      <c r="T870" s="193"/>
      <c r="U870" s="193"/>
      <c r="V870" s="193"/>
      <c r="W870" s="193"/>
      <c r="X870" s="193"/>
      <c r="Y870" s="193"/>
      <c r="Z870" s="193"/>
      <c r="AA870" s="193"/>
      <c r="AB870" s="193"/>
      <c r="AC870" s="193"/>
    </row>
    <row r="871" spans="1:29" ht="15.75" customHeight="1">
      <c r="A871" s="193"/>
      <c r="B871" s="193"/>
      <c r="C871" s="193"/>
      <c r="D871" s="193"/>
      <c r="E871" s="193"/>
      <c r="F871" s="193"/>
      <c r="G871" s="193"/>
      <c r="H871" s="193"/>
      <c r="I871" s="193"/>
      <c r="J871" s="193"/>
      <c r="K871" s="193"/>
      <c r="L871" s="193"/>
      <c r="M871" s="193"/>
      <c r="N871" s="193"/>
      <c r="O871" s="193"/>
      <c r="P871" s="193"/>
      <c r="Q871" s="193"/>
      <c r="R871" s="193"/>
      <c r="S871" s="193"/>
      <c r="T871" s="193"/>
      <c r="U871" s="193"/>
      <c r="V871" s="193"/>
      <c r="W871" s="193"/>
      <c r="X871" s="193"/>
      <c r="Y871" s="193"/>
      <c r="Z871" s="193"/>
      <c r="AA871" s="193"/>
      <c r="AB871" s="193"/>
      <c r="AC871" s="193"/>
    </row>
    <row r="872" spans="1:29" ht="15.75" customHeight="1">
      <c r="A872" s="193"/>
      <c r="B872" s="193"/>
      <c r="C872" s="193"/>
      <c r="D872" s="193"/>
      <c r="E872" s="193"/>
      <c r="F872" s="193"/>
      <c r="G872" s="193"/>
      <c r="H872" s="193"/>
      <c r="I872" s="193"/>
      <c r="J872" s="193"/>
      <c r="K872" s="193"/>
      <c r="L872" s="193"/>
      <c r="M872" s="193"/>
      <c r="N872" s="193"/>
      <c r="O872" s="193"/>
      <c r="P872" s="193"/>
      <c r="Q872" s="193"/>
      <c r="R872" s="193"/>
      <c r="S872" s="193"/>
      <c r="T872" s="193"/>
      <c r="U872" s="193"/>
      <c r="V872" s="193"/>
      <c r="W872" s="193"/>
      <c r="X872" s="193"/>
      <c r="Y872" s="193"/>
      <c r="Z872" s="193"/>
      <c r="AA872" s="193"/>
      <c r="AB872" s="193"/>
      <c r="AC872" s="193"/>
    </row>
    <row r="873" spans="1:29" ht="15.75" customHeight="1">
      <c r="A873" s="193"/>
      <c r="B873" s="193"/>
      <c r="C873" s="193"/>
      <c r="D873" s="193"/>
      <c r="E873" s="193"/>
      <c r="F873" s="193"/>
      <c r="G873" s="193"/>
      <c r="H873" s="193"/>
      <c r="I873" s="193"/>
      <c r="J873" s="193"/>
      <c r="K873" s="193"/>
      <c r="L873" s="193"/>
      <c r="M873" s="193"/>
      <c r="N873" s="193"/>
      <c r="O873" s="193"/>
      <c r="P873" s="193"/>
      <c r="Q873" s="193"/>
      <c r="R873" s="193"/>
      <c r="S873" s="193"/>
      <c r="T873" s="193"/>
      <c r="U873" s="193"/>
      <c r="V873" s="193"/>
      <c r="W873" s="193"/>
      <c r="X873" s="193"/>
      <c r="Y873" s="193"/>
      <c r="Z873" s="193"/>
      <c r="AA873" s="193"/>
      <c r="AB873" s="193"/>
      <c r="AC873" s="193"/>
    </row>
    <row r="874" spans="1:29" ht="15.75" customHeight="1">
      <c r="A874" s="193"/>
      <c r="B874" s="193"/>
      <c r="C874" s="193"/>
      <c r="D874" s="193"/>
      <c r="E874" s="193"/>
      <c r="F874" s="193"/>
      <c r="G874" s="193"/>
      <c r="H874" s="193"/>
      <c r="I874" s="193"/>
      <c r="J874" s="193"/>
      <c r="K874" s="193"/>
      <c r="L874" s="193"/>
      <c r="M874" s="193"/>
      <c r="N874" s="193"/>
      <c r="O874" s="193"/>
      <c r="P874" s="193"/>
      <c r="Q874" s="193"/>
      <c r="R874" s="193"/>
      <c r="S874" s="193"/>
      <c r="T874" s="193"/>
      <c r="U874" s="193"/>
      <c r="V874" s="193"/>
      <c r="W874" s="193"/>
      <c r="X874" s="193"/>
      <c r="Y874" s="193"/>
      <c r="Z874" s="193"/>
      <c r="AA874" s="193"/>
      <c r="AB874" s="193"/>
      <c r="AC874" s="193"/>
    </row>
    <row r="875" spans="1:29" ht="15.75" customHeight="1">
      <c r="A875" s="193"/>
      <c r="B875" s="193"/>
      <c r="C875" s="193"/>
      <c r="D875" s="193"/>
      <c r="E875" s="193"/>
      <c r="F875" s="193"/>
      <c r="G875" s="193"/>
      <c r="H875" s="193"/>
      <c r="I875" s="193"/>
      <c r="J875" s="193"/>
      <c r="K875" s="193"/>
      <c r="L875" s="193"/>
      <c r="M875" s="193"/>
      <c r="N875" s="193"/>
      <c r="O875" s="193"/>
      <c r="P875" s="193"/>
      <c r="Q875" s="193"/>
      <c r="R875" s="193"/>
      <c r="S875" s="193"/>
      <c r="T875" s="193"/>
      <c r="U875" s="193"/>
      <c r="V875" s="193"/>
      <c r="W875" s="193"/>
      <c r="X875" s="193"/>
      <c r="Y875" s="193"/>
      <c r="Z875" s="193"/>
      <c r="AA875" s="193"/>
      <c r="AB875" s="193"/>
      <c r="AC875" s="193"/>
    </row>
    <row r="876" spans="1:29" ht="15.75" customHeight="1">
      <c r="A876" s="193"/>
      <c r="B876" s="193"/>
      <c r="C876" s="193"/>
      <c r="D876" s="193"/>
      <c r="E876" s="193"/>
      <c r="F876" s="193"/>
      <c r="G876" s="193"/>
      <c r="H876" s="193"/>
      <c r="I876" s="193"/>
      <c r="J876" s="193"/>
      <c r="K876" s="193"/>
      <c r="L876" s="193"/>
      <c r="M876" s="193"/>
      <c r="N876" s="193"/>
      <c r="O876" s="193"/>
      <c r="P876" s="193"/>
      <c r="Q876" s="193"/>
      <c r="R876" s="193"/>
      <c r="S876" s="193"/>
      <c r="T876" s="193"/>
      <c r="U876" s="193"/>
      <c r="V876" s="193"/>
      <c r="W876" s="193"/>
      <c r="X876" s="193"/>
      <c r="Y876" s="193"/>
      <c r="Z876" s="193"/>
      <c r="AA876" s="193"/>
      <c r="AB876" s="193"/>
      <c r="AC876" s="193"/>
    </row>
    <row r="877" spans="1:29" ht="15.75" customHeight="1">
      <c r="A877" s="193"/>
      <c r="B877" s="193"/>
      <c r="C877" s="193"/>
      <c r="D877" s="193"/>
      <c r="E877" s="193"/>
      <c r="F877" s="193"/>
      <c r="G877" s="193"/>
      <c r="H877" s="193"/>
      <c r="I877" s="193"/>
      <c r="J877" s="193"/>
      <c r="K877" s="193"/>
      <c r="L877" s="193"/>
      <c r="M877" s="193"/>
      <c r="N877" s="193"/>
      <c r="O877" s="193"/>
      <c r="P877" s="193"/>
      <c r="Q877" s="193"/>
      <c r="R877" s="193"/>
      <c r="S877" s="193"/>
      <c r="T877" s="193"/>
      <c r="U877" s="193"/>
      <c r="V877" s="193"/>
      <c r="W877" s="193"/>
      <c r="X877" s="193"/>
      <c r="Y877" s="193"/>
      <c r="Z877" s="193"/>
      <c r="AA877" s="193"/>
      <c r="AB877" s="193"/>
      <c r="AC877" s="193"/>
    </row>
    <row r="878" spans="1:29" ht="15.75" customHeight="1">
      <c r="A878" s="193"/>
      <c r="B878" s="193"/>
      <c r="C878" s="193"/>
      <c r="D878" s="193"/>
      <c r="E878" s="193"/>
      <c r="F878" s="193"/>
      <c r="G878" s="193"/>
      <c r="H878" s="193"/>
      <c r="I878" s="193"/>
      <c r="J878" s="193"/>
      <c r="K878" s="193"/>
      <c r="L878" s="193"/>
      <c r="M878" s="193"/>
      <c r="N878" s="193"/>
      <c r="O878" s="193"/>
      <c r="P878" s="193"/>
      <c r="Q878" s="193"/>
      <c r="R878" s="193"/>
      <c r="S878" s="193"/>
      <c r="T878" s="193"/>
      <c r="U878" s="193"/>
      <c r="V878" s="193"/>
      <c r="W878" s="193"/>
      <c r="X878" s="193"/>
      <c r="Y878" s="193"/>
      <c r="Z878" s="193"/>
      <c r="AA878" s="193"/>
      <c r="AB878" s="193"/>
      <c r="AC878" s="193"/>
    </row>
    <row r="879" spans="1:29" ht="15.75" customHeight="1">
      <c r="A879" s="193"/>
      <c r="B879" s="193"/>
      <c r="C879" s="193"/>
      <c r="D879" s="193"/>
      <c r="E879" s="193"/>
      <c r="F879" s="193"/>
      <c r="G879" s="193"/>
      <c r="H879" s="193"/>
      <c r="I879" s="193"/>
      <c r="J879" s="193"/>
      <c r="K879" s="193"/>
      <c r="L879" s="193"/>
      <c r="M879" s="193"/>
      <c r="N879" s="193"/>
      <c r="O879" s="193"/>
      <c r="P879" s="193"/>
      <c r="Q879" s="193"/>
      <c r="R879" s="193"/>
      <c r="S879" s="193"/>
      <c r="T879" s="193"/>
      <c r="U879" s="193"/>
      <c r="V879" s="193"/>
      <c r="W879" s="193"/>
      <c r="X879" s="193"/>
      <c r="Y879" s="193"/>
      <c r="Z879" s="193"/>
      <c r="AA879" s="193"/>
      <c r="AB879" s="193"/>
      <c r="AC879" s="193"/>
    </row>
    <row r="880" spans="1:29" ht="15.75" customHeight="1">
      <c r="A880" s="193"/>
      <c r="B880" s="193"/>
      <c r="C880" s="193"/>
      <c r="D880" s="193"/>
      <c r="E880" s="193"/>
      <c r="F880" s="193"/>
      <c r="G880" s="193"/>
      <c r="H880" s="193"/>
      <c r="I880" s="193"/>
      <c r="J880" s="193"/>
      <c r="K880" s="193"/>
      <c r="L880" s="193"/>
      <c r="M880" s="193"/>
      <c r="N880" s="193"/>
      <c r="O880" s="193"/>
      <c r="P880" s="193"/>
      <c r="Q880" s="193"/>
      <c r="R880" s="193"/>
      <c r="S880" s="193"/>
      <c r="T880" s="193"/>
      <c r="U880" s="193"/>
      <c r="V880" s="193"/>
      <c r="W880" s="193"/>
      <c r="X880" s="193"/>
      <c r="Y880" s="193"/>
      <c r="Z880" s="193"/>
      <c r="AA880" s="193"/>
      <c r="AB880" s="193"/>
      <c r="AC880" s="193"/>
    </row>
    <row r="881" spans="1:29" ht="15.75" customHeight="1">
      <c r="A881" s="193"/>
      <c r="B881" s="193"/>
      <c r="C881" s="193"/>
      <c r="D881" s="193"/>
      <c r="E881" s="193"/>
      <c r="F881" s="193"/>
      <c r="G881" s="193"/>
      <c r="H881" s="193"/>
      <c r="I881" s="193"/>
      <c r="J881" s="193"/>
      <c r="K881" s="193"/>
      <c r="L881" s="193"/>
      <c r="M881" s="193"/>
      <c r="N881" s="193"/>
      <c r="O881" s="193"/>
      <c r="P881" s="193"/>
      <c r="Q881" s="193"/>
      <c r="R881" s="193"/>
      <c r="S881" s="193"/>
      <c r="T881" s="193"/>
      <c r="U881" s="193"/>
      <c r="V881" s="193"/>
      <c r="W881" s="193"/>
      <c r="X881" s="193"/>
      <c r="Y881" s="193"/>
      <c r="Z881" s="193"/>
      <c r="AA881" s="193"/>
      <c r="AB881" s="193"/>
      <c r="AC881" s="193"/>
    </row>
    <row r="882" spans="1:29" ht="15.75" customHeight="1">
      <c r="A882" s="193"/>
      <c r="B882" s="193"/>
      <c r="C882" s="193"/>
      <c r="D882" s="193"/>
      <c r="E882" s="193"/>
      <c r="F882" s="193"/>
      <c r="G882" s="193"/>
      <c r="H882" s="193"/>
      <c r="I882" s="193"/>
      <c r="J882" s="193"/>
      <c r="K882" s="193"/>
      <c r="L882" s="193"/>
      <c r="M882" s="193"/>
      <c r="N882" s="193"/>
      <c r="O882" s="193"/>
      <c r="P882" s="193"/>
      <c r="Q882" s="193"/>
      <c r="R882" s="193"/>
      <c r="S882" s="193"/>
      <c r="T882" s="193"/>
      <c r="U882" s="193"/>
      <c r="V882" s="193"/>
      <c r="W882" s="193"/>
      <c r="X882" s="193"/>
      <c r="Y882" s="193"/>
      <c r="Z882" s="193"/>
      <c r="AA882" s="193"/>
      <c r="AB882" s="193"/>
      <c r="AC882" s="193"/>
    </row>
    <row r="883" spans="1:29" ht="15.75" customHeight="1">
      <c r="A883" s="193"/>
      <c r="B883" s="193"/>
      <c r="C883" s="193"/>
      <c r="D883" s="193"/>
      <c r="E883" s="193"/>
      <c r="F883" s="193"/>
      <c r="G883" s="193"/>
      <c r="H883" s="193"/>
      <c r="I883" s="193"/>
      <c r="J883" s="193"/>
      <c r="K883" s="193"/>
      <c r="L883" s="193"/>
      <c r="M883" s="193"/>
      <c r="N883" s="193"/>
      <c r="O883" s="193"/>
      <c r="P883" s="193"/>
      <c r="Q883" s="193"/>
      <c r="R883" s="193"/>
      <c r="S883" s="193"/>
      <c r="T883" s="193"/>
      <c r="U883" s="193"/>
      <c r="V883" s="193"/>
      <c r="W883" s="193"/>
      <c r="X883" s="193"/>
      <c r="Y883" s="193"/>
      <c r="Z883" s="193"/>
      <c r="AA883" s="193"/>
      <c r="AB883" s="193"/>
      <c r="AC883" s="193"/>
    </row>
    <row r="884" spans="1:29" ht="15.75" customHeight="1">
      <c r="A884" s="193"/>
      <c r="B884" s="193"/>
      <c r="C884" s="193"/>
      <c r="D884" s="193"/>
      <c r="E884" s="193"/>
      <c r="F884" s="193"/>
      <c r="G884" s="193"/>
      <c r="H884" s="193"/>
      <c r="I884" s="193"/>
      <c r="J884" s="193"/>
      <c r="K884" s="193"/>
      <c r="L884" s="193"/>
      <c r="M884" s="193"/>
      <c r="N884" s="193"/>
      <c r="O884" s="193"/>
      <c r="P884" s="193"/>
      <c r="Q884" s="193"/>
      <c r="R884" s="193"/>
      <c r="S884" s="193"/>
      <c r="T884" s="193"/>
      <c r="U884" s="193"/>
      <c r="V884" s="193"/>
      <c r="W884" s="193"/>
      <c r="X884" s="193"/>
      <c r="Y884" s="193"/>
      <c r="Z884" s="193"/>
      <c r="AA884" s="193"/>
      <c r="AB884" s="193"/>
      <c r="AC884" s="193"/>
    </row>
    <row r="885" spans="1:29" ht="15.75" customHeight="1">
      <c r="A885" s="193"/>
      <c r="B885" s="193"/>
      <c r="C885" s="193"/>
      <c r="D885" s="193"/>
      <c r="E885" s="193"/>
      <c r="F885" s="193"/>
      <c r="G885" s="193"/>
      <c r="H885" s="193"/>
      <c r="I885" s="193"/>
      <c r="J885" s="193"/>
      <c r="K885" s="193"/>
      <c r="L885" s="193"/>
      <c r="M885" s="193"/>
      <c r="N885" s="193"/>
      <c r="O885" s="193"/>
      <c r="P885" s="193"/>
      <c r="Q885" s="193"/>
      <c r="R885" s="193"/>
      <c r="S885" s="193"/>
      <c r="T885" s="193"/>
      <c r="U885" s="193"/>
      <c r="V885" s="193"/>
      <c r="W885" s="193"/>
      <c r="X885" s="193"/>
      <c r="Y885" s="193"/>
      <c r="Z885" s="193"/>
      <c r="AA885" s="193"/>
      <c r="AB885" s="193"/>
      <c r="AC885" s="193"/>
    </row>
    <row r="886" spans="1:29" ht="15.75" customHeight="1">
      <c r="A886" s="193"/>
      <c r="B886" s="193"/>
      <c r="C886" s="193"/>
      <c r="D886" s="193"/>
      <c r="E886" s="193"/>
      <c r="F886" s="193"/>
      <c r="G886" s="193"/>
      <c r="H886" s="193"/>
      <c r="I886" s="193"/>
      <c r="J886" s="193"/>
      <c r="K886" s="193"/>
      <c r="L886" s="193"/>
      <c r="M886" s="193"/>
      <c r="N886" s="193"/>
      <c r="O886" s="193"/>
      <c r="P886" s="193"/>
      <c r="Q886" s="193"/>
      <c r="R886" s="193"/>
      <c r="S886" s="193"/>
      <c r="T886" s="193"/>
      <c r="U886" s="193"/>
      <c r="V886" s="193"/>
      <c r="W886" s="193"/>
      <c r="X886" s="193"/>
      <c r="Y886" s="193"/>
      <c r="Z886" s="193"/>
      <c r="AA886" s="193"/>
      <c r="AB886" s="193"/>
      <c r="AC886" s="193"/>
    </row>
    <row r="887" spans="1:29" ht="15.75" customHeight="1">
      <c r="A887" s="193"/>
      <c r="B887" s="193"/>
      <c r="C887" s="193"/>
      <c r="D887" s="193"/>
      <c r="E887" s="193"/>
      <c r="F887" s="193"/>
      <c r="G887" s="193"/>
      <c r="H887" s="193"/>
      <c r="I887" s="193"/>
      <c r="J887" s="193"/>
      <c r="K887" s="193"/>
      <c r="L887" s="193"/>
      <c r="M887" s="193"/>
      <c r="N887" s="193"/>
      <c r="O887" s="193"/>
      <c r="P887" s="193"/>
      <c r="Q887" s="193"/>
      <c r="R887" s="193"/>
      <c r="S887" s="193"/>
      <c r="T887" s="193"/>
      <c r="U887" s="193"/>
      <c r="V887" s="193"/>
      <c r="W887" s="193"/>
      <c r="X887" s="193"/>
      <c r="Y887" s="193"/>
      <c r="Z887" s="193"/>
      <c r="AA887" s="193"/>
      <c r="AB887" s="193"/>
      <c r="AC887" s="193"/>
    </row>
    <row r="888" spans="1:29" ht="15.75" customHeight="1">
      <c r="A888" s="193"/>
      <c r="B888" s="193"/>
      <c r="C888" s="193"/>
      <c r="D888" s="193"/>
      <c r="E888" s="193"/>
      <c r="F888" s="193"/>
      <c r="G888" s="193"/>
      <c r="H888" s="193"/>
      <c r="I888" s="193"/>
      <c r="J888" s="193"/>
      <c r="K888" s="193"/>
      <c r="L888" s="193"/>
      <c r="M888" s="193"/>
      <c r="N888" s="193"/>
      <c r="O888" s="193"/>
      <c r="P888" s="193"/>
      <c r="Q888" s="193"/>
      <c r="R888" s="193"/>
      <c r="S888" s="193"/>
      <c r="T888" s="193"/>
      <c r="U888" s="193"/>
      <c r="V888" s="193"/>
      <c r="W888" s="193"/>
      <c r="X888" s="193"/>
      <c r="Y888" s="193"/>
      <c r="Z888" s="193"/>
      <c r="AA888" s="193"/>
      <c r="AB888" s="193"/>
      <c r="AC888" s="193"/>
    </row>
    <row r="889" spans="1:29" ht="15.75" customHeight="1">
      <c r="A889" s="193"/>
      <c r="B889" s="193"/>
      <c r="C889" s="193"/>
      <c r="D889" s="193"/>
      <c r="E889" s="193"/>
      <c r="F889" s="193"/>
      <c r="G889" s="193"/>
      <c r="H889" s="193"/>
      <c r="I889" s="193"/>
      <c r="J889" s="193"/>
      <c r="K889" s="193"/>
      <c r="L889" s="193"/>
      <c r="M889" s="193"/>
      <c r="N889" s="193"/>
      <c r="O889" s="193"/>
      <c r="P889" s="193"/>
      <c r="Q889" s="193"/>
      <c r="R889" s="193"/>
      <c r="S889" s="193"/>
      <c r="T889" s="193"/>
      <c r="U889" s="193"/>
      <c r="V889" s="193"/>
      <c r="W889" s="193"/>
      <c r="X889" s="193"/>
      <c r="Y889" s="193"/>
      <c r="Z889" s="193"/>
      <c r="AA889" s="193"/>
      <c r="AB889" s="193"/>
      <c r="AC889" s="193"/>
    </row>
    <row r="890" spans="1:29" ht="15.75" customHeight="1">
      <c r="A890" s="193"/>
      <c r="B890" s="193"/>
      <c r="C890" s="193"/>
      <c r="D890" s="193"/>
      <c r="E890" s="193"/>
      <c r="F890" s="193"/>
      <c r="G890" s="193"/>
      <c r="H890" s="193"/>
      <c r="I890" s="193"/>
      <c r="J890" s="193"/>
      <c r="K890" s="193"/>
      <c r="L890" s="193"/>
      <c r="M890" s="193"/>
      <c r="N890" s="193"/>
      <c r="O890" s="193"/>
      <c r="P890" s="193"/>
      <c r="Q890" s="193"/>
      <c r="R890" s="193"/>
      <c r="S890" s="193"/>
      <c r="T890" s="193"/>
      <c r="U890" s="193"/>
      <c r="V890" s="193"/>
      <c r="W890" s="193"/>
      <c r="X890" s="193"/>
      <c r="Y890" s="193"/>
      <c r="Z890" s="193"/>
      <c r="AA890" s="193"/>
      <c r="AB890" s="193"/>
      <c r="AC890" s="193"/>
    </row>
    <row r="891" spans="1:29" ht="15.75" customHeight="1">
      <c r="A891" s="193"/>
      <c r="B891" s="193"/>
      <c r="C891" s="193"/>
      <c r="D891" s="193"/>
      <c r="E891" s="193"/>
      <c r="F891" s="193"/>
      <c r="G891" s="193"/>
      <c r="H891" s="193"/>
      <c r="I891" s="193"/>
      <c r="J891" s="193"/>
      <c r="K891" s="193"/>
      <c r="L891" s="193"/>
      <c r="M891" s="193"/>
      <c r="N891" s="193"/>
      <c r="O891" s="193"/>
      <c r="P891" s="193"/>
      <c r="Q891" s="193"/>
      <c r="R891" s="193"/>
      <c r="S891" s="193"/>
      <c r="T891" s="193"/>
      <c r="U891" s="193"/>
      <c r="V891" s="193"/>
      <c r="W891" s="193"/>
      <c r="X891" s="193"/>
      <c r="Y891" s="193"/>
      <c r="Z891" s="193"/>
      <c r="AA891" s="193"/>
      <c r="AB891" s="193"/>
      <c r="AC891" s="193"/>
    </row>
    <row r="892" spans="1:29" ht="15.75" customHeight="1">
      <c r="A892" s="193"/>
      <c r="B892" s="193"/>
      <c r="C892" s="193"/>
      <c r="D892" s="193"/>
      <c r="E892" s="193"/>
      <c r="F892" s="193"/>
      <c r="G892" s="193"/>
      <c r="H892" s="193"/>
      <c r="I892" s="193"/>
      <c r="J892" s="193"/>
      <c r="K892" s="193"/>
      <c r="L892" s="193"/>
      <c r="M892" s="193"/>
      <c r="N892" s="193"/>
      <c r="O892" s="193"/>
      <c r="P892" s="193"/>
      <c r="Q892" s="193"/>
      <c r="R892" s="193"/>
      <c r="S892" s="193"/>
      <c r="T892" s="193"/>
      <c r="U892" s="193"/>
      <c r="V892" s="193"/>
      <c r="W892" s="193"/>
      <c r="X892" s="193"/>
      <c r="Y892" s="193"/>
      <c r="Z892" s="193"/>
      <c r="AA892" s="193"/>
      <c r="AB892" s="193"/>
      <c r="AC892" s="193"/>
    </row>
    <row r="893" spans="1:29" ht="15.75" customHeight="1">
      <c r="A893" s="193"/>
      <c r="B893" s="193"/>
      <c r="C893" s="193"/>
      <c r="D893" s="193"/>
      <c r="E893" s="193"/>
      <c r="F893" s="193"/>
      <c r="G893" s="193"/>
      <c r="H893" s="193"/>
      <c r="I893" s="193"/>
      <c r="J893" s="193"/>
      <c r="K893" s="193"/>
      <c r="L893" s="193"/>
      <c r="M893" s="193"/>
      <c r="N893" s="193"/>
      <c r="O893" s="193"/>
      <c r="P893" s="193"/>
      <c r="Q893" s="193"/>
      <c r="R893" s="193"/>
      <c r="S893" s="193"/>
      <c r="T893" s="193"/>
      <c r="U893" s="193"/>
      <c r="V893" s="193"/>
      <c r="W893" s="193"/>
      <c r="X893" s="193"/>
      <c r="Y893" s="193"/>
      <c r="Z893" s="193"/>
      <c r="AA893" s="193"/>
      <c r="AB893" s="193"/>
      <c r="AC893" s="193"/>
    </row>
    <row r="894" spans="1:29" ht="15.75" customHeight="1">
      <c r="A894" s="193"/>
      <c r="B894" s="193"/>
      <c r="C894" s="193"/>
      <c r="D894" s="193"/>
      <c r="E894" s="193"/>
      <c r="F894" s="193"/>
      <c r="G894" s="193"/>
      <c r="H894" s="193"/>
      <c r="I894" s="193"/>
      <c r="J894" s="193"/>
      <c r="K894" s="193"/>
      <c r="L894" s="193"/>
      <c r="M894" s="193"/>
      <c r="N894" s="193"/>
      <c r="O894" s="193"/>
      <c r="P894" s="193"/>
      <c r="Q894" s="193"/>
      <c r="R894" s="193"/>
      <c r="S894" s="193"/>
      <c r="T894" s="193"/>
      <c r="U894" s="193"/>
      <c r="V894" s="193"/>
      <c r="W894" s="193"/>
      <c r="X894" s="193"/>
      <c r="Y894" s="193"/>
      <c r="Z894" s="193"/>
      <c r="AA894" s="193"/>
      <c r="AB894" s="193"/>
      <c r="AC894" s="193"/>
    </row>
    <row r="895" spans="1:29" ht="15.75" customHeight="1">
      <c r="A895" s="193"/>
      <c r="B895" s="193"/>
      <c r="C895" s="193"/>
      <c r="D895" s="193"/>
      <c r="E895" s="193"/>
      <c r="F895" s="193"/>
      <c r="G895" s="193"/>
      <c r="H895" s="193"/>
      <c r="I895" s="193"/>
      <c r="J895" s="193"/>
      <c r="K895" s="193"/>
      <c r="L895" s="193"/>
      <c r="M895" s="193"/>
      <c r="N895" s="193"/>
      <c r="O895" s="193"/>
      <c r="P895" s="193"/>
      <c r="Q895" s="193"/>
      <c r="R895" s="193"/>
      <c r="S895" s="193"/>
      <c r="T895" s="193"/>
      <c r="U895" s="193"/>
      <c r="V895" s="193"/>
      <c r="W895" s="193"/>
      <c r="X895" s="193"/>
      <c r="Y895" s="193"/>
      <c r="Z895" s="193"/>
      <c r="AA895" s="193"/>
      <c r="AB895" s="193"/>
      <c r="AC895" s="193"/>
    </row>
    <row r="896" spans="1:29" ht="15.75" customHeight="1">
      <c r="A896" s="193"/>
      <c r="B896" s="193"/>
      <c r="C896" s="193"/>
      <c r="D896" s="193"/>
      <c r="E896" s="193"/>
      <c r="F896" s="193"/>
      <c r="G896" s="193"/>
      <c r="H896" s="193"/>
      <c r="I896" s="193"/>
      <c r="J896" s="193"/>
      <c r="K896" s="193"/>
      <c r="L896" s="193"/>
      <c r="M896" s="193"/>
      <c r="N896" s="193"/>
      <c r="O896" s="193"/>
      <c r="P896" s="193"/>
      <c r="Q896" s="193"/>
      <c r="R896" s="193"/>
      <c r="S896" s="193"/>
      <c r="T896" s="193"/>
      <c r="U896" s="193"/>
      <c r="V896" s="193"/>
      <c r="W896" s="193"/>
      <c r="X896" s="193"/>
      <c r="Y896" s="193"/>
      <c r="Z896" s="193"/>
      <c r="AA896" s="193"/>
      <c r="AB896" s="193"/>
      <c r="AC896" s="193"/>
    </row>
    <row r="897" spans="1:29" ht="15.75" customHeight="1">
      <c r="A897" s="193"/>
      <c r="B897" s="193"/>
      <c r="C897" s="193"/>
      <c r="D897" s="193"/>
      <c r="E897" s="193"/>
      <c r="F897" s="193"/>
      <c r="G897" s="193"/>
      <c r="H897" s="193"/>
      <c r="I897" s="193"/>
      <c r="J897" s="193"/>
      <c r="K897" s="193"/>
      <c r="L897" s="193"/>
      <c r="M897" s="193"/>
      <c r="N897" s="193"/>
      <c r="O897" s="193"/>
      <c r="P897" s="193"/>
      <c r="Q897" s="193"/>
      <c r="R897" s="193"/>
      <c r="S897" s="193"/>
      <c r="T897" s="193"/>
      <c r="U897" s="193"/>
      <c r="V897" s="193"/>
      <c r="W897" s="193"/>
      <c r="X897" s="193"/>
      <c r="Y897" s="193"/>
      <c r="Z897" s="193"/>
      <c r="AA897" s="193"/>
      <c r="AB897" s="193"/>
      <c r="AC897" s="193"/>
    </row>
    <row r="898" spans="1:29" ht="15.75" customHeight="1">
      <c r="A898" s="193"/>
      <c r="B898" s="193"/>
      <c r="C898" s="193"/>
      <c r="D898" s="193"/>
      <c r="E898" s="193"/>
      <c r="F898" s="193"/>
      <c r="G898" s="193"/>
      <c r="H898" s="193"/>
      <c r="I898" s="193"/>
      <c r="J898" s="193"/>
      <c r="K898" s="193"/>
      <c r="L898" s="193"/>
      <c r="M898" s="193"/>
      <c r="N898" s="193"/>
      <c r="O898" s="193"/>
      <c r="P898" s="193"/>
      <c r="Q898" s="193"/>
      <c r="R898" s="193"/>
      <c r="S898" s="193"/>
      <c r="T898" s="193"/>
      <c r="U898" s="193"/>
      <c r="V898" s="193"/>
      <c r="W898" s="193"/>
      <c r="X898" s="193"/>
      <c r="Y898" s="193"/>
      <c r="Z898" s="193"/>
      <c r="AA898" s="193"/>
      <c r="AB898" s="193"/>
      <c r="AC898" s="193"/>
    </row>
    <row r="899" spans="1:29" ht="15.75" customHeight="1">
      <c r="A899" s="193"/>
      <c r="B899" s="193"/>
      <c r="C899" s="193"/>
      <c r="D899" s="193"/>
      <c r="E899" s="193"/>
      <c r="F899" s="193"/>
      <c r="G899" s="193"/>
      <c r="H899" s="193"/>
      <c r="I899" s="193"/>
      <c r="J899" s="193"/>
      <c r="K899" s="193"/>
      <c r="L899" s="193"/>
      <c r="M899" s="193"/>
      <c r="N899" s="193"/>
      <c r="O899" s="193"/>
      <c r="P899" s="193"/>
      <c r="Q899" s="193"/>
      <c r="R899" s="193"/>
      <c r="S899" s="193"/>
      <c r="T899" s="193"/>
      <c r="U899" s="193"/>
      <c r="V899" s="193"/>
      <c r="W899" s="193"/>
      <c r="X899" s="193"/>
      <c r="Y899" s="193"/>
      <c r="Z899" s="193"/>
      <c r="AA899" s="193"/>
      <c r="AB899" s="193"/>
      <c r="AC899" s="193"/>
    </row>
    <row r="900" spans="1:29" ht="15.75" customHeight="1">
      <c r="A900" s="193"/>
      <c r="B900" s="193"/>
      <c r="C900" s="193"/>
      <c r="D900" s="193"/>
      <c r="E900" s="193"/>
      <c r="F900" s="193"/>
      <c r="G900" s="193"/>
      <c r="H900" s="193"/>
      <c r="I900" s="193"/>
      <c r="J900" s="193"/>
      <c r="K900" s="193"/>
      <c r="L900" s="193"/>
      <c r="M900" s="193"/>
      <c r="N900" s="193"/>
      <c r="O900" s="193"/>
      <c r="P900" s="193"/>
      <c r="Q900" s="193"/>
      <c r="R900" s="193"/>
      <c r="S900" s="193"/>
      <c r="T900" s="193"/>
      <c r="U900" s="193"/>
      <c r="V900" s="193"/>
      <c r="W900" s="193"/>
      <c r="X900" s="193"/>
      <c r="Y900" s="193"/>
      <c r="Z900" s="193"/>
      <c r="AA900" s="193"/>
      <c r="AB900" s="193"/>
      <c r="AC900" s="193"/>
    </row>
    <row r="901" spans="1:29" ht="15.75" customHeight="1">
      <c r="A901" s="193"/>
      <c r="B901" s="193"/>
      <c r="C901" s="193"/>
      <c r="D901" s="193"/>
      <c r="E901" s="193"/>
      <c r="F901" s="193"/>
      <c r="G901" s="193"/>
      <c r="H901" s="193"/>
      <c r="I901" s="193"/>
      <c r="J901" s="193"/>
      <c r="K901" s="193"/>
      <c r="L901" s="193"/>
      <c r="M901" s="193"/>
      <c r="N901" s="193"/>
      <c r="O901" s="193"/>
      <c r="P901" s="193"/>
      <c r="Q901" s="193"/>
      <c r="R901" s="193"/>
      <c r="S901" s="193"/>
      <c r="T901" s="193"/>
      <c r="U901" s="193"/>
      <c r="V901" s="193"/>
      <c r="W901" s="193"/>
      <c r="X901" s="193"/>
      <c r="Y901" s="193"/>
      <c r="Z901" s="193"/>
      <c r="AA901" s="193"/>
      <c r="AB901" s="193"/>
      <c r="AC901" s="193"/>
    </row>
    <row r="902" spans="1:29" ht="15.75" customHeight="1">
      <c r="A902" s="193"/>
      <c r="B902" s="193"/>
      <c r="C902" s="193"/>
      <c r="D902" s="193"/>
      <c r="E902" s="193"/>
      <c r="F902" s="193"/>
      <c r="G902" s="193"/>
      <c r="H902" s="193"/>
      <c r="I902" s="193"/>
      <c r="J902" s="193"/>
      <c r="K902" s="193"/>
      <c r="L902" s="193"/>
      <c r="M902" s="193"/>
      <c r="N902" s="193"/>
      <c r="O902" s="193"/>
      <c r="P902" s="193"/>
      <c r="Q902" s="193"/>
      <c r="R902" s="193"/>
      <c r="S902" s="193"/>
      <c r="T902" s="193"/>
      <c r="U902" s="193"/>
      <c r="V902" s="193"/>
      <c r="W902" s="193"/>
      <c r="X902" s="193"/>
      <c r="Y902" s="193"/>
      <c r="Z902" s="193"/>
      <c r="AA902" s="193"/>
      <c r="AB902" s="193"/>
      <c r="AC902" s="193"/>
    </row>
    <row r="903" spans="1:29" ht="15.75" customHeight="1">
      <c r="A903" s="193"/>
      <c r="B903" s="193"/>
      <c r="C903" s="193"/>
      <c r="D903" s="193"/>
      <c r="E903" s="193"/>
      <c r="F903" s="193"/>
      <c r="G903" s="193"/>
      <c r="H903" s="193"/>
      <c r="I903" s="193"/>
      <c r="J903" s="193"/>
      <c r="K903" s="193"/>
      <c r="L903" s="193"/>
      <c r="M903" s="193"/>
      <c r="N903" s="193"/>
      <c r="O903" s="193"/>
      <c r="P903" s="193"/>
      <c r="Q903" s="193"/>
      <c r="R903" s="193"/>
      <c r="S903" s="193"/>
      <c r="T903" s="193"/>
      <c r="U903" s="193"/>
      <c r="V903" s="193"/>
      <c r="W903" s="193"/>
      <c r="X903" s="193"/>
      <c r="Y903" s="193"/>
      <c r="Z903" s="193"/>
      <c r="AA903" s="193"/>
      <c r="AB903" s="193"/>
      <c r="AC903" s="193"/>
    </row>
    <row r="904" spans="1:29" ht="15.75" customHeight="1">
      <c r="A904" s="193"/>
      <c r="B904" s="193"/>
      <c r="C904" s="193"/>
      <c r="D904" s="193"/>
      <c r="E904" s="193"/>
      <c r="F904" s="193"/>
      <c r="G904" s="193"/>
      <c r="H904" s="193"/>
      <c r="I904" s="193"/>
      <c r="J904" s="193"/>
      <c r="K904" s="193"/>
      <c r="L904" s="193"/>
      <c r="M904" s="193"/>
      <c r="N904" s="193"/>
      <c r="O904" s="193"/>
      <c r="P904" s="193"/>
      <c r="Q904" s="193"/>
      <c r="R904" s="193"/>
      <c r="S904" s="193"/>
      <c r="T904" s="193"/>
      <c r="U904" s="193"/>
      <c r="V904" s="193"/>
      <c r="W904" s="193"/>
      <c r="X904" s="193"/>
      <c r="Y904" s="193"/>
      <c r="Z904" s="193"/>
      <c r="AA904" s="193"/>
      <c r="AB904" s="193"/>
      <c r="AC904" s="193"/>
    </row>
    <row r="905" spans="1:29" ht="15.75" customHeight="1">
      <c r="A905" s="193"/>
      <c r="B905" s="193"/>
      <c r="C905" s="193"/>
      <c r="D905" s="193"/>
      <c r="E905" s="193"/>
      <c r="F905" s="193"/>
      <c r="G905" s="193"/>
      <c r="H905" s="193"/>
      <c r="I905" s="193"/>
      <c r="J905" s="193"/>
      <c r="K905" s="193"/>
      <c r="L905" s="193"/>
      <c r="M905" s="193"/>
      <c r="N905" s="193"/>
      <c r="O905" s="193"/>
      <c r="P905" s="193"/>
      <c r="Q905" s="193"/>
      <c r="R905" s="193"/>
      <c r="S905" s="193"/>
      <c r="T905" s="193"/>
      <c r="U905" s="193"/>
      <c r="V905" s="193"/>
      <c r="W905" s="193"/>
      <c r="X905" s="193"/>
      <c r="Y905" s="193"/>
      <c r="Z905" s="193"/>
      <c r="AA905" s="193"/>
      <c r="AB905" s="193"/>
      <c r="AC905" s="193"/>
    </row>
    <row r="906" spans="1:29" ht="15.75" customHeight="1">
      <c r="A906" s="193"/>
      <c r="B906" s="193"/>
      <c r="C906" s="193"/>
      <c r="D906" s="193"/>
      <c r="E906" s="193"/>
      <c r="F906" s="193"/>
      <c r="G906" s="193"/>
      <c r="H906" s="193"/>
      <c r="I906" s="193"/>
      <c r="J906" s="193"/>
      <c r="K906" s="193"/>
      <c r="L906" s="193"/>
      <c r="M906" s="193"/>
      <c r="N906" s="193"/>
      <c r="O906" s="193"/>
      <c r="P906" s="193"/>
      <c r="Q906" s="193"/>
      <c r="R906" s="193"/>
      <c r="S906" s="193"/>
      <c r="T906" s="193"/>
      <c r="U906" s="193"/>
      <c r="V906" s="193"/>
      <c r="W906" s="193"/>
      <c r="X906" s="193"/>
      <c r="Y906" s="193"/>
      <c r="Z906" s="193"/>
      <c r="AA906" s="193"/>
      <c r="AB906" s="193"/>
      <c r="AC906" s="193"/>
    </row>
    <row r="907" spans="1:29" ht="15.75" customHeight="1">
      <c r="A907" s="193"/>
      <c r="B907" s="193"/>
      <c r="C907" s="193"/>
      <c r="D907" s="193"/>
      <c r="E907" s="193"/>
      <c r="F907" s="193"/>
      <c r="G907" s="193"/>
      <c r="H907" s="193"/>
      <c r="I907" s="193"/>
      <c r="J907" s="193"/>
      <c r="K907" s="193"/>
      <c r="L907" s="193"/>
      <c r="M907" s="193"/>
      <c r="N907" s="193"/>
      <c r="O907" s="193"/>
      <c r="P907" s="193"/>
      <c r="Q907" s="193"/>
      <c r="R907" s="193"/>
      <c r="S907" s="193"/>
      <c r="T907" s="193"/>
      <c r="U907" s="193"/>
      <c r="V907" s="193"/>
      <c r="W907" s="193"/>
      <c r="X907" s="193"/>
      <c r="Y907" s="193"/>
      <c r="Z907" s="193"/>
      <c r="AA907" s="193"/>
      <c r="AB907" s="193"/>
      <c r="AC907" s="193"/>
    </row>
    <row r="908" spans="1:29" ht="15.75" customHeight="1">
      <c r="A908" s="193"/>
      <c r="B908" s="193"/>
      <c r="C908" s="193"/>
      <c r="D908" s="193"/>
      <c r="E908" s="193"/>
      <c r="F908" s="193"/>
      <c r="G908" s="193"/>
      <c r="H908" s="193"/>
      <c r="I908" s="193"/>
      <c r="J908" s="193"/>
      <c r="K908" s="193"/>
      <c r="L908" s="193"/>
      <c r="M908" s="193"/>
      <c r="N908" s="193"/>
      <c r="O908" s="193"/>
      <c r="P908" s="193"/>
      <c r="Q908" s="193"/>
      <c r="R908" s="193"/>
      <c r="S908" s="193"/>
      <c r="T908" s="193"/>
      <c r="U908" s="193"/>
      <c r="V908" s="193"/>
      <c r="W908" s="193"/>
      <c r="X908" s="193"/>
      <c r="Y908" s="193"/>
      <c r="Z908" s="193"/>
      <c r="AA908" s="193"/>
      <c r="AB908" s="193"/>
      <c r="AC908" s="193"/>
    </row>
    <row r="909" spans="1:29" ht="15.75" customHeight="1">
      <c r="A909" s="193"/>
      <c r="B909" s="193"/>
      <c r="C909" s="193"/>
      <c r="D909" s="193"/>
      <c r="E909" s="193"/>
      <c r="F909" s="193"/>
      <c r="G909" s="193"/>
      <c r="H909" s="193"/>
      <c r="I909" s="193"/>
      <c r="J909" s="193"/>
      <c r="K909" s="193"/>
      <c r="L909" s="193"/>
      <c r="M909" s="193"/>
      <c r="N909" s="193"/>
      <c r="O909" s="193"/>
      <c r="P909" s="193"/>
      <c r="Q909" s="193"/>
      <c r="R909" s="193"/>
      <c r="S909" s="193"/>
      <c r="T909" s="193"/>
      <c r="U909" s="193"/>
      <c r="V909" s="193"/>
      <c r="W909" s="193"/>
      <c r="X909" s="193"/>
      <c r="Y909" s="193"/>
      <c r="Z909" s="193"/>
      <c r="AA909" s="193"/>
      <c r="AB909" s="193"/>
      <c r="AC909" s="193"/>
    </row>
    <row r="910" spans="1:29" ht="15.75" customHeight="1">
      <c r="A910" s="193"/>
      <c r="B910" s="193"/>
      <c r="C910" s="193"/>
      <c r="D910" s="193"/>
      <c r="E910" s="193"/>
      <c r="F910" s="193"/>
      <c r="G910" s="193"/>
      <c r="H910" s="193"/>
      <c r="I910" s="193"/>
      <c r="J910" s="193"/>
      <c r="K910" s="193"/>
      <c r="L910" s="193"/>
      <c r="M910" s="193"/>
      <c r="N910" s="193"/>
      <c r="O910" s="193"/>
      <c r="P910" s="193"/>
      <c r="Q910" s="193"/>
      <c r="R910" s="193"/>
      <c r="S910" s="193"/>
      <c r="T910" s="193"/>
      <c r="U910" s="193"/>
      <c r="V910" s="193"/>
      <c r="W910" s="193"/>
      <c r="X910" s="193"/>
      <c r="Y910" s="193"/>
      <c r="Z910" s="193"/>
      <c r="AA910" s="193"/>
      <c r="AB910" s="193"/>
      <c r="AC910" s="193"/>
    </row>
    <row r="911" spans="1:29" ht="15.75" customHeight="1">
      <c r="A911" s="193"/>
      <c r="B911" s="193"/>
      <c r="C911" s="193"/>
      <c r="D911" s="193"/>
      <c r="E911" s="193"/>
      <c r="F911" s="193"/>
      <c r="G911" s="193"/>
      <c r="H911" s="193"/>
      <c r="I911" s="193"/>
      <c r="J911" s="193"/>
      <c r="K911" s="193"/>
      <c r="L911" s="193"/>
      <c r="M911" s="193"/>
      <c r="N911" s="193"/>
      <c r="O911" s="193"/>
      <c r="P911" s="193"/>
      <c r="Q911" s="193"/>
      <c r="R911" s="193"/>
      <c r="S911" s="193"/>
      <c r="T911" s="193"/>
      <c r="U911" s="193"/>
      <c r="V911" s="193"/>
      <c r="W911" s="193"/>
      <c r="X911" s="193"/>
      <c r="Y911" s="193"/>
      <c r="Z911" s="193"/>
      <c r="AA911" s="193"/>
      <c r="AB911" s="193"/>
      <c r="AC911" s="193"/>
    </row>
    <row r="912" spans="1:29" ht="15.75" customHeight="1">
      <c r="A912" s="193"/>
      <c r="B912" s="193"/>
      <c r="C912" s="193"/>
      <c r="D912" s="193"/>
      <c r="E912" s="193"/>
      <c r="F912" s="193"/>
      <c r="G912" s="193"/>
      <c r="H912" s="193"/>
      <c r="I912" s="193"/>
      <c r="J912" s="193"/>
      <c r="K912" s="193"/>
      <c r="L912" s="193"/>
      <c r="M912" s="193"/>
      <c r="N912" s="193"/>
      <c r="O912" s="193"/>
      <c r="P912" s="193"/>
      <c r="Q912" s="193"/>
      <c r="R912" s="193"/>
      <c r="S912" s="193"/>
      <c r="T912" s="193"/>
      <c r="U912" s="193"/>
      <c r="V912" s="193"/>
      <c r="W912" s="193"/>
      <c r="X912" s="193"/>
      <c r="Y912" s="193"/>
      <c r="Z912" s="193"/>
      <c r="AA912" s="193"/>
      <c r="AB912" s="193"/>
      <c r="AC912" s="193"/>
    </row>
    <row r="913" spans="1:29" ht="15.75" customHeight="1">
      <c r="A913" s="193"/>
      <c r="B913" s="193"/>
      <c r="C913" s="193"/>
      <c r="D913" s="193"/>
      <c r="E913" s="193"/>
      <c r="F913" s="193"/>
      <c r="G913" s="193"/>
      <c r="H913" s="193"/>
      <c r="I913" s="193"/>
      <c r="J913" s="193"/>
      <c r="K913" s="193"/>
      <c r="L913" s="193"/>
      <c r="M913" s="193"/>
      <c r="N913" s="193"/>
      <c r="O913" s="193"/>
      <c r="P913" s="193"/>
      <c r="Q913" s="193"/>
      <c r="R913" s="193"/>
      <c r="S913" s="193"/>
      <c r="T913" s="193"/>
      <c r="U913" s="193"/>
      <c r="V913" s="193"/>
      <c r="W913" s="193"/>
      <c r="X913" s="193"/>
      <c r="Y913" s="193"/>
      <c r="Z913" s="193"/>
      <c r="AA913" s="193"/>
      <c r="AB913" s="193"/>
      <c r="AC913" s="193"/>
    </row>
    <row r="914" spans="1:29" ht="15.75" customHeight="1">
      <c r="A914" s="193"/>
      <c r="B914" s="193"/>
      <c r="C914" s="193"/>
      <c r="D914" s="193"/>
      <c r="E914" s="193"/>
      <c r="F914" s="193"/>
      <c r="G914" s="193"/>
      <c r="H914" s="193"/>
      <c r="I914" s="193"/>
      <c r="J914" s="193"/>
      <c r="K914" s="193"/>
      <c r="L914" s="193"/>
      <c r="M914" s="193"/>
      <c r="N914" s="193"/>
      <c r="O914" s="193"/>
      <c r="P914" s="193"/>
      <c r="Q914" s="193"/>
      <c r="R914" s="193"/>
      <c r="S914" s="193"/>
      <c r="T914" s="193"/>
      <c r="U914" s="193"/>
      <c r="V914" s="193"/>
      <c r="W914" s="193"/>
      <c r="X914" s="193"/>
      <c r="Y914" s="193"/>
      <c r="Z914" s="193"/>
      <c r="AA914" s="193"/>
      <c r="AB914" s="193"/>
      <c r="AC914" s="193"/>
    </row>
    <row r="915" spans="1:29" ht="15.75" customHeight="1">
      <c r="A915" s="193"/>
      <c r="B915" s="193"/>
      <c r="C915" s="193"/>
      <c r="D915" s="193"/>
      <c r="E915" s="193"/>
      <c r="F915" s="193"/>
      <c r="G915" s="193"/>
      <c r="H915" s="193"/>
      <c r="I915" s="193"/>
      <c r="J915" s="193"/>
      <c r="K915" s="193"/>
      <c r="L915" s="193"/>
      <c r="M915" s="193"/>
      <c r="N915" s="193"/>
      <c r="O915" s="193"/>
      <c r="P915" s="193"/>
      <c r="Q915" s="193"/>
      <c r="R915" s="193"/>
      <c r="S915" s="193"/>
      <c r="T915" s="193"/>
      <c r="U915" s="193"/>
      <c r="V915" s="193"/>
      <c r="W915" s="193"/>
      <c r="X915" s="193"/>
      <c r="Y915" s="193"/>
      <c r="Z915" s="193"/>
      <c r="AA915" s="193"/>
      <c r="AB915" s="193"/>
      <c r="AC915" s="193"/>
    </row>
    <row r="916" spans="1:29" ht="15.75" customHeight="1">
      <c r="A916" s="193"/>
      <c r="B916" s="193"/>
      <c r="C916" s="193"/>
      <c r="D916" s="193"/>
      <c r="E916" s="193"/>
      <c r="F916" s="193"/>
      <c r="G916" s="193"/>
      <c r="H916" s="193"/>
      <c r="I916" s="193"/>
      <c r="J916" s="193"/>
      <c r="K916" s="193"/>
      <c r="L916" s="193"/>
      <c r="M916" s="193"/>
      <c r="N916" s="193"/>
      <c r="O916" s="193"/>
      <c r="P916" s="193"/>
      <c r="Q916" s="193"/>
      <c r="R916" s="193"/>
      <c r="S916" s="193"/>
      <c r="T916" s="193"/>
      <c r="U916" s="193"/>
      <c r="V916" s="193"/>
      <c r="W916" s="193"/>
      <c r="X916" s="193"/>
      <c r="Y916" s="193"/>
      <c r="Z916" s="193"/>
      <c r="AA916" s="193"/>
      <c r="AB916" s="193"/>
      <c r="AC916" s="193"/>
    </row>
    <row r="917" spans="1:29" ht="15.75" customHeight="1">
      <c r="A917" s="193"/>
      <c r="B917" s="193"/>
      <c r="C917" s="193"/>
      <c r="D917" s="193"/>
      <c r="E917" s="193"/>
      <c r="F917" s="193"/>
      <c r="G917" s="193"/>
      <c r="H917" s="193"/>
      <c r="I917" s="193"/>
      <c r="J917" s="193"/>
      <c r="K917" s="193"/>
      <c r="L917" s="193"/>
      <c r="M917" s="193"/>
      <c r="N917" s="193"/>
      <c r="O917" s="193"/>
      <c r="P917" s="193"/>
      <c r="Q917" s="193"/>
      <c r="R917" s="193"/>
      <c r="S917" s="193"/>
      <c r="T917" s="193"/>
      <c r="U917" s="193"/>
      <c r="V917" s="193"/>
      <c r="W917" s="193"/>
      <c r="X917" s="193"/>
      <c r="Y917" s="193"/>
      <c r="Z917" s="193"/>
      <c r="AA917" s="193"/>
      <c r="AB917" s="193"/>
      <c r="AC917" s="193"/>
    </row>
    <row r="918" spans="1:29" ht="15.75" customHeight="1">
      <c r="A918" s="193"/>
      <c r="B918" s="193"/>
      <c r="C918" s="193"/>
      <c r="D918" s="193"/>
      <c r="E918" s="193"/>
      <c r="F918" s="193"/>
      <c r="G918" s="193"/>
      <c r="H918" s="193"/>
      <c r="I918" s="193"/>
      <c r="J918" s="193"/>
      <c r="K918" s="193"/>
      <c r="L918" s="193"/>
      <c r="M918" s="193"/>
      <c r="N918" s="193"/>
      <c r="O918" s="193"/>
      <c r="P918" s="193"/>
      <c r="Q918" s="193"/>
      <c r="R918" s="193"/>
      <c r="S918" s="193"/>
      <c r="T918" s="193"/>
      <c r="U918" s="193"/>
      <c r="V918" s="193"/>
      <c r="W918" s="193"/>
      <c r="X918" s="193"/>
      <c r="Y918" s="193"/>
      <c r="Z918" s="193"/>
      <c r="AA918" s="193"/>
      <c r="AB918" s="193"/>
      <c r="AC918" s="193"/>
    </row>
    <row r="919" spans="1:29" ht="15.75" customHeight="1">
      <c r="A919" s="193"/>
      <c r="B919" s="193"/>
      <c r="C919" s="193"/>
      <c r="D919" s="193"/>
      <c r="E919" s="193"/>
      <c r="F919" s="193"/>
      <c r="G919" s="193"/>
      <c r="H919" s="193"/>
      <c r="I919" s="193"/>
      <c r="J919" s="193"/>
      <c r="K919" s="193"/>
      <c r="L919" s="193"/>
      <c r="M919" s="193"/>
      <c r="N919" s="193"/>
      <c r="O919" s="193"/>
      <c r="P919" s="193"/>
      <c r="Q919" s="193"/>
      <c r="R919" s="193"/>
      <c r="S919" s="193"/>
      <c r="T919" s="193"/>
      <c r="U919" s="193"/>
      <c r="V919" s="193"/>
      <c r="W919" s="193"/>
      <c r="X919" s="193"/>
      <c r="Y919" s="193"/>
      <c r="Z919" s="193"/>
      <c r="AA919" s="193"/>
      <c r="AB919" s="193"/>
      <c r="AC919" s="193"/>
    </row>
    <row r="920" spans="1:29" ht="15.75" customHeight="1">
      <c r="A920" s="193"/>
      <c r="B920" s="193"/>
      <c r="C920" s="193"/>
      <c r="D920" s="193"/>
      <c r="E920" s="193"/>
      <c r="F920" s="193"/>
      <c r="G920" s="193"/>
      <c r="H920" s="193"/>
      <c r="I920" s="193"/>
      <c r="J920" s="193"/>
      <c r="K920" s="193"/>
      <c r="L920" s="193"/>
      <c r="M920" s="193"/>
      <c r="N920" s="193"/>
      <c r="O920" s="193"/>
      <c r="P920" s="193"/>
      <c r="Q920" s="193"/>
      <c r="R920" s="193"/>
      <c r="S920" s="193"/>
      <c r="T920" s="193"/>
      <c r="U920" s="193"/>
      <c r="V920" s="193"/>
      <c r="W920" s="193"/>
      <c r="X920" s="193"/>
      <c r="Y920" s="193"/>
      <c r="Z920" s="193"/>
      <c r="AA920" s="193"/>
      <c r="AB920" s="193"/>
      <c r="AC920" s="193"/>
    </row>
    <row r="921" spans="1:29" ht="15.75" customHeight="1">
      <c r="A921" s="193"/>
      <c r="B921" s="193"/>
      <c r="C921" s="193"/>
      <c r="D921" s="193"/>
      <c r="E921" s="193"/>
      <c r="F921" s="193"/>
      <c r="G921" s="193"/>
      <c r="H921" s="193"/>
      <c r="I921" s="193"/>
      <c r="J921" s="193"/>
      <c r="K921" s="193"/>
      <c r="L921" s="193"/>
      <c r="M921" s="193"/>
      <c r="N921" s="193"/>
      <c r="O921" s="193"/>
      <c r="P921" s="193"/>
      <c r="Q921" s="193"/>
      <c r="R921" s="193"/>
      <c r="S921" s="193"/>
      <c r="T921" s="193"/>
      <c r="U921" s="193"/>
      <c r="V921" s="193"/>
      <c r="W921" s="193"/>
      <c r="X921" s="193"/>
      <c r="Y921" s="193"/>
      <c r="Z921" s="193"/>
      <c r="AA921" s="193"/>
      <c r="AB921" s="193"/>
      <c r="AC921" s="193"/>
    </row>
    <row r="922" spans="1:29" ht="15.75" customHeight="1">
      <c r="A922" s="193"/>
      <c r="B922" s="193"/>
      <c r="C922" s="193"/>
      <c r="D922" s="193"/>
      <c r="E922" s="193"/>
      <c r="F922" s="193"/>
      <c r="G922" s="193"/>
      <c r="H922" s="193"/>
      <c r="I922" s="193"/>
      <c r="J922" s="193"/>
      <c r="K922" s="193"/>
      <c r="L922" s="193"/>
      <c r="M922" s="193"/>
      <c r="N922" s="193"/>
      <c r="O922" s="193"/>
      <c r="P922" s="193"/>
      <c r="Q922" s="193"/>
      <c r="R922" s="193"/>
      <c r="S922" s="193"/>
      <c r="T922" s="193"/>
      <c r="U922" s="193"/>
      <c r="V922" s="193"/>
      <c r="W922" s="193"/>
      <c r="X922" s="193"/>
      <c r="Y922" s="193"/>
      <c r="Z922" s="193"/>
      <c r="AA922" s="193"/>
      <c r="AB922" s="193"/>
      <c r="AC922" s="193"/>
    </row>
    <row r="923" spans="1:29" ht="15.75" customHeight="1">
      <c r="A923" s="193"/>
      <c r="B923" s="193"/>
      <c r="C923" s="193"/>
      <c r="D923" s="193"/>
      <c r="E923" s="193"/>
      <c r="F923" s="193"/>
      <c r="G923" s="193"/>
      <c r="H923" s="193"/>
      <c r="I923" s="193"/>
      <c r="J923" s="193"/>
      <c r="K923" s="193"/>
      <c r="L923" s="193"/>
      <c r="M923" s="193"/>
      <c r="N923" s="193"/>
      <c r="O923" s="193"/>
      <c r="P923" s="193"/>
      <c r="Q923" s="193"/>
      <c r="R923" s="193"/>
      <c r="S923" s="193"/>
      <c r="T923" s="193"/>
      <c r="U923" s="193"/>
      <c r="V923" s="193"/>
      <c r="W923" s="193"/>
      <c r="X923" s="193"/>
      <c r="Y923" s="193"/>
      <c r="Z923" s="193"/>
      <c r="AA923" s="193"/>
      <c r="AB923" s="193"/>
      <c r="AC923" s="193"/>
    </row>
    <row r="924" spans="1:29" ht="15.75" customHeight="1">
      <c r="A924" s="193"/>
      <c r="B924" s="193"/>
      <c r="C924" s="193"/>
      <c r="D924" s="193"/>
      <c r="E924" s="193"/>
      <c r="F924" s="193"/>
      <c r="G924" s="193"/>
      <c r="H924" s="193"/>
      <c r="I924" s="193"/>
      <c r="J924" s="193"/>
      <c r="K924" s="193"/>
      <c r="L924" s="193"/>
      <c r="M924" s="193"/>
      <c r="N924" s="193"/>
      <c r="O924" s="193"/>
      <c r="P924" s="193"/>
      <c r="Q924" s="193"/>
      <c r="R924" s="193"/>
      <c r="S924" s="193"/>
      <c r="T924" s="193"/>
      <c r="U924" s="193"/>
      <c r="V924" s="193"/>
      <c r="W924" s="193"/>
      <c r="X924" s="193"/>
      <c r="Y924" s="193"/>
      <c r="Z924" s="193"/>
      <c r="AA924" s="193"/>
      <c r="AB924" s="193"/>
      <c r="AC924" s="193"/>
    </row>
    <row r="925" spans="1:29" ht="15.75" customHeight="1">
      <c r="A925" s="193"/>
      <c r="B925" s="193"/>
      <c r="C925" s="193"/>
      <c r="D925" s="193"/>
      <c r="E925" s="193"/>
      <c r="F925" s="193"/>
      <c r="G925" s="193"/>
      <c r="H925" s="193"/>
      <c r="I925" s="193"/>
      <c r="J925" s="193"/>
      <c r="K925" s="193"/>
      <c r="L925" s="193"/>
      <c r="M925" s="193"/>
      <c r="N925" s="193"/>
      <c r="O925" s="193"/>
      <c r="P925" s="193"/>
      <c r="Q925" s="193"/>
      <c r="R925" s="193"/>
      <c r="S925" s="193"/>
      <c r="T925" s="193"/>
      <c r="U925" s="193"/>
      <c r="V925" s="193"/>
      <c r="W925" s="193"/>
      <c r="X925" s="193"/>
      <c r="Y925" s="193"/>
      <c r="Z925" s="193"/>
      <c r="AA925" s="193"/>
      <c r="AB925" s="193"/>
      <c r="AC925" s="193"/>
    </row>
    <row r="926" spans="1:29" ht="15.75" customHeight="1">
      <c r="A926" s="193"/>
      <c r="B926" s="193"/>
      <c r="C926" s="193"/>
      <c r="D926" s="193"/>
      <c r="E926" s="193"/>
      <c r="F926" s="193"/>
      <c r="G926" s="193"/>
      <c r="H926" s="193"/>
      <c r="I926" s="193"/>
      <c r="J926" s="193"/>
      <c r="K926" s="193"/>
      <c r="L926" s="193"/>
      <c r="M926" s="193"/>
      <c r="N926" s="193"/>
      <c r="O926" s="193"/>
      <c r="P926" s="193"/>
      <c r="Q926" s="193"/>
      <c r="R926" s="193"/>
      <c r="S926" s="193"/>
      <c r="T926" s="193"/>
      <c r="U926" s="193"/>
      <c r="V926" s="193"/>
      <c r="W926" s="193"/>
      <c r="X926" s="193"/>
      <c r="Y926" s="193"/>
      <c r="Z926" s="193"/>
      <c r="AA926" s="193"/>
      <c r="AB926" s="193"/>
      <c r="AC926" s="193"/>
    </row>
    <row r="927" spans="1:29" ht="15.75" customHeight="1">
      <c r="A927" s="193"/>
      <c r="B927" s="193"/>
      <c r="C927" s="193"/>
      <c r="D927" s="193"/>
      <c r="E927" s="193"/>
      <c r="F927" s="193"/>
      <c r="G927" s="193"/>
      <c r="H927" s="193"/>
      <c r="I927" s="193"/>
      <c r="J927" s="193"/>
      <c r="K927" s="193"/>
      <c r="L927" s="193"/>
      <c r="M927" s="193"/>
      <c r="N927" s="193"/>
      <c r="O927" s="193"/>
      <c r="P927" s="193"/>
      <c r="Q927" s="193"/>
      <c r="R927" s="193"/>
      <c r="S927" s="193"/>
      <c r="T927" s="193"/>
      <c r="U927" s="193"/>
      <c r="V927" s="193"/>
      <c r="W927" s="193"/>
      <c r="X927" s="193"/>
      <c r="Y927" s="193"/>
      <c r="Z927" s="193"/>
      <c r="AA927" s="193"/>
      <c r="AB927" s="193"/>
      <c r="AC927" s="193"/>
    </row>
    <row r="928" spans="1:29" ht="15.75" customHeight="1">
      <c r="A928" s="193"/>
      <c r="B928" s="193"/>
      <c r="C928" s="193"/>
      <c r="D928" s="193"/>
      <c r="E928" s="193"/>
      <c r="F928" s="193"/>
      <c r="G928" s="193"/>
      <c r="H928" s="193"/>
      <c r="I928" s="193"/>
      <c r="J928" s="193"/>
      <c r="K928" s="193"/>
      <c r="L928" s="193"/>
      <c r="M928" s="193"/>
      <c r="N928" s="193"/>
      <c r="O928" s="193"/>
      <c r="P928" s="193"/>
      <c r="Q928" s="193"/>
      <c r="R928" s="193"/>
      <c r="S928" s="193"/>
      <c r="T928" s="193"/>
      <c r="U928" s="193"/>
      <c r="V928" s="193"/>
      <c r="W928" s="193"/>
      <c r="X928" s="193"/>
      <c r="Y928" s="193"/>
      <c r="Z928" s="193"/>
      <c r="AA928" s="193"/>
      <c r="AB928" s="193"/>
      <c r="AC928" s="193"/>
    </row>
    <row r="929" spans="1:29" ht="15.75" customHeight="1">
      <c r="A929" s="193"/>
      <c r="B929" s="193"/>
      <c r="C929" s="193"/>
      <c r="D929" s="193"/>
      <c r="E929" s="193"/>
      <c r="F929" s="193"/>
      <c r="G929" s="193"/>
      <c r="H929" s="193"/>
      <c r="I929" s="193"/>
      <c r="J929" s="193"/>
      <c r="K929" s="193"/>
      <c r="L929" s="193"/>
      <c r="M929" s="193"/>
      <c r="N929" s="193"/>
      <c r="O929" s="193"/>
      <c r="P929" s="193"/>
      <c r="Q929" s="193"/>
      <c r="R929" s="193"/>
      <c r="S929" s="193"/>
      <c r="T929" s="193"/>
      <c r="U929" s="193"/>
      <c r="V929" s="193"/>
      <c r="W929" s="193"/>
      <c r="X929" s="193"/>
      <c r="Y929" s="193"/>
      <c r="Z929" s="193"/>
      <c r="AA929" s="193"/>
      <c r="AB929" s="193"/>
      <c r="AC929" s="193"/>
    </row>
    <row r="930" spans="1:29" ht="15.75" customHeight="1">
      <c r="A930" s="193"/>
      <c r="B930" s="193"/>
      <c r="C930" s="193"/>
      <c r="D930" s="193"/>
      <c r="E930" s="193"/>
      <c r="F930" s="193"/>
      <c r="G930" s="193"/>
      <c r="H930" s="193"/>
      <c r="I930" s="193"/>
      <c r="J930" s="193"/>
      <c r="K930" s="193"/>
      <c r="L930" s="193"/>
      <c r="M930" s="193"/>
      <c r="N930" s="193"/>
      <c r="O930" s="193"/>
      <c r="P930" s="193"/>
      <c r="Q930" s="193"/>
      <c r="R930" s="193"/>
      <c r="S930" s="193"/>
      <c r="T930" s="193"/>
      <c r="U930" s="193"/>
      <c r="V930" s="193"/>
      <c r="W930" s="193"/>
      <c r="X930" s="193"/>
      <c r="Y930" s="193"/>
      <c r="Z930" s="193"/>
      <c r="AA930" s="193"/>
      <c r="AB930" s="193"/>
      <c r="AC930" s="193"/>
    </row>
    <row r="931" spans="1:29" ht="15.75" customHeight="1">
      <c r="A931" s="193"/>
      <c r="B931" s="193"/>
      <c r="C931" s="193"/>
      <c r="D931" s="193"/>
      <c r="E931" s="193"/>
      <c r="F931" s="193"/>
      <c r="G931" s="193"/>
      <c r="H931" s="193"/>
      <c r="I931" s="193"/>
      <c r="J931" s="193"/>
      <c r="K931" s="193"/>
      <c r="L931" s="193"/>
      <c r="M931" s="193"/>
      <c r="N931" s="193"/>
      <c r="O931" s="193"/>
      <c r="P931" s="193"/>
      <c r="Q931" s="193"/>
      <c r="R931" s="193"/>
      <c r="S931" s="193"/>
      <c r="T931" s="193"/>
      <c r="U931" s="193"/>
      <c r="V931" s="193"/>
      <c r="W931" s="193"/>
      <c r="X931" s="193"/>
      <c r="Y931" s="193"/>
      <c r="Z931" s="193"/>
      <c r="AA931" s="193"/>
      <c r="AB931" s="193"/>
      <c r="AC931" s="193"/>
    </row>
    <row r="932" spans="1:29" ht="15.75" customHeight="1">
      <c r="A932" s="193"/>
      <c r="B932" s="193"/>
      <c r="C932" s="193"/>
      <c r="D932" s="193"/>
      <c r="E932" s="193"/>
      <c r="F932" s="193"/>
      <c r="G932" s="193"/>
      <c r="H932" s="193"/>
      <c r="I932" s="193"/>
      <c r="J932" s="193"/>
      <c r="K932" s="193"/>
      <c r="L932" s="193"/>
      <c r="M932" s="193"/>
      <c r="N932" s="193"/>
      <c r="O932" s="193"/>
      <c r="P932" s="193"/>
      <c r="Q932" s="193"/>
      <c r="R932" s="193"/>
      <c r="S932" s="193"/>
      <c r="T932" s="193"/>
      <c r="U932" s="193"/>
      <c r="V932" s="193"/>
      <c r="W932" s="193"/>
      <c r="X932" s="193"/>
      <c r="Y932" s="193"/>
      <c r="Z932" s="193"/>
      <c r="AA932" s="193"/>
      <c r="AB932" s="193"/>
      <c r="AC932" s="193"/>
    </row>
    <row r="933" spans="1:29" ht="15.75" customHeight="1">
      <c r="A933" s="193"/>
      <c r="B933" s="193"/>
      <c r="C933" s="193"/>
      <c r="D933" s="193"/>
      <c r="E933" s="193"/>
      <c r="F933" s="193"/>
      <c r="G933" s="193"/>
      <c r="H933" s="193"/>
      <c r="I933" s="193"/>
      <c r="J933" s="193"/>
      <c r="K933" s="193"/>
      <c r="L933" s="193"/>
      <c r="M933" s="193"/>
      <c r="N933" s="193"/>
      <c r="O933" s="193"/>
      <c r="P933" s="193"/>
      <c r="Q933" s="193"/>
      <c r="R933" s="193"/>
      <c r="S933" s="193"/>
      <c r="T933" s="193"/>
      <c r="U933" s="193"/>
      <c r="V933" s="193"/>
      <c r="W933" s="193"/>
      <c r="X933" s="193"/>
      <c r="Y933" s="193"/>
      <c r="Z933" s="193"/>
      <c r="AA933" s="193"/>
      <c r="AB933" s="193"/>
      <c r="AC933" s="193"/>
    </row>
    <row r="934" spans="1:29" ht="15.75" customHeight="1">
      <c r="A934" s="193"/>
      <c r="B934" s="193"/>
      <c r="C934" s="193"/>
      <c r="D934" s="193"/>
      <c r="E934" s="193"/>
      <c r="F934" s="193"/>
      <c r="G934" s="193"/>
      <c r="H934" s="193"/>
      <c r="I934" s="193"/>
      <c r="J934" s="193"/>
      <c r="K934" s="193"/>
      <c r="L934" s="193"/>
      <c r="M934" s="193"/>
      <c r="N934" s="193"/>
      <c r="O934" s="193"/>
      <c r="P934" s="193"/>
      <c r="Q934" s="193"/>
      <c r="R934" s="193"/>
      <c r="S934" s="193"/>
      <c r="T934" s="193"/>
      <c r="U934" s="193"/>
      <c r="V934" s="193"/>
      <c r="W934" s="193"/>
      <c r="X934" s="193"/>
      <c r="Y934" s="193"/>
      <c r="Z934" s="193"/>
      <c r="AA934" s="193"/>
      <c r="AB934" s="193"/>
      <c r="AC934" s="193"/>
    </row>
    <row r="935" spans="1:29" ht="15.75" customHeight="1">
      <c r="A935" s="193"/>
      <c r="B935" s="193"/>
      <c r="C935" s="193"/>
      <c r="D935" s="193"/>
      <c r="E935" s="193"/>
      <c r="F935" s="193"/>
      <c r="G935" s="193"/>
      <c r="H935" s="193"/>
      <c r="I935" s="193"/>
      <c r="J935" s="193"/>
      <c r="K935" s="193"/>
      <c r="L935" s="193"/>
      <c r="M935" s="193"/>
      <c r="N935" s="193"/>
      <c r="O935" s="193"/>
      <c r="P935" s="193"/>
      <c r="Q935" s="193"/>
      <c r="R935" s="193"/>
      <c r="S935" s="193"/>
      <c r="T935" s="193"/>
      <c r="U935" s="193"/>
      <c r="V935" s="193"/>
      <c r="W935" s="193"/>
      <c r="X935" s="193"/>
      <c r="Y935" s="193"/>
      <c r="Z935" s="193"/>
      <c r="AA935" s="193"/>
      <c r="AB935" s="193"/>
      <c r="AC935" s="193"/>
    </row>
    <row r="936" spans="1:29" ht="15.75" customHeight="1">
      <c r="A936" s="193"/>
      <c r="B936" s="193"/>
      <c r="C936" s="193"/>
      <c r="D936" s="193"/>
      <c r="E936" s="193"/>
      <c r="F936" s="193"/>
      <c r="G936" s="193"/>
      <c r="H936" s="193"/>
      <c r="I936" s="193"/>
      <c r="J936" s="193"/>
      <c r="K936" s="193"/>
      <c r="L936" s="193"/>
      <c r="M936" s="193"/>
      <c r="N936" s="193"/>
      <c r="O936" s="193"/>
      <c r="P936" s="193"/>
      <c r="Q936" s="193"/>
      <c r="R936" s="193"/>
      <c r="S936" s="193"/>
      <c r="T936" s="193"/>
      <c r="U936" s="193"/>
      <c r="V936" s="193"/>
      <c r="W936" s="193"/>
      <c r="X936" s="193"/>
      <c r="Y936" s="193"/>
      <c r="Z936" s="193"/>
      <c r="AA936" s="193"/>
      <c r="AB936" s="193"/>
      <c r="AC936" s="193"/>
    </row>
    <row r="937" spans="1:29" ht="15.75" customHeight="1">
      <c r="A937" s="193"/>
      <c r="B937" s="193"/>
      <c r="C937" s="193"/>
      <c r="D937" s="193"/>
      <c r="E937" s="193"/>
      <c r="F937" s="193"/>
      <c r="G937" s="193"/>
      <c r="H937" s="193"/>
      <c r="I937" s="193"/>
      <c r="J937" s="193"/>
      <c r="K937" s="193"/>
      <c r="L937" s="193"/>
      <c r="M937" s="193"/>
      <c r="N937" s="193"/>
      <c r="O937" s="193"/>
      <c r="P937" s="193"/>
      <c r="Q937" s="193"/>
      <c r="R937" s="193"/>
      <c r="S937" s="193"/>
      <c r="T937" s="193"/>
      <c r="U937" s="193"/>
      <c r="V937" s="193"/>
      <c r="W937" s="193"/>
      <c r="X937" s="193"/>
      <c r="Y937" s="193"/>
      <c r="Z937" s="193"/>
      <c r="AA937" s="193"/>
      <c r="AB937" s="193"/>
      <c r="AC937" s="193"/>
    </row>
    <row r="938" spans="1:29" ht="15.75" customHeight="1">
      <c r="A938" s="193"/>
      <c r="B938" s="193"/>
      <c r="C938" s="193"/>
      <c r="D938" s="193"/>
      <c r="E938" s="193"/>
      <c r="F938" s="193"/>
      <c r="G938" s="193"/>
      <c r="H938" s="193"/>
      <c r="I938" s="193"/>
      <c r="J938" s="193"/>
      <c r="K938" s="193"/>
      <c r="L938" s="193"/>
      <c r="M938" s="193"/>
      <c r="N938" s="193"/>
      <c r="O938" s="193"/>
      <c r="P938" s="193"/>
      <c r="Q938" s="193"/>
      <c r="R938" s="193"/>
      <c r="S938" s="193"/>
      <c r="T938" s="193"/>
      <c r="U938" s="193"/>
      <c r="V938" s="193"/>
      <c r="W938" s="193"/>
      <c r="X938" s="193"/>
      <c r="Y938" s="193"/>
      <c r="Z938" s="193"/>
      <c r="AA938" s="193"/>
      <c r="AB938" s="193"/>
      <c r="AC938" s="193"/>
    </row>
    <row r="939" spans="1:29" ht="15.75" customHeight="1">
      <c r="A939" s="193"/>
      <c r="B939" s="193"/>
      <c r="C939" s="193"/>
      <c r="D939" s="193"/>
      <c r="E939" s="193"/>
      <c r="F939" s="193"/>
      <c r="G939" s="193"/>
      <c r="H939" s="193"/>
      <c r="I939" s="193"/>
      <c r="J939" s="193"/>
      <c r="K939" s="193"/>
      <c r="L939" s="193"/>
      <c r="M939" s="193"/>
      <c r="N939" s="193"/>
      <c r="O939" s="193"/>
      <c r="P939" s="193"/>
      <c r="Q939" s="193"/>
      <c r="R939" s="193"/>
      <c r="S939" s="193"/>
      <c r="T939" s="193"/>
      <c r="U939" s="193"/>
      <c r="V939" s="193"/>
      <c r="W939" s="193"/>
      <c r="X939" s="193"/>
      <c r="Y939" s="193"/>
      <c r="Z939" s="193"/>
      <c r="AA939" s="193"/>
      <c r="AB939" s="193"/>
      <c r="AC939" s="193"/>
    </row>
    <row r="940" spans="1:29" ht="15.75" customHeight="1">
      <c r="A940" s="193"/>
      <c r="B940" s="193"/>
      <c r="C940" s="193"/>
      <c r="D940" s="193"/>
      <c r="E940" s="193"/>
      <c r="F940" s="193"/>
      <c r="G940" s="193"/>
      <c r="H940" s="193"/>
      <c r="I940" s="193"/>
      <c r="J940" s="193"/>
      <c r="K940" s="193"/>
      <c r="L940" s="193"/>
      <c r="M940" s="193"/>
      <c r="N940" s="193"/>
      <c r="O940" s="193"/>
      <c r="P940" s="193"/>
      <c r="Q940" s="193"/>
      <c r="R940" s="193"/>
      <c r="S940" s="193"/>
      <c r="T940" s="193"/>
      <c r="U940" s="193"/>
      <c r="V940" s="193"/>
      <c r="W940" s="193"/>
      <c r="X940" s="193"/>
      <c r="Y940" s="193"/>
      <c r="Z940" s="193"/>
      <c r="AA940" s="193"/>
      <c r="AB940" s="193"/>
      <c r="AC940" s="193"/>
    </row>
    <row r="941" spans="1:29" ht="15.75" customHeight="1">
      <c r="A941" s="193"/>
      <c r="B941" s="193"/>
      <c r="C941" s="193"/>
      <c r="D941" s="193"/>
      <c r="E941" s="193"/>
      <c r="F941" s="193"/>
      <c r="G941" s="193"/>
      <c r="H941" s="193"/>
      <c r="I941" s="193"/>
      <c r="J941" s="193"/>
      <c r="K941" s="193"/>
      <c r="L941" s="193"/>
      <c r="M941" s="193"/>
      <c r="N941" s="193"/>
      <c r="O941" s="193"/>
      <c r="P941" s="193"/>
      <c r="Q941" s="193"/>
      <c r="R941" s="193"/>
      <c r="S941" s="193"/>
      <c r="T941" s="193"/>
      <c r="U941" s="193"/>
      <c r="V941" s="193"/>
      <c r="W941" s="193"/>
      <c r="X941" s="193"/>
      <c r="Y941" s="193"/>
      <c r="Z941" s="193"/>
      <c r="AA941" s="193"/>
      <c r="AB941" s="193"/>
      <c r="AC941" s="193"/>
    </row>
    <row r="942" spans="1:29" ht="15.75" customHeight="1">
      <c r="A942" s="193"/>
      <c r="B942" s="193"/>
      <c r="C942" s="193"/>
      <c r="D942" s="193"/>
      <c r="E942" s="193"/>
      <c r="F942" s="193"/>
      <c r="G942" s="193"/>
      <c r="H942" s="193"/>
      <c r="I942" s="193"/>
      <c r="J942" s="193"/>
      <c r="K942" s="193"/>
      <c r="L942" s="193"/>
      <c r="M942" s="193"/>
      <c r="N942" s="193"/>
      <c r="O942" s="193"/>
      <c r="P942" s="193"/>
      <c r="Q942" s="193"/>
      <c r="R942" s="193"/>
      <c r="S942" s="193"/>
      <c r="T942" s="193"/>
      <c r="U942" s="193"/>
      <c r="V942" s="193"/>
      <c r="W942" s="193"/>
      <c r="X942" s="193"/>
      <c r="Y942" s="193"/>
      <c r="Z942" s="193"/>
      <c r="AA942" s="193"/>
      <c r="AB942" s="193"/>
      <c r="AC942" s="193"/>
    </row>
    <row r="943" spans="1:29" ht="15.75" customHeight="1">
      <c r="A943" s="193"/>
      <c r="B943" s="193"/>
      <c r="C943" s="193"/>
      <c r="D943" s="193"/>
      <c r="E943" s="193"/>
      <c r="F943" s="193"/>
      <c r="G943" s="193"/>
      <c r="H943" s="193"/>
      <c r="I943" s="193"/>
      <c r="J943" s="193"/>
      <c r="K943" s="193"/>
      <c r="L943" s="193"/>
      <c r="M943" s="193"/>
      <c r="N943" s="193"/>
      <c r="O943" s="193"/>
      <c r="P943" s="193"/>
      <c r="Q943" s="193"/>
      <c r="R943" s="193"/>
      <c r="S943" s="193"/>
      <c r="T943" s="193"/>
      <c r="U943" s="193"/>
      <c r="V943" s="193"/>
      <c r="W943" s="193"/>
      <c r="X943" s="193"/>
      <c r="Y943" s="193"/>
      <c r="Z943" s="193"/>
      <c r="AA943" s="193"/>
      <c r="AB943" s="193"/>
      <c r="AC943" s="193"/>
    </row>
    <row r="944" spans="1:29" ht="15.75" customHeight="1">
      <c r="A944" s="193"/>
      <c r="B944" s="193"/>
      <c r="C944" s="193"/>
      <c r="D944" s="193"/>
      <c r="E944" s="193"/>
      <c r="F944" s="193"/>
      <c r="G944" s="193"/>
      <c r="H944" s="193"/>
      <c r="I944" s="193"/>
      <c r="J944" s="193"/>
      <c r="K944" s="193"/>
      <c r="L944" s="193"/>
      <c r="M944" s="193"/>
      <c r="N944" s="193"/>
      <c r="O944" s="193"/>
      <c r="P944" s="193"/>
      <c r="Q944" s="193"/>
      <c r="R944" s="193"/>
      <c r="S944" s="193"/>
      <c r="T944" s="193"/>
      <c r="U944" s="193"/>
      <c r="V944" s="193"/>
      <c r="W944" s="193"/>
      <c r="X944" s="193"/>
      <c r="Y944" s="193"/>
      <c r="Z944" s="193"/>
      <c r="AA944" s="193"/>
      <c r="AB944" s="193"/>
      <c r="AC944" s="193"/>
    </row>
    <row r="945" spans="1:29" ht="15.75" customHeight="1">
      <c r="A945" s="193"/>
      <c r="B945" s="193"/>
      <c r="C945" s="193"/>
      <c r="D945" s="193"/>
      <c r="E945" s="193"/>
      <c r="F945" s="193"/>
      <c r="G945" s="193"/>
      <c r="H945" s="193"/>
      <c r="I945" s="193"/>
      <c r="J945" s="193"/>
      <c r="K945" s="193"/>
      <c r="L945" s="193"/>
      <c r="M945" s="193"/>
      <c r="N945" s="193"/>
      <c r="O945" s="193"/>
      <c r="P945" s="193"/>
      <c r="Q945" s="193"/>
      <c r="R945" s="193"/>
      <c r="S945" s="193"/>
      <c r="T945" s="193"/>
      <c r="U945" s="193"/>
      <c r="V945" s="193"/>
      <c r="W945" s="193"/>
      <c r="X945" s="193"/>
      <c r="Y945" s="193"/>
      <c r="Z945" s="193"/>
      <c r="AA945" s="193"/>
      <c r="AB945" s="193"/>
      <c r="AC945" s="193"/>
    </row>
    <row r="946" spans="1:29" ht="15.75" customHeight="1">
      <c r="A946" s="193"/>
      <c r="B946" s="193"/>
      <c r="C946" s="193"/>
      <c r="D946" s="193"/>
      <c r="E946" s="193"/>
      <c r="F946" s="193"/>
      <c r="G946" s="193"/>
      <c r="H946" s="193"/>
      <c r="I946" s="193"/>
      <c r="J946" s="193"/>
      <c r="K946" s="193"/>
      <c r="L946" s="193"/>
      <c r="M946" s="193"/>
      <c r="N946" s="193"/>
      <c r="O946" s="193"/>
      <c r="P946" s="193"/>
      <c r="Q946" s="193"/>
      <c r="R946" s="193"/>
      <c r="S946" s="193"/>
      <c r="T946" s="193"/>
      <c r="U946" s="193"/>
      <c r="V946" s="193"/>
      <c r="W946" s="193"/>
      <c r="X946" s="193"/>
      <c r="Y946" s="193"/>
      <c r="Z946" s="193"/>
      <c r="AA946" s="193"/>
      <c r="AB946" s="193"/>
      <c r="AC946" s="193"/>
    </row>
    <row r="947" spans="1:29" ht="15.75" customHeight="1">
      <c r="A947" s="193"/>
      <c r="B947" s="193"/>
      <c r="C947" s="193"/>
      <c r="D947" s="193"/>
      <c r="E947" s="193"/>
      <c r="F947" s="193"/>
      <c r="G947" s="193"/>
      <c r="H947" s="193"/>
      <c r="I947" s="193"/>
      <c r="J947" s="193"/>
      <c r="K947" s="193"/>
      <c r="L947" s="193"/>
      <c r="M947" s="193"/>
      <c r="N947" s="193"/>
      <c r="O947" s="193"/>
      <c r="P947" s="193"/>
      <c r="Q947" s="193"/>
      <c r="R947" s="193"/>
      <c r="S947" s="193"/>
      <c r="T947" s="193"/>
      <c r="U947" s="193"/>
      <c r="V947" s="193"/>
      <c r="W947" s="193"/>
      <c r="X947" s="193"/>
      <c r="Y947" s="193"/>
      <c r="Z947" s="193"/>
      <c r="AA947" s="193"/>
      <c r="AB947" s="193"/>
      <c r="AC947" s="193"/>
    </row>
    <row r="948" spans="1:29" ht="15.75" customHeight="1">
      <c r="A948" s="193"/>
      <c r="B948" s="193"/>
      <c r="C948" s="193"/>
      <c r="D948" s="193"/>
      <c r="E948" s="193"/>
      <c r="F948" s="193"/>
      <c r="G948" s="193"/>
      <c r="H948" s="193"/>
      <c r="I948" s="193"/>
      <c r="J948" s="193"/>
      <c r="K948" s="193"/>
      <c r="L948" s="193"/>
      <c r="M948" s="193"/>
      <c r="N948" s="193"/>
      <c r="O948" s="193"/>
      <c r="P948" s="193"/>
      <c r="Q948" s="193"/>
      <c r="R948" s="193"/>
      <c r="S948" s="193"/>
      <c r="T948" s="193"/>
      <c r="U948" s="193"/>
      <c r="V948" s="193"/>
      <c r="W948" s="193"/>
      <c r="X948" s="193"/>
      <c r="Y948" s="193"/>
      <c r="Z948" s="193"/>
      <c r="AA948" s="193"/>
      <c r="AB948" s="193"/>
      <c r="AC948" s="193"/>
    </row>
    <row r="949" spans="1:29" ht="15.75" customHeight="1">
      <c r="A949" s="193"/>
      <c r="B949" s="193"/>
      <c r="C949" s="193"/>
      <c r="D949" s="193"/>
      <c r="E949" s="193"/>
      <c r="F949" s="193"/>
      <c r="G949" s="193"/>
      <c r="H949" s="193"/>
      <c r="I949" s="193"/>
      <c r="J949" s="193"/>
      <c r="K949" s="193"/>
      <c r="L949" s="193"/>
      <c r="M949" s="193"/>
      <c r="N949" s="193"/>
      <c r="O949" s="193"/>
      <c r="P949" s="193"/>
      <c r="Q949" s="193"/>
      <c r="R949" s="193"/>
      <c r="S949" s="193"/>
      <c r="T949" s="193"/>
      <c r="U949" s="193"/>
      <c r="V949" s="193"/>
      <c r="W949" s="193"/>
      <c r="X949" s="193"/>
      <c r="Y949" s="193"/>
      <c r="Z949" s="193"/>
      <c r="AA949" s="193"/>
      <c r="AB949" s="193"/>
      <c r="AC949" s="193"/>
    </row>
    <row r="950" spans="1:29" ht="15.75" customHeight="1">
      <c r="A950" s="193"/>
      <c r="B950" s="193"/>
      <c r="C950" s="193"/>
      <c r="D950" s="193"/>
      <c r="E950" s="193"/>
      <c r="F950" s="193"/>
      <c r="G950" s="193"/>
      <c r="H950" s="193"/>
      <c r="I950" s="193"/>
      <c r="J950" s="193"/>
      <c r="K950" s="193"/>
      <c r="L950" s="193"/>
      <c r="M950" s="193"/>
      <c r="N950" s="193"/>
      <c r="O950" s="193"/>
      <c r="P950" s="193"/>
      <c r="Q950" s="193"/>
      <c r="R950" s="193"/>
      <c r="S950" s="193"/>
      <c r="T950" s="193"/>
      <c r="U950" s="193"/>
      <c r="V950" s="193"/>
      <c r="W950" s="193"/>
      <c r="X950" s="193"/>
      <c r="Y950" s="193"/>
      <c r="Z950" s="193"/>
      <c r="AA950" s="193"/>
      <c r="AB950" s="193"/>
      <c r="AC950" s="193"/>
    </row>
    <row r="951" spans="1:29" ht="15.75" customHeight="1">
      <c r="A951" s="193"/>
      <c r="B951" s="193"/>
      <c r="C951" s="193"/>
      <c r="D951" s="193"/>
      <c r="E951" s="193"/>
      <c r="F951" s="193"/>
      <c r="G951" s="193"/>
      <c r="H951" s="193"/>
      <c r="I951" s="193"/>
      <c r="J951" s="193"/>
      <c r="K951" s="193"/>
      <c r="L951" s="193"/>
      <c r="M951" s="193"/>
      <c r="N951" s="193"/>
      <c r="O951" s="193"/>
      <c r="P951" s="193"/>
      <c r="Q951" s="193"/>
      <c r="R951" s="193"/>
      <c r="S951" s="193"/>
      <c r="T951" s="193"/>
      <c r="U951" s="193"/>
      <c r="V951" s="193"/>
      <c r="W951" s="193"/>
      <c r="X951" s="193"/>
      <c r="Y951" s="193"/>
      <c r="Z951" s="193"/>
      <c r="AA951" s="193"/>
      <c r="AB951" s="193"/>
      <c r="AC951" s="193"/>
    </row>
    <row r="952" spans="1:29" ht="15.75" customHeight="1">
      <c r="A952" s="193"/>
      <c r="B952" s="193"/>
      <c r="C952" s="193"/>
      <c r="D952" s="193"/>
      <c r="E952" s="193"/>
      <c r="F952" s="193"/>
      <c r="G952" s="193"/>
      <c r="H952" s="193"/>
      <c r="I952" s="193"/>
      <c r="J952" s="193"/>
      <c r="K952" s="193"/>
      <c r="L952" s="193"/>
      <c r="M952" s="193"/>
      <c r="N952" s="193"/>
      <c r="O952" s="193"/>
      <c r="P952" s="193"/>
      <c r="Q952" s="193"/>
      <c r="R952" s="193"/>
      <c r="S952" s="193"/>
      <c r="T952" s="193"/>
      <c r="U952" s="193"/>
      <c r="V952" s="193"/>
      <c r="W952" s="193"/>
      <c r="X952" s="193"/>
      <c r="Y952" s="193"/>
      <c r="Z952" s="193"/>
      <c r="AA952" s="193"/>
      <c r="AB952" s="193"/>
      <c r="AC952" s="193"/>
    </row>
    <row r="953" spans="1:29" ht="15.75" customHeight="1">
      <c r="A953" s="193"/>
      <c r="B953" s="193"/>
      <c r="C953" s="193"/>
      <c r="D953" s="193"/>
      <c r="E953" s="193"/>
      <c r="F953" s="193"/>
      <c r="G953" s="193"/>
      <c r="H953" s="193"/>
      <c r="I953" s="193"/>
      <c r="J953" s="193"/>
      <c r="K953" s="193"/>
      <c r="L953" s="193"/>
      <c r="M953" s="193"/>
      <c r="N953" s="193"/>
      <c r="O953" s="193"/>
      <c r="P953" s="193"/>
      <c r="Q953" s="193"/>
      <c r="R953" s="193"/>
      <c r="S953" s="193"/>
      <c r="T953" s="193"/>
      <c r="U953" s="193"/>
      <c r="V953" s="193"/>
      <c r="W953" s="193"/>
      <c r="X953" s="193"/>
      <c r="Y953" s="193"/>
      <c r="Z953" s="193"/>
      <c r="AA953" s="193"/>
      <c r="AB953" s="193"/>
      <c r="AC953" s="193"/>
    </row>
    <row r="954" spans="1:29" ht="15.75" customHeight="1">
      <c r="A954" s="193"/>
      <c r="B954" s="193"/>
      <c r="C954" s="193"/>
      <c r="D954" s="193"/>
      <c r="E954" s="193"/>
      <c r="F954" s="193"/>
      <c r="G954" s="193"/>
      <c r="H954" s="193"/>
      <c r="I954" s="193"/>
      <c r="J954" s="193"/>
      <c r="K954" s="193"/>
      <c r="L954" s="193"/>
      <c r="M954" s="193"/>
      <c r="N954" s="193"/>
      <c r="O954" s="193"/>
      <c r="P954" s="193"/>
      <c r="Q954" s="193"/>
      <c r="R954" s="193"/>
      <c r="S954" s="193"/>
      <c r="T954" s="193"/>
      <c r="U954" s="193"/>
      <c r="V954" s="193"/>
      <c r="W954" s="193"/>
      <c r="X954" s="193"/>
      <c r="Y954" s="193"/>
      <c r="Z954" s="193"/>
      <c r="AA954" s="193"/>
      <c r="AB954" s="193"/>
      <c r="AC954" s="193"/>
    </row>
    <row r="955" spans="1:29" ht="15.75" customHeight="1">
      <c r="A955" s="193"/>
      <c r="B955" s="193"/>
      <c r="C955" s="193"/>
      <c r="D955" s="193"/>
      <c r="E955" s="193"/>
      <c r="F955" s="193"/>
      <c r="G955" s="193"/>
      <c r="H955" s="193"/>
      <c r="I955" s="193"/>
      <c r="J955" s="193"/>
      <c r="K955" s="193"/>
      <c r="L955" s="193"/>
      <c r="M955" s="193"/>
      <c r="N955" s="193"/>
      <c r="O955" s="193"/>
      <c r="P955" s="193"/>
      <c r="Q955" s="193"/>
      <c r="R955" s="193"/>
      <c r="S955" s="193"/>
      <c r="T955" s="193"/>
      <c r="U955" s="193"/>
      <c r="V955" s="193"/>
      <c r="W955" s="193"/>
      <c r="X955" s="193"/>
      <c r="Y955" s="193"/>
      <c r="Z955" s="193"/>
      <c r="AA955" s="193"/>
      <c r="AB955" s="193"/>
      <c r="AC955" s="193"/>
    </row>
    <row r="956" spans="1:29" ht="15.75" customHeight="1">
      <c r="A956" s="193"/>
      <c r="B956" s="193"/>
      <c r="C956" s="193"/>
      <c r="D956" s="193"/>
      <c r="E956" s="193"/>
      <c r="F956" s="193"/>
      <c r="G956" s="193"/>
      <c r="H956" s="193"/>
      <c r="I956" s="193"/>
      <c r="J956" s="193"/>
      <c r="K956" s="193"/>
      <c r="L956" s="193"/>
      <c r="M956" s="193"/>
      <c r="N956" s="193"/>
      <c r="O956" s="193"/>
      <c r="P956" s="193"/>
      <c r="Q956" s="193"/>
      <c r="R956" s="193"/>
      <c r="S956" s="193"/>
      <c r="T956" s="193"/>
      <c r="U956" s="193"/>
      <c r="V956" s="193"/>
      <c r="W956" s="193"/>
      <c r="X956" s="193"/>
      <c r="Y956" s="193"/>
      <c r="Z956" s="193"/>
      <c r="AA956" s="193"/>
      <c r="AB956" s="193"/>
      <c r="AC956" s="193"/>
    </row>
    <row r="957" spans="1:29" ht="15.75" customHeight="1">
      <c r="A957" s="193"/>
      <c r="B957" s="193"/>
      <c r="C957" s="193"/>
      <c r="D957" s="193"/>
      <c r="E957" s="193"/>
      <c r="F957" s="193"/>
      <c r="G957" s="193"/>
      <c r="H957" s="193"/>
      <c r="I957" s="193"/>
      <c r="J957" s="193"/>
      <c r="K957" s="193"/>
      <c r="L957" s="193"/>
      <c r="M957" s="193"/>
      <c r="N957" s="193"/>
      <c r="O957" s="193"/>
      <c r="P957" s="193"/>
      <c r="Q957" s="193"/>
      <c r="R957" s="193"/>
      <c r="S957" s="193"/>
      <c r="T957" s="193"/>
      <c r="U957" s="193"/>
      <c r="V957" s="193"/>
      <c r="W957" s="193"/>
      <c r="X957" s="193"/>
      <c r="Y957" s="193"/>
      <c r="Z957" s="193"/>
      <c r="AA957" s="193"/>
      <c r="AB957" s="193"/>
      <c r="AC957" s="193"/>
    </row>
    <row r="958" spans="1:29" ht="15.75" customHeight="1">
      <c r="A958" s="193"/>
      <c r="B958" s="193"/>
      <c r="C958" s="193"/>
      <c r="D958" s="193"/>
      <c r="E958" s="193"/>
      <c r="F958" s="193"/>
      <c r="G958" s="193"/>
      <c r="H958" s="193"/>
      <c r="I958" s="193"/>
      <c r="J958" s="193"/>
      <c r="K958" s="193"/>
      <c r="L958" s="193"/>
      <c r="M958" s="193"/>
      <c r="N958" s="193"/>
      <c r="O958" s="193"/>
      <c r="P958" s="193"/>
      <c r="Q958" s="193"/>
      <c r="R958" s="193"/>
      <c r="S958" s="193"/>
      <c r="T958" s="193"/>
      <c r="U958" s="193"/>
      <c r="V958" s="193"/>
      <c r="W958" s="193"/>
      <c r="X958" s="193"/>
      <c r="Y958" s="193"/>
      <c r="Z958" s="193"/>
      <c r="AA958" s="193"/>
      <c r="AB958" s="193"/>
      <c r="AC958" s="193"/>
    </row>
    <row r="959" spans="1:29" ht="15.75" customHeight="1">
      <c r="A959" s="193"/>
      <c r="B959" s="193"/>
      <c r="C959" s="193"/>
      <c r="D959" s="193"/>
      <c r="E959" s="193"/>
      <c r="F959" s="193"/>
      <c r="G959" s="193"/>
      <c r="H959" s="193"/>
      <c r="I959" s="193"/>
      <c r="J959" s="193"/>
      <c r="K959" s="193"/>
      <c r="L959" s="193"/>
      <c r="M959" s="193"/>
      <c r="N959" s="193"/>
      <c r="O959" s="193"/>
      <c r="P959" s="193"/>
      <c r="Q959" s="193"/>
      <c r="R959" s="193"/>
      <c r="S959" s="193"/>
      <c r="T959" s="193"/>
      <c r="U959" s="193"/>
      <c r="V959" s="193"/>
      <c r="W959" s="193"/>
      <c r="X959" s="193"/>
      <c r="Y959" s="193"/>
      <c r="Z959" s="193"/>
      <c r="AA959" s="193"/>
      <c r="AB959" s="193"/>
      <c r="AC959" s="193"/>
    </row>
    <row r="960" spans="1:29" ht="15.75" customHeight="1">
      <c r="A960" s="193"/>
      <c r="B960" s="193"/>
      <c r="C960" s="193"/>
      <c r="D960" s="193"/>
      <c r="E960" s="193"/>
      <c r="F960" s="193"/>
      <c r="G960" s="193"/>
      <c r="H960" s="193"/>
      <c r="I960" s="193"/>
      <c r="J960" s="193"/>
      <c r="K960" s="193"/>
      <c r="L960" s="193"/>
      <c r="M960" s="193"/>
      <c r="N960" s="193"/>
      <c r="O960" s="193"/>
      <c r="P960" s="193"/>
      <c r="Q960" s="193"/>
      <c r="R960" s="193"/>
      <c r="S960" s="193"/>
      <c r="T960" s="193"/>
      <c r="U960" s="193"/>
      <c r="V960" s="193"/>
      <c r="W960" s="193"/>
      <c r="X960" s="193"/>
      <c r="Y960" s="193"/>
      <c r="Z960" s="193"/>
      <c r="AA960" s="193"/>
      <c r="AB960" s="193"/>
      <c r="AC960" s="193"/>
    </row>
    <row r="961" spans="1:29" ht="15.75" customHeight="1">
      <c r="A961" s="193"/>
      <c r="B961" s="193"/>
      <c r="C961" s="193"/>
      <c r="D961" s="193"/>
      <c r="E961" s="193"/>
      <c r="F961" s="193"/>
      <c r="G961" s="193"/>
      <c r="H961" s="193"/>
      <c r="I961" s="193"/>
      <c r="J961" s="193"/>
      <c r="K961" s="193"/>
      <c r="L961" s="193"/>
      <c r="M961" s="193"/>
      <c r="N961" s="193"/>
      <c r="O961" s="193"/>
      <c r="P961" s="193"/>
      <c r="Q961" s="193"/>
      <c r="R961" s="193"/>
      <c r="S961" s="193"/>
      <c r="T961" s="193"/>
      <c r="U961" s="193"/>
      <c r="V961" s="193"/>
      <c r="W961" s="193"/>
      <c r="X961" s="193"/>
      <c r="Y961" s="193"/>
      <c r="Z961" s="193"/>
      <c r="AA961" s="193"/>
      <c r="AB961" s="193"/>
      <c r="AC961" s="193"/>
    </row>
    <row r="962" spans="1:29" ht="15.75" customHeight="1">
      <c r="A962" s="193"/>
      <c r="B962" s="193"/>
      <c r="C962" s="193"/>
      <c r="D962" s="193"/>
      <c r="E962" s="193"/>
      <c r="F962" s="193"/>
      <c r="G962" s="193"/>
      <c r="H962" s="193"/>
      <c r="I962" s="193"/>
      <c r="J962" s="193"/>
      <c r="K962" s="193"/>
      <c r="L962" s="193"/>
      <c r="M962" s="193"/>
      <c r="N962" s="193"/>
      <c r="O962" s="193"/>
      <c r="P962" s="193"/>
      <c r="Q962" s="193"/>
      <c r="R962" s="193"/>
      <c r="S962" s="193"/>
      <c r="T962" s="193"/>
      <c r="U962" s="193"/>
      <c r="V962" s="193"/>
      <c r="W962" s="193"/>
      <c r="X962" s="193"/>
      <c r="Y962" s="193"/>
      <c r="Z962" s="193"/>
      <c r="AA962" s="193"/>
      <c r="AB962" s="193"/>
      <c r="AC962" s="193"/>
    </row>
    <row r="963" spans="1:29" ht="15.75" customHeight="1">
      <c r="A963" s="193"/>
      <c r="B963" s="193"/>
      <c r="C963" s="193"/>
      <c r="D963" s="193"/>
      <c r="E963" s="193"/>
      <c r="F963" s="193"/>
      <c r="G963" s="193"/>
      <c r="H963" s="193"/>
      <c r="I963" s="193"/>
      <c r="J963" s="193"/>
      <c r="K963" s="193"/>
      <c r="L963" s="193"/>
      <c r="M963" s="193"/>
      <c r="N963" s="193"/>
      <c r="O963" s="193"/>
      <c r="P963" s="193"/>
      <c r="Q963" s="193"/>
      <c r="R963" s="193"/>
      <c r="S963" s="193"/>
      <c r="T963" s="193"/>
      <c r="U963" s="193"/>
      <c r="V963" s="193"/>
      <c r="W963" s="193"/>
      <c r="X963" s="193"/>
      <c r="Y963" s="193"/>
      <c r="Z963" s="193"/>
      <c r="AA963" s="193"/>
      <c r="AB963" s="193"/>
      <c r="AC963" s="193"/>
    </row>
    <row r="964" spans="1:29" ht="15.75" customHeight="1">
      <c r="A964" s="193"/>
      <c r="B964" s="193"/>
      <c r="C964" s="193"/>
      <c r="D964" s="193"/>
      <c r="E964" s="193"/>
      <c r="F964" s="193"/>
      <c r="G964" s="193"/>
      <c r="H964" s="193"/>
      <c r="I964" s="193"/>
      <c r="J964" s="193"/>
      <c r="K964" s="193"/>
      <c r="L964" s="193"/>
      <c r="M964" s="193"/>
      <c r="N964" s="193"/>
      <c r="O964" s="193"/>
      <c r="P964" s="193"/>
      <c r="Q964" s="193"/>
      <c r="R964" s="193"/>
      <c r="S964" s="193"/>
      <c r="T964" s="193"/>
      <c r="U964" s="193"/>
      <c r="V964" s="193"/>
      <c r="W964" s="193"/>
      <c r="X964" s="193"/>
      <c r="Y964" s="193"/>
      <c r="Z964" s="193"/>
      <c r="AA964" s="193"/>
      <c r="AB964" s="193"/>
      <c r="AC964" s="193"/>
    </row>
    <row r="965" spans="1:29" ht="15.75" customHeight="1">
      <c r="A965" s="193"/>
      <c r="B965" s="193"/>
      <c r="C965" s="193"/>
      <c r="D965" s="193"/>
      <c r="E965" s="193"/>
      <c r="F965" s="193"/>
      <c r="G965" s="193"/>
      <c r="H965" s="193"/>
      <c r="I965" s="193"/>
      <c r="J965" s="193"/>
      <c r="K965" s="193"/>
      <c r="L965" s="193"/>
      <c r="M965" s="193"/>
      <c r="N965" s="193"/>
      <c r="O965" s="193"/>
      <c r="P965" s="193"/>
      <c r="Q965" s="193"/>
      <c r="R965" s="193"/>
      <c r="S965" s="193"/>
      <c r="T965" s="193"/>
      <c r="U965" s="193"/>
      <c r="V965" s="193"/>
      <c r="W965" s="193"/>
      <c r="X965" s="193"/>
      <c r="Y965" s="193"/>
      <c r="Z965" s="193"/>
      <c r="AA965" s="193"/>
      <c r="AB965" s="193"/>
      <c r="AC965" s="193"/>
    </row>
    <row r="966" spans="1:29" ht="15.75" customHeight="1">
      <c r="A966" s="193"/>
      <c r="B966" s="193"/>
      <c r="C966" s="193"/>
      <c r="D966" s="193"/>
      <c r="E966" s="193"/>
      <c r="F966" s="193"/>
      <c r="G966" s="193"/>
      <c r="H966" s="193"/>
      <c r="I966" s="193"/>
      <c r="J966" s="193"/>
      <c r="K966" s="193"/>
      <c r="L966" s="193"/>
      <c r="M966" s="193"/>
      <c r="N966" s="193"/>
      <c r="O966" s="193"/>
      <c r="P966" s="193"/>
      <c r="Q966" s="193"/>
      <c r="R966" s="193"/>
      <c r="S966" s="193"/>
      <c r="T966" s="193"/>
      <c r="U966" s="193"/>
      <c r="V966" s="193"/>
      <c r="W966" s="193"/>
      <c r="X966" s="193"/>
      <c r="Y966" s="193"/>
      <c r="Z966" s="193"/>
      <c r="AA966" s="193"/>
      <c r="AB966" s="193"/>
      <c r="AC966" s="193"/>
    </row>
    <row r="967" spans="1:29" ht="15.75" customHeight="1">
      <c r="A967" s="193"/>
      <c r="B967" s="193"/>
      <c r="C967" s="193"/>
      <c r="D967" s="193"/>
      <c r="E967" s="193"/>
      <c r="F967" s="193"/>
      <c r="G967" s="193"/>
      <c r="H967" s="193"/>
      <c r="I967" s="193"/>
      <c r="J967" s="193"/>
      <c r="K967" s="193"/>
      <c r="L967" s="193"/>
      <c r="M967" s="193"/>
      <c r="N967" s="193"/>
      <c r="O967" s="193"/>
      <c r="P967" s="193"/>
      <c r="Q967" s="193"/>
      <c r="R967" s="193"/>
      <c r="S967" s="193"/>
      <c r="T967" s="193"/>
      <c r="U967" s="193"/>
      <c r="V967" s="193"/>
      <c r="W967" s="193"/>
      <c r="X967" s="193"/>
      <c r="Y967" s="193"/>
      <c r="Z967" s="193"/>
      <c r="AA967" s="193"/>
      <c r="AB967" s="193"/>
      <c r="AC967" s="193"/>
    </row>
    <row r="968" spans="1:29" ht="15.75" customHeight="1">
      <c r="A968" s="193"/>
      <c r="B968" s="193"/>
      <c r="C968" s="193"/>
      <c r="D968" s="193"/>
      <c r="E968" s="193"/>
      <c r="F968" s="193"/>
      <c r="G968" s="193"/>
      <c r="H968" s="193"/>
      <c r="I968" s="193"/>
      <c r="J968" s="193"/>
      <c r="K968" s="193"/>
      <c r="L968" s="193"/>
      <c r="M968" s="193"/>
      <c r="N968" s="193"/>
      <c r="O968" s="193"/>
      <c r="P968" s="193"/>
      <c r="Q968" s="193"/>
      <c r="R968" s="193"/>
      <c r="S968" s="193"/>
      <c r="T968" s="193"/>
      <c r="U968" s="193"/>
      <c r="V968" s="193"/>
      <c r="W968" s="193"/>
      <c r="X968" s="193"/>
      <c r="Y968" s="193"/>
      <c r="Z968" s="193"/>
      <c r="AA968" s="193"/>
      <c r="AB968" s="193"/>
      <c r="AC968" s="193"/>
    </row>
    <row r="969" spans="1:29" ht="15.75" customHeight="1">
      <c r="A969" s="193"/>
      <c r="B969" s="193"/>
      <c r="C969" s="193"/>
      <c r="D969" s="193"/>
      <c r="E969" s="193"/>
      <c r="F969" s="193"/>
      <c r="G969" s="193"/>
      <c r="H969" s="193"/>
      <c r="I969" s="193"/>
      <c r="J969" s="193"/>
      <c r="K969" s="193"/>
      <c r="L969" s="193"/>
      <c r="M969" s="193"/>
      <c r="N969" s="193"/>
      <c r="O969" s="193"/>
      <c r="P969" s="193"/>
      <c r="Q969" s="193"/>
      <c r="R969" s="193"/>
      <c r="S969" s="193"/>
      <c r="T969" s="193"/>
      <c r="U969" s="193"/>
      <c r="V969" s="193"/>
      <c r="W969" s="193"/>
      <c r="X969" s="193"/>
      <c r="Y969" s="193"/>
      <c r="Z969" s="193"/>
      <c r="AA969" s="193"/>
      <c r="AB969" s="193"/>
      <c r="AC969" s="193"/>
    </row>
    <row r="970" spans="1:29" ht="15.75" customHeight="1">
      <c r="A970" s="193"/>
      <c r="B970" s="193"/>
      <c r="C970" s="193"/>
      <c r="D970" s="193"/>
      <c r="E970" s="193"/>
      <c r="F970" s="193"/>
      <c r="G970" s="193"/>
      <c r="H970" s="193"/>
      <c r="I970" s="193"/>
      <c r="J970" s="193"/>
      <c r="K970" s="193"/>
      <c r="L970" s="193"/>
      <c r="M970" s="193"/>
      <c r="N970" s="193"/>
      <c r="O970" s="193"/>
      <c r="P970" s="193"/>
      <c r="Q970" s="193"/>
      <c r="R970" s="193"/>
      <c r="S970" s="193"/>
      <c r="T970" s="193"/>
      <c r="U970" s="193"/>
      <c r="V970" s="193"/>
      <c r="W970" s="193"/>
      <c r="X970" s="193"/>
      <c r="Y970" s="193"/>
      <c r="Z970" s="193"/>
      <c r="AA970" s="193"/>
      <c r="AB970" s="193"/>
      <c r="AC970" s="193"/>
    </row>
    <row r="971" spans="1:29" ht="15.75" customHeight="1">
      <c r="A971" s="193"/>
      <c r="B971" s="193"/>
      <c r="C971" s="193"/>
      <c r="D971" s="193"/>
      <c r="E971" s="193"/>
      <c r="F971" s="193"/>
      <c r="G971" s="193"/>
      <c r="H971" s="193"/>
      <c r="I971" s="193"/>
      <c r="J971" s="193"/>
      <c r="K971" s="193"/>
      <c r="L971" s="193"/>
      <c r="M971" s="193"/>
      <c r="N971" s="193"/>
      <c r="O971" s="193"/>
      <c r="P971" s="193"/>
      <c r="Q971" s="193"/>
      <c r="R971" s="193"/>
      <c r="S971" s="193"/>
      <c r="T971" s="193"/>
      <c r="U971" s="193"/>
      <c r="V971" s="193"/>
      <c r="W971" s="193"/>
      <c r="X971" s="193"/>
      <c r="Y971" s="193"/>
      <c r="Z971" s="193"/>
      <c r="AA971" s="193"/>
      <c r="AB971" s="193"/>
      <c r="AC971" s="193"/>
    </row>
    <row r="972" spans="1:29" ht="15.75" customHeight="1">
      <c r="A972" s="193"/>
      <c r="B972" s="193"/>
      <c r="C972" s="193"/>
      <c r="D972" s="193"/>
      <c r="E972" s="193"/>
      <c r="F972" s="193"/>
      <c r="G972" s="193"/>
      <c r="H972" s="193"/>
      <c r="I972" s="193"/>
      <c r="J972" s="193"/>
      <c r="K972" s="193"/>
      <c r="L972" s="193"/>
      <c r="M972" s="193"/>
      <c r="N972" s="193"/>
      <c r="O972" s="193"/>
      <c r="P972" s="193"/>
      <c r="Q972" s="193"/>
      <c r="R972" s="193"/>
      <c r="S972" s="193"/>
      <c r="T972" s="193"/>
      <c r="U972" s="193"/>
      <c r="V972" s="193"/>
      <c r="W972" s="193"/>
      <c r="X972" s="193"/>
      <c r="Y972" s="193"/>
      <c r="Z972" s="193"/>
      <c r="AA972" s="193"/>
      <c r="AB972" s="193"/>
      <c r="AC972" s="193"/>
    </row>
    <row r="973" spans="1:29" ht="15.75" customHeight="1">
      <c r="A973" s="193"/>
      <c r="B973" s="193"/>
      <c r="C973" s="193"/>
      <c r="D973" s="193"/>
      <c r="E973" s="193"/>
      <c r="F973" s="193"/>
      <c r="G973" s="193"/>
      <c r="H973" s="193"/>
      <c r="I973" s="193"/>
      <c r="J973" s="193"/>
      <c r="K973" s="193"/>
      <c r="L973" s="193"/>
      <c r="M973" s="193"/>
      <c r="N973" s="193"/>
      <c r="O973" s="193"/>
      <c r="P973" s="193"/>
      <c r="Q973" s="193"/>
      <c r="R973" s="193"/>
      <c r="S973" s="193"/>
      <c r="T973" s="193"/>
      <c r="U973" s="193"/>
      <c r="V973" s="193"/>
      <c r="W973" s="193"/>
      <c r="X973" s="193"/>
      <c r="Y973" s="193"/>
      <c r="Z973" s="193"/>
      <c r="AA973" s="193"/>
      <c r="AB973" s="193"/>
      <c r="AC973" s="193"/>
    </row>
    <row r="974" spans="1:29" ht="15.75" customHeight="1">
      <c r="A974" s="193"/>
      <c r="B974" s="193"/>
      <c r="C974" s="193"/>
      <c r="D974" s="193"/>
      <c r="E974" s="193"/>
      <c r="F974" s="193"/>
      <c r="G974" s="193"/>
      <c r="H974" s="193"/>
      <c r="I974" s="193"/>
      <c r="J974" s="193"/>
      <c r="K974" s="193"/>
      <c r="L974" s="193"/>
      <c r="M974" s="193"/>
      <c r="N974" s="193"/>
      <c r="O974" s="193"/>
      <c r="P974" s="193"/>
      <c r="Q974" s="193"/>
      <c r="R974" s="193"/>
      <c r="S974" s="193"/>
      <c r="T974" s="193"/>
      <c r="U974" s="193"/>
      <c r="V974" s="193"/>
      <c r="W974" s="193"/>
      <c r="X974" s="193"/>
      <c r="Y974" s="193"/>
      <c r="Z974" s="193"/>
      <c r="AA974" s="193"/>
      <c r="AB974" s="193"/>
      <c r="AC974" s="193"/>
    </row>
    <row r="975" spans="1:29" ht="15.75" customHeight="1">
      <c r="A975" s="193"/>
      <c r="B975" s="193"/>
      <c r="C975" s="193"/>
      <c r="D975" s="193"/>
      <c r="E975" s="193"/>
      <c r="F975" s="193"/>
      <c r="G975" s="193"/>
      <c r="H975" s="193"/>
      <c r="I975" s="193"/>
      <c r="J975" s="193"/>
      <c r="K975" s="193"/>
      <c r="L975" s="193"/>
      <c r="M975" s="193"/>
      <c r="N975" s="193"/>
      <c r="O975" s="193"/>
      <c r="P975" s="193"/>
      <c r="Q975" s="193"/>
      <c r="R975" s="193"/>
      <c r="S975" s="193"/>
      <c r="T975" s="193"/>
      <c r="U975" s="193"/>
      <c r="V975" s="193"/>
      <c r="W975" s="193"/>
      <c r="X975" s="193"/>
      <c r="Y975" s="193"/>
      <c r="Z975" s="193"/>
      <c r="AA975" s="193"/>
      <c r="AB975" s="193"/>
      <c r="AC975" s="193"/>
    </row>
    <row r="976" spans="1:29" ht="15.75" customHeight="1">
      <c r="A976" s="193"/>
      <c r="B976" s="193"/>
      <c r="C976" s="193"/>
      <c r="D976" s="193"/>
      <c r="E976" s="193"/>
      <c r="F976" s="193"/>
      <c r="G976" s="193"/>
      <c r="H976" s="193"/>
      <c r="I976" s="193"/>
      <c r="J976" s="193"/>
      <c r="K976" s="193"/>
      <c r="L976" s="193"/>
      <c r="M976" s="193"/>
      <c r="N976" s="193"/>
      <c r="O976" s="193"/>
      <c r="P976" s="193"/>
      <c r="Q976" s="193"/>
      <c r="R976" s="193"/>
      <c r="S976" s="193"/>
      <c r="T976" s="193"/>
      <c r="U976" s="193"/>
      <c r="V976" s="193"/>
      <c r="W976" s="193"/>
      <c r="X976" s="193"/>
      <c r="Y976" s="193"/>
      <c r="Z976" s="193"/>
      <c r="AA976" s="193"/>
      <c r="AB976" s="193"/>
      <c r="AC976" s="193"/>
    </row>
    <row r="977" spans="1:29" ht="15.75" customHeight="1">
      <c r="A977" s="193"/>
      <c r="B977" s="193"/>
      <c r="C977" s="193"/>
      <c r="D977" s="193"/>
      <c r="E977" s="193"/>
      <c r="F977" s="193"/>
      <c r="G977" s="193"/>
      <c r="H977" s="193"/>
      <c r="I977" s="193"/>
      <c r="J977" s="193"/>
      <c r="K977" s="193"/>
      <c r="L977" s="193"/>
      <c r="M977" s="193"/>
      <c r="N977" s="193"/>
      <c r="O977" s="193"/>
      <c r="P977" s="193"/>
      <c r="Q977" s="193"/>
      <c r="R977" s="193"/>
      <c r="S977" s="193"/>
      <c r="T977" s="193"/>
      <c r="U977" s="193"/>
      <c r="V977" s="193"/>
      <c r="W977" s="193"/>
      <c r="X977" s="193"/>
      <c r="Y977" s="193"/>
      <c r="Z977" s="193"/>
      <c r="AA977" s="193"/>
      <c r="AB977" s="193"/>
      <c r="AC977" s="193"/>
    </row>
    <row r="978" spans="1:29" ht="15.75" customHeight="1">
      <c r="A978" s="193"/>
      <c r="B978" s="193"/>
      <c r="C978" s="193"/>
      <c r="D978" s="193"/>
      <c r="E978" s="193"/>
      <c r="F978" s="193"/>
      <c r="G978" s="193"/>
      <c r="H978" s="193"/>
      <c r="I978" s="193"/>
      <c r="J978" s="193"/>
      <c r="K978" s="193"/>
      <c r="L978" s="193"/>
      <c r="M978" s="193"/>
      <c r="N978" s="193"/>
      <c r="O978" s="193"/>
      <c r="P978" s="193"/>
      <c r="Q978" s="193"/>
      <c r="R978" s="193"/>
      <c r="S978" s="193"/>
      <c r="T978" s="193"/>
      <c r="U978" s="193"/>
      <c r="V978" s="193"/>
      <c r="W978" s="193"/>
      <c r="X978" s="193"/>
      <c r="Y978" s="193"/>
      <c r="Z978" s="193"/>
      <c r="AA978" s="193"/>
      <c r="AB978" s="193"/>
      <c r="AC978" s="193"/>
    </row>
    <row r="979" spans="1:29" ht="15.75" customHeight="1">
      <c r="A979" s="193"/>
      <c r="B979" s="193"/>
      <c r="C979" s="193"/>
      <c r="D979" s="193"/>
      <c r="E979" s="193"/>
      <c r="F979" s="193"/>
      <c r="G979" s="193"/>
      <c r="H979" s="193"/>
      <c r="I979" s="193"/>
      <c r="J979" s="193"/>
      <c r="K979" s="193"/>
      <c r="L979" s="193"/>
      <c r="M979" s="193"/>
      <c r="N979" s="193"/>
      <c r="O979" s="193"/>
      <c r="P979" s="193"/>
      <c r="Q979" s="193"/>
      <c r="R979" s="193"/>
      <c r="S979" s="193"/>
      <c r="T979" s="193"/>
      <c r="U979" s="193"/>
      <c r="V979" s="193"/>
      <c r="W979" s="193"/>
      <c r="X979" s="193"/>
      <c r="Y979" s="193"/>
      <c r="Z979" s="193"/>
      <c r="AA979" s="193"/>
      <c r="AB979" s="193"/>
      <c r="AC979" s="193"/>
    </row>
    <row r="980" spans="1:29" ht="15.75" customHeight="1">
      <c r="A980" s="193"/>
      <c r="B980" s="193"/>
      <c r="C980" s="193"/>
      <c r="D980" s="193"/>
      <c r="E980" s="193"/>
      <c r="F980" s="193"/>
      <c r="G980" s="193"/>
      <c r="H980" s="193"/>
      <c r="I980" s="193"/>
      <c r="J980" s="193"/>
      <c r="K980" s="193"/>
      <c r="L980" s="193"/>
      <c r="M980" s="193"/>
      <c r="N980" s="193"/>
      <c r="O980" s="193"/>
      <c r="P980" s="193"/>
      <c r="Q980" s="193"/>
      <c r="R980" s="193"/>
      <c r="S980" s="193"/>
      <c r="T980" s="193"/>
      <c r="U980" s="193"/>
      <c r="V980" s="193"/>
      <c r="W980" s="193"/>
      <c r="X980" s="193"/>
      <c r="Y980" s="193"/>
      <c r="Z980" s="193"/>
      <c r="AA980" s="193"/>
      <c r="AB980" s="193"/>
      <c r="AC980" s="193"/>
    </row>
    <row r="981" spans="1:29" ht="15.75" customHeight="1">
      <c r="A981" s="193"/>
      <c r="B981" s="193"/>
      <c r="C981" s="193"/>
      <c r="D981" s="193"/>
      <c r="E981" s="193"/>
      <c r="F981" s="193"/>
      <c r="G981" s="193"/>
      <c r="H981" s="193"/>
      <c r="I981" s="193"/>
      <c r="J981" s="193"/>
      <c r="K981" s="193"/>
      <c r="L981" s="193"/>
      <c r="M981" s="193"/>
      <c r="N981" s="193"/>
      <c r="O981" s="193"/>
      <c r="P981" s="193"/>
      <c r="Q981" s="193"/>
      <c r="R981" s="193"/>
      <c r="S981" s="193"/>
      <c r="T981" s="193"/>
      <c r="U981" s="193"/>
      <c r="V981" s="193"/>
      <c r="W981" s="193"/>
      <c r="X981" s="193"/>
      <c r="Y981" s="193"/>
      <c r="Z981" s="193"/>
      <c r="AA981" s="193"/>
      <c r="AB981" s="193"/>
      <c r="AC981" s="193"/>
    </row>
    <row r="982" spans="1:29" ht="15.75" customHeight="1">
      <c r="A982" s="193"/>
      <c r="B982" s="193"/>
      <c r="C982" s="193"/>
      <c r="D982" s="193"/>
      <c r="E982" s="193"/>
      <c r="F982" s="193"/>
      <c r="G982" s="193"/>
      <c r="H982" s="193"/>
      <c r="I982" s="193"/>
      <c r="J982" s="193"/>
      <c r="K982" s="193"/>
      <c r="L982" s="193"/>
      <c r="M982" s="193"/>
      <c r="N982" s="193"/>
      <c r="O982" s="193"/>
      <c r="P982" s="193"/>
      <c r="Q982" s="193"/>
      <c r="R982" s="193"/>
      <c r="S982" s="193"/>
      <c r="T982" s="193"/>
      <c r="U982" s="193"/>
      <c r="V982" s="193"/>
      <c r="W982" s="193"/>
      <c r="X982" s="193"/>
      <c r="Y982" s="193"/>
      <c r="Z982" s="193"/>
      <c r="AA982" s="193"/>
      <c r="AB982" s="193"/>
      <c r="AC982" s="193"/>
    </row>
    <row r="983" spans="1:29" ht="15.75" customHeight="1">
      <c r="A983" s="193"/>
      <c r="B983" s="193"/>
      <c r="C983" s="193"/>
      <c r="D983" s="193"/>
      <c r="E983" s="193"/>
      <c r="F983" s="193"/>
      <c r="G983" s="193"/>
      <c r="H983" s="193"/>
      <c r="I983" s="193"/>
      <c r="J983" s="193"/>
      <c r="K983" s="193"/>
      <c r="L983" s="193"/>
      <c r="M983" s="193"/>
      <c r="N983" s="193"/>
      <c r="O983" s="193"/>
      <c r="P983" s="193"/>
      <c r="Q983" s="193"/>
      <c r="R983" s="193"/>
      <c r="S983" s="193"/>
      <c r="T983" s="193"/>
      <c r="U983" s="193"/>
      <c r="V983" s="193"/>
      <c r="W983" s="193"/>
      <c r="X983" s="193"/>
      <c r="Y983" s="193"/>
      <c r="Z983" s="193"/>
      <c r="AA983" s="193"/>
      <c r="AB983" s="193"/>
      <c r="AC983" s="193"/>
    </row>
    <row r="984" spans="1:29" ht="15.75" customHeight="1">
      <c r="A984" s="193"/>
      <c r="B984" s="193"/>
      <c r="C984" s="193"/>
      <c r="D984" s="193"/>
      <c r="E984" s="193"/>
      <c r="F984" s="193"/>
      <c r="G984" s="193"/>
      <c r="H984" s="193"/>
      <c r="I984" s="193"/>
      <c r="J984" s="193"/>
      <c r="K984" s="193"/>
      <c r="L984" s="193"/>
      <c r="M984" s="193"/>
      <c r="N984" s="193"/>
      <c r="O984" s="193"/>
      <c r="P984" s="193"/>
      <c r="Q984" s="193"/>
      <c r="R984" s="193"/>
      <c r="S984" s="193"/>
      <c r="T984" s="193"/>
      <c r="U984" s="193"/>
      <c r="V984" s="193"/>
      <c r="W984" s="193"/>
      <c r="X984" s="193"/>
      <c r="Y984" s="193"/>
      <c r="Z984" s="193"/>
      <c r="AA984" s="193"/>
      <c r="AB984" s="193"/>
      <c r="AC984" s="193"/>
    </row>
    <row r="985" spans="1:29" ht="15.75" customHeight="1">
      <c r="A985" s="193"/>
      <c r="B985" s="193"/>
      <c r="C985" s="193"/>
      <c r="D985" s="193"/>
      <c r="E985" s="193"/>
      <c r="F985" s="193"/>
      <c r="G985" s="193"/>
      <c r="H985" s="193"/>
      <c r="I985" s="193"/>
      <c r="J985" s="193"/>
      <c r="K985" s="193"/>
      <c r="L985" s="193"/>
      <c r="M985" s="193"/>
      <c r="N985" s="193"/>
      <c r="O985" s="193"/>
      <c r="P985" s="193"/>
      <c r="Q985" s="193"/>
      <c r="R985" s="193"/>
      <c r="S985" s="193"/>
      <c r="T985" s="193"/>
      <c r="U985" s="193"/>
      <c r="V985" s="193"/>
      <c r="W985" s="193"/>
      <c r="X985" s="193"/>
      <c r="Y985" s="193"/>
      <c r="Z985" s="193"/>
      <c r="AA985" s="193"/>
      <c r="AB985" s="193"/>
      <c r="AC985" s="193"/>
    </row>
    <row r="986" spans="1:29" ht="15.75" customHeight="1">
      <c r="A986" s="193"/>
      <c r="B986" s="193"/>
      <c r="C986" s="193"/>
      <c r="D986" s="193"/>
      <c r="E986" s="193"/>
      <c r="F986" s="193"/>
      <c r="G986" s="193"/>
      <c r="H986" s="193"/>
      <c r="I986" s="193"/>
      <c r="J986" s="193"/>
      <c r="K986" s="193"/>
      <c r="L986" s="193"/>
      <c r="M986" s="193"/>
      <c r="N986" s="193"/>
      <c r="O986" s="193"/>
      <c r="P986" s="193"/>
      <c r="Q986" s="193"/>
      <c r="R986" s="193"/>
      <c r="S986" s="193"/>
      <c r="T986" s="193"/>
      <c r="U986" s="193"/>
      <c r="V986" s="193"/>
      <c r="W986" s="193"/>
      <c r="X986" s="193"/>
      <c r="Y986" s="193"/>
      <c r="Z986" s="193"/>
      <c r="AA986" s="193"/>
      <c r="AB986" s="193"/>
      <c r="AC986" s="193"/>
    </row>
    <row r="987" spans="1:29" ht="15.75" customHeight="1">
      <c r="A987" s="193"/>
      <c r="B987" s="193"/>
      <c r="C987" s="193"/>
      <c r="D987" s="193"/>
      <c r="E987" s="193"/>
      <c r="F987" s="193"/>
      <c r="G987" s="193"/>
      <c r="H987" s="193"/>
      <c r="I987" s="193"/>
      <c r="J987" s="193"/>
      <c r="K987" s="193"/>
      <c r="L987" s="193"/>
      <c r="M987" s="193"/>
      <c r="N987" s="193"/>
      <c r="O987" s="193"/>
      <c r="P987" s="193"/>
      <c r="Q987" s="193"/>
      <c r="R987" s="193"/>
      <c r="S987" s="193"/>
      <c r="T987" s="193"/>
      <c r="U987" s="193"/>
      <c r="V987" s="193"/>
      <c r="W987" s="193"/>
      <c r="X987" s="193"/>
      <c r="Y987" s="193"/>
      <c r="Z987" s="193"/>
      <c r="AA987" s="193"/>
      <c r="AB987" s="193"/>
      <c r="AC987" s="193"/>
    </row>
    <row r="988" spans="1:29" ht="15.75" customHeight="1">
      <c r="A988" s="193"/>
      <c r="B988" s="193"/>
      <c r="C988" s="193"/>
      <c r="D988" s="193"/>
      <c r="E988" s="193"/>
      <c r="F988" s="193"/>
      <c r="G988" s="193"/>
      <c r="H988" s="193"/>
      <c r="I988" s="193"/>
      <c r="J988" s="193"/>
      <c r="K988" s="193"/>
      <c r="L988" s="193"/>
      <c r="M988" s="193"/>
      <c r="N988" s="193"/>
      <c r="O988" s="193"/>
      <c r="P988" s="193"/>
      <c r="Q988" s="193"/>
      <c r="R988" s="193"/>
      <c r="S988" s="193"/>
      <c r="T988" s="193"/>
      <c r="U988" s="193"/>
      <c r="V988" s="193"/>
      <c r="W988" s="193"/>
      <c r="X988" s="193"/>
      <c r="Y988" s="193"/>
      <c r="Z988" s="193"/>
      <c r="AA988" s="193"/>
      <c r="AB988" s="193"/>
      <c r="AC988" s="193"/>
    </row>
    <row r="989" spans="1:29" ht="15.75" customHeight="1">
      <c r="A989" s="193"/>
      <c r="B989" s="193"/>
      <c r="C989" s="193"/>
      <c r="D989" s="193"/>
      <c r="E989" s="193"/>
      <c r="F989" s="193"/>
      <c r="G989" s="193"/>
      <c r="H989" s="193"/>
      <c r="I989" s="193"/>
      <c r="J989" s="193"/>
      <c r="K989" s="193"/>
      <c r="L989" s="193"/>
      <c r="M989" s="193"/>
      <c r="N989" s="193"/>
      <c r="O989" s="193"/>
      <c r="P989" s="193"/>
      <c r="Q989" s="193"/>
      <c r="R989" s="193"/>
      <c r="S989" s="193"/>
      <c r="T989" s="193"/>
      <c r="U989" s="193"/>
      <c r="V989" s="193"/>
      <c r="W989" s="193"/>
      <c r="X989" s="193"/>
      <c r="Y989" s="193"/>
      <c r="Z989" s="193"/>
      <c r="AA989" s="193"/>
      <c r="AB989" s="193"/>
      <c r="AC989" s="193"/>
    </row>
    <row r="990" spans="1:29" ht="15.75" customHeight="1">
      <c r="A990" s="193"/>
      <c r="B990" s="193"/>
      <c r="C990" s="193"/>
      <c r="D990" s="193"/>
      <c r="E990" s="193"/>
      <c r="F990" s="193"/>
      <c r="G990" s="193"/>
      <c r="H990" s="193"/>
      <c r="I990" s="193"/>
      <c r="J990" s="193"/>
      <c r="K990" s="193"/>
      <c r="L990" s="193"/>
      <c r="M990" s="193"/>
      <c r="N990" s="193"/>
      <c r="O990" s="193"/>
      <c r="P990" s="193"/>
      <c r="Q990" s="193"/>
      <c r="R990" s="193"/>
      <c r="S990" s="193"/>
      <c r="T990" s="193"/>
      <c r="U990" s="193"/>
      <c r="V990" s="193"/>
      <c r="W990" s="193"/>
      <c r="X990" s="193"/>
      <c r="Y990" s="193"/>
      <c r="Z990" s="193"/>
      <c r="AA990" s="193"/>
      <c r="AB990" s="193"/>
      <c r="AC990" s="193"/>
    </row>
    <row r="991" spans="1:29" ht="15.75" customHeight="1">
      <c r="A991" s="193"/>
      <c r="B991" s="193"/>
      <c r="C991" s="193"/>
      <c r="D991" s="193"/>
      <c r="E991" s="193"/>
      <c r="F991" s="193"/>
      <c r="G991" s="193"/>
      <c r="H991" s="193"/>
      <c r="I991" s="193"/>
      <c r="J991" s="193"/>
      <c r="K991" s="193"/>
      <c r="L991" s="193"/>
      <c r="M991" s="193"/>
      <c r="N991" s="193"/>
      <c r="O991" s="193"/>
      <c r="P991" s="193"/>
      <c r="Q991" s="193"/>
      <c r="R991" s="193"/>
      <c r="S991" s="193"/>
      <c r="T991" s="193"/>
      <c r="U991" s="193"/>
      <c r="V991" s="193"/>
      <c r="W991" s="193"/>
      <c r="X991" s="193"/>
      <c r="Y991" s="193"/>
      <c r="Z991" s="193"/>
      <c r="AA991" s="193"/>
      <c r="AB991" s="193"/>
      <c r="AC991" s="193"/>
    </row>
    <row r="992" spans="1:29" ht="15.75" customHeight="1">
      <c r="A992" s="193"/>
      <c r="B992" s="193"/>
      <c r="C992" s="193"/>
      <c r="D992" s="193"/>
      <c r="E992" s="193"/>
      <c r="F992" s="193"/>
      <c r="G992" s="193"/>
      <c r="H992" s="193"/>
      <c r="I992" s="193"/>
      <c r="J992" s="193"/>
      <c r="K992" s="193"/>
      <c r="L992" s="193"/>
      <c r="M992" s="193"/>
      <c r="N992" s="193"/>
      <c r="O992" s="193"/>
      <c r="P992" s="193"/>
      <c r="Q992" s="193"/>
      <c r="R992" s="193"/>
      <c r="S992" s="193"/>
      <c r="T992" s="193"/>
      <c r="U992" s="193"/>
      <c r="V992" s="193"/>
      <c r="W992" s="193"/>
      <c r="X992" s="193"/>
      <c r="Y992" s="193"/>
      <c r="Z992" s="193"/>
      <c r="AA992" s="193"/>
      <c r="AB992" s="193"/>
      <c r="AC992" s="193"/>
    </row>
    <row r="993" spans="1:29" ht="15.75" customHeight="1">
      <c r="A993" s="193"/>
      <c r="B993" s="193"/>
      <c r="C993" s="193"/>
      <c r="D993" s="193"/>
      <c r="E993" s="193"/>
      <c r="F993" s="193"/>
      <c r="G993" s="193"/>
      <c r="H993" s="193"/>
      <c r="I993" s="193"/>
      <c r="J993" s="193"/>
      <c r="K993" s="193"/>
      <c r="L993" s="193"/>
      <c r="M993" s="193"/>
      <c r="N993" s="193"/>
      <c r="O993" s="193"/>
      <c r="P993" s="193"/>
      <c r="Q993" s="193"/>
      <c r="R993" s="193"/>
      <c r="S993" s="193"/>
      <c r="T993" s="193"/>
      <c r="U993" s="193"/>
      <c r="V993" s="193"/>
      <c r="W993" s="193"/>
      <c r="X993" s="193"/>
      <c r="Y993" s="193"/>
      <c r="Z993" s="193"/>
      <c r="AA993" s="193"/>
      <c r="AB993" s="193"/>
      <c r="AC993" s="193"/>
    </row>
    <row r="994" spans="1:29" ht="15.75" customHeight="1">
      <c r="A994" s="193"/>
      <c r="B994" s="193"/>
      <c r="C994" s="193"/>
      <c r="D994" s="193"/>
      <c r="E994" s="193"/>
      <c r="F994" s="193"/>
      <c r="G994" s="193"/>
      <c r="H994" s="193"/>
      <c r="I994" s="193"/>
      <c r="J994" s="193"/>
      <c r="K994" s="193"/>
      <c r="L994" s="193"/>
      <c r="M994" s="193"/>
      <c r="N994" s="193"/>
      <c r="O994" s="193"/>
      <c r="P994" s="193"/>
      <c r="Q994" s="193"/>
      <c r="R994" s="193"/>
      <c r="S994" s="193"/>
      <c r="T994" s="193"/>
      <c r="U994" s="193"/>
      <c r="V994" s="193"/>
      <c r="W994" s="193"/>
      <c r="X994" s="193"/>
      <c r="Y994" s="193"/>
      <c r="Z994" s="193"/>
      <c r="AA994" s="193"/>
      <c r="AB994" s="193"/>
      <c r="AC994" s="193"/>
    </row>
    <row r="995" spans="1:29" ht="15.75" customHeight="1">
      <c r="A995" s="193"/>
      <c r="B995" s="193"/>
      <c r="C995" s="193"/>
      <c r="D995" s="193"/>
      <c r="E995" s="193"/>
      <c r="F995" s="193"/>
      <c r="G995" s="193"/>
      <c r="H995" s="193"/>
      <c r="I995" s="193"/>
      <c r="J995" s="193"/>
      <c r="K995" s="193"/>
      <c r="L995" s="193"/>
      <c r="M995" s="193"/>
      <c r="N995" s="193"/>
      <c r="O995" s="193"/>
      <c r="P995" s="193"/>
      <c r="Q995" s="193"/>
      <c r="R995" s="193"/>
      <c r="S995" s="193"/>
      <c r="T995" s="193"/>
      <c r="U995" s="193"/>
      <c r="V995" s="193"/>
      <c r="W995" s="193"/>
      <c r="X995" s="193"/>
      <c r="Y995" s="193"/>
      <c r="Z995" s="193"/>
      <c r="AA995" s="193"/>
      <c r="AB995" s="193"/>
      <c r="AC995" s="193"/>
    </row>
    <row r="996" spans="1:29" ht="15.75" customHeight="1">
      <c r="A996" s="193"/>
      <c r="B996" s="193"/>
      <c r="C996" s="193"/>
      <c r="D996" s="193"/>
      <c r="E996" s="193"/>
      <c r="F996" s="193"/>
      <c r="G996" s="193"/>
      <c r="H996" s="193"/>
      <c r="I996" s="193"/>
      <c r="J996" s="193"/>
      <c r="K996" s="193"/>
      <c r="L996" s="193"/>
      <c r="M996" s="193"/>
      <c r="N996" s="193"/>
      <c r="O996" s="193"/>
      <c r="P996" s="193"/>
      <c r="Q996" s="193"/>
      <c r="R996" s="193"/>
      <c r="S996" s="193"/>
      <c r="T996" s="193"/>
      <c r="U996" s="193"/>
      <c r="V996" s="193"/>
      <c r="W996" s="193"/>
      <c r="X996" s="193"/>
      <c r="Y996" s="193"/>
      <c r="Z996" s="193"/>
      <c r="AA996" s="193"/>
      <c r="AB996" s="193"/>
      <c r="AC996" s="193"/>
    </row>
    <row r="997" spans="1:29" ht="15.75" customHeight="1">
      <c r="A997" s="193"/>
      <c r="B997" s="193"/>
      <c r="C997" s="193"/>
      <c r="D997" s="193"/>
      <c r="E997" s="193"/>
      <c r="F997" s="193"/>
      <c r="G997" s="193"/>
      <c r="H997" s="193"/>
      <c r="I997" s="193"/>
      <c r="J997" s="193"/>
      <c r="K997" s="193"/>
      <c r="L997" s="193"/>
      <c r="M997" s="193"/>
      <c r="N997" s="193"/>
      <c r="O997" s="193"/>
      <c r="P997" s="193"/>
      <c r="Q997" s="193"/>
      <c r="R997" s="193"/>
      <c r="S997" s="193"/>
      <c r="T997" s="193"/>
      <c r="U997" s="193"/>
      <c r="V997" s="193"/>
      <c r="W997" s="193"/>
      <c r="X997" s="193"/>
      <c r="Y997" s="193"/>
      <c r="Z997" s="193"/>
      <c r="AA997" s="193"/>
      <c r="AB997" s="193"/>
      <c r="AC997" s="193"/>
    </row>
    <row r="998" spans="1:29" ht="15.75" customHeight="1">
      <c r="A998" s="193"/>
      <c r="B998" s="193"/>
      <c r="C998" s="193"/>
      <c r="D998" s="193"/>
      <c r="E998" s="193"/>
      <c r="F998" s="193"/>
      <c r="G998" s="193"/>
      <c r="H998" s="193"/>
      <c r="I998" s="193"/>
      <c r="J998" s="193"/>
      <c r="K998" s="193"/>
      <c r="L998" s="193"/>
      <c r="M998" s="193"/>
      <c r="N998" s="193"/>
      <c r="O998" s="193"/>
      <c r="P998" s="193"/>
      <c r="Q998" s="193"/>
      <c r="R998" s="193"/>
      <c r="S998" s="193"/>
      <c r="T998" s="193"/>
      <c r="U998" s="193"/>
      <c r="V998" s="193"/>
      <c r="W998" s="193"/>
      <c r="X998" s="193"/>
      <c r="Y998" s="193"/>
      <c r="Z998" s="193"/>
      <c r="AA998" s="193"/>
      <c r="AB998" s="193"/>
      <c r="AC998" s="193"/>
    </row>
    <row r="999" spans="1:29" ht="15.75" customHeight="1">
      <c r="A999" s="193"/>
      <c r="B999" s="193"/>
      <c r="C999" s="193"/>
      <c r="D999" s="193"/>
      <c r="E999" s="193"/>
      <c r="F999" s="193"/>
      <c r="G999" s="193"/>
      <c r="H999" s="193"/>
      <c r="I999" s="193"/>
      <c r="J999" s="193"/>
      <c r="K999" s="193"/>
      <c r="L999" s="193"/>
      <c r="M999" s="193"/>
      <c r="N999" s="193"/>
      <c r="O999" s="193"/>
      <c r="P999" s="193"/>
      <c r="Q999" s="193"/>
      <c r="R999" s="193"/>
      <c r="S999" s="193"/>
      <c r="T999" s="193"/>
      <c r="U999" s="193"/>
      <c r="V999" s="193"/>
      <c r="W999" s="193"/>
      <c r="X999" s="193"/>
      <c r="Y999" s="193"/>
      <c r="Z999" s="193"/>
      <c r="AA999" s="193"/>
      <c r="AB999" s="193"/>
      <c r="AC999" s="193"/>
    </row>
    <row r="1000" spans="1:29" ht="15.75" customHeight="1">
      <c r="A1000" s="193"/>
      <c r="B1000" s="193"/>
      <c r="C1000" s="193"/>
      <c r="D1000" s="193"/>
      <c r="E1000" s="193"/>
      <c r="F1000" s="193"/>
      <c r="G1000" s="193"/>
      <c r="H1000" s="193"/>
      <c r="I1000" s="193"/>
      <c r="J1000" s="193"/>
      <c r="K1000" s="193"/>
      <c r="L1000" s="193"/>
      <c r="M1000" s="193"/>
      <c r="N1000" s="193"/>
      <c r="O1000" s="193"/>
      <c r="P1000" s="193"/>
      <c r="Q1000" s="193"/>
      <c r="R1000" s="193"/>
      <c r="S1000" s="193"/>
      <c r="T1000" s="193"/>
      <c r="U1000" s="193"/>
      <c r="V1000" s="193"/>
      <c r="W1000" s="193"/>
      <c r="X1000" s="193"/>
      <c r="Y1000" s="193"/>
      <c r="Z1000" s="193"/>
      <c r="AA1000" s="193"/>
      <c r="AB1000" s="193"/>
      <c r="AC1000" s="193"/>
    </row>
  </sheetData>
  <mergeCells count="13">
    <mergeCell ref="AB5:AB7"/>
    <mergeCell ref="AC5:AC7"/>
    <mergeCell ref="C2:N2"/>
    <mergeCell ref="O5:O7"/>
    <mergeCell ref="P5:P7"/>
    <mergeCell ref="Q5:Q7"/>
    <mergeCell ref="R5:R7"/>
    <mergeCell ref="S5:S7"/>
    <mergeCell ref="K5:N5"/>
    <mergeCell ref="U5:X5"/>
    <mergeCell ref="Y5:Y7"/>
    <mergeCell ref="Z5:Z7"/>
    <mergeCell ref="AA5:AA7"/>
  </mergeCells>
  <pageMargins left="0.7" right="0.7" top="0.75" bottom="0.75" header="0" footer="0"/>
  <pageSetup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4">
    <tabColor rgb="FFC00000"/>
  </sheetPr>
  <dimension ref="A1:V1000"/>
  <sheetViews>
    <sheetView workbookViewId="0">
      <selection activeCell="B37" sqref="B37"/>
    </sheetView>
  </sheetViews>
  <sheetFormatPr baseColWidth="10" defaultColWidth="12.625" defaultRowHeight="15" customHeight="1"/>
  <cols>
    <col min="1" max="1" width="10.625" customWidth="1"/>
    <col min="2" max="2" width="28.25" customWidth="1"/>
    <col min="3" max="4" width="10.625" customWidth="1"/>
    <col min="5" max="5" width="26.25" bestFit="1" customWidth="1"/>
    <col min="6" max="22" width="10.625" customWidth="1"/>
  </cols>
  <sheetData>
    <row r="1" spans="1:22" ht="14.25" customHeight="1"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21" thickBot="1">
      <c r="C2" s="2"/>
      <c r="D2" s="820" t="s">
        <v>1292</v>
      </c>
      <c r="E2" s="82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8.75">
      <c r="C3" s="2"/>
      <c r="D3" s="604"/>
      <c r="E3" s="605" t="s">
        <v>1293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9.5" thickBot="1">
      <c r="C4" s="2"/>
      <c r="D4" s="606"/>
      <c r="E4" s="607" t="s">
        <v>1294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9.5" thickTop="1">
      <c r="C5" s="2"/>
      <c r="D5" s="608"/>
      <c r="E5" s="609" t="s">
        <v>1295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8.75">
      <c r="C6" s="2"/>
      <c r="D6" s="610"/>
      <c r="E6" s="611" t="s">
        <v>21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9.5" thickBot="1">
      <c r="C7" s="2"/>
      <c r="D7" s="612"/>
      <c r="E7" s="613" t="s">
        <v>1296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20.25" thickTop="1" thickBot="1">
      <c r="C8" s="2"/>
      <c r="D8" s="614"/>
      <c r="E8" s="615" t="s">
        <v>1297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9.5" thickTop="1">
      <c r="A9" s="2"/>
      <c r="B9" s="2"/>
      <c r="C9" s="2"/>
      <c r="D9" s="616"/>
      <c r="E9" s="617" t="s">
        <v>1298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4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4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4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4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4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4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5.75" customHeight="1"/>
    <row r="222" spans="1:22" ht="15.75" customHeight="1"/>
    <row r="223" spans="1:22" ht="15.75" customHeight="1"/>
    <row r="224" spans="1:2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2:E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4F2BE-62A4-41B9-8862-B038F78CA0D7}">
  <sheetPr codeName="Hoja15">
    <tabColor rgb="FF720462"/>
  </sheetPr>
  <dimension ref="A1:L975"/>
  <sheetViews>
    <sheetView workbookViewId="0">
      <selection activeCell="A42" sqref="A42"/>
    </sheetView>
  </sheetViews>
  <sheetFormatPr baseColWidth="10" defaultColWidth="12.625" defaultRowHeight="15" customHeight="1"/>
  <cols>
    <col min="1" max="1" width="25" style="827" customWidth="1"/>
    <col min="2" max="2" width="32" style="827" customWidth="1"/>
    <col min="3" max="3" width="8.125" style="827" customWidth="1"/>
    <col min="4" max="4" width="18.875" style="827" customWidth="1"/>
    <col min="5" max="5" width="39.75" style="827" customWidth="1"/>
    <col min="6" max="6" width="14.75" style="827" customWidth="1"/>
    <col min="7" max="8" width="10.625" style="827" customWidth="1"/>
    <col min="9" max="9" width="20" style="827" bestFit="1" customWidth="1"/>
    <col min="10" max="11" width="14" style="827" bestFit="1" customWidth="1"/>
    <col min="12" max="12" width="10.625" style="827" customWidth="1"/>
    <col min="13" max="13" width="12.625" style="827"/>
    <col min="14" max="14" width="16.75" style="827" customWidth="1"/>
    <col min="15" max="15" width="13.75" style="827" customWidth="1"/>
    <col min="16" max="16" width="15" style="827" customWidth="1"/>
    <col min="17" max="27" width="10.625" style="827" customWidth="1"/>
    <col min="28" max="16384" width="12.625" style="827"/>
  </cols>
  <sheetData>
    <row r="1" spans="1:12" ht="20.25">
      <c r="A1" s="823" t="s">
        <v>17</v>
      </c>
      <c r="B1" s="824"/>
      <c r="C1" s="824"/>
      <c r="D1" s="824"/>
      <c r="E1" s="825"/>
      <c r="F1" s="826"/>
    </row>
    <row r="2" spans="1:12" ht="13.5" customHeight="1">
      <c r="A2" s="828" t="s">
        <v>18</v>
      </c>
      <c r="B2" s="828" t="s">
        <v>19</v>
      </c>
      <c r="C2" s="829" t="s">
        <v>20</v>
      </c>
      <c r="D2" s="830" t="s">
        <v>21</v>
      </c>
      <c r="E2" s="830"/>
      <c r="F2" s="826"/>
    </row>
    <row r="3" spans="1:12" ht="13.5" customHeight="1">
      <c r="A3" s="831" t="s">
        <v>22</v>
      </c>
      <c r="B3" s="832" t="s">
        <v>425</v>
      </c>
      <c r="C3" s="833"/>
      <c r="D3" s="834" t="s">
        <v>24</v>
      </c>
      <c r="E3" s="834"/>
      <c r="F3" s="826"/>
    </row>
    <row r="4" spans="1:12" ht="13.5" customHeight="1">
      <c r="A4" s="831" t="s">
        <v>25</v>
      </c>
      <c r="B4" s="835">
        <v>10000</v>
      </c>
      <c r="C4" s="833" t="s">
        <v>26</v>
      </c>
      <c r="D4" s="834"/>
      <c r="E4" s="834"/>
      <c r="F4" s="826"/>
    </row>
    <row r="5" spans="1:12" ht="13.5" customHeight="1"/>
    <row r="6" spans="1:12" ht="13.5" customHeight="1"/>
    <row r="7" spans="1:12" ht="13.5" customHeight="1">
      <c r="B7" s="836"/>
      <c r="C7" s="833"/>
      <c r="F7" s="826"/>
      <c r="J7" s="837"/>
    </row>
    <row r="8" spans="1:12" ht="20.25">
      <c r="A8" s="838" t="s">
        <v>56</v>
      </c>
      <c r="B8" s="824"/>
      <c r="C8" s="824"/>
      <c r="D8" s="824"/>
      <c r="E8" s="825"/>
      <c r="F8" s="826"/>
    </row>
    <row r="9" spans="1:12" ht="13.5" customHeight="1">
      <c r="A9" s="828" t="s">
        <v>18</v>
      </c>
      <c r="B9" s="828" t="s">
        <v>19</v>
      </c>
      <c r="C9" s="829" t="s">
        <v>20</v>
      </c>
      <c r="D9" s="839" t="s">
        <v>21</v>
      </c>
      <c r="E9" s="840"/>
      <c r="F9" s="826"/>
      <c r="L9" s="841"/>
    </row>
    <row r="10" spans="1:12" ht="13.5" customHeight="1">
      <c r="A10" s="849" t="s">
        <v>57</v>
      </c>
      <c r="B10" s="822" t="s">
        <v>58</v>
      </c>
      <c r="D10" s="842" t="s">
        <v>24</v>
      </c>
      <c r="E10" s="843"/>
      <c r="F10" s="826"/>
    </row>
    <row r="11" spans="1:12" ht="15" customHeight="1">
      <c r="A11" s="850" t="s">
        <v>65</v>
      </c>
      <c r="B11" s="848">
        <v>2500</v>
      </c>
      <c r="C11" s="844" t="s">
        <v>66</v>
      </c>
      <c r="D11" s="845"/>
      <c r="E11" s="846"/>
      <c r="F11" s="826"/>
    </row>
    <row r="12" spans="1:12" ht="13.5" customHeight="1">
      <c r="F12" s="826"/>
    </row>
    <row r="13" spans="1:12" ht="14.25" customHeight="1">
      <c r="A13" s="836"/>
    </row>
    <row r="14" spans="1:12" ht="13.5" customHeight="1">
      <c r="A14" s="836"/>
    </row>
    <row r="15" spans="1:12">
      <c r="F15" s="826"/>
      <c r="H15" s="847"/>
    </row>
    <row r="16" spans="1:12" ht="13.5" customHeight="1">
      <c r="F16" s="826"/>
    </row>
    <row r="17" spans="1:6" ht="13.5" customHeight="1">
      <c r="F17" s="826"/>
    </row>
    <row r="18" spans="1:6" ht="13.5" customHeight="1">
      <c r="F18" s="826"/>
    </row>
    <row r="19" spans="1:6" ht="13.5" customHeight="1">
      <c r="F19" s="826"/>
    </row>
    <row r="20" spans="1:6" ht="13.5" customHeight="1">
      <c r="F20" s="826"/>
    </row>
    <row r="21" spans="1:6" ht="13.5" customHeight="1">
      <c r="F21" s="826"/>
    </row>
    <row r="22" spans="1:6" ht="13.5" customHeight="1">
      <c r="F22" s="826"/>
    </row>
    <row r="23" spans="1:6" ht="13.5" customHeight="1">
      <c r="F23" s="826"/>
    </row>
    <row r="24" spans="1:6" ht="13.5" customHeight="1">
      <c r="F24" s="826"/>
    </row>
    <row r="25" spans="1:6" ht="13.5" customHeight="1">
      <c r="A25" s="836"/>
    </row>
    <row r="26" spans="1:6" ht="13.5" customHeight="1">
      <c r="A26" s="836"/>
    </row>
    <row r="27" spans="1:6" ht="13.5" customHeight="1">
      <c r="A27" s="836"/>
    </row>
    <row r="28" spans="1:6" ht="13.5" customHeight="1">
      <c r="A28" s="836"/>
    </row>
    <row r="29" spans="1:6" ht="13.5" customHeight="1">
      <c r="A29" s="836"/>
    </row>
    <row r="30" spans="1:6" ht="13.5" customHeight="1">
      <c r="A30" s="836"/>
    </row>
    <row r="31" spans="1:6" ht="13.5" customHeight="1">
      <c r="A31" s="836"/>
    </row>
    <row r="32" spans="1:6" ht="13.5" customHeight="1">
      <c r="A32" s="836"/>
    </row>
    <row r="33" spans="1:7" ht="13.5" customHeight="1">
      <c r="A33" s="836"/>
      <c r="G33" s="841"/>
    </row>
    <row r="34" spans="1:7" ht="13.5" customHeight="1">
      <c r="A34" s="836"/>
    </row>
    <row r="35" spans="1:7" ht="13.5" customHeight="1">
      <c r="A35" s="836"/>
    </row>
    <row r="36" spans="1:7" ht="13.5" customHeight="1">
      <c r="A36" s="836"/>
    </row>
    <row r="37" spans="1:7" ht="13.5" customHeight="1">
      <c r="A37" s="836"/>
    </row>
    <row r="38" spans="1:7" ht="13.5" customHeight="1">
      <c r="A38" s="836"/>
    </row>
    <row r="39" spans="1:7" ht="13.5" customHeight="1">
      <c r="A39" s="836"/>
    </row>
    <row r="40" spans="1:7" ht="13.5" customHeight="1">
      <c r="A40" s="836"/>
    </row>
    <row r="41" spans="1:7" ht="13.5" customHeight="1">
      <c r="A41" s="836"/>
    </row>
    <row r="42" spans="1:7" ht="13.5" customHeight="1">
      <c r="A42" s="836"/>
    </row>
    <row r="43" spans="1:7" ht="13.5" customHeight="1">
      <c r="A43" s="836"/>
    </row>
    <row r="44" spans="1:7" ht="13.5" customHeight="1">
      <c r="A44" s="836"/>
    </row>
    <row r="45" spans="1:7" ht="13.5" customHeight="1">
      <c r="A45" s="836"/>
    </row>
    <row r="46" spans="1:7" ht="13.5" customHeight="1">
      <c r="A46" s="836"/>
    </row>
    <row r="47" spans="1:7" ht="13.5" customHeight="1">
      <c r="A47" s="836"/>
    </row>
    <row r="48" spans="1:7" ht="13.5" customHeight="1">
      <c r="A48" s="836"/>
    </row>
    <row r="49" spans="1:1" ht="13.5" customHeight="1">
      <c r="A49" s="836"/>
    </row>
    <row r="50" spans="1:1" ht="13.5" customHeight="1">
      <c r="A50" s="836"/>
    </row>
    <row r="51" spans="1:1" ht="13.5" customHeight="1">
      <c r="A51" s="836"/>
    </row>
    <row r="52" spans="1:1" ht="13.5" customHeight="1">
      <c r="A52" s="836"/>
    </row>
    <row r="53" spans="1:1" ht="13.5" customHeight="1">
      <c r="A53" s="836"/>
    </row>
    <row r="54" spans="1:1" ht="13.5" customHeight="1">
      <c r="A54" s="836"/>
    </row>
    <row r="55" spans="1:1" ht="13.5" customHeight="1">
      <c r="A55" s="836"/>
    </row>
    <row r="56" spans="1:1" ht="13.5" customHeight="1">
      <c r="A56" s="836"/>
    </row>
    <row r="57" spans="1:1" ht="13.5" customHeight="1">
      <c r="A57" s="836"/>
    </row>
    <row r="58" spans="1:1" ht="13.5" customHeight="1">
      <c r="A58" s="836"/>
    </row>
    <row r="59" spans="1:1" ht="13.5" customHeight="1">
      <c r="A59" s="836"/>
    </row>
    <row r="60" spans="1:1" ht="13.5" customHeight="1">
      <c r="A60" s="836"/>
    </row>
    <row r="61" spans="1:1" ht="13.5" customHeight="1">
      <c r="A61" s="836"/>
    </row>
    <row r="62" spans="1:1" ht="13.5" customHeight="1">
      <c r="A62" s="836"/>
    </row>
    <row r="63" spans="1:1" ht="13.5" customHeight="1">
      <c r="A63" s="836"/>
    </row>
    <row r="64" spans="1:1" ht="13.5" customHeight="1">
      <c r="A64" s="836"/>
    </row>
    <row r="65" spans="1:1" ht="13.5" customHeight="1">
      <c r="A65" s="836"/>
    </row>
    <row r="66" spans="1:1" ht="13.5" customHeight="1">
      <c r="A66" s="836"/>
    </row>
    <row r="67" spans="1:1" ht="13.5" customHeight="1">
      <c r="A67" s="836"/>
    </row>
    <row r="68" spans="1:1" ht="13.5" customHeight="1">
      <c r="A68" s="836"/>
    </row>
    <row r="69" spans="1:1" ht="13.5" customHeight="1">
      <c r="A69" s="836"/>
    </row>
    <row r="70" spans="1:1" ht="13.5" customHeight="1">
      <c r="A70" s="836"/>
    </row>
    <row r="71" spans="1:1" ht="13.5" customHeight="1">
      <c r="A71" s="836"/>
    </row>
    <row r="72" spans="1:1" ht="13.5" customHeight="1">
      <c r="A72" s="836"/>
    </row>
    <row r="73" spans="1:1" ht="13.5" customHeight="1">
      <c r="A73" s="836"/>
    </row>
    <row r="74" spans="1:1" ht="13.5" customHeight="1">
      <c r="A74" s="836"/>
    </row>
    <row r="75" spans="1:1" ht="13.5" customHeight="1">
      <c r="A75" s="836"/>
    </row>
    <row r="76" spans="1:1" ht="13.5" customHeight="1">
      <c r="A76" s="836"/>
    </row>
    <row r="77" spans="1:1" ht="13.5" customHeight="1">
      <c r="A77" s="836"/>
    </row>
    <row r="78" spans="1:1" ht="13.5" customHeight="1">
      <c r="A78" s="836"/>
    </row>
    <row r="79" spans="1:1" ht="13.5" customHeight="1">
      <c r="A79" s="836"/>
    </row>
    <row r="80" spans="1:1" ht="13.5" customHeight="1">
      <c r="A80" s="836"/>
    </row>
    <row r="81" spans="1:1" ht="13.5" customHeight="1">
      <c r="A81" s="836"/>
    </row>
    <row r="82" spans="1:1" ht="13.5" customHeight="1">
      <c r="A82" s="836"/>
    </row>
    <row r="83" spans="1:1" ht="13.5" customHeight="1">
      <c r="A83" s="836"/>
    </row>
    <row r="84" spans="1:1" ht="13.5" customHeight="1">
      <c r="A84" s="836"/>
    </row>
    <row r="85" spans="1:1" ht="13.5" customHeight="1">
      <c r="A85" s="836"/>
    </row>
    <row r="86" spans="1:1" ht="13.5" customHeight="1">
      <c r="A86" s="836"/>
    </row>
    <row r="87" spans="1:1" ht="13.5" customHeight="1">
      <c r="A87" s="836"/>
    </row>
    <row r="88" spans="1:1" ht="13.5" customHeight="1">
      <c r="A88" s="836"/>
    </row>
    <row r="89" spans="1:1" ht="13.5" customHeight="1">
      <c r="A89" s="836"/>
    </row>
    <row r="90" spans="1:1" ht="13.5" customHeight="1">
      <c r="A90" s="836"/>
    </row>
    <row r="91" spans="1:1" ht="13.5" customHeight="1">
      <c r="A91" s="836"/>
    </row>
    <row r="92" spans="1:1" ht="13.5" customHeight="1">
      <c r="A92" s="836"/>
    </row>
    <row r="93" spans="1:1" ht="13.5" customHeight="1">
      <c r="A93" s="836"/>
    </row>
    <row r="94" spans="1:1" ht="13.5" customHeight="1">
      <c r="A94" s="836"/>
    </row>
    <row r="95" spans="1:1" ht="13.5" customHeight="1">
      <c r="A95" s="836"/>
    </row>
    <row r="96" spans="1:1" ht="13.5" customHeight="1">
      <c r="A96" s="836"/>
    </row>
    <row r="97" spans="1:1" ht="13.5" customHeight="1">
      <c r="A97" s="836"/>
    </row>
    <row r="98" spans="1:1" ht="13.5" customHeight="1">
      <c r="A98" s="836"/>
    </row>
    <row r="99" spans="1:1" ht="13.5" customHeight="1">
      <c r="A99" s="836"/>
    </row>
    <row r="100" spans="1:1" ht="13.5" customHeight="1">
      <c r="A100" s="836"/>
    </row>
    <row r="101" spans="1:1" ht="13.5" customHeight="1">
      <c r="A101" s="836"/>
    </row>
    <row r="102" spans="1:1" ht="13.5" customHeight="1">
      <c r="A102" s="836"/>
    </row>
    <row r="103" spans="1:1" ht="13.5" customHeight="1">
      <c r="A103" s="836"/>
    </row>
    <row r="104" spans="1:1" ht="13.5" customHeight="1">
      <c r="A104" s="836"/>
    </row>
    <row r="105" spans="1:1" ht="13.5" customHeight="1">
      <c r="A105" s="836"/>
    </row>
    <row r="106" spans="1:1" ht="13.5" customHeight="1">
      <c r="A106" s="836"/>
    </row>
    <row r="107" spans="1:1" ht="13.5" customHeight="1">
      <c r="A107" s="836"/>
    </row>
    <row r="108" spans="1:1" ht="13.5" customHeight="1">
      <c r="A108" s="836"/>
    </row>
    <row r="109" spans="1:1" ht="13.5" customHeight="1">
      <c r="A109" s="836"/>
    </row>
    <row r="110" spans="1:1" ht="13.5" customHeight="1">
      <c r="A110" s="836"/>
    </row>
    <row r="111" spans="1:1" ht="13.5" customHeight="1">
      <c r="A111" s="836"/>
    </row>
    <row r="112" spans="1:1" ht="13.5" customHeight="1">
      <c r="A112" s="836"/>
    </row>
    <row r="113" spans="1:1" ht="13.5" customHeight="1">
      <c r="A113" s="836"/>
    </row>
    <row r="114" spans="1:1" ht="13.5" customHeight="1">
      <c r="A114" s="836"/>
    </row>
    <row r="115" spans="1:1" ht="13.5" customHeight="1">
      <c r="A115" s="836"/>
    </row>
    <row r="116" spans="1:1" ht="13.5" customHeight="1">
      <c r="A116" s="836"/>
    </row>
    <row r="117" spans="1:1" ht="13.5" customHeight="1">
      <c r="A117" s="836"/>
    </row>
    <row r="118" spans="1:1" ht="13.5" customHeight="1">
      <c r="A118" s="836"/>
    </row>
    <row r="119" spans="1:1" ht="13.5" customHeight="1">
      <c r="A119" s="836"/>
    </row>
    <row r="120" spans="1:1" ht="13.5" customHeight="1">
      <c r="A120" s="836"/>
    </row>
    <row r="121" spans="1:1" ht="13.5" customHeight="1">
      <c r="A121" s="836"/>
    </row>
    <row r="122" spans="1:1" ht="13.5" customHeight="1">
      <c r="A122" s="836"/>
    </row>
    <row r="123" spans="1:1" ht="13.5" customHeight="1">
      <c r="A123" s="836"/>
    </row>
    <row r="124" spans="1:1" ht="13.5" customHeight="1">
      <c r="A124" s="836"/>
    </row>
    <row r="125" spans="1:1" ht="13.5" customHeight="1">
      <c r="A125" s="836"/>
    </row>
    <row r="126" spans="1:1" ht="13.5" customHeight="1">
      <c r="A126" s="836"/>
    </row>
    <row r="127" spans="1:1" ht="13.5" customHeight="1">
      <c r="A127" s="836"/>
    </row>
    <row r="128" spans="1:1" ht="13.5" customHeight="1">
      <c r="A128" s="836"/>
    </row>
    <row r="129" spans="1:1" ht="13.5" customHeight="1">
      <c r="A129" s="836"/>
    </row>
    <row r="130" spans="1:1" ht="13.5" customHeight="1">
      <c r="A130" s="836"/>
    </row>
    <row r="131" spans="1:1" ht="13.5" customHeight="1">
      <c r="A131" s="836"/>
    </row>
    <row r="132" spans="1:1" ht="13.5" customHeight="1">
      <c r="A132" s="836"/>
    </row>
    <row r="133" spans="1:1" ht="13.5" customHeight="1">
      <c r="A133" s="836"/>
    </row>
    <row r="134" spans="1:1" ht="13.5" customHeight="1">
      <c r="A134" s="836"/>
    </row>
    <row r="135" spans="1:1" ht="13.5" customHeight="1">
      <c r="A135" s="836"/>
    </row>
    <row r="136" spans="1:1" ht="13.5" customHeight="1">
      <c r="A136" s="836"/>
    </row>
    <row r="137" spans="1:1" ht="13.5" customHeight="1">
      <c r="A137" s="836"/>
    </row>
    <row r="138" spans="1:1" ht="13.5" customHeight="1">
      <c r="A138" s="836"/>
    </row>
    <row r="139" spans="1:1" ht="13.5" customHeight="1">
      <c r="A139" s="836"/>
    </row>
    <row r="140" spans="1:1" ht="13.5" customHeight="1">
      <c r="A140" s="836"/>
    </row>
    <row r="141" spans="1:1" ht="13.5" customHeight="1">
      <c r="A141" s="836"/>
    </row>
    <row r="142" spans="1:1" ht="13.5" customHeight="1">
      <c r="A142" s="836"/>
    </row>
    <row r="143" spans="1:1" ht="13.5" customHeight="1">
      <c r="A143" s="836"/>
    </row>
    <row r="144" spans="1:1" ht="13.5" customHeight="1">
      <c r="A144" s="836"/>
    </row>
    <row r="145" spans="1:1" ht="13.5" customHeight="1">
      <c r="A145" s="836"/>
    </row>
    <row r="146" spans="1:1" ht="13.5" customHeight="1">
      <c r="A146" s="836"/>
    </row>
    <row r="147" spans="1:1" ht="13.5" customHeight="1">
      <c r="A147" s="836"/>
    </row>
    <row r="148" spans="1:1" ht="13.5" customHeight="1">
      <c r="A148" s="836"/>
    </row>
    <row r="149" spans="1:1" ht="13.5" customHeight="1">
      <c r="A149" s="836"/>
    </row>
    <row r="150" spans="1:1" ht="13.5" customHeight="1">
      <c r="A150" s="836"/>
    </row>
    <row r="151" spans="1:1" ht="13.5" customHeight="1">
      <c r="A151" s="836"/>
    </row>
    <row r="152" spans="1:1" ht="13.5" customHeight="1">
      <c r="A152" s="836"/>
    </row>
    <row r="153" spans="1:1" ht="13.5" customHeight="1">
      <c r="A153" s="836"/>
    </row>
    <row r="154" spans="1:1" ht="13.5" customHeight="1">
      <c r="A154" s="836"/>
    </row>
    <row r="155" spans="1:1" ht="13.5" customHeight="1">
      <c r="A155" s="836"/>
    </row>
    <row r="156" spans="1:1" ht="13.5" customHeight="1">
      <c r="A156" s="836"/>
    </row>
    <row r="157" spans="1:1" ht="13.5" customHeight="1">
      <c r="A157" s="836"/>
    </row>
    <row r="158" spans="1:1" ht="13.5" customHeight="1">
      <c r="A158" s="836"/>
    </row>
    <row r="159" spans="1:1" ht="13.5" customHeight="1">
      <c r="A159" s="836"/>
    </row>
    <row r="160" spans="1:1" ht="13.5" customHeight="1">
      <c r="A160" s="836"/>
    </row>
    <row r="161" spans="1:1" ht="13.5" customHeight="1">
      <c r="A161" s="836"/>
    </row>
    <row r="162" spans="1:1" ht="13.5" customHeight="1">
      <c r="A162" s="836"/>
    </row>
    <row r="163" spans="1:1" ht="13.5" customHeight="1">
      <c r="A163" s="836"/>
    </row>
    <row r="164" spans="1:1" ht="13.5" customHeight="1">
      <c r="A164" s="836"/>
    </row>
    <row r="165" spans="1:1" ht="13.5" customHeight="1">
      <c r="A165" s="836"/>
    </row>
    <row r="166" spans="1:1" ht="13.5" customHeight="1">
      <c r="A166" s="836"/>
    </row>
    <row r="167" spans="1:1" ht="13.5" customHeight="1">
      <c r="A167" s="836"/>
    </row>
    <row r="168" spans="1:1" ht="13.5" customHeight="1">
      <c r="A168" s="836"/>
    </row>
    <row r="169" spans="1:1" ht="13.5" customHeight="1">
      <c r="A169" s="836"/>
    </row>
    <row r="170" spans="1:1" ht="13.5" customHeight="1">
      <c r="A170" s="836"/>
    </row>
    <row r="171" spans="1:1" ht="13.5" customHeight="1">
      <c r="A171" s="836"/>
    </row>
    <row r="172" spans="1:1" ht="13.5" customHeight="1">
      <c r="A172" s="836"/>
    </row>
    <row r="173" spans="1:1" ht="13.5" customHeight="1">
      <c r="A173" s="836"/>
    </row>
    <row r="174" spans="1:1" ht="13.5" customHeight="1">
      <c r="A174" s="836"/>
    </row>
    <row r="175" spans="1:1" ht="13.5" customHeight="1">
      <c r="A175" s="836"/>
    </row>
    <row r="176" spans="1:1" ht="13.5" customHeight="1">
      <c r="A176" s="836"/>
    </row>
    <row r="177" spans="1:1" ht="13.5" customHeight="1">
      <c r="A177" s="836"/>
    </row>
    <row r="178" spans="1:1" ht="13.5" customHeight="1">
      <c r="A178" s="836"/>
    </row>
    <row r="179" spans="1:1" ht="13.5" customHeight="1">
      <c r="A179" s="836"/>
    </row>
    <row r="180" spans="1:1" ht="13.5" customHeight="1">
      <c r="A180" s="836"/>
    </row>
    <row r="181" spans="1:1" ht="13.5" customHeight="1">
      <c r="A181" s="836"/>
    </row>
    <row r="182" spans="1:1" ht="13.5" customHeight="1">
      <c r="A182" s="836"/>
    </row>
    <row r="183" spans="1:1" ht="13.5" customHeight="1">
      <c r="A183" s="836"/>
    </row>
    <row r="184" spans="1:1" ht="13.5" customHeight="1">
      <c r="A184" s="836"/>
    </row>
    <row r="185" spans="1:1" ht="13.5" customHeight="1">
      <c r="A185" s="836"/>
    </row>
    <row r="186" spans="1:1" ht="13.5" customHeight="1">
      <c r="A186" s="836"/>
    </row>
    <row r="187" spans="1:1" ht="13.5" customHeight="1">
      <c r="A187" s="836"/>
    </row>
    <row r="188" spans="1:1" ht="13.5" customHeight="1">
      <c r="A188" s="836"/>
    </row>
    <row r="189" spans="1:1" ht="13.5" customHeight="1">
      <c r="A189" s="836"/>
    </row>
    <row r="190" spans="1:1" ht="13.5" customHeight="1">
      <c r="A190" s="836"/>
    </row>
    <row r="191" spans="1:1" ht="13.5" customHeight="1">
      <c r="A191" s="836"/>
    </row>
    <row r="192" spans="1:1" ht="13.5" customHeight="1">
      <c r="A192" s="836"/>
    </row>
    <row r="193" spans="1:1" ht="13.5" customHeight="1">
      <c r="A193" s="836"/>
    </row>
    <row r="194" spans="1:1" ht="13.5" customHeight="1">
      <c r="A194" s="836"/>
    </row>
    <row r="195" spans="1:1" ht="13.5" customHeight="1">
      <c r="A195" s="836"/>
    </row>
    <row r="196" spans="1:1" ht="13.5" customHeight="1">
      <c r="A196" s="836"/>
    </row>
    <row r="197" spans="1:1" ht="13.5" customHeight="1">
      <c r="A197" s="836"/>
    </row>
    <row r="198" spans="1:1" ht="13.5" customHeight="1">
      <c r="A198" s="836"/>
    </row>
    <row r="199" spans="1:1" ht="13.5" customHeight="1">
      <c r="A199" s="836"/>
    </row>
    <row r="200" spans="1:1" ht="13.5" customHeight="1">
      <c r="A200" s="836"/>
    </row>
    <row r="201" spans="1:1" ht="13.5" customHeight="1">
      <c r="A201" s="836"/>
    </row>
    <row r="202" spans="1:1" ht="13.5" customHeight="1">
      <c r="A202" s="836"/>
    </row>
    <row r="203" spans="1:1" ht="13.5" customHeight="1">
      <c r="A203" s="836"/>
    </row>
    <row r="204" spans="1:1" ht="13.5" customHeight="1">
      <c r="A204" s="836"/>
    </row>
    <row r="205" spans="1:1" ht="13.5" customHeight="1">
      <c r="A205" s="836"/>
    </row>
    <row r="206" spans="1:1" ht="13.5" customHeight="1">
      <c r="A206" s="836"/>
    </row>
    <row r="207" spans="1:1" ht="13.5" customHeight="1">
      <c r="A207" s="836"/>
    </row>
    <row r="208" spans="1:1" ht="13.5" customHeight="1">
      <c r="A208" s="836"/>
    </row>
    <row r="209" spans="1:1" ht="13.5" customHeight="1">
      <c r="A209" s="836"/>
    </row>
    <row r="210" spans="1:1" ht="13.5" customHeight="1">
      <c r="A210" s="836"/>
    </row>
    <row r="211" spans="1:1" ht="13.5" customHeight="1">
      <c r="A211" s="836"/>
    </row>
    <row r="212" spans="1:1" ht="13.5" customHeight="1">
      <c r="A212" s="836"/>
    </row>
    <row r="213" spans="1:1" ht="13.5" customHeight="1">
      <c r="A213" s="836"/>
    </row>
    <row r="214" spans="1:1" ht="13.5" customHeight="1">
      <c r="A214" s="836"/>
    </row>
    <row r="215" spans="1:1" ht="13.5" customHeight="1">
      <c r="A215" s="836"/>
    </row>
    <row r="216" spans="1:1" ht="13.5" customHeight="1">
      <c r="A216" s="836"/>
    </row>
    <row r="217" spans="1:1" ht="13.5" customHeight="1">
      <c r="A217" s="836"/>
    </row>
    <row r="218" spans="1:1" ht="13.5" customHeight="1">
      <c r="A218" s="836"/>
    </row>
    <row r="219" spans="1:1" ht="13.5" customHeight="1">
      <c r="A219" s="836"/>
    </row>
    <row r="220" spans="1:1" ht="13.5" customHeight="1">
      <c r="A220" s="836"/>
    </row>
    <row r="221" spans="1:1" ht="13.5" customHeight="1">
      <c r="A221" s="836"/>
    </row>
    <row r="222" spans="1:1" ht="13.5" customHeight="1">
      <c r="A222" s="836"/>
    </row>
    <row r="223" spans="1:1" ht="13.5" customHeight="1">
      <c r="A223" s="836"/>
    </row>
    <row r="224" spans="1:1" ht="13.5" customHeight="1">
      <c r="A224" s="836"/>
    </row>
    <row r="225" spans="1:1" ht="13.5" customHeight="1">
      <c r="A225" s="836"/>
    </row>
    <row r="226" spans="1:1" ht="13.5" customHeight="1">
      <c r="A226" s="836"/>
    </row>
    <row r="227" spans="1:1" ht="13.5" customHeight="1">
      <c r="A227" s="836"/>
    </row>
    <row r="228" spans="1:1" ht="13.5" customHeight="1">
      <c r="A228" s="836"/>
    </row>
    <row r="229" spans="1:1" ht="13.5" customHeight="1">
      <c r="A229" s="836"/>
    </row>
    <row r="230" spans="1:1" ht="13.5" customHeight="1">
      <c r="A230" s="836"/>
    </row>
    <row r="231" spans="1:1" ht="13.5" customHeight="1">
      <c r="A231" s="836"/>
    </row>
    <row r="232" spans="1:1" ht="13.5" customHeight="1">
      <c r="A232" s="836"/>
    </row>
    <row r="233" spans="1:1" ht="13.5" customHeight="1">
      <c r="A233" s="836"/>
    </row>
    <row r="234" spans="1:1" ht="13.5" customHeight="1">
      <c r="A234" s="836"/>
    </row>
    <row r="235" spans="1:1" ht="13.5" customHeight="1">
      <c r="A235" s="836"/>
    </row>
    <row r="236" spans="1:1" ht="13.5" customHeight="1">
      <c r="A236" s="836"/>
    </row>
    <row r="237" spans="1:1" ht="13.5" customHeight="1">
      <c r="A237" s="836"/>
    </row>
    <row r="238" spans="1:1" ht="13.5" customHeight="1">
      <c r="A238" s="836"/>
    </row>
    <row r="239" spans="1:1" ht="13.5" customHeight="1">
      <c r="A239" s="836"/>
    </row>
    <row r="240" spans="1:1" ht="13.5" customHeight="1">
      <c r="A240" s="836"/>
    </row>
    <row r="241" spans="1:1" ht="13.5" customHeight="1">
      <c r="A241" s="836"/>
    </row>
    <row r="242" spans="1:1" ht="13.5" customHeight="1">
      <c r="A242" s="836"/>
    </row>
    <row r="243" spans="1:1" ht="13.5" customHeight="1">
      <c r="A243" s="836"/>
    </row>
    <row r="244" spans="1:1" ht="13.5" customHeight="1">
      <c r="A244" s="836"/>
    </row>
    <row r="245" spans="1:1" ht="13.5" customHeight="1">
      <c r="A245" s="836"/>
    </row>
    <row r="246" spans="1:1" ht="13.5" customHeight="1">
      <c r="A246" s="836"/>
    </row>
    <row r="247" spans="1:1" ht="13.5" customHeight="1">
      <c r="A247" s="836"/>
    </row>
    <row r="248" spans="1:1" ht="13.5" customHeight="1">
      <c r="A248" s="836"/>
    </row>
    <row r="249" spans="1:1" ht="13.5" customHeight="1">
      <c r="A249" s="836"/>
    </row>
    <row r="250" spans="1:1" ht="13.5" customHeight="1">
      <c r="A250" s="836"/>
    </row>
    <row r="251" spans="1:1" ht="13.5" customHeight="1">
      <c r="A251" s="836"/>
    </row>
    <row r="252" spans="1:1" ht="13.5" customHeight="1">
      <c r="A252" s="836"/>
    </row>
    <row r="253" spans="1:1" ht="13.5" customHeight="1">
      <c r="A253" s="836"/>
    </row>
    <row r="254" spans="1:1" ht="13.5" customHeight="1">
      <c r="A254" s="836"/>
    </row>
    <row r="255" spans="1:1" ht="13.5" customHeight="1">
      <c r="A255" s="836"/>
    </row>
    <row r="256" spans="1:1" ht="13.5" customHeight="1">
      <c r="A256" s="836"/>
    </row>
    <row r="257" spans="1:1" ht="13.5" customHeight="1">
      <c r="A257" s="836"/>
    </row>
    <row r="258" spans="1:1" ht="13.5" customHeight="1">
      <c r="A258" s="836"/>
    </row>
    <row r="259" spans="1:1" ht="13.5" customHeight="1">
      <c r="A259" s="836"/>
    </row>
    <row r="260" spans="1:1" ht="13.5" customHeight="1">
      <c r="A260" s="836"/>
    </row>
    <row r="261" spans="1:1" ht="13.5" customHeight="1">
      <c r="A261" s="836"/>
    </row>
    <row r="262" spans="1:1" ht="13.5" customHeight="1">
      <c r="A262" s="836"/>
    </row>
    <row r="263" spans="1:1" ht="13.5" customHeight="1">
      <c r="A263" s="836"/>
    </row>
    <row r="264" spans="1:1" ht="13.5" customHeight="1">
      <c r="A264" s="836"/>
    </row>
    <row r="265" spans="1:1" ht="13.5" customHeight="1">
      <c r="A265" s="836"/>
    </row>
    <row r="266" spans="1:1" ht="13.5" customHeight="1">
      <c r="A266" s="836"/>
    </row>
    <row r="267" spans="1:1" ht="13.5" customHeight="1">
      <c r="A267" s="836"/>
    </row>
    <row r="268" spans="1:1" ht="13.5" customHeight="1">
      <c r="A268" s="836"/>
    </row>
    <row r="269" spans="1:1" ht="13.5" customHeight="1">
      <c r="A269" s="836"/>
    </row>
    <row r="270" spans="1:1" ht="13.5" customHeight="1">
      <c r="A270" s="836"/>
    </row>
    <row r="271" spans="1:1" ht="13.5" customHeight="1">
      <c r="A271" s="836"/>
    </row>
    <row r="272" spans="1:1" ht="13.5" customHeight="1">
      <c r="A272" s="836"/>
    </row>
    <row r="273" spans="1:1" ht="13.5" customHeight="1">
      <c r="A273" s="836"/>
    </row>
    <row r="274" spans="1:1" ht="13.5" customHeight="1">
      <c r="A274" s="836"/>
    </row>
    <row r="275" spans="1:1" ht="13.5" customHeight="1">
      <c r="A275" s="836"/>
    </row>
    <row r="276" spans="1:1" ht="13.5" customHeight="1">
      <c r="A276" s="836"/>
    </row>
    <row r="277" spans="1:1" ht="13.5" customHeight="1">
      <c r="A277" s="836"/>
    </row>
    <row r="278" spans="1:1" ht="13.5" customHeight="1">
      <c r="A278" s="836"/>
    </row>
    <row r="279" spans="1:1" ht="13.5" customHeight="1">
      <c r="A279" s="836"/>
    </row>
    <row r="280" spans="1:1" ht="13.5" customHeight="1">
      <c r="A280" s="836"/>
    </row>
    <row r="281" spans="1:1" ht="13.5" customHeight="1">
      <c r="A281" s="836"/>
    </row>
    <row r="282" spans="1:1" ht="13.5" customHeight="1">
      <c r="A282" s="836"/>
    </row>
    <row r="283" spans="1:1" ht="13.5" customHeight="1">
      <c r="A283" s="836"/>
    </row>
    <row r="284" spans="1:1" ht="13.5" customHeight="1">
      <c r="A284" s="836"/>
    </row>
    <row r="285" spans="1:1" ht="13.5" customHeight="1">
      <c r="A285" s="836"/>
    </row>
    <row r="286" spans="1:1" ht="13.5" customHeight="1">
      <c r="A286" s="836"/>
    </row>
    <row r="287" spans="1:1" ht="13.5" customHeight="1">
      <c r="A287" s="836"/>
    </row>
    <row r="288" spans="1:1" ht="13.5" customHeight="1">
      <c r="A288" s="836"/>
    </row>
    <row r="289" spans="1:1" ht="13.5" customHeight="1">
      <c r="A289" s="836"/>
    </row>
    <row r="290" spans="1:1" ht="13.5" customHeight="1">
      <c r="A290" s="836"/>
    </row>
    <row r="291" spans="1:1" ht="13.5" customHeight="1">
      <c r="A291" s="836"/>
    </row>
    <row r="292" spans="1:1" ht="13.5" customHeight="1">
      <c r="A292" s="836"/>
    </row>
    <row r="293" spans="1:1" ht="13.5" customHeight="1">
      <c r="A293" s="836"/>
    </row>
    <row r="294" spans="1:1" ht="13.5" customHeight="1">
      <c r="A294" s="836"/>
    </row>
    <row r="295" spans="1:1" ht="13.5" customHeight="1">
      <c r="A295" s="836"/>
    </row>
    <row r="296" spans="1:1" ht="13.5" customHeight="1">
      <c r="A296" s="836"/>
    </row>
    <row r="297" spans="1:1" ht="13.5" customHeight="1">
      <c r="A297" s="836"/>
    </row>
    <row r="298" spans="1:1" ht="13.5" customHeight="1">
      <c r="A298" s="836"/>
    </row>
    <row r="299" spans="1:1" ht="13.5" customHeight="1">
      <c r="A299" s="836"/>
    </row>
    <row r="300" spans="1:1" ht="13.5" customHeight="1">
      <c r="A300" s="836"/>
    </row>
    <row r="301" spans="1:1" ht="13.5" customHeight="1">
      <c r="A301" s="836"/>
    </row>
    <row r="302" spans="1:1" ht="13.5" customHeight="1">
      <c r="A302" s="836"/>
    </row>
    <row r="303" spans="1:1" ht="13.5" customHeight="1">
      <c r="A303" s="836"/>
    </row>
    <row r="304" spans="1:1" ht="13.5" customHeight="1">
      <c r="A304" s="836"/>
    </row>
    <row r="305" spans="1:1" ht="13.5" customHeight="1">
      <c r="A305" s="836"/>
    </row>
    <row r="306" spans="1:1" ht="13.5" customHeight="1">
      <c r="A306" s="836"/>
    </row>
    <row r="307" spans="1:1" ht="13.5" customHeight="1">
      <c r="A307" s="836"/>
    </row>
    <row r="308" spans="1:1" ht="13.5" customHeight="1">
      <c r="A308" s="836"/>
    </row>
    <row r="309" spans="1:1" ht="13.5" customHeight="1">
      <c r="A309" s="836"/>
    </row>
    <row r="310" spans="1:1" ht="13.5" customHeight="1">
      <c r="A310" s="836"/>
    </row>
    <row r="311" spans="1:1" ht="13.5" customHeight="1">
      <c r="A311" s="836"/>
    </row>
    <row r="312" spans="1:1" ht="13.5" customHeight="1">
      <c r="A312" s="836"/>
    </row>
    <row r="313" spans="1:1" ht="13.5" customHeight="1">
      <c r="A313" s="836"/>
    </row>
    <row r="314" spans="1:1" ht="13.5" customHeight="1">
      <c r="A314" s="836"/>
    </row>
    <row r="315" spans="1:1" ht="13.5" customHeight="1">
      <c r="A315" s="836"/>
    </row>
    <row r="316" spans="1:1" ht="13.5" customHeight="1">
      <c r="A316" s="836"/>
    </row>
    <row r="317" spans="1:1" ht="13.5" customHeight="1">
      <c r="A317" s="836"/>
    </row>
    <row r="318" spans="1:1" ht="13.5" customHeight="1">
      <c r="A318" s="836"/>
    </row>
    <row r="319" spans="1:1" ht="13.5" customHeight="1">
      <c r="A319" s="836"/>
    </row>
    <row r="320" spans="1:1" ht="13.5" customHeight="1">
      <c r="A320" s="836"/>
    </row>
    <row r="321" spans="1:1" ht="13.5" customHeight="1">
      <c r="A321" s="836"/>
    </row>
    <row r="322" spans="1:1" ht="13.5" customHeight="1">
      <c r="A322" s="836"/>
    </row>
    <row r="323" spans="1:1" ht="13.5" customHeight="1">
      <c r="A323" s="836"/>
    </row>
    <row r="324" spans="1:1" ht="13.5" customHeight="1">
      <c r="A324" s="836"/>
    </row>
    <row r="325" spans="1:1" ht="13.5" customHeight="1">
      <c r="A325" s="836"/>
    </row>
    <row r="326" spans="1:1" ht="13.5" customHeight="1">
      <c r="A326" s="836"/>
    </row>
    <row r="327" spans="1:1" ht="13.5" customHeight="1">
      <c r="A327" s="836"/>
    </row>
    <row r="328" spans="1:1" ht="13.5" customHeight="1">
      <c r="A328" s="836"/>
    </row>
    <row r="329" spans="1:1" ht="13.5" customHeight="1">
      <c r="A329" s="836"/>
    </row>
    <row r="330" spans="1:1" ht="13.5" customHeight="1">
      <c r="A330" s="836"/>
    </row>
    <row r="331" spans="1:1" ht="13.5" customHeight="1">
      <c r="A331" s="836"/>
    </row>
    <row r="332" spans="1:1" ht="13.5" customHeight="1">
      <c r="A332" s="836"/>
    </row>
    <row r="333" spans="1:1" ht="13.5" customHeight="1">
      <c r="A333" s="836"/>
    </row>
    <row r="334" spans="1:1" ht="13.5" customHeight="1">
      <c r="A334" s="836"/>
    </row>
    <row r="335" spans="1:1" ht="13.5" customHeight="1">
      <c r="A335" s="836"/>
    </row>
    <row r="336" spans="1:1" ht="13.5" customHeight="1">
      <c r="A336" s="836"/>
    </row>
    <row r="337" spans="1:1" ht="13.5" customHeight="1">
      <c r="A337" s="836"/>
    </row>
    <row r="338" spans="1:1" ht="13.5" customHeight="1">
      <c r="A338" s="836"/>
    </row>
    <row r="339" spans="1:1" ht="13.5" customHeight="1">
      <c r="A339" s="836"/>
    </row>
    <row r="340" spans="1:1" ht="13.5" customHeight="1">
      <c r="A340" s="836"/>
    </row>
    <row r="341" spans="1:1" ht="13.5" customHeight="1">
      <c r="A341" s="836"/>
    </row>
    <row r="342" spans="1:1" ht="13.5" customHeight="1">
      <c r="A342" s="836"/>
    </row>
    <row r="343" spans="1:1" ht="13.5" customHeight="1">
      <c r="A343" s="836"/>
    </row>
    <row r="344" spans="1:1" ht="13.5" customHeight="1">
      <c r="A344" s="836"/>
    </row>
    <row r="345" spans="1:1" ht="13.5" customHeight="1">
      <c r="A345" s="836"/>
    </row>
    <row r="346" spans="1:1" ht="13.5" customHeight="1">
      <c r="A346" s="836"/>
    </row>
    <row r="347" spans="1:1" ht="13.5" customHeight="1">
      <c r="A347" s="836"/>
    </row>
    <row r="348" spans="1:1" ht="13.5" customHeight="1">
      <c r="A348" s="836"/>
    </row>
    <row r="349" spans="1:1" ht="13.5" customHeight="1">
      <c r="A349" s="836"/>
    </row>
    <row r="350" spans="1:1" ht="13.5" customHeight="1">
      <c r="A350" s="836"/>
    </row>
    <row r="351" spans="1:1" ht="13.5" customHeight="1">
      <c r="A351" s="836"/>
    </row>
    <row r="352" spans="1:1" ht="13.5" customHeight="1">
      <c r="A352" s="836"/>
    </row>
    <row r="353" spans="1:1" ht="13.5" customHeight="1">
      <c r="A353" s="836"/>
    </row>
    <row r="354" spans="1:1" ht="13.5" customHeight="1">
      <c r="A354" s="836"/>
    </row>
    <row r="355" spans="1:1" ht="13.5" customHeight="1">
      <c r="A355" s="836"/>
    </row>
    <row r="356" spans="1:1" ht="13.5" customHeight="1">
      <c r="A356" s="836"/>
    </row>
    <row r="357" spans="1:1" ht="13.5" customHeight="1">
      <c r="A357" s="836"/>
    </row>
    <row r="358" spans="1:1" ht="13.5" customHeight="1">
      <c r="A358" s="836"/>
    </row>
    <row r="359" spans="1:1" ht="13.5" customHeight="1">
      <c r="A359" s="836"/>
    </row>
    <row r="360" spans="1:1" ht="13.5" customHeight="1">
      <c r="A360" s="836"/>
    </row>
    <row r="361" spans="1:1" ht="13.5" customHeight="1">
      <c r="A361" s="836"/>
    </row>
    <row r="362" spans="1:1" ht="13.5" customHeight="1">
      <c r="A362" s="836"/>
    </row>
    <row r="363" spans="1:1" ht="13.5" customHeight="1">
      <c r="A363" s="836"/>
    </row>
    <row r="364" spans="1:1" ht="13.5" customHeight="1">
      <c r="A364" s="836"/>
    </row>
    <row r="365" spans="1:1" ht="13.5" customHeight="1">
      <c r="A365" s="836"/>
    </row>
    <row r="366" spans="1:1" ht="13.5" customHeight="1">
      <c r="A366" s="836"/>
    </row>
    <row r="367" spans="1:1" ht="13.5" customHeight="1">
      <c r="A367" s="836"/>
    </row>
    <row r="368" spans="1:1" ht="13.5" customHeight="1">
      <c r="A368" s="836"/>
    </row>
    <row r="369" spans="1:1" ht="13.5" customHeight="1">
      <c r="A369" s="836"/>
    </row>
    <row r="370" spans="1:1" ht="13.5" customHeight="1">
      <c r="A370" s="836"/>
    </row>
    <row r="371" spans="1:1" ht="13.5" customHeight="1">
      <c r="A371" s="836"/>
    </row>
    <row r="372" spans="1:1" ht="13.5" customHeight="1">
      <c r="A372" s="836"/>
    </row>
    <row r="373" spans="1:1" ht="13.5" customHeight="1">
      <c r="A373" s="836"/>
    </row>
    <row r="374" spans="1:1" ht="13.5" customHeight="1">
      <c r="A374" s="836"/>
    </row>
    <row r="375" spans="1:1" ht="13.5" customHeight="1">
      <c r="A375" s="836"/>
    </row>
    <row r="376" spans="1:1" ht="13.5" customHeight="1">
      <c r="A376" s="836"/>
    </row>
    <row r="377" spans="1:1" ht="13.5" customHeight="1">
      <c r="A377" s="836"/>
    </row>
    <row r="378" spans="1:1" ht="13.5" customHeight="1">
      <c r="A378" s="836"/>
    </row>
    <row r="379" spans="1:1" ht="13.5" customHeight="1">
      <c r="A379" s="836"/>
    </row>
    <row r="380" spans="1:1" ht="13.5" customHeight="1">
      <c r="A380" s="836"/>
    </row>
    <row r="381" spans="1:1" ht="13.5" customHeight="1">
      <c r="A381" s="836"/>
    </row>
    <row r="382" spans="1:1" ht="13.5" customHeight="1">
      <c r="A382" s="836"/>
    </row>
    <row r="383" spans="1:1" ht="13.5" customHeight="1">
      <c r="A383" s="836"/>
    </row>
    <row r="384" spans="1:1" ht="13.5" customHeight="1">
      <c r="A384" s="836"/>
    </row>
    <row r="385" spans="1:1" ht="13.5" customHeight="1">
      <c r="A385" s="836"/>
    </row>
    <row r="386" spans="1:1" ht="13.5" customHeight="1">
      <c r="A386" s="836"/>
    </row>
    <row r="387" spans="1:1" ht="13.5" customHeight="1">
      <c r="A387" s="836"/>
    </row>
    <row r="388" spans="1:1" ht="13.5" customHeight="1">
      <c r="A388" s="836"/>
    </row>
    <row r="389" spans="1:1" ht="13.5" customHeight="1">
      <c r="A389" s="836"/>
    </row>
    <row r="390" spans="1:1" ht="13.5" customHeight="1">
      <c r="A390" s="836"/>
    </row>
    <row r="391" spans="1:1" ht="13.5" customHeight="1">
      <c r="A391" s="836"/>
    </row>
    <row r="392" spans="1:1" ht="13.5" customHeight="1">
      <c r="A392" s="836"/>
    </row>
    <row r="393" spans="1:1" ht="13.5" customHeight="1">
      <c r="A393" s="836"/>
    </row>
    <row r="394" spans="1:1" ht="13.5" customHeight="1">
      <c r="A394" s="836"/>
    </row>
    <row r="395" spans="1:1" ht="13.5" customHeight="1">
      <c r="A395" s="836"/>
    </row>
    <row r="396" spans="1:1" ht="13.5" customHeight="1">
      <c r="A396" s="836"/>
    </row>
    <row r="397" spans="1:1" ht="13.5" customHeight="1">
      <c r="A397" s="836"/>
    </row>
    <row r="398" spans="1:1" ht="13.5" customHeight="1">
      <c r="A398" s="836"/>
    </row>
    <row r="399" spans="1:1" ht="13.5" customHeight="1">
      <c r="A399" s="836"/>
    </row>
    <row r="400" spans="1:1" ht="13.5" customHeight="1">
      <c r="A400" s="836"/>
    </row>
    <row r="401" spans="1:1" ht="13.5" customHeight="1">
      <c r="A401" s="836"/>
    </row>
    <row r="402" spans="1:1" ht="13.5" customHeight="1">
      <c r="A402" s="836"/>
    </row>
    <row r="403" spans="1:1" ht="13.5" customHeight="1">
      <c r="A403" s="836"/>
    </row>
    <row r="404" spans="1:1" ht="13.5" customHeight="1">
      <c r="A404" s="836"/>
    </row>
    <row r="405" spans="1:1" ht="13.5" customHeight="1">
      <c r="A405" s="836"/>
    </row>
    <row r="406" spans="1:1" ht="13.5" customHeight="1">
      <c r="A406" s="836"/>
    </row>
    <row r="407" spans="1:1" ht="13.5" customHeight="1">
      <c r="A407" s="836"/>
    </row>
    <row r="408" spans="1:1" ht="13.5" customHeight="1">
      <c r="A408" s="836"/>
    </row>
    <row r="409" spans="1:1" ht="13.5" customHeight="1">
      <c r="A409" s="836"/>
    </row>
    <row r="410" spans="1:1" ht="13.5" customHeight="1">
      <c r="A410" s="836"/>
    </row>
    <row r="411" spans="1:1" ht="13.5" customHeight="1">
      <c r="A411" s="836"/>
    </row>
    <row r="412" spans="1:1" ht="13.5" customHeight="1">
      <c r="A412" s="836"/>
    </row>
    <row r="413" spans="1:1" ht="13.5" customHeight="1">
      <c r="A413" s="836"/>
    </row>
    <row r="414" spans="1:1" ht="13.5" customHeight="1">
      <c r="A414" s="836"/>
    </row>
    <row r="415" spans="1:1" ht="13.5" customHeight="1">
      <c r="A415" s="836"/>
    </row>
    <row r="416" spans="1:1" ht="13.5" customHeight="1">
      <c r="A416" s="836"/>
    </row>
    <row r="417" spans="1:1" ht="13.5" customHeight="1">
      <c r="A417" s="836"/>
    </row>
    <row r="418" spans="1:1" ht="13.5" customHeight="1">
      <c r="A418" s="836"/>
    </row>
    <row r="419" spans="1:1" ht="13.5" customHeight="1">
      <c r="A419" s="836"/>
    </row>
    <row r="420" spans="1:1" ht="13.5" customHeight="1">
      <c r="A420" s="836"/>
    </row>
    <row r="421" spans="1:1" ht="13.5" customHeight="1">
      <c r="A421" s="836"/>
    </row>
    <row r="422" spans="1:1" ht="13.5" customHeight="1">
      <c r="A422" s="836"/>
    </row>
    <row r="423" spans="1:1" ht="13.5" customHeight="1">
      <c r="A423" s="836"/>
    </row>
    <row r="424" spans="1:1" ht="13.5" customHeight="1">
      <c r="A424" s="836"/>
    </row>
    <row r="425" spans="1:1" ht="13.5" customHeight="1">
      <c r="A425" s="836"/>
    </row>
    <row r="426" spans="1:1" ht="13.5" customHeight="1">
      <c r="A426" s="836"/>
    </row>
    <row r="427" spans="1:1" ht="13.5" customHeight="1">
      <c r="A427" s="836"/>
    </row>
    <row r="428" spans="1:1" ht="13.5" customHeight="1">
      <c r="A428" s="836"/>
    </row>
    <row r="429" spans="1:1" ht="13.5" customHeight="1">
      <c r="A429" s="836"/>
    </row>
    <row r="430" spans="1:1" ht="13.5" customHeight="1">
      <c r="A430" s="836"/>
    </row>
    <row r="431" spans="1:1" ht="13.5" customHeight="1">
      <c r="A431" s="836"/>
    </row>
    <row r="432" spans="1:1" ht="13.5" customHeight="1">
      <c r="A432" s="836"/>
    </row>
    <row r="433" spans="1:1" ht="13.5" customHeight="1">
      <c r="A433" s="836"/>
    </row>
    <row r="434" spans="1:1" ht="13.5" customHeight="1">
      <c r="A434" s="836"/>
    </row>
    <row r="435" spans="1:1" ht="13.5" customHeight="1">
      <c r="A435" s="836"/>
    </row>
    <row r="436" spans="1:1" ht="13.5" customHeight="1">
      <c r="A436" s="836"/>
    </row>
    <row r="437" spans="1:1" ht="13.5" customHeight="1">
      <c r="A437" s="836"/>
    </row>
    <row r="438" spans="1:1" ht="13.5" customHeight="1">
      <c r="A438" s="836"/>
    </row>
    <row r="439" spans="1:1" ht="13.5" customHeight="1">
      <c r="A439" s="836"/>
    </row>
    <row r="440" spans="1:1" ht="13.5" customHeight="1">
      <c r="A440" s="836"/>
    </row>
    <row r="441" spans="1:1" ht="13.5" customHeight="1">
      <c r="A441" s="836"/>
    </row>
    <row r="442" spans="1:1" ht="13.5" customHeight="1">
      <c r="A442" s="836"/>
    </row>
    <row r="443" spans="1:1" ht="13.5" customHeight="1">
      <c r="A443" s="836"/>
    </row>
    <row r="444" spans="1:1" ht="13.5" customHeight="1">
      <c r="A444" s="836"/>
    </row>
    <row r="445" spans="1:1" ht="13.5" customHeight="1">
      <c r="A445" s="836"/>
    </row>
    <row r="446" spans="1:1" ht="13.5" customHeight="1">
      <c r="A446" s="836"/>
    </row>
    <row r="447" spans="1:1" ht="13.5" customHeight="1">
      <c r="A447" s="836"/>
    </row>
    <row r="448" spans="1:1" ht="13.5" customHeight="1">
      <c r="A448" s="836"/>
    </row>
    <row r="449" spans="1:1" ht="13.5" customHeight="1">
      <c r="A449" s="836"/>
    </row>
    <row r="450" spans="1:1" ht="13.5" customHeight="1">
      <c r="A450" s="836"/>
    </row>
    <row r="451" spans="1:1" ht="13.5" customHeight="1">
      <c r="A451" s="836"/>
    </row>
    <row r="452" spans="1:1" ht="13.5" customHeight="1">
      <c r="A452" s="836"/>
    </row>
    <row r="453" spans="1:1" ht="13.5" customHeight="1">
      <c r="A453" s="836"/>
    </row>
    <row r="454" spans="1:1" ht="13.5" customHeight="1">
      <c r="A454" s="836"/>
    </row>
    <row r="455" spans="1:1" ht="13.5" customHeight="1">
      <c r="A455" s="836"/>
    </row>
    <row r="456" spans="1:1" ht="13.5" customHeight="1">
      <c r="A456" s="836"/>
    </row>
    <row r="457" spans="1:1" ht="13.5" customHeight="1">
      <c r="A457" s="836"/>
    </row>
    <row r="458" spans="1:1" ht="13.5" customHeight="1">
      <c r="A458" s="836"/>
    </row>
    <row r="459" spans="1:1" ht="13.5" customHeight="1">
      <c r="A459" s="836"/>
    </row>
    <row r="460" spans="1:1" ht="13.5" customHeight="1">
      <c r="A460" s="836"/>
    </row>
    <row r="461" spans="1:1" ht="13.5" customHeight="1">
      <c r="A461" s="836"/>
    </row>
    <row r="462" spans="1:1" ht="13.5" customHeight="1">
      <c r="A462" s="836"/>
    </row>
    <row r="463" spans="1:1" ht="13.5" customHeight="1">
      <c r="A463" s="836"/>
    </row>
    <row r="464" spans="1:1" ht="13.5" customHeight="1">
      <c r="A464" s="836"/>
    </row>
    <row r="465" spans="1:1" ht="13.5" customHeight="1">
      <c r="A465" s="836"/>
    </row>
    <row r="466" spans="1:1" ht="13.5" customHeight="1">
      <c r="A466" s="836"/>
    </row>
    <row r="467" spans="1:1" ht="13.5" customHeight="1">
      <c r="A467" s="836"/>
    </row>
    <row r="468" spans="1:1" ht="13.5" customHeight="1">
      <c r="A468" s="836"/>
    </row>
    <row r="469" spans="1:1" ht="13.5" customHeight="1">
      <c r="A469" s="836"/>
    </row>
    <row r="470" spans="1:1" ht="13.5" customHeight="1">
      <c r="A470" s="836"/>
    </row>
    <row r="471" spans="1:1" ht="13.5" customHeight="1">
      <c r="A471" s="836"/>
    </row>
    <row r="472" spans="1:1" ht="13.5" customHeight="1">
      <c r="A472" s="836"/>
    </row>
    <row r="473" spans="1:1" ht="13.5" customHeight="1">
      <c r="A473" s="836"/>
    </row>
    <row r="474" spans="1:1" ht="13.5" customHeight="1">
      <c r="A474" s="836"/>
    </row>
    <row r="475" spans="1:1" ht="13.5" customHeight="1">
      <c r="A475" s="836"/>
    </row>
    <row r="476" spans="1:1" ht="13.5" customHeight="1">
      <c r="A476" s="836"/>
    </row>
    <row r="477" spans="1:1" ht="13.5" customHeight="1">
      <c r="A477" s="836"/>
    </row>
    <row r="478" spans="1:1" ht="13.5" customHeight="1">
      <c r="A478" s="836"/>
    </row>
    <row r="479" spans="1:1" ht="13.5" customHeight="1">
      <c r="A479" s="836"/>
    </row>
    <row r="480" spans="1:1" ht="13.5" customHeight="1">
      <c r="A480" s="836"/>
    </row>
    <row r="481" spans="1:1" ht="13.5" customHeight="1">
      <c r="A481" s="836"/>
    </row>
    <row r="482" spans="1:1" ht="13.5" customHeight="1">
      <c r="A482" s="836"/>
    </row>
    <row r="483" spans="1:1" ht="13.5" customHeight="1">
      <c r="A483" s="836"/>
    </row>
    <row r="484" spans="1:1" ht="13.5" customHeight="1">
      <c r="A484" s="836"/>
    </row>
    <row r="485" spans="1:1" ht="13.5" customHeight="1">
      <c r="A485" s="836"/>
    </row>
    <row r="486" spans="1:1" ht="13.5" customHeight="1">
      <c r="A486" s="836"/>
    </row>
    <row r="487" spans="1:1" ht="13.5" customHeight="1">
      <c r="A487" s="836"/>
    </row>
    <row r="488" spans="1:1" ht="13.5" customHeight="1">
      <c r="A488" s="836"/>
    </row>
    <row r="489" spans="1:1" ht="13.5" customHeight="1">
      <c r="A489" s="836"/>
    </row>
    <row r="490" spans="1:1" ht="13.5" customHeight="1">
      <c r="A490" s="836"/>
    </row>
    <row r="491" spans="1:1" ht="13.5" customHeight="1">
      <c r="A491" s="836"/>
    </row>
    <row r="492" spans="1:1" ht="13.5" customHeight="1">
      <c r="A492" s="836"/>
    </row>
    <row r="493" spans="1:1" ht="13.5" customHeight="1">
      <c r="A493" s="836"/>
    </row>
    <row r="494" spans="1:1" ht="13.5" customHeight="1">
      <c r="A494" s="836"/>
    </row>
    <row r="495" spans="1:1" ht="13.5" customHeight="1">
      <c r="A495" s="836"/>
    </row>
    <row r="496" spans="1:1" ht="13.5" customHeight="1">
      <c r="A496" s="836"/>
    </row>
    <row r="497" spans="1:1" ht="13.5" customHeight="1">
      <c r="A497" s="836"/>
    </row>
    <row r="498" spans="1:1" ht="13.5" customHeight="1">
      <c r="A498" s="836"/>
    </row>
    <row r="499" spans="1:1" ht="13.5" customHeight="1">
      <c r="A499" s="836"/>
    </row>
    <row r="500" spans="1:1" ht="13.5" customHeight="1">
      <c r="A500" s="836"/>
    </row>
    <row r="501" spans="1:1" ht="13.5" customHeight="1">
      <c r="A501" s="836"/>
    </row>
    <row r="502" spans="1:1" ht="13.5" customHeight="1">
      <c r="A502" s="836"/>
    </row>
    <row r="503" spans="1:1" ht="13.5" customHeight="1">
      <c r="A503" s="836"/>
    </row>
    <row r="504" spans="1:1" ht="13.5" customHeight="1">
      <c r="A504" s="836"/>
    </row>
    <row r="505" spans="1:1" ht="13.5" customHeight="1">
      <c r="A505" s="836"/>
    </row>
    <row r="506" spans="1:1" ht="13.5" customHeight="1">
      <c r="A506" s="836"/>
    </row>
    <row r="507" spans="1:1" ht="13.5" customHeight="1">
      <c r="A507" s="836"/>
    </row>
    <row r="508" spans="1:1" ht="13.5" customHeight="1">
      <c r="A508" s="836"/>
    </row>
    <row r="509" spans="1:1" ht="13.5" customHeight="1">
      <c r="A509" s="836"/>
    </row>
    <row r="510" spans="1:1" ht="13.5" customHeight="1">
      <c r="A510" s="836"/>
    </row>
    <row r="511" spans="1:1" ht="13.5" customHeight="1">
      <c r="A511" s="836"/>
    </row>
    <row r="512" spans="1:1" ht="13.5" customHeight="1">
      <c r="A512" s="836"/>
    </row>
    <row r="513" spans="1:1" ht="13.5" customHeight="1">
      <c r="A513" s="836"/>
    </row>
    <row r="514" spans="1:1" ht="13.5" customHeight="1">
      <c r="A514" s="836"/>
    </row>
    <row r="515" spans="1:1" ht="13.5" customHeight="1">
      <c r="A515" s="836"/>
    </row>
    <row r="516" spans="1:1" ht="13.5" customHeight="1">
      <c r="A516" s="836"/>
    </row>
    <row r="517" spans="1:1" ht="13.5" customHeight="1">
      <c r="A517" s="836"/>
    </row>
    <row r="518" spans="1:1" ht="13.5" customHeight="1">
      <c r="A518" s="836"/>
    </row>
    <row r="519" spans="1:1" ht="13.5" customHeight="1">
      <c r="A519" s="836"/>
    </row>
    <row r="520" spans="1:1" ht="13.5" customHeight="1">
      <c r="A520" s="836"/>
    </row>
    <row r="521" spans="1:1" ht="13.5" customHeight="1">
      <c r="A521" s="836"/>
    </row>
    <row r="522" spans="1:1" ht="13.5" customHeight="1">
      <c r="A522" s="836"/>
    </row>
    <row r="523" spans="1:1" ht="13.5" customHeight="1">
      <c r="A523" s="836"/>
    </row>
    <row r="524" spans="1:1" ht="13.5" customHeight="1">
      <c r="A524" s="836"/>
    </row>
    <row r="525" spans="1:1" ht="13.5" customHeight="1">
      <c r="A525" s="836"/>
    </row>
    <row r="526" spans="1:1" ht="13.5" customHeight="1">
      <c r="A526" s="836"/>
    </row>
    <row r="527" spans="1:1" ht="13.5" customHeight="1">
      <c r="A527" s="836"/>
    </row>
    <row r="528" spans="1:1" ht="13.5" customHeight="1">
      <c r="A528" s="836"/>
    </row>
    <row r="529" spans="1:1" ht="13.5" customHeight="1">
      <c r="A529" s="836"/>
    </row>
    <row r="530" spans="1:1" ht="13.5" customHeight="1">
      <c r="A530" s="836"/>
    </row>
    <row r="531" spans="1:1" ht="13.5" customHeight="1">
      <c r="A531" s="836"/>
    </row>
    <row r="532" spans="1:1" ht="13.5" customHeight="1">
      <c r="A532" s="836"/>
    </row>
    <row r="533" spans="1:1" ht="13.5" customHeight="1">
      <c r="A533" s="836"/>
    </row>
    <row r="534" spans="1:1" ht="13.5" customHeight="1">
      <c r="A534" s="836"/>
    </row>
    <row r="535" spans="1:1" ht="13.5" customHeight="1">
      <c r="A535" s="836"/>
    </row>
    <row r="536" spans="1:1" ht="13.5" customHeight="1">
      <c r="A536" s="836"/>
    </row>
    <row r="537" spans="1:1" ht="13.5" customHeight="1">
      <c r="A537" s="836"/>
    </row>
    <row r="538" spans="1:1" ht="13.5" customHeight="1">
      <c r="A538" s="836"/>
    </row>
    <row r="539" spans="1:1" ht="13.5" customHeight="1">
      <c r="A539" s="836"/>
    </row>
    <row r="540" spans="1:1" ht="13.5" customHeight="1">
      <c r="A540" s="836"/>
    </row>
    <row r="541" spans="1:1" ht="13.5" customHeight="1">
      <c r="A541" s="836"/>
    </row>
    <row r="542" spans="1:1" ht="13.5" customHeight="1">
      <c r="A542" s="836"/>
    </row>
    <row r="543" spans="1:1" ht="13.5" customHeight="1">
      <c r="A543" s="836"/>
    </row>
    <row r="544" spans="1:1" ht="13.5" customHeight="1">
      <c r="A544" s="836"/>
    </row>
    <row r="545" spans="1:1" ht="13.5" customHeight="1">
      <c r="A545" s="836"/>
    </row>
    <row r="546" spans="1:1" ht="13.5" customHeight="1">
      <c r="A546" s="836"/>
    </row>
    <row r="547" spans="1:1" ht="13.5" customHeight="1">
      <c r="A547" s="836"/>
    </row>
    <row r="548" spans="1:1" ht="13.5" customHeight="1">
      <c r="A548" s="836"/>
    </row>
    <row r="549" spans="1:1" ht="13.5" customHeight="1">
      <c r="A549" s="836"/>
    </row>
    <row r="550" spans="1:1" ht="13.5" customHeight="1">
      <c r="A550" s="836"/>
    </row>
    <row r="551" spans="1:1" ht="13.5" customHeight="1">
      <c r="A551" s="836"/>
    </row>
    <row r="552" spans="1:1" ht="13.5" customHeight="1">
      <c r="A552" s="836"/>
    </row>
    <row r="553" spans="1:1" ht="13.5" customHeight="1">
      <c r="A553" s="836"/>
    </row>
    <row r="554" spans="1:1" ht="13.5" customHeight="1">
      <c r="A554" s="836"/>
    </row>
    <row r="555" spans="1:1" ht="13.5" customHeight="1">
      <c r="A555" s="836"/>
    </row>
    <row r="556" spans="1:1" ht="13.5" customHeight="1">
      <c r="A556" s="836"/>
    </row>
    <row r="557" spans="1:1" ht="13.5" customHeight="1">
      <c r="A557" s="836"/>
    </row>
    <row r="558" spans="1:1" ht="13.5" customHeight="1">
      <c r="A558" s="836"/>
    </row>
    <row r="559" spans="1:1" ht="13.5" customHeight="1">
      <c r="A559" s="836"/>
    </row>
    <row r="560" spans="1:1" ht="13.5" customHeight="1">
      <c r="A560" s="836"/>
    </row>
    <row r="561" spans="1:1" ht="13.5" customHeight="1">
      <c r="A561" s="836"/>
    </row>
    <row r="562" spans="1:1" ht="13.5" customHeight="1">
      <c r="A562" s="836"/>
    </row>
    <row r="563" spans="1:1" ht="13.5" customHeight="1">
      <c r="A563" s="836"/>
    </row>
    <row r="564" spans="1:1" ht="13.5" customHeight="1">
      <c r="A564" s="836"/>
    </row>
    <row r="565" spans="1:1" ht="13.5" customHeight="1">
      <c r="A565" s="836"/>
    </row>
    <row r="566" spans="1:1" ht="13.5" customHeight="1">
      <c r="A566" s="836"/>
    </row>
    <row r="567" spans="1:1" ht="13.5" customHeight="1">
      <c r="A567" s="836"/>
    </row>
    <row r="568" spans="1:1" ht="13.5" customHeight="1">
      <c r="A568" s="836"/>
    </row>
    <row r="569" spans="1:1" ht="13.5" customHeight="1">
      <c r="A569" s="836"/>
    </row>
    <row r="570" spans="1:1" ht="13.5" customHeight="1">
      <c r="A570" s="836"/>
    </row>
    <row r="571" spans="1:1" ht="13.5" customHeight="1">
      <c r="A571" s="836"/>
    </row>
    <row r="572" spans="1:1" ht="13.5" customHeight="1">
      <c r="A572" s="836"/>
    </row>
    <row r="573" spans="1:1" ht="13.5" customHeight="1">
      <c r="A573" s="836"/>
    </row>
    <row r="574" spans="1:1" ht="13.5" customHeight="1">
      <c r="A574" s="836"/>
    </row>
    <row r="575" spans="1:1" ht="13.5" customHeight="1">
      <c r="A575" s="836"/>
    </row>
    <row r="576" spans="1:1" ht="13.5" customHeight="1">
      <c r="A576" s="836"/>
    </row>
    <row r="577" spans="1:1" ht="13.5" customHeight="1">
      <c r="A577" s="836"/>
    </row>
    <row r="578" spans="1:1" ht="13.5" customHeight="1">
      <c r="A578" s="836"/>
    </row>
    <row r="579" spans="1:1" ht="13.5" customHeight="1">
      <c r="A579" s="836"/>
    </row>
    <row r="580" spans="1:1" ht="13.5" customHeight="1">
      <c r="A580" s="836"/>
    </row>
    <row r="581" spans="1:1" ht="13.5" customHeight="1">
      <c r="A581" s="836"/>
    </row>
    <row r="582" spans="1:1" ht="13.5" customHeight="1">
      <c r="A582" s="836"/>
    </row>
    <row r="583" spans="1:1" ht="13.5" customHeight="1">
      <c r="A583" s="836"/>
    </row>
    <row r="584" spans="1:1" ht="13.5" customHeight="1">
      <c r="A584" s="836"/>
    </row>
    <row r="585" spans="1:1" ht="13.5" customHeight="1">
      <c r="A585" s="836"/>
    </row>
    <row r="586" spans="1:1" ht="13.5" customHeight="1">
      <c r="A586" s="836"/>
    </row>
    <row r="587" spans="1:1" ht="13.5" customHeight="1">
      <c r="A587" s="836"/>
    </row>
    <row r="588" spans="1:1" ht="13.5" customHeight="1">
      <c r="A588" s="836"/>
    </row>
    <row r="589" spans="1:1" ht="13.5" customHeight="1">
      <c r="A589" s="836"/>
    </row>
    <row r="590" spans="1:1" ht="13.5" customHeight="1">
      <c r="A590" s="836"/>
    </row>
    <row r="591" spans="1:1" ht="13.5" customHeight="1">
      <c r="A591" s="836"/>
    </row>
    <row r="592" spans="1:1" ht="13.5" customHeight="1">
      <c r="A592" s="836"/>
    </row>
    <row r="593" spans="1:1" ht="13.5" customHeight="1">
      <c r="A593" s="836"/>
    </row>
    <row r="594" spans="1:1" ht="13.5" customHeight="1">
      <c r="A594" s="836"/>
    </row>
    <row r="595" spans="1:1" ht="13.5" customHeight="1">
      <c r="A595" s="836"/>
    </row>
    <row r="596" spans="1:1" ht="13.5" customHeight="1">
      <c r="A596" s="836"/>
    </row>
    <row r="597" spans="1:1" ht="13.5" customHeight="1">
      <c r="A597" s="836"/>
    </row>
    <row r="598" spans="1:1" ht="13.5" customHeight="1">
      <c r="A598" s="836"/>
    </row>
    <row r="599" spans="1:1" ht="13.5" customHeight="1">
      <c r="A599" s="836"/>
    </row>
    <row r="600" spans="1:1" ht="13.5" customHeight="1">
      <c r="A600" s="836"/>
    </row>
    <row r="601" spans="1:1" ht="13.5" customHeight="1">
      <c r="A601" s="836"/>
    </row>
    <row r="602" spans="1:1" ht="13.5" customHeight="1">
      <c r="A602" s="836"/>
    </row>
    <row r="603" spans="1:1" ht="13.5" customHeight="1">
      <c r="A603" s="836"/>
    </row>
    <row r="604" spans="1:1" ht="13.5" customHeight="1">
      <c r="A604" s="836"/>
    </row>
    <row r="605" spans="1:1" ht="13.5" customHeight="1">
      <c r="A605" s="836"/>
    </row>
    <row r="606" spans="1:1" ht="13.5" customHeight="1">
      <c r="A606" s="836"/>
    </row>
    <row r="607" spans="1:1" ht="13.5" customHeight="1">
      <c r="A607" s="836"/>
    </row>
    <row r="608" spans="1:1" ht="13.5" customHeight="1">
      <c r="A608" s="836"/>
    </row>
    <row r="609" spans="1:1" ht="13.5" customHeight="1">
      <c r="A609" s="836"/>
    </row>
    <row r="610" spans="1:1" ht="13.5" customHeight="1">
      <c r="A610" s="836"/>
    </row>
    <row r="611" spans="1:1" ht="13.5" customHeight="1">
      <c r="A611" s="836"/>
    </row>
    <row r="612" spans="1:1" ht="13.5" customHeight="1">
      <c r="A612" s="836"/>
    </row>
    <row r="613" spans="1:1" ht="13.5" customHeight="1">
      <c r="A613" s="836"/>
    </row>
    <row r="614" spans="1:1" ht="13.5" customHeight="1">
      <c r="A614" s="836"/>
    </row>
    <row r="615" spans="1:1" ht="13.5" customHeight="1">
      <c r="A615" s="836"/>
    </row>
    <row r="616" spans="1:1" ht="13.5" customHeight="1">
      <c r="A616" s="836"/>
    </row>
    <row r="617" spans="1:1" ht="13.5" customHeight="1">
      <c r="A617" s="836"/>
    </row>
    <row r="618" spans="1:1" ht="13.5" customHeight="1">
      <c r="A618" s="836"/>
    </row>
    <row r="619" spans="1:1" ht="13.5" customHeight="1">
      <c r="A619" s="836"/>
    </row>
    <row r="620" spans="1:1" ht="13.5" customHeight="1">
      <c r="A620" s="836"/>
    </row>
    <row r="621" spans="1:1" ht="13.5" customHeight="1">
      <c r="A621" s="836"/>
    </row>
    <row r="622" spans="1:1" ht="13.5" customHeight="1">
      <c r="A622" s="836"/>
    </row>
    <row r="623" spans="1:1" ht="13.5" customHeight="1">
      <c r="A623" s="836"/>
    </row>
    <row r="624" spans="1:1" ht="13.5" customHeight="1">
      <c r="A624" s="836"/>
    </row>
    <row r="625" spans="1:1" ht="13.5" customHeight="1">
      <c r="A625" s="836"/>
    </row>
    <row r="626" spans="1:1" ht="13.5" customHeight="1">
      <c r="A626" s="836"/>
    </row>
    <row r="627" spans="1:1" ht="13.5" customHeight="1">
      <c r="A627" s="836"/>
    </row>
    <row r="628" spans="1:1" ht="13.5" customHeight="1">
      <c r="A628" s="836"/>
    </row>
    <row r="629" spans="1:1" ht="13.5" customHeight="1">
      <c r="A629" s="836"/>
    </row>
    <row r="630" spans="1:1" ht="13.5" customHeight="1">
      <c r="A630" s="836"/>
    </row>
    <row r="631" spans="1:1" ht="13.5" customHeight="1">
      <c r="A631" s="836"/>
    </row>
    <row r="632" spans="1:1" ht="13.5" customHeight="1">
      <c r="A632" s="836"/>
    </row>
    <row r="633" spans="1:1" ht="13.5" customHeight="1">
      <c r="A633" s="836"/>
    </row>
    <row r="634" spans="1:1" ht="13.5" customHeight="1">
      <c r="A634" s="836"/>
    </row>
    <row r="635" spans="1:1" ht="13.5" customHeight="1">
      <c r="A635" s="836"/>
    </row>
    <row r="636" spans="1:1" ht="13.5" customHeight="1">
      <c r="A636" s="836"/>
    </row>
    <row r="637" spans="1:1" ht="13.5" customHeight="1">
      <c r="A637" s="836"/>
    </row>
    <row r="638" spans="1:1" ht="13.5" customHeight="1">
      <c r="A638" s="836"/>
    </row>
    <row r="639" spans="1:1" ht="13.5" customHeight="1">
      <c r="A639" s="836"/>
    </row>
    <row r="640" spans="1:1" ht="13.5" customHeight="1">
      <c r="A640" s="836"/>
    </row>
    <row r="641" spans="1:1" ht="13.5" customHeight="1">
      <c r="A641" s="836"/>
    </row>
    <row r="642" spans="1:1" ht="13.5" customHeight="1">
      <c r="A642" s="836"/>
    </row>
    <row r="643" spans="1:1" ht="13.5" customHeight="1">
      <c r="A643" s="836"/>
    </row>
    <row r="644" spans="1:1" ht="13.5" customHeight="1">
      <c r="A644" s="836"/>
    </row>
    <row r="645" spans="1:1" ht="13.5" customHeight="1">
      <c r="A645" s="836"/>
    </row>
    <row r="646" spans="1:1" ht="13.5" customHeight="1">
      <c r="A646" s="836"/>
    </row>
    <row r="647" spans="1:1" ht="13.5" customHeight="1">
      <c r="A647" s="836"/>
    </row>
    <row r="648" spans="1:1" ht="13.5" customHeight="1">
      <c r="A648" s="836"/>
    </row>
    <row r="649" spans="1:1" ht="13.5" customHeight="1">
      <c r="A649" s="836"/>
    </row>
    <row r="650" spans="1:1" ht="13.5" customHeight="1">
      <c r="A650" s="836"/>
    </row>
    <row r="651" spans="1:1" ht="13.5" customHeight="1">
      <c r="A651" s="836"/>
    </row>
    <row r="652" spans="1:1" ht="13.5" customHeight="1">
      <c r="A652" s="836"/>
    </row>
    <row r="653" spans="1:1" ht="13.5" customHeight="1">
      <c r="A653" s="836"/>
    </row>
    <row r="654" spans="1:1" ht="13.5" customHeight="1">
      <c r="A654" s="836"/>
    </row>
    <row r="655" spans="1:1" ht="13.5" customHeight="1">
      <c r="A655" s="836"/>
    </row>
    <row r="656" spans="1:1" ht="13.5" customHeight="1">
      <c r="A656" s="836"/>
    </row>
    <row r="657" spans="1:1" ht="13.5" customHeight="1">
      <c r="A657" s="836"/>
    </row>
    <row r="658" spans="1:1" ht="13.5" customHeight="1">
      <c r="A658" s="836"/>
    </row>
    <row r="659" spans="1:1" ht="13.5" customHeight="1">
      <c r="A659" s="836"/>
    </row>
    <row r="660" spans="1:1" ht="13.5" customHeight="1">
      <c r="A660" s="836"/>
    </row>
    <row r="661" spans="1:1" ht="13.5" customHeight="1">
      <c r="A661" s="836"/>
    </row>
    <row r="662" spans="1:1" ht="13.5" customHeight="1">
      <c r="A662" s="836"/>
    </row>
    <row r="663" spans="1:1" ht="13.5" customHeight="1">
      <c r="A663" s="836"/>
    </row>
    <row r="664" spans="1:1" ht="13.5" customHeight="1">
      <c r="A664" s="836"/>
    </row>
    <row r="665" spans="1:1" ht="13.5" customHeight="1">
      <c r="A665" s="836"/>
    </row>
    <row r="666" spans="1:1" ht="13.5" customHeight="1">
      <c r="A666" s="836"/>
    </row>
    <row r="667" spans="1:1" ht="13.5" customHeight="1">
      <c r="A667" s="836"/>
    </row>
    <row r="668" spans="1:1" ht="13.5" customHeight="1">
      <c r="A668" s="836"/>
    </row>
    <row r="669" spans="1:1" ht="13.5" customHeight="1">
      <c r="A669" s="836"/>
    </row>
    <row r="670" spans="1:1" ht="13.5" customHeight="1">
      <c r="A670" s="836"/>
    </row>
    <row r="671" spans="1:1" ht="13.5" customHeight="1">
      <c r="A671" s="836"/>
    </row>
    <row r="672" spans="1:1" ht="13.5" customHeight="1">
      <c r="A672" s="836"/>
    </row>
    <row r="673" spans="1:1" ht="13.5" customHeight="1">
      <c r="A673" s="836"/>
    </row>
    <row r="674" spans="1:1" ht="13.5" customHeight="1">
      <c r="A674" s="836"/>
    </row>
    <row r="675" spans="1:1" ht="13.5" customHeight="1">
      <c r="A675" s="836"/>
    </row>
    <row r="676" spans="1:1" ht="13.5" customHeight="1">
      <c r="A676" s="836"/>
    </row>
    <row r="677" spans="1:1" ht="13.5" customHeight="1">
      <c r="A677" s="836"/>
    </row>
    <row r="678" spans="1:1" ht="13.5" customHeight="1">
      <c r="A678" s="836"/>
    </row>
    <row r="679" spans="1:1" ht="13.5" customHeight="1">
      <c r="A679" s="836"/>
    </row>
    <row r="680" spans="1:1" ht="13.5" customHeight="1">
      <c r="A680" s="836"/>
    </row>
    <row r="681" spans="1:1" ht="13.5" customHeight="1">
      <c r="A681" s="836"/>
    </row>
    <row r="682" spans="1:1" ht="13.5" customHeight="1">
      <c r="A682" s="836"/>
    </row>
    <row r="683" spans="1:1" ht="13.5" customHeight="1">
      <c r="A683" s="836"/>
    </row>
    <row r="684" spans="1:1" ht="13.5" customHeight="1">
      <c r="A684" s="836"/>
    </row>
    <row r="685" spans="1:1" ht="13.5" customHeight="1">
      <c r="A685" s="836"/>
    </row>
    <row r="686" spans="1:1" ht="13.5" customHeight="1">
      <c r="A686" s="836"/>
    </row>
    <row r="687" spans="1:1" ht="13.5" customHeight="1">
      <c r="A687" s="836"/>
    </row>
    <row r="688" spans="1:1" ht="13.5" customHeight="1">
      <c r="A688" s="836"/>
    </row>
    <row r="689" spans="1:1" ht="13.5" customHeight="1">
      <c r="A689" s="836"/>
    </row>
    <row r="690" spans="1:1" ht="13.5" customHeight="1">
      <c r="A690" s="836"/>
    </row>
    <row r="691" spans="1:1" ht="13.5" customHeight="1">
      <c r="A691" s="836"/>
    </row>
    <row r="692" spans="1:1" ht="13.5" customHeight="1">
      <c r="A692" s="836"/>
    </row>
    <row r="693" spans="1:1" ht="13.5" customHeight="1">
      <c r="A693" s="836"/>
    </row>
    <row r="694" spans="1:1" ht="13.5" customHeight="1">
      <c r="A694" s="836"/>
    </row>
    <row r="695" spans="1:1" ht="13.5" customHeight="1">
      <c r="A695" s="836"/>
    </row>
    <row r="696" spans="1:1" ht="13.5" customHeight="1">
      <c r="A696" s="836"/>
    </row>
    <row r="697" spans="1:1" ht="13.5" customHeight="1">
      <c r="A697" s="836"/>
    </row>
    <row r="698" spans="1:1" ht="13.5" customHeight="1">
      <c r="A698" s="836"/>
    </row>
    <row r="699" spans="1:1" ht="13.5" customHeight="1">
      <c r="A699" s="836"/>
    </row>
    <row r="700" spans="1:1" ht="13.5" customHeight="1">
      <c r="A700" s="836"/>
    </row>
    <row r="701" spans="1:1" ht="13.5" customHeight="1">
      <c r="A701" s="836"/>
    </row>
    <row r="702" spans="1:1" ht="13.5" customHeight="1">
      <c r="A702" s="836"/>
    </row>
    <row r="703" spans="1:1" ht="13.5" customHeight="1">
      <c r="A703" s="836"/>
    </row>
    <row r="704" spans="1:1" ht="13.5" customHeight="1">
      <c r="A704" s="836"/>
    </row>
    <row r="705" spans="1:1" ht="13.5" customHeight="1">
      <c r="A705" s="836"/>
    </row>
    <row r="706" spans="1:1" ht="13.5" customHeight="1">
      <c r="A706" s="836"/>
    </row>
    <row r="707" spans="1:1" ht="13.5" customHeight="1">
      <c r="A707" s="836"/>
    </row>
    <row r="708" spans="1:1" ht="13.5" customHeight="1">
      <c r="A708" s="836"/>
    </row>
    <row r="709" spans="1:1" ht="13.5" customHeight="1">
      <c r="A709" s="836"/>
    </row>
    <row r="710" spans="1:1" ht="13.5" customHeight="1">
      <c r="A710" s="836"/>
    </row>
    <row r="711" spans="1:1" ht="13.5" customHeight="1">
      <c r="A711" s="836"/>
    </row>
    <row r="712" spans="1:1" ht="13.5" customHeight="1">
      <c r="A712" s="836"/>
    </row>
    <row r="713" spans="1:1" ht="13.5" customHeight="1">
      <c r="A713" s="836"/>
    </row>
    <row r="714" spans="1:1" ht="13.5" customHeight="1">
      <c r="A714" s="836"/>
    </row>
    <row r="715" spans="1:1" ht="13.5" customHeight="1">
      <c r="A715" s="836"/>
    </row>
    <row r="716" spans="1:1" ht="13.5" customHeight="1">
      <c r="A716" s="836"/>
    </row>
    <row r="717" spans="1:1" ht="13.5" customHeight="1">
      <c r="A717" s="836"/>
    </row>
    <row r="718" spans="1:1" ht="13.5" customHeight="1">
      <c r="A718" s="836"/>
    </row>
    <row r="719" spans="1:1" ht="13.5" customHeight="1">
      <c r="A719" s="836"/>
    </row>
    <row r="720" spans="1:1" ht="13.5" customHeight="1">
      <c r="A720" s="836"/>
    </row>
    <row r="721" spans="1:1" ht="13.5" customHeight="1">
      <c r="A721" s="836"/>
    </row>
    <row r="722" spans="1:1" ht="13.5" customHeight="1">
      <c r="A722" s="836"/>
    </row>
    <row r="723" spans="1:1" ht="13.5" customHeight="1">
      <c r="A723" s="836"/>
    </row>
    <row r="724" spans="1:1" ht="13.5" customHeight="1">
      <c r="A724" s="836"/>
    </row>
    <row r="725" spans="1:1" ht="13.5" customHeight="1">
      <c r="A725" s="836"/>
    </row>
    <row r="726" spans="1:1" ht="13.5" customHeight="1">
      <c r="A726" s="836"/>
    </row>
    <row r="727" spans="1:1" ht="13.5" customHeight="1">
      <c r="A727" s="836"/>
    </row>
    <row r="728" spans="1:1" ht="13.5" customHeight="1">
      <c r="A728" s="836"/>
    </row>
    <row r="729" spans="1:1" ht="13.5" customHeight="1">
      <c r="A729" s="836"/>
    </row>
    <row r="730" spans="1:1" ht="13.5" customHeight="1">
      <c r="A730" s="836"/>
    </row>
    <row r="731" spans="1:1" ht="13.5" customHeight="1">
      <c r="A731" s="836"/>
    </row>
    <row r="732" spans="1:1" ht="13.5" customHeight="1">
      <c r="A732" s="836"/>
    </row>
    <row r="733" spans="1:1" ht="13.5" customHeight="1">
      <c r="A733" s="836"/>
    </row>
    <row r="734" spans="1:1" ht="13.5" customHeight="1">
      <c r="A734" s="836"/>
    </row>
    <row r="735" spans="1:1" ht="13.5" customHeight="1">
      <c r="A735" s="836"/>
    </row>
    <row r="736" spans="1:1" ht="13.5" customHeight="1">
      <c r="A736" s="836"/>
    </row>
    <row r="737" spans="1:1" ht="13.5" customHeight="1">
      <c r="A737" s="836"/>
    </row>
    <row r="738" spans="1:1" ht="13.5" customHeight="1">
      <c r="A738" s="836"/>
    </row>
    <row r="739" spans="1:1" ht="13.5" customHeight="1">
      <c r="A739" s="836"/>
    </row>
    <row r="740" spans="1:1" ht="13.5" customHeight="1">
      <c r="A740" s="836"/>
    </row>
    <row r="741" spans="1:1" ht="13.5" customHeight="1">
      <c r="A741" s="836"/>
    </row>
    <row r="742" spans="1:1" ht="13.5" customHeight="1">
      <c r="A742" s="836"/>
    </row>
    <row r="743" spans="1:1" ht="13.5" customHeight="1">
      <c r="A743" s="836"/>
    </row>
    <row r="744" spans="1:1" ht="13.5" customHeight="1">
      <c r="A744" s="836"/>
    </row>
    <row r="745" spans="1:1" ht="13.5" customHeight="1">
      <c r="A745" s="836"/>
    </row>
    <row r="746" spans="1:1" ht="13.5" customHeight="1">
      <c r="A746" s="836"/>
    </row>
    <row r="747" spans="1:1" ht="13.5" customHeight="1">
      <c r="A747" s="836"/>
    </row>
    <row r="748" spans="1:1" ht="13.5" customHeight="1">
      <c r="A748" s="836"/>
    </row>
    <row r="749" spans="1:1" ht="13.5" customHeight="1">
      <c r="A749" s="836"/>
    </row>
    <row r="750" spans="1:1" ht="13.5" customHeight="1">
      <c r="A750" s="836"/>
    </row>
    <row r="751" spans="1:1" ht="13.5" customHeight="1">
      <c r="A751" s="836"/>
    </row>
    <row r="752" spans="1:1" ht="13.5" customHeight="1">
      <c r="A752" s="836"/>
    </row>
    <row r="753" spans="1:1" ht="13.5" customHeight="1">
      <c r="A753" s="836"/>
    </row>
    <row r="754" spans="1:1" ht="13.5" customHeight="1">
      <c r="A754" s="836"/>
    </row>
    <row r="755" spans="1:1" ht="13.5" customHeight="1">
      <c r="A755" s="836"/>
    </row>
    <row r="756" spans="1:1" ht="13.5" customHeight="1">
      <c r="A756" s="836"/>
    </row>
    <row r="757" spans="1:1" ht="13.5" customHeight="1">
      <c r="A757" s="836"/>
    </row>
    <row r="758" spans="1:1" ht="13.5" customHeight="1">
      <c r="A758" s="836"/>
    </row>
    <row r="759" spans="1:1" ht="13.5" customHeight="1">
      <c r="A759" s="836"/>
    </row>
    <row r="760" spans="1:1" ht="13.5" customHeight="1">
      <c r="A760" s="836"/>
    </row>
    <row r="761" spans="1:1" ht="13.5" customHeight="1">
      <c r="A761" s="836"/>
    </row>
    <row r="762" spans="1:1" ht="13.5" customHeight="1">
      <c r="A762" s="836"/>
    </row>
    <row r="763" spans="1:1" ht="13.5" customHeight="1">
      <c r="A763" s="836"/>
    </row>
    <row r="764" spans="1:1" ht="13.5" customHeight="1">
      <c r="A764" s="836"/>
    </row>
    <row r="765" spans="1:1" ht="13.5" customHeight="1">
      <c r="A765" s="836"/>
    </row>
    <row r="766" spans="1:1" ht="13.5" customHeight="1">
      <c r="A766" s="836"/>
    </row>
    <row r="767" spans="1:1" ht="13.5" customHeight="1">
      <c r="A767" s="836"/>
    </row>
    <row r="768" spans="1:1" ht="13.5" customHeight="1">
      <c r="A768" s="836"/>
    </row>
    <row r="769" spans="1:1" ht="13.5" customHeight="1">
      <c r="A769" s="836"/>
    </row>
    <row r="770" spans="1:1" ht="13.5" customHeight="1">
      <c r="A770" s="836"/>
    </row>
    <row r="771" spans="1:1" ht="13.5" customHeight="1">
      <c r="A771" s="836"/>
    </row>
    <row r="772" spans="1:1" ht="13.5" customHeight="1">
      <c r="A772" s="836"/>
    </row>
    <row r="773" spans="1:1" ht="13.5" customHeight="1">
      <c r="A773" s="836"/>
    </row>
    <row r="774" spans="1:1" ht="13.5" customHeight="1">
      <c r="A774" s="836"/>
    </row>
    <row r="775" spans="1:1" ht="13.5" customHeight="1">
      <c r="A775" s="836"/>
    </row>
    <row r="776" spans="1:1" ht="13.5" customHeight="1">
      <c r="A776" s="836"/>
    </row>
    <row r="777" spans="1:1" ht="13.5" customHeight="1">
      <c r="A777" s="836"/>
    </row>
    <row r="778" spans="1:1" ht="13.5" customHeight="1">
      <c r="A778" s="836"/>
    </row>
    <row r="779" spans="1:1" ht="13.5" customHeight="1">
      <c r="A779" s="836"/>
    </row>
    <row r="780" spans="1:1" ht="13.5" customHeight="1">
      <c r="A780" s="836"/>
    </row>
    <row r="781" spans="1:1" ht="13.5" customHeight="1">
      <c r="A781" s="836"/>
    </row>
    <row r="782" spans="1:1" ht="13.5" customHeight="1">
      <c r="A782" s="836"/>
    </row>
    <row r="783" spans="1:1" ht="13.5" customHeight="1">
      <c r="A783" s="836"/>
    </row>
    <row r="784" spans="1:1" ht="13.5" customHeight="1">
      <c r="A784" s="836"/>
    </row>
    <row r="785" spans="1:1" ht="13.5" customHeight="1">
      <c r="A785" s="836"/>
    </row>
    <row r="786" spans="1:1" ht="13.5" customHeight="1">
      <c r="A786" s="836"/>
    </row>
    <row r="787" spans="1:1" ht="13.5" customHeight="1">
      <c r="A787" s="836"/>
    </row>
    <row r="788" spans="1:1" ht="13.5" customHeight="1">
      <c r="A788" s="836"/>
    </row>
    <row r="789" spans="1:1" ht="13.5" customHeight="1">
      <c r="A789" s="836"/>
    </row>
    <row r="790" spans="1:1" ht="13.5" customHeight="1">
      <c r="A790" s="836"/>
    </row>
    <row r="791" spans="1:1" ht="13.5" customHeight="1">
      <c r="A791" s="836"/>
    </row>
    <row r="792" spans="1:1" ht="13.5" customHeight="1">
      <c r="A792" s="836"/>
    </row>
    <row r="793" spans="1:1" ht="13.5" customHeight="1">
      <c r="A793" s="836"/>
    </row>
    <row r="794" spans="1:1" ht="13.5" customHeight="1">
      <c r="A794" s="836"/>
    </row>
    <row r="795" spans="1:1" ht="13.5" customHeight="1">
      <c r="A795" s="836"/>
    </row>
    <row r="796" spans="1:1" ht="13.5" customHeight="1">
      <c r="A796" s="836"/>
    </row>
    <row r="797" spans="1:1" ht="13.5" customHeight="1">
      <c r="A797" s="836"/>
    </row>
    <row r="798" spans="1:1" ht="13.5" customHeight="1">
      <c r="A798" s="836"/>
    </row>
    <row r="799" spans="1:1" ht="13.5" customHeight="1">
      <c r="A799" s="836"/>
    </row>
    <row r="800" spans="1:1" ht="13.5" customHeight="1">
      <c r="A800" s="836"/>
    </row>
    <row r="801" spans="1:1" ht="13.5" customHeight="1">
      <c r="A801" s="836"/>
    </row>
    <row r="802" spans="1:1" ht="13.5" customHeight="1">
      <c r="A802" s="836"/>
    </row>
    <row r="803" spans="1:1" ht="13.5" customHeight="1">
      <c r="A803" s="836"/>
    </row>
    <row r="804" spans="1:1" ht="13.5" customHeight="1">
      <c r="A804" s="836"/>
    </row>
    <row r="805" spans="1:1" ht="13.5" customHeight="1">
      <c r="A805" s="836"/>
    </row>
    <row r="806" spans="1:1" ht="13.5" customHeight="1">
      <c r="A806" s="836"/>
    </row>
    <row r="807" spans="1:1" ht="13.5" customHeight="1">
      <c r="A807" s="836"/>
    </row>
    <row r="808" spans="1:1" ht="13.5" customHeight="1">
      <c r="A808" s="836"/>
    </row>
    <row r="809" spans="1:1" ht="13.5" customHeight="1">
      <c r="A809" s="836"/>
    </row>
    <row r="810" spans="1:1" ht="13.5" customHeight="1">
      <c r="A810" s="836"/>
    </row>
    <row r="811" spans="1:1" ht="13.5" customHeight="1">
      <c r="A811" s="836"/>
    </row>
    <row r="812" spans="1:1" ht="13.5" customHeight="1">
      <c r="A812" s="836"/>
    </row>
    <row r="813" spans="1:1" ht="13.5" customHeight="1">
      <c r="A813" s="836"/>
    </row>
    <row r="814" spans="1:1" ht="13.5" customHeight="1">
      <c r="A814" s="836"/>
    </row>
    <row r="815" spans="1:1" ht="13.5" customHeight="1">
      <c r="A815" s="836"/>
    </row>
    <row r="816" spans="1:1" ht="13.5" customHeight="1">
      <c r="A816" s="836"/>
    </row>
    <row r="817" spans="1:1" ht="13.5" customHeight="1">
      <c r="A817" s="836"/>
    </row>
    <row r="818" spans="1:1" ht="13.5" customHeight="1">
      <c r="A818" s="836"/>
    </row>
    <row r="819" spans="1:1" ht="13.5" customHeight="1">
      <c r="A819" s="836"/>
    </row>
    <row r="820" spans="1:1" ht="13.5" customHeight="1">
      <c r="A820" s="836"/>
    </row>
    <row r="821" spans="1:1" ht="13.5" customHeight="1">
      <c r="A821" s="836"/>
    </row>
    <row r="822" spans="1:1" ht="13.5" customHeight="1">
      <c r="A822" s="836"/>
    </row>
    <row r="823" spans="1:1" ht="13.5" customHeight="1">
      <c r="A823" s="836"/>
    </row>
    <row r="824" spans="1:1" ht="13.5" customHeight="1">
      <c r="A824" s="836"/>
    </row>
    <row r="825" spans="1:1" ht="13.5" customHeight="1">
      <c r="A825" s="836"/>
    </row>
    <row r="826" spans="1:1" ht="13.5" customHeight="1">
      <c r="A826" s="836"/>
    </row>
    <row r="827" spans="1:1" ht="13.5" customHeight="1">
      <c r="A827" s="836"/>
    </row>
    <row r="828" spans="1:1" ht="13.5" customHeight="1">
      <c r="A828" s="836"/>
    </row>
    <row r="829" spans="1:1" ht="13.5" customHeight="1">
      <c r="A829" s="836"/>
    </row>
    <row r="830" spans="1:1" ht="13.5" customHeight="1">
      <c r="A830" s="836"/>
    </row>
    <row r="831" spans="1:1" ht="13.5" customHeight="1">
      <c r="A831" s="836"/>
    </row>
    <row r="832" spans="1:1" ht="13.5" customHeight="1">
      <c r="A832" s="836"/>
    </row>
    <row r="833" spans="1:1" ht="13.5" customHeight="1">
      <c r="A833" s="836"/>
    </row>
    <row r="834" spans="1:1" ht="13.5" customHeight="1">
      <c r="A834" s="836"/>
    </row>
    <row r="835" spans="1:1" ht="13.5" customHeight="1">
      <c r="A835" s="836"/>
    </row>
    <row r="836" spans="1:1" ht="13.5" customHeight="1">
      <c r="A836" s="836"/>
    </row>
    <row r="837" spans="1:1" ht="13.5" customHeight="1">
      <c r="A837" s="836"/>
    </row>
    <row r="838" spans="1:1" ht="13.5" customHeight="1">
      <c r="A838" s="836"/>
    </row>
    <row r="839" spans="1:1" ht="13.5" customHeight="1">
      <c r="A839" s="836"/>
    </row>
    <row r="840" spans="1:1" ht="13.5" customHeight="1">
      <c r="A840" s="836"/>
    </row>
    <row r="841" spans="1:1" ht="13.5" customHeight="1">
      <c r="A841" s="836"/>
    </row>
    <row r="842" spans="1:1" ht="13.5" customHeight="1">
      <c r="A842" s="836"/>
    </row>
    <row r="843" spans="1:1" ht="13.5" customHeight="1">
      <c r="A843" s="836"/>
    </row>
    <row r="844" spans="1:1" ht="13.5" customHeight="1">
      <c r="A844" s="836"/>
    </row>
    <row r="845" spans="1:1" ht="13.5" customHeight="1">
      <c r="A845" s="836"/>
    </row>
    <row r="846" spans="1:1" ht="13.5" customHeight="1">
      <c r="A846" s="836"/>
    </row>
    <row r="847" spans="1:1" ht="13.5" customHeight="1">
      <c r="A847" s="836"/>
    </row>
    <row r="848" spans="1:1" ht="13.5" customHeight="1">
      <c r="A848" s="836"/>
    </row>
    <row r="849" spans="1:1" ht="13.5" customHeight="1">
      <c r="A849" s="836"/>
    </row>
    <row r="850" spans="1:1" ht="13.5" customHeight="1">
      <c r="A850" s="836"/>
    </row>
    <row r="851" spans="1:1" ht="13.5" customHeight="1">
      <c r="A851" s="836"/>
    </row>
    <row r="852" spans="1:1" ht="13.5" customHeight="1">
      <c r="A852" s="836"/>
    </row>
    <row r="853" spans="1:1" ht="13.5" customHeight="1">
      <c r="A853" s="836"/>
    </row>
    <row r="854" spans="1:1" ht="13.5" customHeight="1">
      <c r="A854" s="836"/>
    </row>
    <row r="855" spans="1:1" ht="13.5" customHeight="1">
      <c r="A855" s="836"/>
    </row>
    <row r="856" spans="1:1" ht="13.5" customHeight="1">
      <c r="A856" s="836"/>
    </row>
    <row r="857" spans="1:1" ht="13.5" customHeight="1">
      <c r="A857" s="836"/>
    </row>
    <row r="858" spans="1:1" ht="13.5" customHeight="1">
      <c r="A858" s="836"/>
    </row>
    <row r="859" spans="1:1" ht="13.5" customHeight="1">
      <c r="A859" s="836"/>
    </row>
    <row r="860" spans="1:1" ht="13.5" customHeight="1">
      <c r="A860" s="836"/>
    </row>
    <row r="861" spans="1:1" ht="13.5" customHeight="1">
      <c r="A861" s="836"/>
    </row>
    <row r="862" spans="1:1" ht="13.5" customHeight="1">
      <c r="A862" s="836"/>
    </row>
    <row r="863" spans="1:1" ht="13.5" customHeight="1">
      <c r="A863" s="836"/>
    </row>
    <row r="864" spans="1:1" ht="13.5" customHeight="1">
      <c r="A864" s="836"/>
    </row>
    <row r="865" spans="1:1" ht="13.5" customHeight="1">
      <c r="A865" s="836"/>
    </row>
    <row r="866" spans="1:1" ht="13.5" customHeight="1">
      <c r="A866" s="836"/>
    </row>
    <row r="867" spans="1:1" ht="13.5" customHeight="1">
      <c r="A867" s="836"/>
    </row>
    <row r="868" spans="1:1" ht="13.5" customHeight="1">
      <c r="A868" s="836"/>
    </row>
    <row r="869" spans="1:1" ht="13.5" customHeight="1">
      <c r="A869" s="836"/>
    </row>
    <row r="870" spans="1:1" ht="13.5" customHeight="1">
      <c r="A870" s="836"/>
    </row>
    <row r="871" spans="1:1" ht="13.5" customHeight="1">
      <c r="A871" s="836"/>
    </row>
    <row r="872" spans="1:1" ht="13.5" customHeight="1">
      <c r="A872" s="836"/>
    </row>
    <row r="873" spans="1:1" ht="13.5" customHeight="1">
      <c r="A873" s="836"/>
    </row>
    <row r="874" spans="1:1" ht="13.5" customHeight="1">
      <c r="A874" s="836"/>
    </row>
    <row r="875" spans="1:1" ht="13.5" customHeight="1">
      <c r="A875" s="836"/>
    </row>
    <row r="876" spans="1:1" ht="13.5" customHeight="1">
      <c r="A876" s="836"/>
    </row>
    <row r="877" spans="1:1" ht="13.5" customHeight="1">
      <c r="A877" s="836"/>
    </row>
    <row r="878" spans="1:1" ht="13.5" customHeight="1">
      <c r="A878" s="836"/>
    </row>
    <row r="879" spans="1:1" ht="13.5" customHeight="1">
      <c r="A879" s="836"/>
    </row>
    <row r="880" spans="1:1" ht="13.5" customHeight="1">
      <c r="A880" s="836"/>
    </row>
    <row r="881" spans="1:1" ht="13.5" customHeight="1">
      <c r="A881" s="836"/>
    </row>
    <row r="882" spans="1:1" ht="13.5" customHeight="1">
      <c r="A882" s="836"/>
    </row>
    <row r="883" spans="1:1" ht="13.5" customHeight="1">
      <c r="A883" s="836"/>
    </row>
    <row r="884" spans="1:1" ht="13.5" customHeight="1">
      <c r="A884" s="836"/>
    </row>
    <row r="885" spans="1:1" ht="13.5" customHeight="1">
      <c r="A885" s="836"/>
    </row>
    <row r="886" spans="1:1" ht="13.5" customHeight="1">
      <c r="A886" s="836"/>
    </row>
    <row r="887" spans="1:1" ht="13.5" customHeight="1">
      <c r="A887" s="836"/>
    </row>
    <row r="888" spans="1:1" ht="13.5" customHeight="1">
      <c r="A888" s="836"/>
    </row>
    <row r="889" spans="1:1" ht="13.5" customHeight="1">
      <c r="A889" s="836"/>
    </row>
    <row r="890" spans="1:1" ht="13.5" customHeight="1">
      <c r="A890" s="836"/>
    </row>
    <row r="891" spans="1:1" ht="13.5" customHeight="1">
      <c r="A891" s="836"/>
    </row>
    <row r="892" spans="1:1" ht="13.5" customHeight="1">
      <c r="A892" s="836"/>
    </row>
    <row r="893" spans="1:1" ht="13.5" customHeight="1">
      <c r="A893" s="836"/>
    </row>
    <row r="894" spans="1:1" ht="13.5" customHeight="1">
      <c r="A894" s="836"/>
    </row>
    <row r="895" spans="1:1" ht="13.5" customHeight="1">
      <c r="A895" s="836"/>
    </row>
    <row r="896" spans="1:1" ht="13.5" customHeight="1">
      <c r="A896" s="836"/>
    </row>
    <row r="897" spans="1:1" ht="13.5" customHeight="1">
      <c r="A897" s="836"/>
    </row>
    <row r="898" spans="1:1" ht="13.5" customHeight="1">
      <c r="A898" s="836"/>
    </row>
    <row r="899" spans="1:1" ht="13.5" customHeight="1">
      <c r="A899" s="836"/>
    </row>
    <row r="900" spans="1:1" ht="13.5" customHeight="1">
      <c r="A900" s="836"/>
    </row>
    <row r="901" spans="1:1" ht="13.5" customHeight="1">
      <c r="A901" s="836"/>
    </row>
    <row r="902" spans="1:1" ht="13.5" customHeight="1">
      <c r="A902" s="836"/>
    </row>
    <row r="903" spans="1:1" ht="13.5" customHeight="1">
      <c r="A903" s="836"/>
    </row>
    <row r="904" spans="1:1" ht="13.5" customHeight="1">
      <c r="A904" s="836"/>
    </row>
    <row r="905" spans="1:1" ht="13.5" customHeight="1">
      <c r="A905" s="836"/>
    </row>
    <row r="906" spans="1:1" ht="13.5" customHeight="1">
      <c r="A906" s="836"/>
    </row>
    <row r="907" spans="1:1" ht="13.5" customHeight="1">
      <c r="A907" s="836"/>
    </row>
    <row r="908" spans="1:1" ht="13.5" customHeight="1">
      <c r="A908" s="836"/>
    </row>
    <row r="909" spans="1:1" ht="13.5" customHeight="1">
      <c r="A909" s="836"/>
    </row>
    <row r="910" spans="1:1" ht="13.5" customHeight="1">
      <c r="A910" s="836"/>
    </row>
    <row r="911" spans="1:1" ht="13.5" customHeight="1">
      <c r="A911" s="836"/>
    </row>
    <row r="912" spans="1:1" ht="13.5" customHeight="1">
      <c r="A912" s="836"/>
    </row>
    <row r="913" spans="1:1" ht="13.5" customHeight="1">
      <c r="A913" s="836"/>
    </row>
    <row r="914" spans="1:1" ht="13.5" customHeight="1">
      <c r="A914" s="836"/>
    </row>
    <row r="915" spans="1:1" ht="13.5" customHeight="1">
      <c r="A915" s="836"/>
    </row>
    <row r="916" spans="1:1" ht="13.5" customHeight="1">
      <c r="A916" s="836"/>
    </row>
    <row r="917" spans="1:1" ht="13.5" customHeight="1">
      <c r="A917" s="836"/>
    </row>
    <row r="918" spans="1:1" ht="13.5" customHeight="1">
      <c r="A918" s="836"/>
    </row>
    <row r="919" spans="1:1" ht="13.5" customHeight="1">
      <c r="A919" s="836"/>
    </row>
    <row r="920" spans="1:1" ht="13.5" customHeight="1">
      <c r="A920" s="836"/>
    </row>
    <row r="921" spans="1:1" ht="13.5" customHeight="1">
      <c r="A921" s="836"/>
    </row>
    <row r="922" spans="1:1" ht="13.5" customHeight="1">
      <c r="A922" s="836"/>
    </row>
    <row r="923" spans="1:1" ht="13.5" customHeight="1">
      <c r="A923" s="836"/>
    </row>
    <row r="924" spans="1:1" ht="13.5" customHeight="1">
      <c r="A924" s="836"/>
    </row>
    <row r="925" spans="1:1" ht="13.5" customHeight="1">
      <c r="A925" s="836"/>
    </row>
    <row r="926" spans="1:1" ht="13.5" customHeight="1">
      <c r="A926" s="836"/>
    </row>
    <row r="927" spans="1:1" ht="13.5" customHeight="1">
      <c r="A927" s="836"/>
    </row>
    <row r="928" spans="1:1" ht="13.5" customHeight="1">
      <c r="A928" s="836"/>
    </row>
    <row r="929" spans="1:1" ht="13.5" customHeight="1">
      <c r="A929" s="836"/>
    </row>
    <row r="930" spans="1:1" ht="13.5" customHeight="1">
      <c r="A930" s="836"/>
    </row>
    <row r="931" spans="1:1" ht="13.5" customHeight="1">
      <c r="A931" s="836"/>
    </row>
    <row r="932" spans="1:1" ht="13.5" customHeight="1">
      <c r="A932" s="836"/>
    </row>
    <row r="933" spans="1:1" ht="13.5" customHeight="1">
      <c r="A933" s="836"/>
    </row>
    <row r="934" spans="1:1" ht="13.5" customHeight="1">
      <c r="A934" s="836"/>
    </row>
    <row r="935" spans="1:1" ht="13.5" customHeight="1">
      <c r="A935" s="836"/>
    </row>
    <row r="936" spans="1:1" ht="13.5" customHeight="1">
      <c r="A936" s="836"/>
    </row>
    <row r="937" spans="1:1" ht="13.5" customHeight="1">
      <c r="A937" s="836"/>
    </row>
    <row r="938" spans="1:1" ht="13.5" customHeight="1">
      <c r="A938" s="836"/>
    </row>
    <row r="939" spans="1:1" ht="13.5" customHeight="1">
      <c r="A939" s="836"/>
    </row>
    <row r="940" spans="1:1" ht="13.5" customHeight="1">
      <c r="A940" s="836"/>
    </row>
    <row r="941" spans="1:1" ht="13.5" customHeight="1">
      <c r="A941" s="836"/>
    </row>
    <row r="942" spans="1:1" ht="13.5" customHeight="1">
      <c r="A942" s="836"/>
    </row>
    <row r="943" spans="1:1" ht="13.5" customHeight="1">
      <c r="A943" s="836"/>
    </row>
    <row r="944" spans="1:1" ht="13.5" customHeight="1">
      <c r="A944" s="836"/>
    </row>
    <row r="945" spans="1:1" ht="13.5" customHeight="1">
      <c r="A945" s="836"/>
    </row>
    <row r="946" spans="1:1" ht="13.5" customHeight="1">
      <c r="A946" s="836"/>
    </row>
    <row r="947" spans="1:1" ht="13.5" customHeight="1">
      <c r="A947" s="836"/>
    </row>
    <row r="948" spans="1:1" ht="13.5" customHeight="1">
      <c r="A948" s="836"/>
    </row>
    <row r="949" spans="1:1" ht="13.5" customHeight="1">
      <c r="A949" s="836"/>
    </row>
    <row r="950" spans="1:1" ht="13.5" customHeight="1">
      <c r="A950" s="836"/>
    </row>
    <row r="951" spans="1:1" ht="13.5" customHeight="1">
      <c r="A951" s="836"/>
    </row>
    <row r="952" spans="1:1" ht="13.5" customHeight="1">
      <c r="A952" s="836"/>
    </row>
    <row r="953" spans="1:1" ht="13.5" customHeight="1">
      <c r="A953" s="836"/>
    </row>
    <row r="954" spans="1:1" ht="13.5" customHeight="1">
      <c r="A954" s="836"/>
    </row>
    <row r="955" spans="1:1" ht="13.5" customHeight="1">
      <c r="A955" s="836"/>
    </row>
    <row r="956" spans="1:1" ht="13.5" customHeight="1">
      <c r="A956" s="836"/>
    </row>
    <row r="957" spans="1:1" ht="13.5" customHeight="1">
      <c r="A957" s="836"/>
    </row>
    <row r="958" spans="1:1" ht="13.5" customHeight="1">
      <c r="A958" s="836"/>
    </row>
    <row r="959" spans="1:1" ht="13.5" customHeight="1">
      <c r="A959" s="836"/>
    </row>
    <row r="960" spans="1:1" ht="13.5" customHeight="1">
      <c r="A960" s="836"/>
    </row>
    <row r="961" spans="1:1" ht="13.5" customHeight="1">
      <c r="A961" s="836"/>
    </row>
    <row r="962" spans="1:1" ht="13.5" customHeight="1">
      <c r="A962" s="836"/>
    </row>
    <row r="963" spans="1:1" ht="13.5" customHeight="1">
      <c r="A963" s="836"/>
    </row>
    <row r="964" spans="1:1" ht="13.5" customHeight="1">
      <c r="A964" s="836"/>
    </row>
    <row r="965" spans="1:1" ht="13.5" customHeight="1">
      <c r="A965" s="836"/>
    </row>
    <row r="966" spans="1:1" ht="13.5" customHeight="1">
      <c r="A966" s="836"/>
    </row>
    <row r="967" spans="1:1" ht="13.5" customHeight="1">
      <c r="A967" s="836"/>
    </row>
    <row r="968" spans="1:1" ht="13.5" customHeight="1">
      <c r="A968" s="836"/>
    </row>
    <row r="969" spans="1:1" ht="13.5" customHeight="1">
      <c r="A969" s="836"/>
    </row>
    <row r="970" spans="1:1" ht="13.5" customHeight="1">
      <c r="A970" s="836"/>
    </row>
    <row r="971" spans="1:1" ht="13.5" customHeight="1">
      <c r="A971" s="836"/>
    </row>
    <row r="972" spans="1:1" ht="13.5" customHeight="1">
      <c r="A972" s="836"/>
    </row>
    <row r="973" spans="1:1" ht="13.5" customHeight="1">
      <c r="A973" s="836"/>
    </row>
    <row r="974" spans="1:1" ht="13.5" customHeight="1">
      <c r="A974" s="836"/>
    </row>
    <row r="975" spans="1:1" ht="13.5" customHeight="1">
      <c r="A975" s="836"/>
    </row>
  </sheetData>
  <mergeCells count="6">
    <mergeCell ref="A8:E8"/>
    <mergeCell ref="D9:E9"/>
    <mergeCell ref="A1:E1"/>
    <mergeCell ref="D2:E2"/>
    <mergeCell ref="D3:E4"/>
    <mergeCell ref="D10:E11"/>
  </mergeCells>
  <pageMargins left="0.7" right="0.7" top="0.75" bottom="0.75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C962A909-AE43-49D7-8A42-4673E7E17DDD}">
          <x14:formula1>
            <xm:f>'Data Deni'!$J$25:$J$26</xm:f>
          </x14:formula1>
          <xm:sqref>B10</xm:sqref>
        </x14:dataValidation>
        <x14:dataValidation type="list" allowBlank="1" showErrorMessage="1" xr:uid="{7F680F66-863B-4AA1-885C-CC91E5A1D326}">
          <x14:formula1>
            <xm:f>'Concentration NPK_crop'!$A$8:$A$153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5" tint="-0.249977111117893"/>
  </sheetPr>
  <dimension ref="A1:AA1001"/>
  <sheetViews>
    <sheetView workbookViewId="0">
      <selection activeCell="J28" sqref="J28"/>
    </sheetView>
  </sheetViews>
  <sheetFormatPr baseColWidth="10" defaultColWidth="12.625" defaultRowHeight="15" customHeight="1"/>
  <cols>
    <col min="1" max="1" width="25" customWidth="1"/>
    <col min="2" max="2" width="32" customWidth="1"/>
    <col min="3" max="3" width="8.125" customWidth="1"/>
    <col min="4" max="4" width="18.875" customWidth="1"/>
    <col min="5" max="5" width="39.75" customWidth="1"/>
    <col min="6" max="6" width="14.75" style="289" customWidth="1"/>
    <col min="7" max="8" width="10.625" customWidth="1"/>
    <col min="9" max="9" width="20" bestFit="1" customWidth="1"/>
    <col min="10" max="11" width="14" bestFit="1" customWidth="1"/>
    <col min="12" max="12" width="10.625" customWidth="1"/>
    <col min="14" max="14" width="16.75" customWidth="1"/>
    <col min="15" max="15" width="13.75" customWidth="1"/>
    <col min="16" max="16" width="15" customWidth="1"/>
    <col min="17" max="27" width="10.625" customWidth="1"/>
  </cols>
  <sheetData>
    <row r="1" spans="1:12" ht="20.25">
      <c r="A1" s="681" t="s">
        <v>17</v>
      </c>
      <c r="B1" s="679"/>
      <c r="C1" s="679"/>
      <c r="D1" s="679"/>
      <c r="E1" s="680"/>
      <c r="F1" s="648"/>
    </row>
    <row r="2" spans="1:12" ht="13.5" customHeight="1">
      <c r="A2" s="9" t="s">
        <v>18</v>
      </c>
      <c r="B2" s="9" t="s">
        <v>19</v>
      </c>
      <c r="C2" s="10" t="s">
        <v>20</v>
      </c>
      <c r="D2" s="690" t="s">
        <v>21</v>
      </c>
      <c r="E2" s="690"/>
      <c r="F2" s="648"/>
    </row>
    <row r="3" spans="1:12" ht="13.5" customHeight="1">
      <c r="A3" s="8" t="s">
        <v>22</v>
      </c>
      <c r="B3" s="666" t="str">
        <f>'Input F4'!crop_type</f>
        <v>BARLEY_6_ROW</v>
      </c>
      <c r="C3" s="11"/>
      <c r="D3" s="686" t="s">
        <v>24</v>
      </c>
      <c r="E3" s="687"/>
      <c r="F3" s="648"/>
    </row>
    <row r="4" spans="1:12" ht="13.5" customHeight="1">
      <c r="A4" s="8" t="s">
        <v>25</v>
      </c>
      <c r="B4" s="667">
        <f>'Input F4'!y</f>
        <v>10000</v>
      </c>
      <c r="C4" s="11" t="s">
        <v>26</v>
      </c>
      <c r="D4" s="686" t="s">
        <v>24</v>
      </c>
      <c r="E4" s="687"/>
      <c r="F4" s="648"/>
    </row>
    <row r="5" spans="1:12" ht="13.5" customHeight="1">
      <c r="A5" s="326" t="s">
        <v>27</v>
      </c>
      <c r="B5" s="662">
        <v>0.2</v>
      </c>
      <c r="C5" s="11" t="s">
        <v>28</v>
      </c>
      <c r="D5" s="686" t="s">
        <v>29</v>
      </c>
      <c r="E5" s="687"/>
      <c r="F5" s="648"/>
    </row>
    <row r="6" spans="1:12" ht="13.5" customHeight="1">
      <c r="A6" s="326" t="s">
        <v>30</v>
      </c>
      <c r="B6" s="662">
        <v>1</v>
      </c>
      <c r="C6" s="11"/>
      <c r="D6" s="341" t="s">
        <v>1781</v>
      </c>
      <c r="E6" s="12"/>
      <c r="F6" s="648"/>
    </row>
    <row r="7" spans="1:12" ht="13.5" customHeight="1">
      <c r="A7" s="326" t="s">
        <v>31</v>
      </c>
      <c r="B7" s="663" t="str">
        <f>VLOOKUP(crop_type,CropData,7,FALSE)</f>
        <v>Non_legume</v>
      </c>
      <c r="D7" s="686"/>
      <c r="E7" s="687"/>
      <c r="F7" s="648"/>
    </row>
    <row r="8" spans="1:12" ht="13.5" customHeight="1">
      <c r="A8" s="326" t="s">
        <v>32</v>
      </c>
      <c r="B8" s="663" t="str">
        <f>VLOOKUP(crop_type,CropData,8,FALSE)</f>
        <v>Annual</v>
      </c>
      <c r="D8" s="686"/>
      <c r="E8" s="687"/>
      <c r="F8" s="648"/>
    </row>
    <row r="9" spans="1:12" ht="13.5" customHeight="1">
      <c r="A9" s="327" t="s">
        <v>34</v>
      </c>
      <c r="B9" s="664" t="s">
        <v>35</v>
      </c>
      <c r="D9" s="686"/>
      <c r="E9" s="687"/>
      <c r="F9" s="648"/>
    </row>
    <row r="10" spans="1:12" s="270" customFormat="1" ht="13.5" customHeight="1">
      <c r="A10" s="277" t="s">
        <v>358</v>
      </c>
      <c r="B10" s="663">
        <f>VLOOKUP(crop_type,'Concentration NPK_crop'!A8:I153,9,FALSE)</f>
        <v>40</v>
      </c>
      <c r="C10" s="11" t="s">
        <v>28</v>
      </c>
      <c r="D10" s="686" t="s">
        <v>41</v>
      </c>
      <c r="E10" s="687"/>
      <c r="F10" s="648"/>
    </row>
    <row r="11" spans="1:12" ht="13.5" customHeight="1">
      <c r="A11" s="13"/>
      <c r="F11" s="648"/>
    </row>
    <row r="12" spans="1:12" ht="20.25">
      <c r="A12" s="691" t="s">
        <v>36</v>
      </c>
      <c r="B12" s="679"/>
      <c r="C12" s="679"/>
      <c r="D12" s="679"/>
      <c r="E12" s="680"/>
      <c r="F12" s="648"/>
    </row>
    <row r="13" spans="1:12" ht="15.75" customHeight="1">
      <c r="A13" s="9" t="s">
        <v>18</v>
      </c>
      <c r="B13" s="9" t="s">
        <v>19</v>
      </c>
      <c r="C13" s="9" t="s">
        <v>20</v>
      </c>
      <c r="D13" s="692" t="s">
        <v>21</v>
      </c>
      <c r="E13" s="693"/>
      <c r="F13" s="648"/>
    </row>
    <row r="14" spans="1:12" ht="13.5" customHeight="1">
      <c r="A14" s="326" t="s">
        <v>37</v>
      </c>
      <c r="B14" s="663" t="s">
        <v>129</v>
      </c>
      <c r="C14" s="11"/>
      <c r="D14" s="694" t="s">
        <v>24</v>
      </c>
      <c r="E14" s="695"/>
      <c r="H14" s="4"/>
    </row>
    <row r="15" spans="1:12" ht="13.5" customHeight="1">
      <c r="A15" s="326" t="s">
        <v>39</v>
      </c>
      <c r="B15" s="664">
        <v>1.5</v>
      </c>
      <c r="C15" s="11" t="s">
        <v>28</v>
      </c>
      <c r="D15" s="696" t="s">
        <v>24</v>
      </c>
      <c r="E15" s="697"/>
    </row>
    <row r="16" spans="1:12" s="275" customFormat="1" ht="13.5" customHeight="1">
      <c r="A16" s="326" t="s">
        <v>1747</v>
      </c>
      <c r="B16" s="663" t="s">
        <v>1749</v>
      </c>
      <c r="C16" s="11"/>
      <c r="D16" s="686" t="s">
        <v>24</v>
      </c>
      <c r="E16" s="687"/>
      <c r="F16" s="648"/>
      <c r="G16"/>
      <c r="H16"/>
      <c r="I16"/>
      <c r="J16"/>
      <c r="K16"/>
      <c r="L16" s="4"/>
    </row>
    <row r="17" spans="1:27" ht="13.5" customHeight="1">
      <c r="A17" s="326" t="s">
        <v>40</v>
      </c>
      <c r="B17" s="664">
        <v>7</v>
      </c>
      <c r="C17" s="11"/>
      <c r="D17" s="686" t="s">
        <v>41</v>
      </c>
      <c r="E17" s="687"/>
      <c r="F17" s="648"/>
    </row>
    <row r="18" spans="1:27" ht="13.5" customHeight="1">
      <c r="A18" s="326" t="s">
        <v>42</v>
      </c>
      <c r="B18" s="665">
        <f>VLOOKUP(soil_texture,'Inputs asociation '!F3:AL16,33,FALSE)</f>
        <v>100</v>
      </c>
      <c r="C18" s="11" t="s">
        <v>43</v>
      </c>
      <c r="D18" s="698" t="s">
        <v>1775</v>
      </c>
      <c r="E18" s="687"/>
      <c r="F18" s="648"/>
    </row>
    <row r="19" spans="1:27" ht="11.25" customHeight="1">
      <c r="A19" s="13"/>
      <c r="B19" s="2"/>
      <c r="C19" s="2"/>
      <c r="D19" s="682"/>
      <c r="E19" s="682"/>
      <c r="F19" s="648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3.5" customHeight="1">
      <c r="A20" s="326" t="s">
        <v>44</v>
      </c>
      <c r="B20" s="663">
        <v>0.5</v>
      </c>
      <c r="C20" s="14" t="s">
        <v>45</v>
      </c>
      <c r="D20" s="686" t="s">
        <v>41</v>
      </c>
      <c r="E20" s="687"/>
      <c r="F20" s="648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3.5" customHeight="1">
      <c r="A21" s="326" t="s">
        <v>46</v>
      </c>
      <c r="B21" s="663">
        <v>30</v>
      </c>
      <c r="C21" s="14" t="s">
        <v>47</v>
      </c>
      <c r="D21" s="686" t="s">
        <v>41</v>
      </c>
      <c r="E21" s="687"/>
      <c r="F21" s="648"/>
    </row>
    <row r="22" spans="1:27" ht="13.5" customHeight="1">
      <c r="A22" s="326" t="s">
        <v>48</v>
      </c>
      <c r="B22" s="663">
        <v>20</v>
      </c>
      <c r="C22" s="14" t="s">
        <v>47</v>
      </c>
      <c r="D22" s="686" t="s">
        <v>41</v>
      </c>
      <c r="E22" s="687"/>
      <c r="F22" s="648"/>
    </row>
    <row r="23" spans="1:27" ht="13.5" customHeight="1">
      <c r="A23" s="13"/>
      <c r="B23" s="2"/>
      <c r="C23" s="2"/>
      <c r="D23" s="682"/>
      <c r="E23" s="682"/>
      <c r="F23" s="648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3.5" customHeight="1">
      <c r="A24" s="15" t="s">
        <v>49</v>
      </c>
      <c r="B24" s="663">
        <v>11</v>
      </c>
      <c r="C24" s="14" t="s">
        <v>50</v>
      </c>
      <c r="D24" s="684"/>
      <c r="E24" s="685"/>
      <c r="F24" s="648"/>
    </row>
    <row r="25" spans="1:27" ht="13.5" customHeight="1">
      <c r="A25" s="15" t="s">
        <v>51</v>
      </c>
      <c r="B25" s="663" t="s">
        <v>181</v>
      </c>
      <c r="C25" s="14"/>
      <c r="D25" s="684"/>
      <c r="E25" s="685"/>
      <c r="F25" s="648"/>
    </row>
    <row r="26" spans="1:27" ht="13.5" customHeight="1">
      <c r="A26" s="13"/>
      <c r="B26" s="2"/>
      <c r="C26" s="2"/>
      <c r="D26" s="683"/>
      <c r="E26" s="683"/>
      <c r="F26" s="648"/>
      <c r="G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3.5" customHeight="1">
      <c r="A27" s="15" t="s">
        <v>53</v>
      </c>
      <c r="B27" s="663">
        <v>163</v>
      </c>
      <c r="C27" s="14" t="s">
        <v>50</v>
      </c>
      <c r="D27" s="684"/>
      <c r="E27" s="685"/>
      <c r="F27" s="648"/>
      <c r="L27" s="4"/>
    </row>
    <row r="28" spans="1:27" ht="13.5" customHeight="1">
      <c r="A28" s="15" t="s">
        <v>54</v>
      </c>
      <c r="B28" s="663" t="s">
        <v>55</v>
      </c>
      <c r="C28" s="14"/>
      <c r="D28" s="684"/>
      <c r="E28" s="685"/>
      <c r="F28" s="648"/>
      <c r="J28" s="661"/>
      <c r="L28" s="4"/>
    </row>
    <row r="29" spans="1:27" ht="13.5" customHeight="1">
      <c r="B29" s="13"/>
      <c r="C29" s="11"/>
      <c r="F29" s="648"/>
      <c r="J29" s="661"/>
    </row>
    <row r="30" spans="1:27" ht="20.25">
      <c r="A30" s="678" t="s">
        <v>56</v>
      </c>
      <c r="B30" s="679"/>
      <c r="C30" s="679"/>
      <c r="D30" s="679"/>
      <c r="E30" s="680"/>
      <c r="F30" s="648"/>
    </row>
    <row r="31" spans="1:27" ht="13.5" customHeight="1">
      <c r="A31" s="9" t="s">
        <v>18</v>
      </c>
      <c r="B31" s="9" t="s">
        <v>19</v>
      </c>
      <c r="C31" s="10" t="s">
        <v>20</v>
      </c>
      <c r="D31" s="688" t="s">
        <v>21</v>
      </c>
      <c r="E31" s="689"/>
      <c r="F31" s="648"/>
      <c r="L31" s="4"/>
    </row>
    <row r="32" spans="1:27" ht="13.5" customHeight="1">
      <c r="A32" s="327" t="s">
        <v>57</v>
      </c>
      <c r="B32" s="342" t="str">
        <f>'Input F4'!water_supply</f>
        <v>Irrigated</v>
      </c>
      <c r="D32" s="686" t="s">
        <v>24</v>
      </c>
      <c r="E32" s="687"/>
      <c r="F32" s="648"/>
    </row>
    <row r="33" spans="1:27" ht="13.5" customHeight="1">
      <c r="A33" s="326" t="s">
        <v>59</v>
      </c>
      <c r="B33" s="664" t="s">
        <v>1816</v>
      </c>
      <c r="D33" s="686" t="s">
        <v>24</v>
      </c>
      <c r="E33" s="687"/>
      <c r="F33" s="648"/>
    </row>
    <row r="34" spans="1:27" ht="13.5" customHeight="1">
      <c r="A34" s="327" t="s">
        <v>61</v>
      </c>
      <c r="B34" s="663" t="s">
        <v>1812</v>
      </c>
      <c r="D34" s="686" t="s">
        <v>24</v>
      </c>
      <c r="E34" s="687"/>
      <c r="F34" s="648"/>
    </row>
    <row r="35" spans="1:27" ht="13.5" customHeight="1">
      <c r="A35" s="326" t="s">
        <v>62</v>
      </c>
      <c r="B35" s="663">
        <f>VLOOKUP(B34,'Inputs asociation '!A40:C44,3,FALSE)</f>
        <v>500</v>
      </c>
      <c r="C35" s="267" t="s">
        <v>63</v>
      </c>
      <c r="D35" s="686" t="s">
        <v>41</v>
      </c>
      <c r="E35" s="687"/>
      <c r="F35" s="648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3.5" customHeight="1">
      <c r="A36" s="326" t="s">
        <v>64</v>
      </c>
      <c r="B36" s="663">
        <f>VLOOKUP(B34,'Inputs asociation '!A40:D44,4,FALSE)</f>
        <v>300</v>
      </c>
      <c r="C36" s="267" t="s">
        <v>63</v>
      </c>
      <c r="D36" s="686" t="s">
        <v>41</v>
      </c>
      <c r="E36" s="687"/>
      <c r="F36" s="648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6.5" customHeight="1">
      <c r="A37" s="326" t="s">
        <v>65</v>
      </c>
      <c r="B37" s="342">
        <f>'Input F4'!B11</f>
        <v>2500</v>
      </c>
      <c r="C37" s="267" t="s">
        <v>66</v>
      </c>
      <c r="D37" s="686" t="s">
        <v>24</v>
      </c>
      <c r="E37" s="687"/>
      <c r="F37" s="648"/>
    </row>
    <row r="38" spans="1:27" ht="13.5" customHeight="1">
      <c r="A38" s="326" t="s">
        <v>67</v>
      </c>
      <c r="B38" s="663">
        <v>25</v>
      </c>
      <c r="C38" s="267" t="s">
        <v>50</v>
      </c>
      <c r="D38" s="686" t="s">
        <v>41</v>
      </c>
      <c r="E38" s="687"/>
      <c r="F38" s="648"/>
    </row>
    <row r="39" spans="1:27" ht="14.25" customHeight="1">
      <c r="A39" s="13"/>
    </row>
    <row r="40" spans="1:27" ht="13.5" customHeight="1">
      <c r="A40" s="13"/>
    </row>
    <row r="41" spans="1:27">
      <c r="F41" s="648"/>
      <c r="H41" s="2"/>
    </row>
    <row r="42" spans="1:27" ht="13.5" customHeight="1">
      <c r="F42" s="647"/>
    </row>
    <row r="43" spans="1:27" ht="13.5" customHeight="1">
      <c r="F43" s="648"/>
    </row>
    <row r="44" spans="1:27" ht="13.5" customHeight="1">
      <c r="F44" s="648"/>
    </row>
    <row r="45" spans="1:27" ht="13.5" customHeight="1">
      <c r="F45" s="648"/>
    </row>
    <row r="46" spans="1:27" ht="13.5" customHeight="1">
      <c r="F46" s="648"/>
    </row>
    <row r="47" spans="1:27" ht="13.5" customHeight="1">
      <c r="F47" s="648"/>
    </row>
    <row r="48" spans="1:27" ht="13.5" customHeight="1">
      <c r="F48" s="648"/>
    </row>
    <row r="49" spans="1:7" ht="13.5" customHeight="1">
      <c r="F49" s="648"/>
    </row>
    <row r="50" spans="1:7" ht="13.5" customHeight="1">
      <c r="F50" s="648"/>
    </row>
    <row r="51" spans="1:7" ht="13.5" customHeight="1">
      <c r="A51" s="13"/>
    </row>
    <row r="52" spans="1:7" ht="13.5" customHeight="1">
      <c r="A52" s="13"/>
    </row>
    <row r="53" spans="1:7" ht="13.5" customHeight="1">
      <c r="A53" s="13"/>
    </row>
    <row r="54" spans="1:7" ht="13.5" customHeight="1">
      <c r="A54" s="13"/>
    </row>
    <row r="55" spans="1:7" ht="13.5" customHeight="1">
      <c r="A55" s="13"/>
    </row>
    <row r="56" spans="1:7" ht="13.5" customHeight="1">
      <c r="A56" s="13"/>
    </row>
    <row r="57" spans="1:7" ht="13.5" customHeight="1">
      <c r="A57" s="13"/>
    </row>
    <row r="58" spans="1:7" ht="13.5" customHeight="1">
      <c r="A58" s="13"/>
    </row>
    <row r="59" spans="1:7" ht="13.5" customHeight="1">
      <c r="A59" s="13"/>
      <c r="G59" s="4"/>
    </row>
    <row r="60" spans="1:7" ht="13.5" customHeight="1">
      <c r="A60" s="13"/>
    </row>
    <row r="61" spans="1:7" ht="13.5" customHeight="1">
      <c r="A61" s="13"/>
    </row>
    <row r="62" spans="1:7" ht="13.5" customHeight="1">
      <c r="A62" s="13"/>
    </row>
    <row r="63" spans="1:7" ht="13.5" customHeight="1">
      <c r="A63" s="13"/>
    </row>
    <row r="64" spans="1:7" ht="13.5" customHeight="1">
      <c r="A64" s="13"/>
    </row>
    <row r="65" spans="1:1" ht="13.5" customHeight="1">
      <c r="A65" s="13"/>
    </row>
    <row r="66" spans="1:1" ht="13.5" customHeight="1">
      <c r="A66" s="13"/>
    </row>
    <row r="67" spans="1:1" ht="13.5" customHeight="1">
      <c r="A67" s="13"/>
    </row>
    <row r="68" spans="1:1" ht="13.5" customHeight="1">
      <c r="A68" s="13"/>
    </row>
    <row r="69" spans="1:1" ht="13.5" customHeight="1">
      <c r="A69" s="13"/>
    </row>
    <row r="70" spans="1:1" ht="13.5" customHeight="1">
      <c r="A70" s="13"/>
    </row>
    <row r="71" spans="1:1" ht="13.5" customHeight="1">
      <c r="A71" s="13"/>
    </row>
    <row r="72" spans="1:1" ht="13.5" customHeight="1">
      <c r="A72" s="13"/>
    </row>
    <row r="73" spans="1:1" ht="13.5" customHeight="1">
      <c r="A73" s="13"/>
    </row>
    <row r="74" spans="1:1" ht="13.5" customHeight="1">
      <c r="A74" s="13"/>
    </row>
    <row r="75" spans="1:1" ht="13.5" customHeight="1">
      <c r="A75" s="13"/>
    </row>
    <row r="76" spans="1:1" ht="13.5" customHeight="1">
      <c r="A76" s="13"/>
    </row>
    <row r="77" spans="1:1" ht="13.5" customHeight="1">
      <c r="A77" s="13"/>
    </row>
    <row r="78" spans="1:1" ht="13.5" customHeight="1">
      <c r="A78" s="13"/>
    </row>
    <row r="79" spans="1:1" ht="13.5" customHeight="1">
      <c r="A79" s="13"/>
    </row>
    <row r="80" spans="1:1" ht="13.5" customHeight="1">
      <c r="A80" s="13"/>
    </row>
    <row r="81" spans="1:1" ht="13.5" customHeight="1">
      <c r="A81" s="13"/>
    </row>
    <row r="82" spans="1:1" ht="13.5" customHeight="1">
      <c r="A82" s="13"/>
    </row>
    <row r="83" spans="1:1" ht="13.5" customHeight="1">
      <c r="A83" s="13"/>
    </row>
    <row r="84" spans="1:1" ht="13.5" customHeight="1">
      <c r="A84" s="13"/>
    </row>
    <row r="85" spans="1:1" ht="13.5" customHeight="1">
      <c r="A85" s="13"/>
    </row>
    <row r="86" spans="1:1" ht="13.5" customHeight="1">
      <c r="A86" s="13"/>
    </row>
    <row r="87" spans="1:1" ht="13.5" customHeight="1">
      <c r="A87" s="13"/>
    </row>
    <row r="88" spans="1:1" ht="13.5" customHeight="1">
      <c r="A88" s="13"/>
    </row>
    <row r="89" spans="1:1" ht="13.5" customHeight="1">
      <c r="A89" s="13"/>
    </row>
    <row r="90" spans="1:1" ht="13.5" customHeight="1">
      <c r="A90" s="13"/>
    </row>
    <row r="91" spans="1:1" ht="13.5" customHeight="1">
      <c r="A91" s="13"/>
    </row>
    <row r="92" spans="1:1" ht="13.5" customHeight="1">
      <c r="A92" s="13"/>
    </row>
    <row r="93" spans="1:1" ht="13.5" customHeight="1">
      <c r="A93" s="13"/>
    </row>
    <row r="94" spans="1:1" ht="13.5" customHeight="1">
      <c r="A94" s="13"/>
    </row>
    <row r="95" spans="1:1" ht="13.5" customHeight="1">
      <c r="A95" s="13"/>
    </row>
    <row r="96" spans="1:1" ht="13.5" customHeight="1">
      <c r="A96" s="13"/>
    </row>
    <row r="97" spans="1:1" ht="13.5" customHeight="1">
      <c r="A97" s="13"/>
    </row>
    <row r="98" spans="1:1" ht="13.5" customHeight="1">
      <c r="A98" s="13"/>
    </row>
    <row r="99" spans="1:1" ht="13.5" customHeight="1">
      <c r="A99" s="13"/>
    </row>
    <row r="100" spans="1:1" ht="13.5" customHeight="1">
      <c r="A100" s="13"/>
    </row>
    <row r="101" spans="1:1" ht="13.5" customHeight="1">
      <c r="A101" s="13"/>
    </row>
    <row r="102" spans="1:1" ht="13.5" customHeight="1">
      <c r="A102" s="13"/>
    </row>
    <row r="103" spans="1:1" ht="13.5" customHeight="1">
      <c r="A103" s="13"/>
    </row>
    <row r="104" spans="1:1" ht="13.5" customHeight="1">
      <c r="A104" s="13"/>
    </row>
    <row r="105" spans="1:1" ht="13.5" customHeight="1">
      <c r="A105" s="13"/>
    </row>
    <row r="106" spans="1:1" ht="13.5" customHeight="1">
      <c r="A106" s="13"/>
    </row>
    <row r="107" spans="1:1" ht="13.5" customHeight="1">
      <c r="A107" s="13"/>
    </row>
    <row r="108" spans="1:1" ht="13.5" customHeight="1">
      <c r="A108" s="13"/>
    </row>
    <row r="109" spans="1:1" ht="13.5" customHeight="1">
      <c r="A109" s="13"/>
    </row>
    <row r="110" spans="1:1" ht="13.5" customHeight="1">
      <c r="A110" s="13"/>
    </row>
    <row r="111" spans="1:1" ht="13.5" customHeight="1">
      <c r="A111" s="13"/>
    </row>
    <row r="112" spans="1:1" ht="13.5" customHeight="1">
      <c r="A112" s="13"/>
    </row>
    <row r="113" spans="1:1" ht="13.5" customHeight="1">
      <c r="A113" s="13"/>
    </row>
    <row r="114" spans="1:1" ht="13.5" customHeight="1">
      <c r="A114" s="13"/>
    </row>
    <row r="115" spans="1:1" ht="13.5" customHeight="1">
      <c r="A115" s="13"/>
    </row>
    <row r="116" spans="1:1" ht="13.5" customHeight="1">
      <c r="A116" s="13"/>
    </row>
    <row r="117" spans="1:1" ht="13.5" customHeight="1">
      <c r="A117" s="13"/>
    </row>
    <row r="118" spans="1:1" ht="13.5" customHeight="1">
      <c r="A118" s="13"/>
    </row>
    <row r="119" spans="1:1" ht="13.5" customHeight="1">
      <c r="A119" s="13"/>
    </row>
    <row r="120" spans="1:1" ht="13.5" customHeight="1">
      <c r="A120" s="13"/>
    </row>
    <row r="121" spans="1:1" ht="13.5" customHeight="1">
      <c r="A121" s="13"/>
    </row>
    <row r="122" spans="1:1" ht="13.5" customHeight="1">
      <c r="A122" s="13"/>
    </row>
    <row r="123" spans="1:1" ht="13.5" customHeight="1">
      <c r="A123" s="13"/>
    </row>
    <row r="124" spans="1:1" ht="13.5" customHeight="1">
      <c r="A124" s="13"/>
    </row>
    <row r="125" spans="1:1" ht="13.5" customHeight="1">
      <c r="A125" s="13"/>
    </row>
    <row r="126" spans="1:1" ht="13.5" customHeight="1">
      <c r="A126" s="13"/>
    </row>
    <row r="127" spans="1:1" ht="13.5" customHeight="1">
      <c r="A127" s="13"/>
    </row>
    <row r="128" spans="1:1" ht="13.5" customHeight="1">
      <c r="A128" s="13"/>
    </row>
    <row r="129" spans="1:1" ht="13.5" customHeight="1">
      <c r="A129" s="13"/>
    </row>
    <row r="130" spans="1:1" ht="13.5" customHeight="1">
      <c r="A130" s="13"/>
    </row>
    <row r="131" spans="1:1" ht="13.5" customHeight="1">
      <c r="A131" s="13"/>
    </row>
    <row r="132" spans="1:1" ht="13.5" customHeight="1">
      <c r="A132" s="13"/>
    </row>
    <row r="133" spans="1:1" ht="13.5" customHeight="1">
      <c r="A133" s="13"/>
    </row>
    <row r="134" spans="1:1" ht="13.5" customHeight="1">
      <c r="A134" s="13"/>
    </row>
    <row r="135" spans="1:1" ht="13.5" customHeight="1">
      <c r="A135" s="13"/>
    </row>
    <row r="136" spans="1:1" ht="13.5" customHeight="1">
      <c r="A136" s="13"/>
    </row>
    <row r="137" spans="1:1" ht="13.5" customHeight="1">
      <c r="A137" s="13"/>
    </row>
    <row r="138" spans="1:1" ht="13.5" customHeight="1">
      <c r="A138" s="13"/>
    </row>
    <row r="139" spans="1:1" ht="13.5" customHeight="1">
      <c r="A139" s="13"/>
    </row>
    <row r="140" spans="1:1" ht="13.5" customHeight="1">
      <c r="A140" s="13"/>
    </row>
    <row r="141" spans="1:1" ht="13.5" customHeight="1">
      <c r="A141" s="13"/>
    </row>
    <row r="142" spans="1:1" ht="13.5" customHeight="1">
      <c r="A142" s="13"/>
    </row>
    <row r="143" spans="1:1" ht="13.5" customHeight="1">
      <c r="A143" s="13"/>
    </row>
    <row r="144" spans="1:1" ht="13.5" customHeight="1">
      <c r="A144" s="13"/>
    </row>
    <row r="145" spans="1:1" ht="13.5" customHeight="1">
      <c r="A145" s="13"/>
    </row>
    <row r="146" spans="1:1" ht="13.5" customHeight="1">
      <c r="A146" s="13"/>
    </row>
    <row r="147" spans="1:1" ht="13.5" customHeight="1">
      <c r="A147" s="13"/>
    </row>
    <row r="148" spans="1:1" ht="13.5" customHeight="1">
      <c r="A148" s="13"/>
    </row>
    <row r="149" spans="1:1" ht="13.5" customHeight="1">
      <c r="A149" s="13"/>
    </row>
    <row r="150" spans="1:1" ht="13.5" customHeight="1">
      <c r="A150" s="13"/>
    </row>
    <row r="151" spans="1:1" ht="13.5" customHeight="1">
      <c r="A151" s="13"/>
    </row>
    <row r="152" spans="1:1" ht="13.5" customHeight="1">
      <c r="A152" s="13"/>
    </row>
    <row r="153" spans="1:1" ht="13.5" customHeight="1">
      <c r="A153" s="13"/>
    </row>
    <row r="154" spans="1:1" ht="13.5" customHeight="1">
      <c r="A154" s="13"/>
    </row>
    <row r="155" spans="1:1" ht="13.5" customHeight="1">
      <c r="A155" s="13"/>
    </row>
    <row r="156" spans="1:1" ht="13.5" customHeight="1">
      <c r="A156" s="13"/>
    </row>
    <row r="157" spans="1:1" ht="13.5" customHeight="1">
      <c r="A157" s="13"/>
    </row>
    <row r="158" spans="1:1" ht="13.5" customHeight="1">
      <c r="A158" s="13"/>
    </row>
    <row r="159" spans="1:1" ht="13.5" customHeight="1">
      <c r="A159" s="13"/>
    </row>
    <row r="160" spans="1:1" ht="13.5" customHeight="1">
      <c r="A160" s="13"/>
    </row>
    <row r="161" spans="1:1" ht="13.5" customHeight="1">
      <c r="A161" s="13"/>
    </row>
    <row r="162" spans="1:1" ht="13.5" customHeight="1">
      <c r="A162" s="13"/>
    </row>
    <row r="163" spans="1:1" ht="13.5" customHeight="1">
      <c r="A163" s="13"/>
    </row>
    <row r="164" spans="1:1" ht="13.5" customHeight="1">
      <c r="A164" s="13"/>
    </row>
    <row r="165" spans="1:1" ht="13.5" customHeight="1">
      <c r="A165" s="13"/>
    </row>
    <row r="166" spans="1:1" ht="13.5" customHeight="1">
      <c r="A166" s="13"/>
    </row>
    <row r="167" spans="1:1" ht="13.5" customHeight="1">
      <c r="A167" s="13"/>
    </row>
    <row r="168" spans="1:1" ht="13.5" customHeight="1">
      <c r="A168" s="13"/>
    </row>
    <row r="169" spans="1:1" ht="13.5" customHeight="1">
      <c r="A169" s="13"/>
    </row>
    <row r="170" spans="1:1" ht="13.5" customHeight="1">
      <c r="A170" s="13"/>
    </row>
    <row r="171" spans="1:1" ht="13.5" customHeight="1">
      <c r="A171" s="13"/>
    </row>
    <row r="172" spans="1:1" ht="13.5" customHeight="1">
      <c r="A172" s="13"/>
    </row>
    <row r="173" spans="1:1" ht="13.5" customHeight="1">
      <c r="A173" s="13"/>
    </row>
    <row r="174" spans="1:1" ht="13.5" customHeight="1">
      <c r="A174" s="13"/>
    </row>
    <row r="175" spans="1:1" ht="13.5" customHeight="1">
      <c r="A175" s="13"/>
    </row>
    <row r="176" spans="1:1" ht="13.5" customHeight="1">
      <c r="A176" s="13"/>
    </row>
    <row r="177" spans="1:1" ht="13.5" customHeight="1">
      <c r="A177" s="13"/>
    </row>
    <row r="178" spans="1:1" ht="13.5" customHeight="1">
      <c r="A178" s="13"/>
    </row>
    <row r="179" spans="1:1" ht="13.5" customHeight="1">
      <c r="A179" s="13"/>
    </row>
    <row r="180" spans="1:1" ht="13.5" customHeight="1">
      <c r="A180" s="13"/>
    </row>
    <row r="181" spans="1:1" ht="13.5" customHeight="1">
      <c r="A181" s="13"/>
    </row>
    <row r="182" spans="1:1" ht="13.5" customHeight="1">
      <c r="A182" s="13"/>
    </row>
    <row r="183" spans="1:1" ht="13.5" customHeight="1">
      <c r="A183" s="13"/>
    </row>
    <row r="184" spans="1:1" ht="13.5" customHeight="1">
      <c r="A184" s="13"/>
    </row>
    <row r="185" spans="1:1" ht="13.5" customHeight="1">
      <c r="A185" s="13"/>
    </row>
    <row r="186" spans="1:1" ht="13.5" customHeight="1">
      <c r="A186" s="13"/>
    </row>
    <row r="187" spans="1:1" ht="13.5" customHeight="1">
      <c r="A187" s="13"/>
    </row>
    <row r="188" spans="1:1" ht="13.5" customHeight="1">
      <c r="A188" s="13"/>
    </row>
    <row r="189" spans="1:1" ht="13.5" customHeight="1">
      <c r="A189" s="13"/>
    </row>
    <row r="190" spans="1:1" ht="13.5" customHeight="1">
      <c r="A190" s="13"/>
    </row>
    <row r="191" spans="1:1" ht="13.5" customHeight="1">
      <c r="A191" s="13"/>
    </row>
    <row r="192" spans="1:1" ht="13.5" customHeight="1">
      <c r="A192" s="13"/>
    </row>
    <row r="193" spans="1:1" ht="13.5" customHeight="1">
      <c r="A193" s="13"/>
    </row>
    <row r="194" spans="1:1" ht="13.5" customHeight="1">
      <c r="A194" s="13"/>
    </row>
    <row r="195" spans="1:1" ht="13.5" customHeight="1">
      <c r="A195" s="13"/>
    </row>
    <row r="196" spans="1:1" ht="13.5" customHeight="1">
      <c r="A196" s="13"/>
    </row>
    <row r="197" spans="1:1" ht="13.5" customHeight="1">
      <c r="A197" s="13"/>
    </row>
    <row r="198" spans="1:1" ht="13.5" customHeight="1">
      <c r="A198" s="13"/>
    </row>
    <row r="199" spans="1:1" ht="13.5" customHeight="1">
      <c r="A199" s="13"/>
    </row>
    <row r="200" spans="1:1" ht="13.5" customHeight="1">
      <c r="A200" s="13"/>
    </row>
    <row r="201" spans="1:1" ht="13.5" customHeight="1">
      <c r="A201" s="13"/>
    </row>
    <row r="202" spans="1:1" ht="13.5" customHeight="1">
      <c r="A202" s="13"/>
    </row>
    <row r="203" spans="1:1" ht="13.5" customHeight="1">
      <c r="A203" s="13"/>
    </row>
    <row r="204" spans="1:1" ht="13.5" customHeight="1">
      <c r="A204" s="13"/>
    </row>
    <row r="205" spans="1:1" ht="13.5" customHeight="1">
      <c r="A205" s="13"/>
    </row>
    <row r="206" spans="1:1" ht="13.5" customHeight="1">
      <c r="A206" s="13"/>
    </row>
    <row r="207" spans="1:1" ht="13.5" customHeight="1">
      <c r="A207" s="13"/>
    </row>
    <row r="208" spans="1:1" ht="13.5" customHeight="1">
      <c r="A208" s="13"/>
    </row>
    <row r="209" spans="1:1" ht="13.5" customHeight="1">
      <c r="A209" s="13"/>
    </row>
    <row r="210" spans="1:1" ht="13.5" customHeight="1">
      <c r="A210" s="13"/>
    </row>
    <row r="211" spans="1:1" ht="13.5" customHeight="1">
      <c r="A211" s="13"/>
    </row>
    <row r="212" spans="1:1" ht="13.5" customHeight="1">
      <c r="A212" s="13"/>
    </row>
    <row r="213" spans="1:1" ht="13.5" customHeight="1">
      <c r="A213" s="13"/>
    </row>
    <row r="214" spans="1:1" ht="13.5" customHeight="1">
      <c r="A214" s="13"/>
    </row>
    <row r="215" spans="1:1" ht="13.5" customHeight="1">
      <c r="A215" s="13"/>
    </row>
    <row r="216" spans="1:1" ht="13.5" customHeight="1">
      <c r="A216" s="13"/>
    </row>
    <row r="217" spans="1:1" ht="13.5" customHeight="1">
      <c r="A217" s="13"/>
    </row>
    <row r="218" spans="1:1" ht="13.5" customHeight="1">
      <c r="A218" s="13"/>
    </row>
    <row r="219" spans="1:1" ht="13.5" customHeight="1">
      <c r="A219" s="13"/>
    </row>
    <row r="220" spans="1:1" ht="13.5" customHeight="1">
      <c r="A220" s="13"/>
    </row>
    <row r="221" spans="1:1" ht="13.5" customHeight="1">
      <c r="A221" s="13"/>
    </row>
    <row r="222" spans="1:1" ht="13.5" customHeight="1">
      <c r="A222" s="13"/>
    </row>
    <row r="223" spans="1:1" ht="13.5" customHeight="1">
      <c r="A223" s="13"/>
    </row>
    <row r="224" spans="1:1" ht="13.5" customHeight="1">
      <c r="A224" s="13"/>
    </row>
    <row r="225" spans="1:1" ht="13.5" customHeight="1">
      <c r="A225" s="13"/>
    </row>
    <row r="226" spans="1:1" ht="13.5" customHeight="1">
      <c r="A226" s="13"/>
    </row>
    <row r="227" spans="1:1" ht="13.5" customHeight="1">
      <c r="A227" s="13"/>
    </row>
    <row r="228" spans="1:1" ht="13.5" customHeight="1">
      <c r="A228" s="13"/>
    </row>
    <row r="229" spans="1:1" ht="13.5" customHeight="1">
      <c r="A229" s="13"/>
    </row>
    <row r="230" spans="1:1" ht="13.5" customHeight="1">
      <c r="A230" s="13"/>
    </row>
    <row r="231" spans="1:1" ht="13.5" customHeight="1">
      <c r="A231" s="13"/>
    </row>
    <row r="232" spans="1:1" ht="13.5" customHeight="1">
      <c r="A232" s="13"/>
    </row>
    <row r="233" spans="1:1" ht="13.5" customHeight="1">
      <c r="A233" s="13"/>
    </row>
    <row r="234" spans="1:1" ht="13.5" customHeight="1">
      <c r="A234" s="13"/>
    </row>
    <row r="235" spans="1:1" ht="13.5" customHeight="1">
      <c r="A235" s="13"/>
    </row>
    <row r="236" spans="1:1" ht="13.5" customHeight="1">
      <c r="A236" s="13"/>
    </row>
    <row r="237" spans="1:1" ht="13.5" customHeight="1">
      <c r="A237" s="13"/>
    </row>
    <row r="238" spans="1:1" ht="13.5" customHeight="1">
      <c r="A238" s="13"/>
    </row>
    <row r="239" spans="1:1" ht="13.5" customHeight="1">
      <c r="A239" s="13"/>
    </row>
    <row r="240" spans="1:1" ht="13.5" customHeight="1">
      <c r="A240" s="13"/>
    </row>
    <row r="241" spans="1:1" ht="13.5" customHeight="1">
      <c r="A241" s="13"/>
    </row>
    <row r="242" spans="1:1" ht="13.5" customHeight="1">
      <c r="A242" s="13"/>
    </row>
    <row r="243" spans="1:1" ht="13.5" customHeight="1">
      <c r="A243" s="13"/>
    </row>
    <row r="244" spans="1:1" ht="13.5" customHeight="1">
      <c r="A244" s="13"/>
    </row>
    <row r="245" spans="1:1" ht="13.5" customHeight="1">
      <c r="A245" s="13"/>
    </row>
    <row r="246" spans="1:1" ht="13.5" customHeight="1">
      <c r="A246" s="13"/>
    </row>
    <row r="247" spans="1:1" ht="13.5" customHeight="1">
      <c r="A247" s="13"/>
    </row>
    <row r="248" spans="1:1" ht="13.5" customHeight="1">
      <c r="A248" s="13"/>
    </row>
    <row r="249" spans="1:1" ht="13.5" customHeight="1">
      <c r="A249" s="13"/>
    </row>
    <row r="250" spans="1:1" ht="13.5" customHeight="1">
      <c r="A250" s="13"/>
    </row>
    <row r="251" spans="1:1" ht="13.5" customHeight="1">
      <c r="A251" s="13"/>
    </row>
    <row r="252" spans="1:1" ht="13.5" customHeight="1">
      <c r="A252" s="13"/>
    </row>
    <row r="253" spans="1:1" ht="13.5" customHeight="1">
      <c r="A253" s="13"/>
    </row>
    <row r="254" spans="1:1" ht="13.5" customHeight="1">
      <c r="A254" s="13"/>
    </row>
    <row r="255" spans="1:1" ht="13.5" customHeight="1">
      <c r="A255" s="13"/>
    </row>
    <row r="256" spans="1:1" ht="13.5" customHeight="1">
      <c r="A256" s="13"/>
    </row>
    <row r="257" spans="1:1" ht="13.5" customHeight="1">
      <c r="A257" s="13"/>
    </row>
    <row r="258" spans="1:1" ht="13.5" customHeight="1">
      <c r="A258" s="13"/>
    </row>
    <row r="259" spans="1:1" ht="13.5" customHeight="1">
      <c r="A259" s="13"/>
    </row>
    <row r="260" spans="1:1" ht="13.5" customHeight="1">
      <c r="A260" s="13"/>
    </row>
    <row r="261" spans="1:1" ht="13.5" customHeight="1">
      <c r="A261" s="13"/>
    </row>
    <row r="262" spans="1:1" ht="13.5" customHeight="1">
      <c r="A262" s="13"/>
    </row>
    <row r="263" spans="1:1" ht="13.5" customHeight="1">
      <c r="A263" s="13"/>
    </row>
    <row r="264" spans="1:1" ht="13.5" customHeight="1">
      <c r="A264" s="13"/>
    </row>
    <row r="265" spans="1:1" ht="13.5" customHeight="1">
      <c r="A265" s="13"/>
    </row>
    <row r="266" spans="1:1" ht="13.5" customHeight="1">
      <c r="A266" s="13"/>
    </row>
    <row r="267" spans="1:1" ht="13.5" customHeight="1">
      <c r="A267" s="13"/>
    </row>
    <row r="268" spans="1:1" ht="13.5" customHeight="1">
      <c r="A268" s="13"/>
    </row>
    <row r="269" spans="1:1" ht="13.5" customHeight="1">
      <c r="A269" s="13"/>
    </row>
    <row r="270" spans="1:1" ht="13.5" customHeight="1">
      <c r="A270" s="13"/>
    </row>
    <row r="271" spans="1:1" ht="13.5" customHeight="1">
      <c r="A271" s="13"/>
    </row>
    <row r="272" spans="1:1" ht="13.5" customHeight="1">
      <c r="A272" s="13"/>
    </row>
    <row r="273" spans="1:1" ht="13.5" customHeight="1">
      <c r="A273" s="13"/>
    </row>
    <row r="274" spans="1:1" ht="13.5" customHeight="1">
      <c r="A274" s="13"/>
    </row>
    <row r="275" spans="1:1" ht="13.5" customHeight="1">
      <c r="A275" s="13"/>
    </row>
    <row r="276" spans="1:1" ht="13.5" customHeight="1">
      <c r="A276" s="13"/>
    </row>
    <row r="277" spans="1:1" ht="13.5" customHeight="1">
      <c r="A277" s="13"/>
    </row>
    <row r="278" spans="1:1" ht="13.5" customHeight="1">
      <c r="A278" s="13"/>
    </row>
    <row r="279" spans="1:1" ht="13.5" customHeight="1">
      <c r="A279" s="13"/>
    </row>
    <row r="280" spans="1:1" ht="13.5" customHeight="1">
      <c r="A280" s="13"/>
    </row>
    <row r="281" spans="1:1" ht="13.5" customHeight="1">
      <c r="A281" s="13"/>
    </row>
    <row r="282" spans="1:1" ht="13.5" customHeight="1">
      <c r="A282" s="13"/>
    </row>
    <row r="283" spans="1:1" ht="13.5" customHeight="1">
      <c r="A283" s="13"/>
    </row>
    <row r="284" spans="1:1" ht="13.5" customHeight="1">
      <c r="A284" s="13"/>
    </row>
    <row r="285" spans="1:1" ht="13.5" customHeight="1">
      <c r="A285" s="13"/>
    </row>
    <row r="286" spans="1:1" ht="13.5" customHeight="1">
      <c r="A286" s="13"/>
    </row>
    <row r="287" spans="1:1" ht="13.5" customHeight="1">
      <c r="A287" s="13"/>
    </row>
    <row r="288" spans="1:1" ht="13.5" customHeight="1">
      <c r="A288" s="13"/>
    </row>
    <row r="289" spans="1:1" ht="13.5" customHeight="1">
      <c r="A289" s="13"/>
    </row>
    <row r="290" spans="1:1" ht="13.5" customHeight="1">
      <c r="A290" s="13"/>
    </row>
    <row r="291" spans="1:1" ht="13.5" customHeight="1">
      <c r="A291" s="13"/>
    </row>
    <row r="292" spans="1:1" ht="13.5" customHeight="1">
      <c r="A292" s="13"/>
    </row>
    <row r="293" spans="1:1" ht="13.5" customHeight="1">
      <c r="A293" s="13"/>
    </row>
    <row r="294" spans="1:1" ht="13.5" customHeight="1">
      <c r="A294" s="13"/>
    </row>
    <row r="295" spans="1:1" ht="13.5" customHeight="1">
      <c r="A295" s="13"/>
    </row>
    <row r="296" spans="1:1" ht="13.5" customHeight="1">
      <c r="A296" s="13"/>
    </row>
    <row r="297" spans="1:1" ht="13.5" customHeight="1">
      <c r="A297" s="13"/>
    </row>
    <row r="298" spans="1:1" ht="13.5" customHeight="1">
      <c r="A298" s="13"/>
    </row>
    <row r="299" spans="1:1" ht="13.5" customHeight="1">
      <c r="A299" s="13"/>
    </row>
    <row r="300" spans="1:1" ht="13.5" customHeight="1">
      <c r="A300" s="13"/>
    </row>
    <row r="301" spans="1:1" ht="13.5" customHeight="1">
      <c r="A301" s="13"/>
    </row>
    <row r="302" spans="1:1" ht="13.5" customHeight="1">
      <c r="A302" s="13"/>
    </row>
    <row r="303" spans="1:1" ht="13.5" customHeight="1">
      <c r="A303" s="13"/>
    </row>
    <row r="304" spans="1:1" ht="13.5" customHeight="1">
      <c r="A304" s="13"/>
    </row>
    <row r="305" spans="1:1" ht="13.5" customHeight="1">
      <c r="A305" s="13"/>
    </row>
    <row r="306" spans="1:1" ht="13.5" customHeight="1">
      <c r="A306" s="13"/>
    </row>
    <row r="307" spans="1:1" ht="13.5" customHeight="1">
      <c r="A307" s="13"/>
    </row>
    <row r="308" spans="1:1" ht="13.5" customHeight="1">
      <c r="A308" s="13"/>
    </row>
    <row r="309" spans="1:1" ht="13.5" customHeight="1">
      <c r="A309" s="13"/>
    </row>
    <row r="310" spans="1:1" ht="13.5" customHeight="1">
      <c r="A310" s="13"/>
    </row>
    <row r="311" spans="1:1" ht="13.5" customHeight="1">
      <c r="A311" s="13"/>
    </row>
    <row r="312" spans="1:1" ht="13.5" customHeight="1">
      <c r="A312" s="13"/>
    </row>
    <row r="313" spans="1:1" ht="13.5" customHeight="1">
      <c r="A313" s="13"/>
    </row>
    <row r="314" spans="1:1" ht="13.5" customHeight="1">
      <c r="A314" s="13"/>
    </row>
    <row r="315" spans="1:1" ht="13.5" customHeight="1">
      <c r="A315" s="13"/>
    </row>
    <row r="316" spans="1:1" ht="13.5" customHeight="1">
      <c r="A316" s="13"/>
    </row>
    <row r="317" spans="1:1" ht="13.5" customHeight="1">
      <c r="A317" s="13"/>
    </row>
    <row r="318" spans="1:1" ht="13.5" customHeight="1">
      <c r="A318" s="13"/>
    </row>
    <row r="319" spans="1:1" ht="13.5" customHeight="1">
      <c r="A319" s="13"/>
    </row>
    <row r="320" spans="1:1" ht="13.5" customHeight="1">
      <c r="A320" s="13"/>
    </row>
    <row r="321" spans="1:1" ht="13.5" customHeight="1">
      <c r="A321" s="13"/>
    </row>
    <row r="322" spans="1:1" ht="13.5" customHeight="1">
      <c r="A322" s="13"/>
    </row>
    <row r="323" spans="1:1" ht="13.5" customHeight="1">
      <c r="A323" s="13"/>
    </row>
    <row r="324" spans="1:1" ht="13.5" customHeight="1">
      <c r="A324" s="13"/>
    </row>
    <row r="325" spans="1:1" ht="13.5" customHeight="1">
      <c r="A325" s="13"/>
    </row>
    <row r="326" spans="1:1" ht="13.5" customHeight="1">
      <c r="A326" s="13"/>
    </row>
    <row r="327" spans="1:1" ht="13.5" customHeight="1">
      <c r="A327" s="13"/>
    </row>
    <row r="328" spans="1:1" ht="13.5" customHeight="1">
      <c r="A328" s="13"/>
    </row>
    <row r="329" spans="1:1" ht="13.5" customHeight="1">
      <c r="A329" s="13"/>
    </row>
    <row r="330" spans="1:1" ht="13.5" customHeight="1">
      <c r="A330" s="13"/>
    </row>
    <row r="331" spans="1:1" ht="13.5" customHeight="1">
      <c r="A331" s="13"/>
    </row>
    <row r="332" spans="1:1" ht="13.5" customHeight="1">
      <c r="A332" s="13"/>
    </row>
    <row r="333" spans="1:1" ht="13.5" customHeight="1">
      <c r="A333" s="13"/>
    </row>
    <row r="334" spans="1:1" ht="13.5" customHeight="1">
      <c r="A334" s="13"/>
    </row>
    <row r="335" spans="1:1" ht="13.5" customHeight="1">
      <c r="A335" s="13"/>
    </row>
    <row r="336" spans="1:1" ht="13.5" customHeight="1">
      <c r="A336" s="13"/>
    </row>
    <row r="337" spans="1:1" ht="13.5" customHeight="1">
      <c r="A337" s="13"/>
    </row>
    <row r="338" spans="1:1" ht="13.5" customHeight="1">
      <c r="A338" s="13"/>
    </row>
    <row r="339" spans="1:1" ht="13.5" customHeight="1">
      <c r="A339" s="13"/>
    </row>
    <row r="340" spans="1:1" ht="13.5" customHeight="1">
      <c r="A340" s="13"/>
    </row>
    <row r="341" spans="1:1" ht="13.5" customHeight="1">
      <c r="A341" s="13"/>
    </row>
    <row r="342" spans="1:1" ht="13.5" customHeight="1">
      <c r="A342" s="13"/>
    </row>
    <row r="343" spans="1:1" ht="13.5" customHeight="1">
      <c r="A343" s="13"/>
    </row>
    <row r="344" spans="1:1" ht="13.5" customHeight="1">
      <c r="A344" s="13"/>
    </row>
    <row r="345" spans="1:1" ht="13.5" customHeight="1">
      <c r="A345" s="13"/>
    </row>
    <row r="346" spans="1:1" ht="13.5" customHeight="1">
      <c r="A346" s="13"/>
    </row>
    <row r="347" spans="1:1" ht="13.5" customHeight="1">
      <c r="A347" s="13"/>
    </row>
    <row r="348" spans="1:1" ht="13.5" customHeight="1">
      <c r="A348" s="13"/>
    </row>
    <row r="349" spans="1:1" ht="13.5" customHeight="1">
      <c r="A349" s="13"/>
    </row>
    <row r="350" spans="1:1" ht="13.5" customHeight="1">
      <c r="A350" s="13"/>
    </row>
    <row r="351" spans="1:1" ht="13.5" customHeight="1">
      <c r="A351" s="13"/>
    </row>
    <row r="352" spans="1:1" ht="13.5" customHeight="1">
      <c r="A352" s="13"/>
    </row>
    <row r="353" spans="1:1" ht="13.5" customHeight="1">
      <c r="A353" s="13"/>
    </row>
    <row r="354" spans="1:1" ht="13.5" customHeight="1">
      <c r="A354" s="13"/>
    </row>
    <row r="355" spans="1:1" ht="13.5" customHeight="1">
      <c r="A355" s="13"/>
    </row>
    <row r="356" spans="1:1" ht="13.5" customHeight="1">
      <c r="A356" s="13"/>
    </row>
    <row r="357" spans="1:1" ht="13.5" customHeight="1">
      <c r="A357" s="13"/>
    </row>
    <row r="358" spans="1:1" ht="13.5" customHeight="1">
      <c r="A358" s="13"/>
    </row>
    <row r="359" spans="1:1" ht="13.5" customHeight="1">
      <c r="A359" s="13"/>
    </row>
    <row r="360" spans="1:1" ht="13.5" customHeight="1">
      <c r="A360" s="13"/>
    </row>
    <row r="361" spans="1:1" ht="13.5" customHeight="1">
      <c r="A361" s="13"/>
    </row>
    <row r="362" spans="1:1" ht="13.5" customHeight="1">
      <c r="A362" s="13"/>
    </row>
    <row r="363" spans="1:1" ht="13.5" customHeight="1">
      <c r="A363" s="13"/>
    </row>
    <row r="364" spans="1:1" ht="13.5" customHeight="1">
      <c r="A364" s="13"/>
    </row>
    <row r="365" spans="1:1" ht="13.5" customHeight="1">
      <c r="A365" s="13"/>
    </row>
    <row r="366" spans="1:1" ht="13.5" customHeight="1">
      <c r="A366" s="13"/>
    </row>
    <row r="367" spans="1:1" ht="13.5" customHeight="1">
      <c r="A367" s="13"/>
    </row>
    <row r="368" spans="1:1" ht="13.5" customHeight="1">
      <c r="A368" s="13"/>
    </row>
    <row r="369" spans="1:1" ht="13.5" customHeight="1">
      <c r="A369" s="13"/>
    </row>
    <row r="370" spans="1:1" ht="13.5" customHeight="1">
      <c r="A370" s="13"/>
    </row>
    <row r="371" spans="1:1" ht="13.5" customHeight="1">
      <c r="A371" s="13"/>
    </row>
    <row r="372" spans="1:1" ht="13.5" customHeight="1">
      <c r="A372" s="13"/>
    </row>
    <row r="373" spans="1:1" ht="13.5" customHeight="1">
      <c r="A373" s="13"/>
    </row>
    <row r="374" spans="1:1" ht="13.5" customHeight="1">
      <c r="A374" s="13"/>
    </row>
    <row r="375" spans="1:1" ht="13.5" customHeight="1">
      <c r="A375" s="13"/>
    </row>
    <row r="376" spans="1:1" ht="13.5" customHeight="1">
      <c r="A376" s="13"/>
    </row>
    <row r="377" spans="1:1" ht="13.5" customHeight="1">
      <c r="A377" s="13"/>
    </row>
    <row r="378" spans="1:1" ht="13.5" customHeight="1">
      <c r="A378" s="13"/>
    </row>
    <row r="379" spans="1:1" ht="13.5" customHeight="1">
      <c r="A379" s="13"/>
    </row>
    <row r="380" spans="1:1" ht="13.5" customHeight="1">
      <c r="A380" s="13"/>
    </row>
    <row r="381" spans="1:1" ht="13.5" customHeight="1">
      <c r="A381" s="13"/>
    </row>
    <row r="382" spans="1:1" ht="13.5" customHeight="1">
      <c r="A382" s="13"/>
    </row>
    <row r="383" spans="1:1" ht="13.5" customHeight="1">
      <c r="A383" s="13"/>
    </row>
    <row r="384" spans="1:1" ht="13.5" customHeight="1">
      <c r="A384" s="13"/>
    </row>
    <row r="385" spans="1:1" ht="13.5" customHeight="1">
      <c r="A385" s="13"/>
    </row>
    <row r="386" spans="1:1" ht="13.5" customHeight="1">
      <c r="A386" s="13"/>
    </row>
    <row r="387" spans="1:1" ht="13.5" customHeight="1">
      <c r="A387" s="13"/>
    </row>
    <row r="388" spans="1:1" ht="13.5" customHeight="1">
      <c r="A388" s="13"/>
    </row>
    <row r="389" spans="1:1" ht="13.5" customHeight="1">
      <c r="A389" s="13"/>
    </row>
    <row r="390" spans="1:1" ht="13.5" customHeight="1">
      <c r="A390" s="13"/>
    </row>
    <row r="391" spans="1:1" ht="13.5" customHeight="1">
      <c r="A391" s="13"/>
    </row>
    <row r="392" spans="1:1" ht="13.5" customHeight="1">
      <c r="A392" s="13"/>
    </row>
    <row r="393" spans="1:1" ht="13.5" customHeight="1">
      <c r="A393" s="13"/>
    </row>
    <row r="394" spans="1:1" ht="13.5" customHeight="1">
      <c r="A394" s="13"/>
    </row>
    <row r="395" spans="1:1" ht="13.5" customHeight="1">
      <c r="A395" s="13"/>
    </row>
    <row r="396" spans="1:1" ht="13.5" customHeight="1">
      <c r="A396" s="13"/>
    </row>
    <row r="397" spans="1:1" ht="13.5" customHeight="1">
      <c r="A397" s="13"/>
    </row>
    <row r="398" spans="1:1" ht="13.5" customHeight="1">
      <c r="A398" s="13"/>
    </row>
    <row r="399" spans="1:1" ht="13.5" customHeight="1">
      <c r="A399" s="13"/>
    </row>
    <row r="400" spans="1:1" ht="13.5" customHeight="1">
      <c r="A400" s="13"/>
    </row>
    <row r="401" spans="1:1" ht="13.5" customHeight="1">
      <c r="A401" s="13"/>
    </row>
    <row r="402" spans="1:1" ht="13.5" customHeight="1">
      <c r="A402" s="13"/>
    </row>
    <row r="403" spans="1:1" ht="13.5" customHeight="1">
      <c r="A403" s="13"/>
    </row>
    <row r="404" spans="1:1" ht="13.5" customHeight="1">
      <c r="A404" s="13"/>
    </row>
    <row r="405" spans="1:1" ht="13.5" customHeight="1">
      <c r="A405" s="13"/>
    </row>
    <row r="406" spans="1:1" ht="13.5" customHeight="1">
      <c r="A406" s="13"/>
    </row>
    <row r="407" spans="1:1" ht="13.5" customHeight="1">
      <c r="A407" s="13"/>
    </row>
    <row r="408" spans="1:1" ht="13.5" customHeight="1">
      <c r="A408" s="13"/>
    </row>
    <row r="409" spans="1:1" ht="13.5" customHeight="1">
      <c r="A409" s="13"/>
    </row>
    <row r="410" spans="1:1" ht="13.5" customHeight="1">
      <c r="A410" s="13"/>
    </row>
    <row r="411" spans="1:1" ht="13.5" customHeight="1">
      <c r="A411" s="13"/>
    </row>
    <row r="412" spans="1:1" ht="13.5" customHeight="1">
      <c r="A412" s="13"/>
    </row>
    <row r="413" spans="1:1" ht="13.5" customHeight="1">
      <c r="A413" s="13"/>
    </row>
    <row r="414" spans="1:1" ht="13.5" customHeight="1">
      <c r="A414" s="13"/>
    </row>
    <row r="415" spans="1:1" ht="13.5" customHeight="1">
      <c r="A415" s="13"/>
    </row>
    <row r="416" spans="1:1" ht="13.5" customHeight="1">
      <c r="A416" s="13"/>
    </row>
    <row r="417" spans="1:1" ht="13.5" customHeight="1">
      <c r="A417" s="13"/>
    </row>
    <row r="418" spans="1:1" ht="13.5" customHeight="1">
      <c r="A418" s="13"/>
    </row>
    <row r="419" spans="1:1" ht="13.5" customHeight="1">
      <c r="A419" s="13"/>
    </row>
    <row r="420" spans="1:1" ht="13.5" customHeight="1">
      <c r="A420" s="13"/>
    </row>
    <row r="421" spans="1:1" ht="13.5" customHeight="1">
      <c r="A421" s="13"/>
    </row>
    <row r="422" spans="1:1" ht="13.5" customHeight="1">
      <c r="A422" s="13"/>
    </row>
    <row r="423" spans="1:1" ht="13.5" customHeight="1">
      <c r="A423" s="13"/>
    </row>
    <row r="424" spans="1:1" ht="13.5" customHeight="1">
      <c r="A424" s="13"/>
    </row>
    <row r="425" spans="1:1" ht="13.5" customHeight="1">
      <c r="A425" s="13"/>
    </row>
    <row r="426" spans="1:1" ht="13.5" customHeight="1">
      <c r="A426" s="13"/>
    </row>
    <row r="427" spans="1:1" ht="13.5" customHeight="1">
      <c r="A427" s="13"/>
    </row>
    <row r="428" spans="1:1" ht="13.5" customHeight="1">
      <c r="A428" s="13"/>
    </row>
    <row r="429" spans="1:1" ht="13.5" customHeight="1">
      <c r="A429" s="13"/>
    </row>
    <row r="430" spans="1:1" ht="13.5" customHeight="1">
      <c r="A430" s="13"/>
    </row>
    <row r="431" spans="1:1" ht="13.5" customHeight="1">
      <c r="A431" s="13"/>
    </row>
    <row r="432" spans="1:1" ht="13.5" customHeight="1">
      <c r="A432" s="13"/>
    </row>
    <row r="433" spans="1:1" ht="13.5" customHeight="1">
      <c r="A433" s="13"/>
    </row>
    <row r="434" spans="1:1" ht="13.5" customHeight="1">
      <c r="A434" s="13"/>
    </row>
    <row r="435" spans="1:1" ht="13.5" customHeight="1">
      <c r="A435" s="13"/>
    </row>
    <row r="436" spans="1:1" ht="13.5" customHeight="1">
      <c r="A436" s="13"/>
    </row>
    <row r="437" spans="1:1" ht="13.5" customHeight="1">
      <c r="A437" s="13"/>
    </row>
    <row r="438" spans="1:1" ht="13.5" customHeight="1">
      <c r="A438" s="13"/>
    </row>
    <row r="439" spans="1:1" ht="13.5" customHeight="1">
      <c r="A439" s="13"/>
    </row>
    <row r="440" spans="1:1" ht="13.5" customHeight="1">
      <c r="A440" s="13"/>
    </row>
    <row r="441" spans="1:1" ht="13.5" customHeight="1">
      <c r="A441" s="13"/>
    </row>
    <row r="442" spans="1:1" ht="13.5" customHeight="1">
      <c r="A442" s="13"/>
    </row>
    <row r="443" spans="1:1" ht="13.5" customHeight="1">
      <c r="A443" s="13"/>
    </row>
    <row r="444" spans="1:1" ht="13.5" customHeight="1">
      <c r="A444" s="13"/>
    </row>
    <row r="445" spans="1:1" ht="13.5" customHeight="1">
      <c r="A445" s="13"/>
    </row>
    <row r="446" spans="1:1" ht="13.5" customHeight="1">
      <c r="A446" s="13"/>
    </row>
    <row r="447" spans="1:1" ht="13.5" customHeight="1">
      <c r="A447" s="13"/>
    </row>
    <row r="448" spans="1:1" ht="13.5" customHeight="1">
      <c r="A448" s="13"/>
    </row>
    <row r="449" spans="1:1" ht="13.5" customHeight="1">
      <c r="A449" s="13"/>
    </row>
    <row r="450" spans="1:1" ht="13.5" customHeight="1">
      <c r="A450" s="13"/>
    </row>
    <row r="451" spans="1:1" ht="13.5" customHeight="1">
      <c r="A451" s="13"/>
    </row>
    <row r="452" spans="1:1" ht="13.5" customHeight="1">
      <c r="A452" s="13"/>
    </row>
    <row r="453" spans="1:1" ht="13.5" customHeight="1">
      <c r="A453" s="13"/>
    </row>
    <row r="454" spans="1:1" ht="13.5" customHeight="1">
      <c r="A454" s="13"/>
    </row>
    <row r="455" spans="1:1" ht="13.5" customHeight="1">
      <c r="A455" s="13"/>
    </row>
    <row r="456" spans="1:1" ht="13.5" customHeight="1">
      <c r="A456" s="13"/>
    </row>
    <row r="457" spans="1:1" ht="13.5" customHeight="1">
      <c r="A457" s="13"/>
    </row>
    <row r="458" spans="1:1" ht="13.5" customHeight="1">
      <c r="A458" s="13"/>
    </row>
    <row r="459" spans="1:1" ht="13.5" customHeight="1">
      <c r="A459" s="13"/>
    </row>
    <row r="460" spans="1:1" ht="13.5" customHeight="1">
      <c r="A460" s="13"/>
    </row>
    <row r="461" spans="1:1" ht="13.5" customHeight="1">
      <c r="A461" s="13"/>
    </row>
    <row r="462" spans="1:1" ht="13.5" customHeight="1">
      <c r="A462" s="13"/>
    </row>
    <row r="463" spans="1:1" ht="13.5" customHeight="1">
      <c r="A463" s="13"/>
    </row>
    <row r="464" spans="1:1" ht="13.5" customHeight="1">
      <c r="A464" s="13"/>
    </row>
    <row r="465" spans="1:1" ht="13.5" customHeight="1">
      <c r="A465" s="13"/>
    </row>
    <row r="466" spans="1:1" ht="13.5" customHeight="1">
      <c r="A466" s="13"/>
    </row>
    <row r="467" spans="1:1" ht="13.5" customHeight="1">
      <c r="A467" s="13"/>
    </row>
    <row r="468" spans="1:1" ht="13.5" customHeight="1">
      <c r="A468" s="13"/>
    </row>
    <row r="469" spans="1:1" ht="13.5" customHeight="1">
      <c r="A469" s="13"/>
    </row>
    <row r="470" spans="1:1" ht="13.5" customHeight="1">
      <c r="A470" s="13"/>
    </row>
    <row r="471" spans="1:1" ht="13.5" customHeight="1">
      <c r="A471" s="13"/>
    </row>
    <row r="472" spans="1:1" ht="13.5" customHeight="1">
      <c r="A472" s="13"/>
    </row>
    <row r="473" spans="1:1" ht="13.5" customHeight="1">
      <c r="A473" s="13"/>
    </row>
    <row r="474" spans="1:1" ht="13.5" customHeight="1">
      <c r="A474" s="13"/>
    </row>
    <row r="475" spans="1:1" ht="13.5" customHeight="1">
      <c r="A475" s="13"/>
    </row>
    <row r="476" spans="1:1" ht="13.5" customHeight="1">
      <c r="A476" s="13"/>
    </row>
    <row r="477" spans="1:1" ht="13.5" customHeight="1">
      <c r="A477" s="13"/>
    </row>
    <row r="478" spans="1:1" ht="13.5" customHeight="1">
      <c r="A478" s="13"/>
    </row>
    <row r="479" spans="1:1" ht="13.5" customHeight="1">
      <c r="A479" s="13"/>
    </row>
    <row r="480" spans="1:1" ht="13.5" customHeight="1">
      <c r="A480" s="13"/>
    </row>
    <row r="481" spans="1:1" ht="13.5" customHeight="1">
      <c r="A481" s="13"/>
    </row>
    <row r="482" spans="1:1" ht="13.5" customHeight="1">
      <c r="A482" s="13"/>
    </row>
    <row r="483" spans="1:1" ht="13.5" customHeight="1">
      <c r="A483" s="13"/>
    </row>
    <row r="484" spans="1:1" ht="13.5" customHeight="1">
      <c r="A484" s="13"/>
    </row>
    <row r="485" spans="1:1" ht="13.5" customHeight="1">
      <c r="A485" s="13"/>
    </row>
    <row r="486" spans="1:1" ht="13.5" customHeight="1">
      <c r="A486" s="13"/>
    </row>
    <row r="487" spans="1:1" ht="13.5" customHeight="1">
      <c r="A487" s="13"/>
    </row>
    <row r="488" spans="1:1" ht="13.5" customHeight="1">
      <c r="A488" s="13"/>
    </row>
    <row r="489" spans="1:1" ht="13.5" customHeight="1">
      <c r="A489" s="13"/>
    </row>
    <row r="490" spans="1:1" ht="13.5" customHeight="1">
      <c r="A490" s="13"/>
    </row>
    <row r="491" spans="1:1" ht="13.5" customHeight="1">
      <c r="A491" s="13"/>
    </row>
    <row r="492" spans="1:1" ht="13.5" customHeight="1">
      <c r="A492" s="13"/>
    </row>
    <row r="493" spans="1:1" ht="13.5" customHeight="1">
      <c r="A493" s="13"/>
    </row>
    <row r="494" spans="1:1" ht="13.5" customHeight="1">
      <c r="A494" s="13"/>
    </row>
    <row r="495" spans="1:1" ht="13.5" customHeight="1">
      <c r="A495" s="13"/>
    </row>
    <row r="496" spans="1:1" ht="13.5" customHeight="1">
      <c r="A496" s="13"/>
    </row>
    <row r="497" spans="1:1" ht="13.5" customHeight="1">
      <c r="A497" s="13"/>
    </row>
    <row r="498" spans="1:1" ht="13.5" customHeight="1">
      <c r="A498" s="13"/>
    </row>
    <row r="499" spans="1:1" ht="13.5" customHeight="1">
      <c r="A499" s="13"/>
    </row>
    <row r="500" spans="1:1" ht="13.5" customHeight="1">
      <c r="A500" s="13"/>
    </row>
    <row r="501" spans="1:1" ht="13.5" customHeight="1">
      <c r="A501" s="13"/>
    </row>
    <row r="502" spans="1:1" ht="13.5" customHeight="1">
      <c r="A502" s="13"/>
    </row>
    <row r="503" spans="1:1" ht="13.5" customHeight="1">
      <c r="A503" s="13"/>
    </row>
    <row r="504" spans="1:1" ht="13.5" customHeight="1">
      <c r="A504" s="13"/>
    </row>
    <row r="505" spans="1:1" ht="13.5" customHeight="1">
      <c r="A505" s="13"/>
    </row>
    <row r="506" spans="1:1" ht="13.5" customHeight="1">
      <c r="A506" s="13"/>
    </row>
    <row r="507" spans="1:1" ht="13.5" customHeight="1">
      <c r="A507" s="13"/>
    </row>
    <row r="508" spans="1:1" ht="13.5" customHeight="1">
      <c r="A508" s="13"/>
    </row>
    <row r="509" spans="1:1" ht="13.5" customHeight="1">
      <c r="A509" s="13"/>
    </row>
    <row r="510" spans="1:1" ht="13.5" customHeight="1">
      <c r="A510" s="13"/>
    </row>
    <row r="511" spans="1:1" ht="13.5" customHeight="1">
      <c r="A511" s="13"/>
    </row>
    <row r="512" spans="1:1" ht="13.5" customHeight="1">
      <c r="A512" s="13"/>
    </row>
    <row r="513" spans="1:1" ht="13.5" customHeight="1">
      <c r="A513" s="13"/>
    </row>
    <row r="514" spans="1:1" ht="13.5" customHeight="1">
      <c r="A514" s="13"/>
    </row>
    <row r="515" spans="1:1" ht="13.5" customHeight="1">
      <c r="A515" s="13"/>
    </row>
    <row r="516" spans="1:1" ht="13.5" customHeight="1">
      <c r="A516" s="13"/>
    </row>
    <row r="517" spans="1:1" ht="13.5" customHeight="1">
      <c r="A517" s="13"/>
    </row>
    <row r="518" spans="1:1" ht="13.5" customHeight="1">
      <c r="A518" s="13"/>
    </row>
    <row r="519" spans="1:1" ht="13.5" customHeight="1">
      <c r="A519" s="13"/>
    </row>
    <row r="520" spans="1:1" ht="13.5" customHeight="1">
      <c r="A520" s="13"/>
    </row>
    <row r="521" spans="1:1" ht="13.5" customHeight="1">
      <c r="A521" s="13"/>
    </row>
    <row r="522" spans="1:1" ht="13.5" customHeight="1">
      <c r="A522" s="13"/>
    </row>
    <row r="523" spans="1:1" ht="13.5" customHeight="1">
      <c r="A523" s="13"/>
    </row>
    <row r="524" spans="1:1" ht="13.5" customHeight="1">
      <c r="A524" s="13"/>
    </row>
    <row r="525" spans="1:1" ht="13.5" customHeight="1">
      <c r="A525" s="13"/>
    </row>
    <row r="526" spans="1:1" ht="13.5" customHeight="1">
      <c r="A526" s="13"/>
    </row>
    <row r="527" spans="1:1" ht="13.5" customHeight="1">
      <c r="A527" s="13"/>
    </row>
    <row r="528" spans="1:1" ht="13.5" customHeight="1">
      <c r="A528" s="13"/>
    </row>
    <row r="529" spans="1:1" ht="13.5" customHeight="1">
      <c r="A529" s="13"/>
    </row>
    <row r="530" spans="1:1" ht="13.5" customHeight="1">
      <c r="A530" s="13"/>
    </row>
    <row r="531" spans="1:1" ht="13.5" customHeight="1">
      <c r="A531" s="13"/>
    </row>
    <row r="532" spans="1:1" ht="13.5" customHeight="1">
      <c r="A532" s="13"/>
    </row>
    <row r="533" spans="1:1" ht="13.5" customHeight="1">
      <c r="A533" s="13"/>
    </row>
    <row r="534" spans="1:1" ht="13.5" customHeight="1">
      <c r="A534" s="13"/>
    </row>
    <row r="535" spans="1:1" ht="13.5" customHeight="1">
      <c r="A535" s="13"/>
    </row>
    <row r="536" spans="1:1" ht="13.5" customHeight="1">
      <c r="A536" s="13"/>
    </row>
    <row r="537" spans="1:1" ht="13.5" customHeight="1">
      <c r="A537" s="13"/>
    </row>
    <row r="538" spans="1:1" ht="13.5" customHeight="1">
      <c r="A538" s="13"/>
    </row>
    <row r="539" spans="1:1" ht="13.5" customHeight="1">
      <c r="A539" s="13"/>
    </row>
    <row r="540" spans="1:1" ht="13.5" customHeight="1">
      <c r="A540" s="13"/>
    </row>
    <row r="541" spans="1:1" ht="13.5" customHeight="1">
      <c r="A541" s="13"/>
    </row>
    <row r="542" spans="1:1" ht="13.5" customHeight="1">
      <c r="A542" s="13"/>
    </row>
    <row r="543" spans="1:1" ht="13.5" customHeight="1">
      <c r="A543" s="13"/>
    </row>
    <row r="544" spans="1:1" ht="13.5" customHeight="1">
      <c r="A544" s="13"/>
    </row>
    <row r="545" spans="1:1" ht="13.5" customHeight="1">
      <c r="A545" s="13"/>
    </row>
    <row r="546" spans="1:1" ht="13.5" customHeight="1">
      <c r="A546" s="13"/>
    </row>
    <row r="547" spans="1:1" ht="13.5" customHeight="1">
      <c r="A547" s="13"/>
    </row>
    <row r="548" spans="1:1" ht="13.5" customHeight="1">
      <c r="A548" s="13"/>
    </row>
    <row r="549" spans="1:1" ht="13.5" customHeight="1">
      <c r="A549" s="13"/>
    </row>
    <row r="550" spans="1:1" ht="13.5" customHeight="1">
      <c r="A550" s="13"/>
    </row>
    <row r="551" spans="1:1" ht="13.5" customHeight="1">
      <c r="A551" s="13"/>
    </row>
    <row r="552" spans="1:1" ht="13.5" customHeight="1">
      <c r="A552" s="13"/>
    </row>
    <row r="553" spans="1:1" ht="13.5" customHeight="1">
      <c r="A553" s="13"/>
    </row>
    <row r="554" spans="1:1" ht="13.5" customHeight="1">
      <c r="A554" s="13"/>
    </row>
    <row r="555" spans="1:1" ht="13.5" customHeight="1">
      <c r="A555" s="13"/>
    </row>
    <row r="556" spans="1:1" ht="13.5" customHeight="1">
      <c r="A556" s="13"/>
    </row>
    <row r="557" spans="1:1" ht="13.5" customHeight="1">
      <c r="A557" s="13"/>
    </row>
    <row r="558" spans="1:1" ht="13.5" customHeight="1">
      <c r="A558" s="13"/>
    </row>
    <row r="559" spans="1:1" ht="13.5" customHeight="1">
      <c r="A559" s="13"/>
    </row>
    <row r="560" spans="1:1" ht="13.5" customHeight="1">
      <c r="A560" s="13"/>
    </row>
    <row r="561" spans="1:1" ht="13.5" customHeight="1">
      <c r="A561" s="13"/>
    </row>
    <row r="562" spans="1:1" ht="13.5" customHeight="1">
      <c r="A562" s="13"/>
    </row>
    <row r="563" spans="1:1" ht="13.5" customHeight="1">
      <c r="A563" s="13"/>
    </row>
    <row r="564" spans="1:1" ht="13.5" customHeight="1">
      <c r="A564" s="13"/>
    </row>
    <row r="565" spans="1:1" ht="13.5" customHeight="1">
      <c r="A565" s="13"/>
    </row>
    <row r="566" spans="1:1" ht="13.5" customHeight="1">
      <c r="A566" s="13"/>
    </row>
    <row r="567" spans="1:1" ht="13.5" customHeight="1">
      <c r="A567" s="13"/>
    </row>
    <row r="568" spans="1:1" ht="13.5" customHeight="1">
      <c r="A568" s="13"/>
    </row>
    <row r="569" spans="1:1" ht="13.5" customHeight="1">
      <c r="A569" s="13"/>
    </row>
    <row r="570" spans="1:1" ht="13.5" customHeight="1">
      <c r="A570" s="13"/>
    </row>
    <row r="571" spans="1:1" ht="13.5" customHeight="1">
      <c r="A571" s="13"/>
    </row>
    <row r="572" spans="1:1" ht="13.5" customHeight="1">
      <c r="A572" s="13"/>
    </row>
    <row r="573" spans="1:1" ht="13.5" customHeight="1">
      <c r="A573" s="13"/>
    </row>
    <row r="574" spans="1:1" ht="13.5" customHeight="1">
      <c r="A574" s="13"/>
    </row>
    <row r="575" spans="1:1" ht="13.5" customHeight="1">
      <c r="A575" s="13"/>
    </row>
    <row r="576" spans="1:1" ht="13.5" customHeight="1">
      <c r="A576" s="13"/>
    </row>
    <row r="577" spans="1:1" ht="13.5" customHeight="1">
      <c r="A577" s="13"/>
    </row>
    <row r="578" spans="1:1" ht="13.5" customHeight="1">
      <c r="A578" s="13"/>
    </row>
    <row r="579" spans="1:1" ht="13.5" customHeight="1">
      <c r="A579" s="13"/>
    </row>
    <row r="580" spans="1:1" ht="13.5" customHeight="1">
      <c r="A580" s="13"/>
    </row>
    <row r="581" spans="1:1" ht="13.5" customHeight="1">
      <c r="A581" s="13"/>
    </row>
    <row r="582" spans="1:1" ht="13.5" customHeight="1">
      <c r="A582" s="13"/>
    </row>
    <row r="583" spans="1:1" ht="13.5" customHeight="1">
      <c r="A583" s="13"/>
    </row>
    <row r="584" spans="1:1" ht="13.5" customHeight="1">
      <c r="A584" s="13"/>
    </row>
    <row r="585" spans="1:1" ht="13.5" customHeight="1">
      <c r="A585" s="13"/>
    </row>
    <row r="586" spans="1:1" ht="13.5" customHeight="1">
      <c r="A586" s="13"/>
    </row>
    <row r="587" spans="1:1" ht="13.5" customHeight="1">
      <c r="A587" s="13"/>
    </row>
    <row r="588" spans="1:1" ht="13.5" customHeight="1">
      <c r="A588" s="13"/>
    </row>
    <row r="589" spans="1:1" ht="13.5" customHeight="1">
      <c r="A589" s="13"/>
    </row>
    <row r="590" spans="1:1" ht="13.5" customHeight="1">
      <c r="A590" s="13"/>
    </row>
    <row r="591" spans="1:1" ht="13.5" customHeight="1">
      <c r="A591" s="13"/>
    </row>
    <row r="592" spans="1:1" ht="13.5" customHeight="1">
      <c r="A592" s="13"/>
    </row>
    <row r="593" spans="1:1" ht="13.5" customHeight="1">
      <c r="A593" s="13"/>
    </row>
    <row r="594" spans="1:1" ht="13.5" customHeight="1">
      <c r="A594" s="13"/>
    </row>
    <row r="595" spans="1:1" ht="13.5" customHeight="1">
      <c r="A595" s="13"/>
    </row>
    <row r="596" spans="1:1" ht="13.5" customHeight="1">
      <c r="A596" s="13"/>
    </row>
    <row r="597" spans="1:1" ht="13.5" customHeight="1">
      <c r="A597" s="13"/>
    </row>
    <row r="598" spans="1:1" ht="13.5" customHeight="1">
      <c r="A598" s="13"/>
    </row>
    <row r="599" spans="1:1" ht="13.5" customHeight="1">
      <c r="A599" s="13"/>
    </row>
    <row r="600" spans="1:1" ht="13.5" customHeight="1">
      <c r="A600" s="13"/>
    </row>
    <row r="601" spans="1:1" ht="13.5" customHeight="1">
      <c r="A601" s="13"/>
    </row>
    <row r="602" spans="1:1" ht="13.5" customHeight="1">
      <c r="A602" s="13"/>
    </row>
    <row r="603" spans="1:1" ht="13.5" customHeight="1">
      <c r="A603" s="13"/>
    </row>
    <row r="604" spans="1:1" ht="13.5" customHeight="1">
      <c r="A604" s="13"/>
    </row>
    <row r="605" spans="1:1" ht="13.5" customHeight="1">
      <c r="A605" s="13"/>
    </row>
    <row r="606" spans="1:1" ht="13.5" customHeight="1">
      <c r="A606" s="13"/>
    </row>
    <row r="607" spans="1:1" ht="13.5" customHeight="1">
      <c r="A607" s="13"/>
    </row>
    <row r="608" spans="1:1" ht="13.5" customHeight="1">
      <c r="A608" s="13"/>
    </row>
    <row r="609" spans="1:1" ht="13.5" customHeight="1">
      <c r="A609" s="13"/>
    </row>
    <row r="610" spans="1:1" ht="13.5" customHeight="1">
      <c r="A610" s="13"/>
    </row>
    <row r="611" spans="1:1" ht="13.5" customHeight="1">
      <c r="A611" s="13"/>
    </row>
    <row r="612" spans="1:1" ht="13.5" customHeight="1">
      <c r="A612" s="13"/>
    </row>
    <row r="613" spans="1:1" ht="13.5" customHeight="1">
      <c r="A613" s="13"/>
    </row>
    <row r="614" spans="1:1" ht="13.5" customHeight="1">
      <c r="A614" s="13"/>
    </row>
    <row r="615" spans="1:1" ht="13.5" customHeight="1">
      <c r="A615" s="13"/>
    </row>
    <row r="616" spans="1:1" ht="13.5" customHeight="1">
      <c r="A616" s="13"/>
    </row>
    <row r="617" spans="1:1" ht="13.5" customHeight="1">
      <c r="A617" s="13"/>
    </row>
    <row r="618" spans="1:1" ht="13.5" customHeight="1">
      <c r="A618" s="13"/>
    </row>
    <row r="619" spans="1:1" ht="13.5" customHeight="1">
      <c r="A619" s="13"/>
    </row>
    <row r="620" spans="1:1" ht="13.5" customHeight="1">
      <c r="A620" s="13"/>
    </row>
    <row r="621" spans="1:1" ht="13.5" customHeight="1">
      <c r="A621" s="13"/>
    </row>
    <row r="622" spans="1:1" ht="13.5" customHeight="1">
      <c r="A622" s="13"/>
    </row>
    <row r="623" spans="1:1" ht="13.5" customHeight="1">
      <c r="A623" s="13"/>
    </row>
    <row r="624" spans="1:1" ht="13.5" customHeight="1">
      <c r="A624" s="13"/>
    </row>
    <row r="625" spans="1:1" ht="13.5" customHeight="1">
      <c r="A625" s="13"/>
    </row>
    <row r="626" spans="1:1" ht="13.5" customHeight="1">
      <c r="A626" s="13"/>
    </row>
    <row r="627" spans="1:1" ht="13.5" customHeight="1">
      <c r="A627" s="13"/>
    </row>
    <row r="628" spans="1:1" ht="13.5" customHeight="1">
      <c r="A628" s="13"/>
    </row>
    <row r="629" spans="1:1" ht="13.5" customHeight="1">
      <c r="A629" s="13"/>
    </row>
    <row r="630" spans="1:1" ht="13.5" customHeight="1">
      <c r="A630" s="13"/>
    </row>
    <row r="631" spans="1:1" ht="13.5" customHeight="1">
      <c r="A631" s="13"/>
    </row>
    <row r="632" spans="1:1" ht="13.5" customHeight="1">
      <c r="A632" s="13"/>
    </row>
    <row r="633" spans="1:1" ht="13.5" customHeight="1">
      <c r="A633" s="13"/>
    </row>
    <row r="634" spans="1:1" ht="13.5" customHeight="1">
      <c r="A634" s="13"/>
    </row>
    <row r="635" spans="1:1" ht="13.5" customHeight="1">
      <c r="A635" s="13"/>
    </row>
    <row r="636" spans="1:1" ht="13.5" customHeight="1">
      <c r="A636" s="13"/>
    </row>
    <row r="637" spans="1:1" ht="13.5" customHeight="1">
      <c r="A637" s="13"/>
    </row>
    <row r="638" spans="1:1" ht="13.5" customHeight="1">
      <c r="A638" s="13"/>
    </row>
    <row r="639" spans="1:1" ht="13.5" customHeight="1">
      <c r="A639" s="13"/>
    </row>
    <row r="640" spans="1:1" ht="13.5" customHeight="1">
      <c r="A640" s="13"/>
    </row>
    <row r="641" spans="1:1" ht="13.5" customHeight="1">
      <c r="A641" s="13"/>
    </row>
    <row r="642" spans="1:1" ht="13.5" customHeight="1">
      <c r="A642" s="13"/>
    </row>
    <row r="643" spans="1:1" ht="13.5" customHeight="1">
      <c r="A643" s="13"/>
    </row>
    <row r="644" spans="1:1" ht="13.5" customHeight="1">
      <c r="A644" s="13"/>
    </row>
    <row r="645" spans="1:1" ht="13.5" customHeight="1">
      <c r="A645" s="13"/>
    </row>
    <row r="646" spans="1:1" ht="13.5" customHeight="1">
      <c r="A646" s="13"/>
    </row>
    <row r="647" spans="1:1" ht="13.5" customHeight="1">
      <c r="A647" s="13"/>
    </row>
    <row r="648" spans="1:1" ht="13.5" customHeight="1">
      <c r="A648" s="13"/>
    </row>
    <row r="649" spans="1:1" ht="13.5" customHeight="1">
      <c r="A649" s="13"/>
    </row>
    <row r="650" spans="1:1" ht="13.5" customHeight="1">
      <c r="A650" s="13"/>
    </row>
    <row r="651" spans="1:1" ht="13.5" customHeight="1">
      <c r="A651" s="13"/>
    </row>
    <row r="652" spans="1:1" ht="13.5" customHeight="1">
      <c r="A652" s="13"/>
    </row>
    <row r="653" spans="1:1" ht="13.5" customHeight="1">
      <c r="A653" s="13"/>
    </row>
    <row r="654" spans="1:1" ht="13.5" customHeight="1">
      <c r="A654" s="13"/>
    </row>
    <row r="655" spans="1:1" ht="13.5" customHeight="1">
      <c r="A655" s="13"/>
    </row>
    <row r="656" spans="1:1" ht="13.5" customHeight="1">
      <c r="A656" s="13"/>
    </row>
    <row r="657" spans="1:1" ht="13.5" customHeight="1">
      <c r="A657" s="13"/>
    </row>
    <row r="658" spans="1:1" ht="13.5" customHeight="1">
      <c r="A658" s="13"/>
    </row>
    <row r="659" spans="1:1" ht="13.5" customHeight="1">
      <c r="A659" s="13"/>
    </row>
    <row r="660" spans="1:1" ht="13.5" customHeight="1">
      <c r="A660" s="13"/>
    </row>
    <row r="661" spans="1:1" ht="13.5" customHeight="1">
      <c r="A661" s="13"/>
    </row>
    <row r="662" spans="1:1" ht="13.5" customHeight="1">
      <c r="A662" s="13"/>
    </row>
    <row r="663" spans="1:1" ht="13.5" customHeight="1">
      <c r="A663" s="13"/>
    </row>
    <row r="664" spans="1:1" ht="13.5" customHeight="1">
      <c r="A664" s="13"/>
    </row>
    <row r="665" spans="1:1" ht="13.5" customHeight="1">
      <c r="A665" s="13"/>
    </row>
    <row r="666" spans="1:1" ht="13.5" customHeight="1">
      <c r="A666" s="13"/>
    </row>
    <row r="667" spans="1:1" ht="13.5" customHeight="1">
      <c r="A667" s="13"/>
    </row>
    <row r="668" spans="1:1" ht="13.5" customHeight="1">
      <c r="A668" s="13"/>
    </row>
    <row r="669" spans="1:1" ht="13.5" customHeight="1">
      <c r="A669" s="13"/>
    </row>
    <row r="670" spans="1:1" ht="13.5" customHeight="1">
      <c r="A670" s="13"/>
    </row>
    <row r="671" spans="1:1" ht="13.5" customHeight="1">
      <c r="A671" s="13"/>
    </row>
    <row r="672" spans="1:1" ht="13.5" customHeight="1">
      <c r="A672" s="13"/>
    </row>
    <row r="673" spans="1:1" ht="13.5" customHeight="1">
      <c r="A673" s="13"/>
    </row>
    <row r="674" spans="1:1" ht="13.5" customHeight="1">
      <c r="A674" s="13"/>
    </row>
    <row r="675" spans="1:1" ht="13.5" customHeight="1">
      <c r="A675" s="13"/>
    </row>
    <row r="676" spans="1:1" ht="13.5" customHeight="1">
      <c r="A676" s="13"/>
    </row>
    <row r="677" spans="1:1" ht="13.5" customHeight="1">
      <c r="A677" s="13"/>
    </row>
    <row r="678" spans="1:1" ht="13.5" customHeight="1">
      <c r="A678" s="13"/>
    </row>
    <row r="679" spans="1:1" ht="13.5" customHeight="1">
      <c r="A679" s="13"/>
    </row>
    <row r="680" spans="1:1" ht="13.5" customHeight="1">
      <c r="A680" s="13"/>
    </row>
    <row r="681" spans="1:1" ht="13.5" customHeight="1">
      <c r="A681" s="13"/>
    </row>
    <row r="682" spans="1:1" ht="13.5" customHeight="1">
      <c r="A682" s="13"/>
    </row>
    <row r="683" spans="1:1" ht="13.5" customHeight="1">
      <c r="A683" s="13"/>
    </row>
    <row r="684" spans="1:1" ht="13.5" customHeight="1">
      <c r="A684" s="13"/>
    </row>
    <row r="685" spans="1:1" ht="13.5" customHeight="1">
      <c r="A685" s="13"/>
    </row>
    <row r="686" spans="1:1" ht="13.5" customHeight="1">
      <c r="A686" s="13"/>
    </row>
    <row r="687" spans="1:1" ht="13.5" customHeight="1">
      <c r="A687" s="13"/>
    </row>
    <row r="688" spans="1:1" ht="13.5" customHeight="1">
      <c r="A688" s="13"/>
    </row>
    <row r="689" spans="1:1" ht="13.5" customHeight="1">
      <c r="A689" s="13"/>
    </row>
    <row r="690" spans="1:1" ht="13.5" customHeight="1">
      <c r="A690" s="13"/>
    </row>
    <row r="691" spans="1:1" ht="13.5" customHeight="1">
      <c r="A691" s="13"/>
    </row>
    <row r="692" spans="1:1" ht="13.5" customHeight="1">
      <c r="A692" s="13"/>
    </row>
    <row r="693" spans="1:1" ht="13.5" customHeight="1">
      <c r="A693" s="13"/>
    </row>
    <row r="694" spans="1:1" ht="13.5" customHeight="1">
      <c r="A694" s="13"/>
    </row>
    <row r="695" spans="1:1" ht="13.5" customHeight="1">
      <c r="A695" s="13"/>
    </row>
    <row r="696" spans="1:1" ht="13.5" customHeight="1">
      <c r="A696" s="13"/>
    </row>
    <row r="697" spans="1:1" ht="13.5" customHeight="1">
      <c r="A697" s="13"/>
    </row>
    <row r="698" spans="1:1" ht="13.5" customHeight="1">
      <c r="A698" s="13"/>
    </row>
    <row r="699" spans="1:1" ht="13.5" customHeight="1">
      <c r="A699" s="13"/>
    </row>
    <row r="700" spans="1:1" ht="13.5" customHeight="1">
      <c r="A700" s="13"/>
    </row>
    <row r="701" spans="1:1" ht="13.5" customHeight="1">
      <c r="A701" s="13"/>
    </row>
    <row r="702" spans="1:1" ht="13.5" customHeight="1">
      <c r="A702" s="13"/>
    </row>
    <row r="703" spans="1:1" ht="13.5" customHeight="1">
      <c r="A703" s="13"/>
    </row>
    <row r="704" spans="1:1" ht="13.5" customHeight="1">
      <c r="A704" s="13"/>
    </row>
    <row r="705" spans="1:1" ht="13.5" customHeight="1">
      <c r="A705" s="13"/>
    </row>
    <row r="706" spans="1:1" ht="13.5" customHeight="1">
      <c r="A706" s="13"/>
    </row>
    <row r="707" spans="1:1" ht="13.5" customHeight="1">
      <c r="A707" s="13"/>
    </row>
    <row r="708" spans="1:1" ht="13.5" customHeight="1">
      <c r="A708" s="13"/>
    </row>
    <row r="709" spans="1:1" ht="13.5" customHeight="1">
      <c r="A709" s="13"/>
    </row>
    <row r="710" spans="1:1" ht="13.5" customHeight="1">
      <c r="A710" s="13"/>
    </row>
    <row r="711" spans="1:1" ht="13.5" customHeight="1">
      <c r="A711" s="13"/>
    </row>
    <row r="712" spans="1:1" ht="13.5" customHeight="1">
      <c r="A712" s="13"/>
    </row>
    <row r="713" spans="1:1" ht="13.5" customHeight="1">
      <c r="A713" s="13"/>
    </row>
    <row r="714" spans="1:1" ht="13.5" customHeight="1">
      <c r="A714" s="13"/>
    </row>
    <row r="715" spans="1:1" ht="13.5" customHeight="1">
      <c r="A715" s="13"/>
    </row>
    <row r="716" spans="1:1" ht="13.5" customHeight="1">
      <c r="A716" s="13"/>
    </row>
    <row r="717" spans="1:1" ht="13.5" customHeight="1">
      <c r="A717" s="13"/>
    </row>
    <row r="718" spans="1:1" ht="13.5" customHeight="1">
      <c r="A718" s="13"/>
    </row>
    <row r="719" spans="1:1" ht="13.5" customHeight="1">
      <c r="A719" s="13"/>
    </row>
    <row r="720" spans="1:1" ht="13.5" customHeight="1">
      <c r="A720" s="13"/>
    </row>
    <row r="721" spans="1:1" ht="13.5" customHeight="1">
      <c r="A721" s="13"/>
    </row>
    <row r="722" spans="1:1" ht="13.5" customHeight="1">
      <c r="A722" s="13"/>
    </row>
    <row r="723" spans="1:1" ht="13.5" customHeight="1">
      <c r="A723" s="13"/>
    </row>
    <row r="724" spans="1:1" ht="13.5" customHeight="1">
      <c r="A724" s="13"/>
    </row>
    <row r="725" spans="1:1" ht="13.5" customHeight="1">
      <c r="A725" s="13"/>
    </row>
    <row r="726" spans="1:1" ht="13.5" customHeight="1">
      <c r="A726" s="13"/>
    </row>
    <row r="727" spans="1:1" ht="13.5" customHeight="1">
      <c r="A727" s="13"/>
    </row>
    <row r="728" spans="1:1" ht="13.5" customHeight="1">
      <c r="A728" s="13"/>
    </row>
    <row r="729" spans="1:1" ht="13.5" customHeight="1">
      <c r="A729" s="13"/>
    </row>
    <row r="730" spans="1:1" ht="13.5" customHeight="1">
      <c r="A730" s="13"/>
    </row>
    <row r="731" spans="1:1" ht="13.5" customHeight="1">
      <c r="A731" s="13"/>
    </row>
    <row r="732" spans="1:1" ht="13.5" customHeight="1">
      <c r="A732" s="13"/>
    </row>
    <row r="733" spans="1:1" ht="13.5" customHeight="1">
      <c r="A733" s="13"/>
    </row>
    <row r="734" spans="1:1" ht="13.5" customHeight="1">
      <c r="A734" s="13"/>
    </row>
    <row r="735" spans="1:1" ht="13.5" customHeight="1">
      <c r="A735" s="13"/>
    </row>
    <row r="736" spans="1:1" ht="13.5" customHeight="1">
      <c r="A736" s="13"/>
    </row>
    <row r="737" spans="1:1" ht="13.5" customHeight="1">
      <c r="A737" s="13"/>
    </row>
    <row r="738" spans="1:1" ht="13.5" customHeight="1">
      <c r="A738" s="13"/>
    </row>
    <row r="739" spans="1:1" ht="13.5" customHeight="1">
      <c r="A739" s="13"/>
    </row>
    <row r="740" spans="1:1" ht="13.5" customHeight="1">
      <c r="A740" s="13"/>
    </row>
    <row r="741" spans="1:1" ht="13.5" customHeight="1">
      <c r="A741" s="13"/>
    </row>
    <row r="742" spans="1:1" ht="13.5" customHeight="1">
      <c r="A742" s="13"/>
    </row>
    <row r="743" spans="1:1" ht="13.5" customHeight="1">
      <c r="A743" s="13"/>
    </row>
    <row r="744" spans="1:1" ht="13.5" customHeight="1">
      <c r="A744" s="13"/>
    </row>
    <row r="745" spans="1:1" ht="13.5" customHeight="1">
      <c r="A745" s="13"/>
    </row>
    <row r="746" spans="1:1" ht="13.5" customHeight="1">
      <c r="A746" s="13"/>
    </row>
    <row r="747" spans="1:1" ht="13.5" customHeight="1">
      <c r="A747" s="13"/>
    </row>
    <row r="748" spans="1:1" ht="13.5" customHeight="1">
      <c r="A748" s="13"/>
    </row>
    <row r="749" spans="1:1" ht="13.5" customHeight="1">
      <c r="A749" s="13"/>
    </row>
    <row r="750" spans="1:1" ht="13.5" customHeight="1">
      <c r="A750" s="13"/>
    </row>
    <row r="751" spans="1:1" ht="13.5" customHeight="1">
      <c r="A751" s="13"/>
    </row>
    <row r="752" spans="1:1" ht="13.5" customHeight="1">
      <c r="A752" s="13"/>
    </row>
    <row r="753" spans="1:1" ht="13.5" customHeight="1">
      <c r="A753" s="13"/>
    </row>
    <row r="754" spans="1:1" ht="13.5" customHeight="1">
      <c r="A754" s="13"/>
    </row>
    <row r="755" spans="1:1" ht="13.5" customHeight="1">
      <c r="A755" s="13"/>
    </row>
    <row r="756" spans="1:1" ht="13.5" customHeight="1">
      <c r="A756" s="13"/>
    </row>
    <row r="757" spans="1:1" ht="13.5" customHeight="1">
      <c r="A757" s="13"/>
    </row>
    <row r="758" spans="1:1" ht="13.5" customHeight="1">
      <c r="A758" s="13"/>
    </row>
    <row r="759" spans="1:1" ht="13.5" customHeight="1">
      <c r="A759" s="13"/>
    </row>
    <row r="760" spans="1:1" ht="13.5" customHeight="1">
      <c r="A760" s="13"/>
    </row>
    <row r="761" spans="1:1" ht="13.5" customHeight="1">
      <c r="A761" s="13"/>
    </row>
    <row r="762" spans="1:1" ht="13.5" customHeight="1">
      <c r="A762" s="13"/>
    </row>
    <row r="763" spans="1:1" ht="13.5" customHeight="1">
      <c r="A763" s="13"/>
    </row>
    <row r="764" spans="1:1" ht="13.5" customHeight="1">
      <c r="A764" s="13"/>
    </row>
    <row r="765" spans="1:1" ht="13.5" customHeight="1">
      <c r="A765" s="13"/>
    </row>
    <row r="766" spans="1:1" ht="13.5" customHeight="1">
      <c r="A766" s="13"/>
    </row>
    <row r="767" spans="1:1" ht="13.5" customHeight="1">
      <c r="A767" s="13"/>
    </row>
    <row r="768" spans="1:1" ht="13.5" customHeight="1">
      <c r="A768" s="13"/>
    </row>
    <row r="769" spans="1:1" ht="13.5" customHeight="1">
      <c r="A769" s="13"/>
    </row>
    <row r="770" spans="1:1" ht="13.5" customHeight="1">
      <c r="A770" s="13"/>
    </row>
    <row r="771" spans="1:1" ht="13.5" customHeight="1">
      <c r="A771" s="13"/>
    </row>
    <row r="772" spans="1:1" ht="13.5" customHeight="1">
      <c r="A772" s="13"/>
    </row>
    <row r="773" spans="1:1" ht="13.5" customHeight="1">
      <c r="A773" s="13"/>
    </row>
    <row r="774" spans="1:1" ht="13.5" customHeight="1">
      <c r="A774" s="13"/>
    </row>
    <row r="775" spans="1:1" ht="13.5" customHeight="1">
      <c r="A775" s="13"/>
    </row>
    <row r="776" spans="1:1" ht="13.5" customHeight="1">
      <c r="A776" s="13"/>
    </row>
    <row r="777" spans="1:1" ht="13.5" customHeight="1">
      <c r="A777" s="13"/>
    </row>
    <row r="778" spans="1:1" ht="13.5" customHeight="1">
      <c r="A778" s="13"/>
    </row>
    <row r="779" spans="1:1" ht="13.5" customHeight="1">
      <c r="A779" s="13"/>
    </row>
    <row r="780" spans="1:1" ht="13.5" customHeight="1">
      <c r="A780" s="13"/>
    </row>
    <row r="781" spans="1:1" ht="13.5" customHeight="1">
      <c r="A781" s="13"/>
    </row>
    <row r="782" spans="1:1" ht="13.5" customHeight="1">
      <c r="A782" s="13"/>
    </row>
    <row r="783" spans="1:1" ht="13.5" customHeight="1">
      <c r="A783" s="13"/>
    </row>
    <row r="784" spans="1:1" ht="13.5" customHeight="1">
      <c r="A784" s="13"/>
    </row>
    <row r="785" spans="1:1" ht="13.5" customHeight="1">
      <c r="A785" s="13"/>
    </row>
    <row r="786" spans="1:1" ht="13.5" customHeight="1">
      <c r="A786" s="13"/>
    </row>
    <row r="787" spans="1:1" ht="13.5" customHeight="1">
      <c r="A787" s="13"/>
    </row>
    <row r="788" spans="1:1" ht="13.5" customHeight="1">
      <c r="A788" s="13"/>
    </row>
    <row r="789" spans="1:1" ht="13.5" customHeight="1">
      <c r="A789" s="13"/>
    </row>
    <row r="790" spans="1:1" ht="13.5" customHeight="1">
      <c r="A790" s="13"/>
    </row>
    <row r="791" spans="1:1" ht="13.5" customHeight="1">
      <c r="A791" s="13"/>
    </row>
    <row r="792" spans="1:1" ht="13.5" customHeight="1">
      <c r="A792" s="13"/>
    </row>
    <row r="793" spans="1:1" ht="13.5" customHeight="1">
      <c r="A793" s="13"/>
    </row>
    <row r="794" spans="1:1" ht="13.5" customHeight="1">
      <c r="A794" s="13"/>
    </row>
    <row r="795" spans="1:1" ht="13.5" customHeight="1">
      <c r="A795" s="13"/>
    </row>
    <row r="796" spans="1:1" ht="13.5" customHeight="1">
      <c r="A796" s="13"/>
    </row>
    <row r="797" spans="1:1" ht="13.5" customHeight="1">
      <c r="A797" s="13"/>
    </row>
    <row r="798" spans="1:1" ht="13.5" customHeight="1">
      <c r="A798" s="13"/>
    </row>
    <row r="799" spans="1:1" ht="13.5" customHeight="1">
      <c r="A799" s="13"/>
    </row>
    <row r="800" spans="1:1" ht="13.5" customHeight="1">
      <c r="A800" s="13"/>
    </row>
    <row r="801" spans="1:1" ht="13.5" customHeight="1">
      <c r="A801" s="13"/>
    </row>
    <row r="802" spans="1:1" ht="13.5" customHeight="1">
      <c r="A802" s="13"/>
    </row>
    <row r="803" spans="1:1" ht="13.5" customHeight="1">
      <c r="A803" s="13"/>
    </row>
    <row r="804" spans="1:1" ht="13.5" customHeight="1">
      <c r="A804" s="13"/>
    </row>
    <row r="805" spans="1:1" ht="13.5" customHeight="1">
      <c r="A805" s="13"/>
    </row>
    <row r="806" spans="1:1" ht="13.5" customHeight="1">
      <c r="A806" s="13"/>
    </row>
    <row r="807" spans="1:1" ht="13.5" customHeight="1">
      <c r="A807" s="13"/>
    </row>
    <row r="808" spans="1:1" ht="13.5" customHeight="1">
      <c r="A808" s="13"/>
    </row>
    <row r="809" spans="1:1" ht="13.5" customHeight="1">
      <c r="A809" s="13"/>
    </row>
    <row r="810" spans="1:1" ht="13.5" customHeight="1">
      <c r="A810" s="13"/>
    </row>
    <row r="811" spans="1:1" ht="13.5" customHeight="1">
      <c r="A811" s="13"/>
    </row>
    <row r="812" spans="1:1" ht="13.5" customHeight="1">
      <c r="A812" s="13"/>
    </row>
    <row r="813" spans="1:1" ht="13.5" customHeight="1">
      <c r="A813" s="13"/>
    </row>
    <row r="814" spans="1:1" ht="13.5" customHeight="1">
      <c r="A814" s="13"/>
    </row>
    <row r="815" spans="1:1" ht="13.5" customHeight="1">
      <c r="A815" s="13"/>
    </row>
    <row r="816" spans="1:1" ht="13.5" customHeight="1">
      <c r="A816" s="13"/>
    </row>
    <row r="817" spans="1:1" ht="13.5" customHeight="1">
      <c r="A817" s="13"/>
    </row>
    <row r="818" spans="1:1" ht="13.5" customHeight="1">
      <c r="A818" s="13"/>
    </row>
    <row r="819" spans="1:1" ht="13.5" customHeight="1">
      <c r="A819" s="13"/>
    </row>
    <row r="820" spans="1:1" ht="13.5" customHeight="1">
      <c r="A820" s="13"/>
    </row>
    <row r="821" spans="1:1" ht="13.5" customHeight="1">
      <c r="A821" s="13"/>
    </row>
    <row r="822" spans="1:1" ht="13.5" customHeight="1">
      <c r="A822" s="13"/>
    </row>
    <row r="823" spans="1:1" ht="13.5" customHeight="1">
      <c r="A823" s="13"/>
    </row>
    <row r="824" spans="1:1" ht="13.5" customHeight="1">
      <c r="A824" s="13"/>
    </row>
    <row r="825" spans="1:1" ht="13.5" customHeight="1">
      <c r="A825" s="13"/>
    </row>
    <row r="826" spans="1:1" ht="13.5" customHeight="1">
      <c r="A826" s="13"/>
    </row>
    <row r="827" spans="1:1" ht="13.5" customHeight="1">
      <c r="A827" s="13"/>
    </row>
    <row r="828" spans="1:1" ht="13.5" customHeight="1">
      <c r="A828" s="13"/>
    </row>
    <row r="829" spans="1:1" ht="13.5" customHeight="1">
      <c r="A829" s="13"/>
    </row>
    <row r="830" spans="1:1" ht="13.5" customHeight="1">
      <c r="A830" s="13"/>
    </row>
    <row r="831" spans="1:1" ht="13.5" customHeight="1">
      <c r="A831" s="13"/>
    </row>
    <row r="832" spans="1:1" ht="13.5" customHeight="1">
      <c r="A832" s="13"/>
    </row>
    <row r="833" spans="1:1" ht="13.5" customHeight="1">
      <c r="A833" s="13"/>
    </row>
    <row r="834" spans="1:1" ht="13.5" customHeight="1">
      <c r="A834" s="13"/>
    </row>
    <row r="835" spans="1:1" ht="13.5" customHeight="1">
      <c r="A835" s="13"/>
    </row>
    <row r="836" spans="1:1" ht="13.5" customHeight="1">
      <c r="A836" s="13"/>
    </row>
    <row r="837" spans="1:1" ht="13.5" customHeight="1">
      <c r="A837" s="13"/>
    </row>
    <row r="838" spans="1:1" ht="13.5" customHeight="1">
      <c r="A838" s="13"/>
    </row>
    <row r="839" spans="1:1" ht="13.5" customHeight="1">
      <c r="A839" s="13"/>
    </row>
    <row r="840" spans="1:1" ht="13.5" customHeight="1">
      <c r="A840" s="13"/>
    </row>
    <row r="841" spans="1:1" ht="13.5" customHeight="1">
      <c r="A841" s="13"/>
    </row>
    <row r="842" spans="1:1" ht="13.5" customHeight="1">
      <c r="A842" s="13"/>
    </row>
    <row r="843" spans="1:1" ht="13.5" customHeight="1">
      <c r="A843" s="13"/>
    </row>
    <row r="844" spans="1:1" ht="13.5" customHeight="1">
      <c r="A844" s="13"/>
    </row>
    <row r="845" spans="1:1" ht="13.5" customHeight="1">
      <c r="A845" s="13"/>
    </row>
    <row r="846" spans="1:1" ht="13.5" customHeight="1">
      <c r="A846" s="13"/>
    </row>
    <row r="847" spans="1:1" ht="13.5" customHeight="1">
      <c r="A847" s="13"/>
    </row>
    <row r="848" spans="1:1" ht="13.5" customHeight="1">
      <c r="A848" s="13"/>
    </row>
    <row r="849" spans="1:1" ht="13.5" customHeight="1">
      <c r="A849" s="13"/>
    </row>
    <row r="850" spans="1:1" ht="13.5" customHeight="1">
      <c r="A850" s="13"/>
    </row>
    <row r="851" spans="1:1" ht="13.5" customHeight="1">
      <c r="A851" s="13"/>
    </row>
    <row r="852" spans="1:1" ht="13.5" customHeight="1">
      <c r="A852" s="13"/>
    </row>
    <row r="853" spans="1:1" ht="13.5" customHeight="1">
      <c r="A853" s="13"/>
    </row>
    <row r="854" spans="1:1" ht="13.5" customHeight="1">
      <c r="A854" s="13"/>
    </row>
    <row r="855" spans="1:1" ht="13.5" customHeight="1">
      <c r="A855" s="13"/>
    </row>
    <row r="856" spans="1:1" ht="13.5" customHeight="1">
      <c r="A856" s="13"/>
    </row>
    <row r="857" spans="1:1" ht="13.5" customHeight="1">
      <c r="A857" s="13"/>
    </row>
    <row r="858" spans="1:1" ht="13.5" customHeight="1">
      <c r="A858" s="13"/>
    </row>
    <row r="859" spans="1:1" ht="13.5" customHeight="1">
      <c r="A859" s="13"/>
    </row>
    <row r="860" spans="1:1" ht="13.5" customHeight="1">
      <c r="A860" s="13"/>
    </row>
    <row r="861" spans="1:1" ht="13.5" customHeight="1">
      <c r="A861" s="13"/>
    </row>
    <row r="862" spans="1:1" ht="13.5" customHeight="1">
      <c r="A862" s="13"/>
    </row>
    <row r="863" spans="1:1" ht="13.5" customHeight="1">
      <c r="A863" s="13"/>
    </row>
    <row r="864" spans="1:1" ht="13.5" customHeight="1">
      <c r="A864" s="13"/>
    </row>
    <row r="865" spans="1:1" ht="13.5" customHeight="1">
      <c r="A865" s="13"/>
    </row>
    <row r="866" spans="1:1" ht="13.5" customHeight="1">
      <c r="A866" s="13"/>
    </row>
    <row r="867" spans="1:1" ht="13.5" customHeight="1">
      <c r="A867" s="13"/>
    </row>
    <row r="868" spans="1:1" ht="13.5" customHeight="1">
      <c r="A868" s="13"/>
    </row>
    <row r="869" spans="1:1" ht="13.5" customHeight="1">
      <c r="A869" s="13"/>
    </row>
    <row r="870" spans="1:1" ht="13.5" customHeight="1">
      <c r="A870" s="13"/>
    </row>
    <row r="871" spans="1:1" ht="13.5" customHeight="1">
      <c r="A871" s="13"/>
    </row>
    <row r="872" spans="1:1" ht="13.5" customHeight="1">
      <c r="A872" s="13"/>
    </row>
    <row r="873" spans="1:1" ht="13.5" customHeight="1">
      <c r="A873" s="13"/>
    </row>
    <row r="874" spans="1:1" ht="13.5" customHeight="1">
      <c r="A874" s="13"/>
    </row>
    <row r="875" spans="1:1" ht="13.5" customHeight="1">
      <c r="A875" s="13"/>
    </row>
    <row r="876" spans="1:1" ht="13.5" customHeight="1">
      <c r="A876" s="13"/>
    </row>
    <row r="877" spans="1:1" ht="13.5" customHeight="1">
      <c r="A877" s="13"/>
    </row>
    <row r="878" spans="1:1" ht="13.5" customHeight="1">
      <c r="A878" s="13"/>
    </row>
    <row r="879" spans="1:1" ht="13.5" customHeight="1">
      <c r="A879" s="13"/>
    </row>
    <row r="880" spans="1:1" ht="13.5" customHeight="1">
      <c r="A880" s="13"/>
    </row>
    <row r="881" spans="1:1" ht="13.5" customHeight="1">
      <c r="A881" s="13"/>
    </row>
    <row r="882" spans="1:1" ht="13.5" customHeight="1">
      <c r="A882" s="13"/>
    </row>
    <row r="883" spans="1:1" ht="13.5" customHeight="1">
      <c r="A883" s="13"/>
    </row>
    <row r="884" spans="1:1" ht="13.5" customHeight="1">
      <c r="A884" s="13"/>
    </row>
    <row r="885" spans="1:1" ht="13.5" customHeight="1">
      <c r="A885" s="13"/>
    </row>
    <row r="886" spans="1:1" ht="13.5" customHeight="1">
      <c r="A886" s="13"/>
    </row>
    <row r="887" spans="1:1" ht="13.5" customHeight="1">
      <c r="A887" s="13"/>
    </row>
    <row r="888" spans="1:1" ht="13.5" customHeight="1">
      <c r="A888" s="13"/>
    </row>
    <row r="889" spans="1:1" ht="13.5" customHeight="1">
      <c r="A889" s="13"/>
    </row>
    <row r="890" spans="1:1" ht="13.5" customHeight="1">
      <c r="A890" s="13"/>
    </row>
    <row r="891" spans="1:1" ht="13.5" customHeight="1">
      <c r="A891" s="13"/>
    </row>
    <row r="892" spans="1:1" ht="13.5" customHeight="1">
      <c r="A892" s="13"/>
    </row>
    <row r="893" spans="1:1" ht="13.5" customHeight="1">
      <c r="A893" s="13"/>
    </row>
    <row r="894" spans="1:1" ht="13.5" customHeight="1">
      <c r="A894" s="13"/>
    </row>
    <row r="895" spans="1:1" ht="13.5" customHeight="1">
      <c r="A895" s="13"/>
    </row>
    <row r="896" spans="1:1" ht="13.5" customHeight="1">
      <c r="A896" s="13"/>
    </row>
    <row r="897" spans="1:1" ht="13.5" customHeight="1">
      <c r="A897" s="13"/>
    </row>
    <row r="898" spans="1:1" ht="13.5" customHeight="1">
      <c r="A898" s="13"/>
    </row>
    <row r="899" spans="1:1" ht="13.5" customHeight="1">
      <c r="A899" s="13"/>
    </row>
    <row r="900" spans="1:1" ht="13.5" customHeight="1">
      <c r="A900" s="13"/>
    </row>
    <row r="901" spans="1:1" ht="13.5" customHeight="1">
      <c r="A901" s="13"/>
    </row>
    <row r="902" spans="1:1" ht="13.5" customHeight="1">
      <c r="A902" s="13"/>
    </row>
    <row r="903" spans="1:1" ht="13.5" customHeight="1">
      <c r="A903" s="13"/>
    </row>
    <row r="904" spans="1:1" ht="13.5" customHeight="1">
      <c r="A904" s="13"/>
    </row>
    <row r="905" spans="1:1" ht="13.5" customHeight="1">
      <c r="A905" s="13"/>
    </row>
    <row r="906" spans="1:1" ht="13.5" customHeight="1">
      <c r="A906" s="13"/>
    </row>
    <row r="907" spans="1:1" ht="13.5" customHeight="1">
      <c r="A907" s="13"/>
    </row>
    <row r="908" spans="1:1" ht="13.5" customHeight="1">
      <c r="A908" s="13"/>
    </row>
    <row r="909" spans="1:1" ht="13.5" customHeight="1">
      <c r="A909" s="13"/>
    </row>
    <row r="910" spans="1:1" ht="13.5" customHeight="1">
      <c r="A910" s="13"/>
    </row>
    <row r="911" spans="1:1" ht="13.5" customHeight="1">
      <c r="A911" s="13"/>
    </row>
    <row r="912" spans="1:1" ht="13.5" customHeight="1">
      <c r="A912" s="13"/>
    </row>
    <row r="913" spans="1:1" ht="13.5" customHeight="1">
      <c r="A913" s="13"/>
    </row>
    <row r="914" spans="1:1" ht="13.5" customHeight="1">
      <c r="A914" s="13"/>
    </row>
    <row r="915" spans="1:1" ht="13.5" customHeight="1">
      <c r="A915" s="13"/>
    </row>
    <row r="916" spans="1:1" ht="13.5" customHeight="1">
      <c r="A916" s="13"/>
    </row>
    <row r="917" spans="1:1" ht="13.5" customHeight="1">
      <c r="A917" s="13"/>
    </row>
    <row r="918" spans="1:1" ht="13.5" customHeight="1">
      <c r="A918" s="13"/>
    </row>
    <row r="919" spans="1:1" ht="13.5" customHeight="1">
      <c r="A919" s="13"/>
    </row>
    <row r="920" spans="1:1" ht="13.5" customHeight="1">
      <c r="A920" s="13"/>
    </row>
    <row r="921" spans="1:1" ht="13.5" customHeight="1">
      <c r="A921" s="13"/>
    </row>
    <row r="922" spans="1:1" ht="13.5" customHeight="1">
      <c r="A922" s="13"/>
    </row>
    <row r="923" spans="1:1" ht="13.5" customHeight="1">
      <c r="A923" s="13"/>
    </row>
    <row r="924" spans="1:1" ht="13.5" customHeight="1">
      <c r="A924" s="13"/>
    </row>
    <row r="925" spans="1:1" ht="13.5" customHeight="1">
      <c r="A925" s="13"/>
    </row>
    <row r="926" spans="1:1" ht="13.5" customHeight="1">
      <c r="A926" s="13"/>
    </row>
    <row r="927" spans="1:1" ht="13.5" customHeight="1">
      <c r="A927" s="13"/>
    </row>
    <row r="928" spans="1:1" ht="13.5" customHeight="1">
      <c r="A928" s="13"/>
    </row>
    <row r="929" spans="1:1" ht="13.5" customHeight="1">
      <c r="A929" s="13"/>
    </row>
    <row r="930" spans="1:1" ht="13.5" customHeight="1">
      <c r="A930" s="13"/>
    </row>
    <row r="931" spans="1:1" ht="13.5" customHeight="1">
      <c r="A931" s="13"/>
    </row>
    <row r="932" spans="1:1" ht="13.5" customHeight="1">
      <c r="A932" s="13"/>
    </row>
    <row r="933" spans="1:1" ht="13.5" customHeight="1">
      <c r="A933" s="13"/>
    </row>
    <row r="934" spans="1:1" ht="13.5" customHeight="1">
      <c r="A934" s="13"/>
    </row>
    <row r="935" spans="1:1" ht="13.5" customHeight="1">
      <c r="A935" s="13"/>
    </row>
    <row r="936" spans="1:1" ht="13.5" customHeight="1">
      <c r="A936" s="13"/>
    </row>
    <row r="937" spans="1:1" ht="13.5" customHeight="1">
      <c r="A937" s="13"/>
    </row>
    <row r="938" spans="1:1" ht="13.5" customHeight="1">
      <c r="A938" s="13"/>
    </row>
    <row r="939" spans="1:1" ht="13.5" customHeight="1">
      <c r="A939" s="13"/>
    </row>
    <row r="940" spans="1:1" ht="13.5" customHeight="1">
      <c r="A940" s="13"/>
    </row>
    <row r="941" spans="1:1" ht="13.5" customHeight="1">
      <c r="A941" s="13"/>
    </row>
    <row r="942" spans="1:1" ht="13.5" customHeight="1">
      <c r="A942" s="13"/>
    </row>
    <row r="943" spans="1:1" ht="13.5" customHeight="1">
      <c r="A943" s="13"/>
    </row>
    <row r="944" spans="1:1" ht="13.5" customHeight="1">
      <c r="A944" s="13"/>
    </row>
    <row r="945" spans="1:1" ht="13.5" customHeight="1">
      <c r="A945" s="13"/>
    </row>
    <row r="946" spans="1:1" ht="13.5" customHeight="1">
      <c r="A946" s="13"/>
    </row>
    <row r="947" spans="1:1" ht="13.5" customHeight="1">
      <c r="A947" s="13"/>
    </row>
    <row r="948" spans="1:1" ht="13.5" customHeight="1">
      <c r="A948" s="13"/>
    </row>
    <row r="949" spans="1:1" ht="13.5" customHeight="1">
      <c r="A949" s="13"/>
    </row>
    <row r="950" spans="1:1" ht="13.5" customHeight="1">
      <c r="A950" s="13"/>
    </row>
    <row r="951" spans="1:1" ht="13.5" customHeight="1">
      <c r="A951" s="13"/>
    </row>
    <row r="952" spans="1:1" ht="13.5" customHeight="1">
      <c r="A952" s="13"/>
    </row>
    <row r="953" spans="1:1" ht="13.5" customHeight="1">
      <c r="A953" s="13"/>
    </row>
    <row r="954" spans="1:1" ht="13.5" customHeight="1">
      <c r="A954" s="13"/>
    </row>
    <row r="955" spans="1:1" ht="13.5" customHeight="1">
      <c r="A955" s="13"/>
    </row>
    <row r="956" spans="1:1" ht="13.5" customHeight="1">
      <c r="A956" s="13"/>
    </row>
    <row r="957" spans="1:1" ht="13.5" customHeight="1">
      <c r="A957" s="13"/>
    </row>
    <row r="958" spans="1:1" ht="13.5" customHeight="1">
      <c r="A958" s="13"/>
    </row>
    <row r="959" spans="1:1" ht="13.5" customHeight="1">
      <c r="A959" s="13"/>
    </row>
    <row r="960" spans="1:1" ht="13.5" customHeight="1">
      <c r="A960" s="13"/>
    </row>
    <row r="961" spans="1:1" ht="13.5" customHeight="1">
      <c r="A961" s="13"/>
    </row>
    <row r="962" spans="1:1" ht="13.5" customHeight="1">
      <c r="A962" s="13"/>
    </row>
    <row r="963" spans="1:1" ht="13.5" customHeight="1">
      <c r="A963" s="13"/>
    </row>
    <row r="964" spans="1:1" ht="13.5" customHeight="1">
      <c r="A964" s="13"/>
    </row>
    <row r="965" spans="1:1" ht="13.5" customHeight="1">
      <c r="A965" s="13"/>
    </row>
    <row r="966" spans="1:1" ht="13.5" customHeight="1">
      <c r="A966" s="13"/>
    </row>
    <row r="967" spans="1:1" ht="13.5" customHeight="1">
      <c r="A967" s="13"/>
    </row>
    <row r="968" spans="1:1" ht="13.5" customHeight="1">
      <c r="A968" s="13"/>
    </row>
    <row r="969" spans="1:1" ht="13.5" customHeight="1">
      <c r="A969" s="13"/>
    </row>
    <row r="970" spans="1:1" ht="13.5" customHeight="1">
      <c r="A970" s="13"/>
    </row>
    <row r="971" spans="1:1" ht="13.5" customHeight="1">
      <c r="A971" s="13"/>
    </row>
    <row r="972" spans="1:1" ht="13.5" customHeight="1">
      <c r="A972" s="13"/>
    </row>
    <row r="973" spans="1:1" ht="13.5" customHeight="1">
      <c r="A973" s="13"/>
    </row>
    <row r="974" spans="1:1" ht="13.5" customHeight="1">
      <c r="A974" s="13"/>
    </row>
    <row r="975" spans="1:1" ht="13.5" customHeight="1">
      <c r="A975" s="13"/>
    </row>
    <row r="976" spans="1:1" ht="13.5" customHeight="1">
      <c r="A976" s="13"/>
    </row>
    <row r="977" spans="1:1" ht="13.5" customHeight="1">
      <c r="A977" s="13"/>
    </row>
    <row r="978" spans="1:1" ht="13.5" customHeight="1">
      <c r="A978" s="13"/>
    </row>
    <row r="979" spans="1:1" ht="13.5" customHeight="1">
      <c r="A979" s="13"/>
    </row>
    <row r="980" spans="1:1" ht="13.5" customHeight="1">
      <c r="A980" s="13"/>
    </row>
    <row r="981" spans="1:1" ht="13.5" customHeight="1">
      <c r="A981" s="13"/>
    </row>
    <row r="982" spans="1:1" ht="13.5" customHeight="1">
      <c r="A982" s="13"/>
    </row>
    <row r="983" spans="1:1" ht="13.5" customHeight="1">
      <c r="A983" s="13"/>
    </row>
    <row r="984" spans="1:1" ht="13.5" customHeight="1">
      <c r="A984" s="13"/>
    </row>
    <row r="985" spans="1:1" ht="13.5" customHeight="1">
      <c r="A985" s="13"/>
    </row>
    <row r="986" spans="1:1" ht="13.5" customHeight="1">
      <c r="A986" s="13"/>
    </row>
    <row r="987" spans="1:1" ht="13.5" customHeight="1">
      <c r="A987" s="13"/>
    </row>
    <row r="988" spans="1:1" ht="13.5" customHeight="1">
      <c r="A988" s="13"/>
    </row>
    <row r="989" spans="1:1" ht="13.5" customHeight="1">
      <c r="A989" s="13"/>
    </row>
    <row r="990" spans="1:1" ht="13.5" customHeight="1">
      <c r="A990" s="13"/>
    </row>
    <row r="991" spans="1:1" ht="13.5" customHeight="1">
      <c r="A991" s="13"/>
    </row>
    <row r="992" spans="1:1" ht="13.5" customHeight="1">
      <c r="A992" s="13"/>
    </row>
    <row r="993" spans="1:1" ht="13.5" customHeight="1">
      <c r="A993" s="13"/>
    </row>
    <row r="994" spans="1:1" ht="13.5" customHeight="1">
      <c r="A994" s="13"/>
    </row>
    <row r="995" spans="1:1" ht="13.5" customHeight="1">
      <c r="A995" s="13"/>
    </row>
    <row r="996" spans="1:1" ht="13.5" customHeight="1">
      <c r="A996" s="13"/>
    </row>
    <row r="997" spans="1:1" ht="13.5" customHeight="1">
      <c r="A997" s="13"/>
    </row>
    <row r="998" spans="1:1" ht="13.5" customHeight="1">
      <c r="A998" s="13"/>
    </row>
    <row r="999" spans="1:1" ht="13.5" customHeight="1">
      <c r="A999" s="13"/>
    </row>
    <row r="1000" spans="1:1" ht="13.5" customHeight="1">
      <c r="A1000" s="13"/>
    </row>
    <row r="1001" spans="1:1" ht="13.5" customHeight="1">
      <c r="A1001" s="13"/>
    </row>
  </sheetData>
  <mergeCells count="35">
    <mergeCell ref="D38:E38"/>
    <mergeCell ref="D33:E33"/>
    <mergeCell ref="D34:E34"/>
    <mergeCell ref="D35:E35"/>
    <mergeCell ref="D36:E36"/>
    <mergeCell ref="D37:E37"/>
    <mergeCell ref="D14:E14"/>
    <mergeCell ref="D15:E15"/>
    <mergeCell ref="D17:E17"/>
    <mergeCell ref="D18:E18"/>
    <mergeCell ref="D16:E16"/>
    <mergeCell ref="D7:E7"/>
    <mergeCell ref="D8:E8"/>
    <mergeCell ref="D9:E9"/>
    <mergeCell ref="A12:E12"/>
    <mergeCell ref="D13:E13"/>
    <mergeCell ref="D10:E10"/>
    <mergeCell ref="A1:E1"/>
    <mergeCell ref="D2:E2"/>
    <mergeCell ref="D3:E3"/>
    <mergeCell ref="D4:E4"/>
    <mergeCell ref="D5:E5"/>
    <mergeCell ref="A30:E30"/>
    <mergeCell ref="D31:E31"/>
    <mergeCell ref="D27:E27"/>
    <mergeCell ref="D28:E28"/>
    <mergeCell ref="D32:E32"/>
    <mergeCell ref="D19:E19"/>
    <mergeCell ref="D23:E23"/>
    <mergeCell ref="D26:E26"/>
    <mergeCell ref="D24:E24"/>
    <mergeCell ref="D25:E25"/>
    <mergeCell ref="D20:E20"/>
    <mergeCell ref="D21:E21"/>
    <mergeCell ref="D22:E22"/>
  </mergeCells>
  <pageMargins left="0.7" right="0.7" top="0.75" bottom="0.75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8">
        <x14:dataValidation type="list" allowBlank="1" showErrorMessage="1" xr:uid="{00000000-0002-0000-0100-000000000000}">
          <x14:formula1>
            <xm:f>'Inputs asociation '!$A$40:$A$44</xm:f>
          </x14:formula1>
          <xm:sqref>B34</xm:sqref>
        </x14:dataValidation>
        <x14:dataValidation type="list" allowBlank="1" showErrorMessage="1" xr:uid="{00000000-0002-0000-0100-000003000000}">
          <x14:formula1>
            <xm:f>Nc_irrigation!$A$13:$A$16</xm:f>
          </x14:formula1>
          <xm:sqref>B33</xm:sqref>
        </x14:dataValidation>
        <x14:dataValidation type="list" allowBlank="1" showErrorMessage="1" xr:uid="{00000000-0002-0000-0100-000004000000}">
          <x14:formula1>
            <xm:f>'Inputs asociation '!$D$20:$D$23</xm:f>
          </x14:formula1>
          <xm:sqref>B9</xm:sqref>
        </x14:dataValidation>
        <x14:dataValidation type="list" allowBlank="1" showErrorMessage="1" xr:uid="{00000000-0002-0000-0100-00000A000000}">
          <x14:formula1>
            <xm:f>'Inputs asociation '!$F$5:$F$16</xm:f>
          </x14:formula1>
          <xm:sqref>B14</xm:sqref>
        </x14:dataValidation>
        <x14:dataValidation type="list" allowBlank="1" showErrorMessage="1" xr:uid="{00000000-0002-0000-0100-00000B000000}">
          <x14:formula1>
            <xm:f>'Inputs asociation '!$F$20:$F$31</xm:f>
          </x14:formula1>
          <xm:sqref>B25</xm:sqref>
        </x14:dataValidation>
        <x14:dataValidation type="list" allowBlank="1" showErrorMessage="1" xr:uid="{00000000-0002-0000-0100-00000D000000}">
          <x14:formula1>
            <xm:f>'Concentration NPK_crop'!$A$8:$A$153</xm:f>
          </x14:formula1>
          <xm:sqref>B3</xm:sqref>
        </x14:dataValidation>
        <x14:dataValidation type="list" allowBlank="1" showErrorMessage="1" xr:uid="{2321AB35-DF44-464D-932F-76D9C3A01E43}">
          <x14:formula1>
            <xm:f>'Data Deni'!$E$25:$E$26</xm:f>
          </x14:formula1>
          <xm:sqref>B16</xm:sqref>
        </x14:dataValidation>
        <x14:dataValidation type="list" allowBlank="1" showErrorMessage="1" xr:uid="{00000000-0002-0000-0100-000009000000}">
          <x14:formula1>
            <xm:f>'Data Deni'!$J$25:$J$26</xm:f>
          </x14:formula1>
          <xm:sqref>B32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theme="5" tint="-0.249977111117893"/>
  </sheetPr>
  <dimension ref="A1:AP1000"/>
  <sheetViews>
    <sheetView topLeftCell="W1" workbookViewId="0">
      <selection activeCell="A8" sqref="A8"/>
    </sheetView>
  </sheetViews>
  <sheetFormatPr baseColWidth="10" defaultColWidth="12.625" defaultRowHeight="15" customHeight="1"/>
  <cols>
    <col min="1" max="1" width="29.875" customWidth="1"/>
    <col min="2" max="2" width="23.875" customWidth="1"/>
    <col min="3" max="3" width="26.5" customWidth="1"/>
    <col min="4" max="4" width="22.75" customWidth="1"/>
    <col min="5" max="5" width="27.375" customWidth="1"/>
    <col min="6" max="6" width="25.375" customWidth="1"/>
    <col min="7" max="7" width="11.75" customWidth="1"/>
    <col min="8" max="8" width="8.375" bestFit="1" customWidth="1"/>
    <col min="9" max="10" width="11" customWidth="1"/>
    <col min="11" max="11" width="18" customWidth="1"/>
    <col min="12" max="35" width="11" customWidth="1"/>
    <col min="36" max="36" width="18.375" bestFit="1" customWidth="1"/>
    <col min="37" max="42" width="11" customWidth="1"/>
  </cols>
  <sheetData>
    <row r="1" spans="1:42" ht="14.25" customHeight="1">
      <c r="A1" s="2">
        <v>1</v>
      </c>
      <c r="B1" s="2">
        <f t="shared" ref="B1:AL1" si="0">A1+1</f>
        <v>2</v>
      </c>
      <c r="C1" s="2">
        <f t="shared" si="0"/>
        <v>3</v>
      </c>
      <c r="D1" s="2">
        <f t="shared" si="0"/>
        <v>4</v>
      </c>
      <c r="E1" s="2">
        <f t="shared" si="0"/>
        <v>5</v>
      </c>
      <c r="F1" s="2">
        <f t="shared" si="0"/>
        <v>6</v>
      </c>
      <c r="G1" s="2">
        <f t="shared" si="0"/>
        <v>7</v>
      </c>
      <c r="H1" s="2">
        <f t="shared" si="0"/>
        <v>8</v>
      </c>
      <c r="I1" s="2">
        <f t="shared" si="0"/>
        <v>9</v>
      </c>
      <c r="J1" s="2">
        <f t="shared" si="0"/>
        <v>10</v>
      </c>
      <c r="K1" s="2">
        <f t="shared" si="0"/>
        <v>11</v>
      </c>
      <c r="L1" s="2">
        <f t="shared" si="0"/>
        <v>12</v>
      </c>
      <c r="M1" s="2">
        <f t="shared" si="0"/>
        <v>13</v>
      </c>
      <c r="N1" s="2">
        <f t="shared" si="0"/>
        <v>14</v>
      </c>
      <c r="O1" s="2">
        <f t="shared" si="0"/>
        <v>15</v>
      </c>
      <c r="P1" s="2">
        <f t="shared" si="0"/>
        <v>16</v>
      </c>
      <c r="Q1" s="2">
        <f t="shared" si="0"/>
        <v>17</v>
      </c>
      <c r="R1" s="2">
        <f t="shared" si="0"/>
        <v>18</v>
      </c>
      <c r="S1" s="2">
        <f t="shared" si="0"/>
        <v>19</v>
      </c>
      <c r="T1" s="2">
        <f t="shared" si="0"/>
        <v>20</v>
      </c>
      <c r="U1" s="2">
        <f t="shared" si="0"/>
        <v>21</v>
      </c>
      <c r="V1" s="2">
        <f t="shared" si="0"/>
        <v>22</v>
      </c>
      <c r="W1" s="2">
        <f t="shared" si="0"/>
        <v>23</v>
      </c>
      <c r="X1" s="2">
        <f t="shared" si="0"/>
        <v>24</v>
      </c>
      <c r="Y1" s="2">
        <f t="shared" si="0"/>
        <v>25</v>
      </c>
      <c r="Z1" s="2">
        <f t="shared" si="0"/>
        <v>26</v>
      </c>
      <c r="AA1" s="2">
        <f t="shared" si="0"/>
        <v>27</v>
      </c>
      <c r="AB1" s="2">
        <f t="shared" si="0"/>
        <v>28</v>
      </c>
      <c r="AC1" s="2">
        <f t="shared" si="0"/>
        <v>29</v>
      </c>
      <c r="AD1" s="2">
        <f t="shared" si="0"/>
        <v>30</v>
      </c>
      <c r="AE1" s="2">
        <f t="shared" si="0"/>
        <v>31</v>
      </c>
      <c r="AF1" s="2">
        <f t="shared" si="0"/>
        <v>32</v>
      </c>
      <c r="AG1" s="2">
        <f t="shared" si="0"/>
        <v>33</v>
      </c>
      <c r="AH1" s="2">
        <f t="shared" si="0"/>
        <v>34</v>
      </c>
      <c r="AI1" s="2">
        <f t="shared" si="0"/>
        <v>35</v>
      </c>
      <c r="AJ1" s="2">
        <f t="shared" si="0"/>
        <v>36</v>
      </c>
      <c r="AK1" s="2">
        <f t="shared" si="0"/>
        <v>37</v>
      </c>
      <c r="AL1" s="2">
        <f t="shared" si="0"/>
        <v>38</v>
      </c>
      <c r="AM1" s="2"/>
      <c r="AN1" s="2"/>
      <c r="AO1" s="2"/>
      <c r="AP1" s="2"/>
    </row>
    <row r="2" spans="1:42" ht="14.25" customHeight="1">
      <c r="A2" s="2"/>
      <c r="B2" s="2"/>
      <c r="C2" s="2"/>
      <c r="D2" s="2"/>
      <c r="E2" s="2"/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>
        <v>14</v>
      </c>
      <c r="T2" s="2">
        <v>15</v>
      </c>
      <c r="U2" s="2">
        <v>16</v>
      </c>
      <c r="V2" s="2">
        <v>17</v>
      </c>
      <c r="W2" s="2">
        <v>18</v>
      </c>
      <c r="X2" s="2">
        <v>19</v>
      </c>
      <c r="Y2" s="2">
        <v>20</v>
      </c>
      <c r="Z2" s="2">
        <v>21</v>
      </c>
      <c r="AA2" s="2">
        <v>22</v>
      </c>
      <c r="AB2" s="2">
        <v>23</v>
      </c>
      <c r="AC2" s="2">
        <v>24</v>
      </c>
      <c r="AD2" s="2">
        <v>25</v>
      </c>
      <c r="AE2" s="2">
        <v>26</v>
      </c>
      <c r="AF2" s="2">
        <v>27</v>
      </c>
      <c r="AG2" s="2">
        <v>28</v>
      </c>
      <c r="AH2" s="2">
        <v>29</v>
      </c>
      <c r="AI2" s="2">
        <v>30</v>
      </c>
      <c r="AJ2" s="2">
        <v>31</v>
      </c>
      <c r="AK2" s="2">
        <v>32</v>
      </c>
      <c r="AL2" s="2">
        <v>33</v>
      </c>
      <c r="AM2" s="2"/>
      <c r="AN2" s="2"/>
      <c r="AO2" s="2"/>
      <c r="AP2" s="2"/>
    </row>
    <row r="3" spans="1:42" ht="14.25" customHeight="1">
      <c r="A3" s="708" t="s">
        <v>75</v>
      </c>
      <c r="B3" s="708" t="s">
        <v>76</v>
      </c>
      <c r="C3" s="708" t="s">
        <v>77</v>
      </c>
      <c r="D3" s="708" t="s">
        <v>78</v>
      </c>
      <c r="E3" s="711" t="s">
        <v>79</v>
      </c>
      <c r="F3" s="711" t="s">
        <v>80</v>
      </c>
      <c r="G3" s="708" t="s">
        <v>81</v>
      </c>
      <c r="H3" s="708" t="s">
        <v>82</v>
      </c>
      <c r="I3" s="709" t="s">
        <v>83</v>
      </c>
      <c r="J3" s="709" t="s">
        <v>84</v>
      </c>
      <c r="K3" s="708" t="s">
        <v>85</v>
      </c>
      <c r="L3" s="708" t="s">
        <v>86</v>
      </c>
      <c r="M3" s="710" t="s">
        <v>87</v>
      </c>
      <c r="N3" s="679"/>
      <c r="O3" s="680"/>
      <c r="P3" s="710" t="s">
        <v>88</v>
      </c>
      <c r="Q3" s="679"/>
      <c r="R3" s="680"/>
      <c r="S3" s="710" t="s">
        <v>89</v>
      </c>
      <c r="T3" s="679"/>
      <c r="U3" s="680"/>
      <c r="V3" s="16"/>
      <c r="W3" s="699" t="s">
        <v>90</v>
      </c>
      <c r="X3" s="700"/>
      <c r="Y3" s="700"/>
      <c r="Z3" s="701"/>
      <c r="AA3" s="702" t="s">
        <v>91</v>
      </c>
      <c r="AB3" s="700"/>
      <c r="AC3" s="701"/>
      <c r="AD3" s="702" t="s">
        <v>92</v>
      </c>
      <c r="AE3" s="700"/>
      <c r="AF3" s="701"/>
      <c r="AG3" s="702" t="s">
        <v>93</v>
      </c>
      <c r="AH3" s="700"/>
      <c r="AI3" s="701"/>
      <c r="AJ3" s="17" t="s">
        <v>83</v>
      </c>
      <c r="AK3" s="17" t="s">
        <v>94</v>
      </c>
      <c r="AL3" s="16" t="s">
        <v>95</v>
      </c>
      <c r="AM3" s="16"/>
      <c r="AN3" s="16"/>
      <c r="AO3" s="16"/>
      <c r="AP3" s="16"/>
    </row>
    <row r="4" spans="1:42" ht="14.25" customHeight="1">
      <c r="A4" s="704"/>
      <c r="B4" s="704"/>
      <c r="C4" s="704"/>
      <c r="D4" s="704"/>
      <c r="E4" s="704"/>
      <c r="F4" s="704"/>
      <c r="G4" s="704"/>
      <c r="H4" s="704"/>
      <c r="I4" s="704"/>
      <c r="J4" s="704"/>
      <c r="K4" s="704"/>
      <c r="L4" s="704"/>
      <c r="M4" s="17" t="s">
        <v>96</v>
      </c>
      <c r="N4" s="17" t="s">
        <v>97</v>
      </c>
      <c r="O4" s="18" t="s">
        <v>98</v>
      </c>
      <c r="P4" s="17" t="s">
        <v>96</v>
      </c>
      <c r="Q4" s="17" t="s">
        <v>97</v>
      </c>
      <c r="R4" s="18" t="s">
        <v>98</v>
      </c>
      <c r="S4" s="19" t="s">
        <v>96</v>
      </c>
      <c r="T4" s="19" t="s">
        <v>97</v>
      </c>
      <c r="U4" s="20" t="s">
        <v>98</v>
      </c>
      <c r="V4" s="20" t="s">
        <v>99</v>
      </c>
      <c r="W4" s="21" t="s">
        <v>96</v>
      </c>
      <c r="X4" s="19" t="s">
        <v>97</v>
      </c>
      <c r="Y4" s="20" t="s">
        <v>98</v>
      </c>
      <c r="Z4" s="22" t="s">
        <v>98</v>
      </c>
      <c r="AA4" s="23" t="s">
        <v>100</v>
      </c>
      <c r="AB4" s="24" t="s">
        <v>101</v>
      </c>
      <c r="AC4" s="22" t="s">
        <v>102</v>
      </c>
      <c r="AD4" s="23" t="s">
        <v>103</v>
      </c>
      <c r="AE4" s="24" t="s">
        <v>104</v>
      </c>
      <c r="AF4" s="22" t="s">
        <v>105</v>
      </c>
      <c r="AG4" s="23" t="s">
        <v>103</v>
      </c>
      <c r="AH4" s="24" t="s">
        <v>104</v>
      </c>
      <c r="AI4" s="22" t="s">
        <v>105</v>
      </c>
      <c r="AJ4" s="20"/>
      <c r="AK4" s="25"/>
      <c r="AL4" s="25"/>
      <c r="AM4" s="25"/>
      <c r="AN4" s="25"/>
      <c r="AO4" s="25"/>
      <c r="AP4" s="25"/>
    </row>
    <row r="5" spans="1:42" ht="14.25" customHeight="1">
      <c r="A5" s="2" t="s">
        <v>106</v>
      </c>
      <c r="B5" s="26" t="s">
        <v>106</v>
      </c>
      <c r="C5" s="26" t="s">
        <v>107</v>
      </c>
      <c r="D5" s="27">
        <v>1</v>
      </c>
      <c r="E5" s="28" t="s">
        <v>108</v>
      </c>
      <c r="F5" s="28" t="s">
        <v>109</v>
      </c>
      <c r="G5" s="27">
        <v>1</v>
      </c>
      <c r="H5" s="29">
        <v>1</v>
      </c>
      <c r="I5" s="30" t="s">
        <v>110</v>
      </c>
      <c r="J5" s="30" t="s">
        <v>111</v>
      </c>
      <c r="K5" s="27" t="s">
        <v>112</v>
      </c>
      <c r="L5" s="2" t="s">
        <v>113</v>
      </c>
      <c r="M5" s="31">
        <v>7.0000000000000007E-2</v>
      </c>
      <c r="N5" s="31">
        <v>0.17</v>
      </c>
      <c r="O5" s="32">
        <v>0.12</v>
      </c>
      <c r="P5" s="31">
        <v>0.02</v>
      </c>
      <c r="Q5" s="31">
        <v>7.0000000000000007E-2</v>
      </c>
      <c r="R5" s="32">
        <v>0.05</v>
      </c>
      <c r="S5" s="31">
        <v>0.05</v>
      </c>
      <c r="T5" s="31">
        <v>0.11</v>
      </c>
      <c r="U5" s="33">
        <v>0.08</v>
      </c>
      <c r="V5" s="703">
        <v>0.09</v>
      </c>
      <c r="W5" s="34">
        <v>1.7</v>
      </c>
      <c r="X5" s="31">
        <v>1.8</v>
      </c>
      <c r="Y5" s="33">
        <v>1.75</v>
      </c>
      <c r="Z5" s="35">
        <v>1.49</v>
      </c>
      <c r="AA5" s="36">
        <v>1.1000000000000001</v>
      </c>
      <c r="AB5" s="37">
        <v>1.2</v>
      </c>
      <c r="AC5" s="35">
        <f t="shared" ref="AC5:AC16" si="1">AVERAGE(AA5:AB5)</f>
        <v>1.1499999999999999</v>
      </c>
      <c r="AD5" s="36">
        <v>8</v>
      </c>
      <c r="AE5" s="37">
        <v>10</v>
      </c>
      <c r="AF5" s="35">
        <f t="shared" ref="AF5:AF16" si="2">AVERAGE(AD5:AE5)</f>
        <v>9</v>
      </c>
      <c r="AG5" s="36">
        <v>100</v>
      </c>
      <c r="AH5" s="37">
        <v>100</v>
      </c>
      <c r="AI5" s="35">
        <f t="shared" ref="AI5:AI16" si="3">AVERAGE(AG5:AH5)</f>
        <v>100</v>
      </c>
      <c r="AJ5" s="29" t="s">
        <v>110</v>
      </c>
      <c r="AK5" s="38">
        <v>28</v>
      </c>
      <c r="AL5" s="38">
        <v>30</v>
      </c>
      <c r="AM5" s="38"/>
      <c r="AN5" s="38"/>
      <c r="AO5" s="38"/>
      <c r="AP5" s="38"/>
    </row>
    <row r="6" spans="1:42" ht="14.25" customHeight="1">
      <c r="A6" s="2" t="s">
        <v>114</v>
      </c>
      <c r="B6" s="26" t="s">
        <v>115</v>
      </c>
      <c r="C6" s="26" t="s">
        <v>107</v>
      </c>
      <c r="D6" s="27">
        <v>2</v>
      </c>
      <c r="E6" s="28" t="s">
        <v>116</v>
      </c>
      <c r="F6" s="28" t="s">
        <v>117</v>
      </c>
      <c r="G6" s="27">
        <v>1</v>
      </c>
      <c r="H6" s="29">
        <v>1</v>
      </c>
      <c r="I6" s="30" t="s">
        <v>110</v>
      </c>
      <c r="J6" s="30" t="s">
        <v>111</v>
      </c>
      <c r="K6" s="27" t="s">
        <v>112</v>
      </c>
      <c r="L6" s="2" t="s">
        <v>118</v>
      </c>
      <c r="M6" s="31">
        <v>0.11</v>
      </c>
      <c r="N6" s="31">
        <v>0.19</v>
      </c>
      <c r="O6" s="32">
        <v>0.15</v>
      </c>
      <c r="P6" s="31">
        <v>0.03</v>
      </c>
      <c r="Q6" s="31">
        <v>0.1</v>
      </c>
      <c r="R6" s="32">
        <v>7.0000000000000007E-2</v>
      </c>
      <c r="S6" s="31">
        <v>0.06</v>
      </c>
      <c r="T6" s="31">
        <v>0.12</v>
      </c>
      <c r="U6" s="33">
        <v>0.09</v>
      </c>
      <c r="V6" s="704"/>
      <c r="W6" s="34">
        <v>1.6</v>
      </c>
      <c r="X6" s="31">
        <v>1.7</v>
      </c>
      <c r="Y6" s="33">
        <v>1.65</v>
      </c>
      <c r="Z6" s="35">
        <v>1.49</v>
      </c>
      <c r="AA6" s="36">
        <v>1.1000000000000001</v>
      </c>
      <c r="AB6" s="37">
        <v>1.2</v>
      </c>
      <c r="AC6" s="35">
        <f t="shared" si="1"/>
        <v>1.1499999999999999</v>
      </c>
      <c r="AD6" s="36">
        <v>8</v>
      </c>
      <c r="AE6" s="37">
        <v>10</v>
      </c>
      <c r="AF6" s="35">
        <f t="shared" si="2"/>
        <v>9</v>
      </c>
      <c r="AG6" s="36">
        <v>100</v>
      </c>
      <c r="AH6" s="37">
        <v>100</v>
      </c>
      <c r="AI6" s="35">
        <f t="shared" si="3"/>
        <v>100</v>
      </c>
      <c r="AJ6" s="29" t="s">
        <v>110</v>
      </c>
      <c r="AK6" s="38">
        <v>28</v>
      </c>
      <c r="AL6" s="38">
        <v>30</v>
      </c>
      <c r="AM6" s="38"/>
      <c r="AN6" s="38"/>
      <c r="AO6" s="38"/>
      <c r="AP6" s="38"/>
    </row>
    <row r="7" spans="1:42" ht="11.25" customHeight="1">
      <c r="A7" s="2" t="s">
        <v>119</v>
      </c>
      <c r="B7" s="2" t="s">
        <v>120</v>
      </c>
      <c r="C7" s="2" t="s">
        <v>107</v>
      </c>
      <c r="D7" s="27">
        <v>3</v>
      </c>
      <c r="E7" s="28" t="s">
        <v>121</v>
      </c>
      <c r="F7" s="28" t="s">
        <v>122</v>
      </c>
      <c r="G7" s="27">
        <v>1</v>
      </c>
      <c r="H7" s="39">
        <v>2</v>
      </c>
      <c r="I7" s="30" t="s">
        <v>123</v>
      </c>
      <c r="J7" s="30" t="s">
        <v>124</v>
      </c>
      <c r="K7" s="27" t="s">
        <v>112</v>
      </c>
      <c r="L7" s="2" t="s">
        <v>125</v>
      </c>
      <c r="M7" s="31">
        <v>0.18</v>
      </c>
      <c r="N7" s="31">
        <v>0.28000000000000003</v>
      </c>
      <c r="O7" s="32">
        <v>0.23</v>
      </c>
      <c r="P7" s="31">
        <v>0.06</v>
      </c>
      <c r="Q7" s="31">
        <v>0.16</v>
      </c>
      <c r="R7" s="32">
        <v>0.11</v>
      </c>
      <c r="S7" s="31">
        <v>0.11</v>
      </c>
      <c r="T7" s="31">
        <v>0.15</v>
      </c>
      <c r="U7" s="40">
        <v>0.12</v>
      </c>
      <c r="V7" s="40">
        <v>0.12</v>
      </c>
      <c r="W7" s="34">
        <v>1.55</v>
      </c>
      <c r="X7" s="31">
        <v>1.6</v>
      </c>
      <c r="Y7" s="40">
        <v>1.58</v>
      </c>
      <c r="Z7" s="41">
        <v>1.45</v>
      </c>
      <c r="AA7" s="42">
        <v>1.1000000000000001</v>
      </c>
      <c r="AB7" s="43">
        <v>1.2</v>
      </c>
      <c r="AC7" s="41">
        <f t="shared" si="1"/>
        <v>1.1499999999999999</v>
      </c>
      <c r="AD7" s="42">
        <v>10</v>
      </c>
      <c r="AE7" s="43">
        <v>12</v>
      </c>
      <c r="AF7" s="41">
        <f t="shared" si="2"/>
        <v>11</v>
      </c>
      <c r="AG7" s="42">
        <v>150</v>
      </c>
      <c r="AH7" s="43">
        <v>175</v>
      </c>
      <c r="AI7" s="41">
        <f t="shared" si="3"/>
        <v>162.5</v>
      </c>
      <c r="AJ7" s="39" t="s">
        <v>123</v>
      </c>
      <c r="AK7" s="44">
        <v>21</v>
      </c>
      <c r="AL7" s="44">
        <v>75</v>
      </c>
      <c r="AM7" s="44"/>
      <c r="AN7" s="44"/>
      <c r="AO7" s="44"/>
      <c r="AP7" s="44"/>
    </row>
    <row r="8" spans="1:42" ht="14.25" customHeight="1">
      <c r="A8" s="2" t="s">
        <v>126</v>
      </c>
      <c r="B8" s="26" t="s">
        <v>126</v>
      </c>
      <c r="C8" s="26" t="s">
        <v>127</v>
      </c>
      <c r="D8" s="27">
        <v>4</v>
      </c>
      <c r="E8" s="28" t="s">
        <v>128</v>
      </c>
      <c r="F8" s="28" t="s">
        <v>129</v>
      </c>
      <c r="G8" s="27">
        <v>2</v>
      </c>
      <c r="H8" s="45">
        <v>3</v>
      </c>
      <c r="I8" s="30" t="s">
        <v>123</v>
      </c>
      <c r="J8" s="30" t="s">
        <v>124</v>
      </c>
      <c r="K8" s="27" t="s">
        <v>130</v>
      </c>
      <c r="L8" s="2" t="s">
        <v>131</v>
      </c>
      <c r="M8" s="31">
        <v>0.2</v>
      </c>
      <c r="N8" s="31">
        <v>0.3</v>
      </c>
      <c r="O8" s="32">
        <v>0.25</v>
      </c>
      <c r="P8" s="31">
        <v>7.0000000000000007E-2</v>
      </c>
      <c r="Q8" s="31">
        <v>0.17</v>
      </c>
      <c r="R8" s="32">
        <v>0.12</v>
      </c>
      <c r="S8" s="31">
        <v>0.13</v>
      </c>
      <c r="T8" s="31">
        <v>0.18</v>
      </c>
      <c r="U8" s="46">
        <v>0.13</v>
      </c>
      <c r="V8" s="46">
        <v>0.13</v>
      </c>
      <c r="W8" s="34">
        <v>1.45</v>
      </c>
      <c r="X8" s="31">
        <v>1.55</v>
      </c>
      <c r="Y8" s="46">
        <v>1.5</v>
      </c>
      <c r="Z8" s="47">
        <v>1.42</v>
      </c>
      <c r="AA8" s="48">
        <v>1.5</v>
      </c>
      <c r="AB8" s="49">
        <v>1.7</v>
      </c>
      <c r="AC8" s="47">
        <f t="shared" si="1"/>
        <v>1.6</v>
      </c>
      <c r="AD8" s="48">
        <v>10</v>
      </c>
      <c r="AE8" s="49">
        <v>12</v>
      </c>
      <c r="AF8" s="47">
        <f t="shared" si="2"/>
        <v>11</v>
      </c>
      <c r="AG8" s="48">
        <v>150</v>
      </c>
      <c r="AH8" s="49">
        <v>175</v>
      </c>
      <c r="AI8" s="47">
        <f t="shared" si="3"/>
        <v>162.5</v>
      </c>
      <c r="AJ8" s="45" t="s">
        <v>123</v>
      </c>
      <c r="AK8" s="50">
        <v>21</v>
      </c>
      <c r="AL8" s="50">
        <v>100</v>
      </c>
      <c r="AM8" s="50"/>
      <c r="AN8" s="50"/>
      <c r="AO8" s="50"/>
      <c r="AP8" s="50"/>
    </row>
    <row r="9" spans="1:42" ht="14.25" customHeight="1">
      <c r="A9" s="2" t="s">
        <v>132</v>
      </c>
      <c r="B9" s="26" t="s">
        <v>133</v>
      </c>
      <c r="C9" s="26" t="s">
        <v>127</v>
      </c>
      <c r="D9" s="27">
        <v>5</v>
      </c>
      <c r="E9" s="28" t="s">
        <v>134</v>
      </c>
      <c r="F9" s="28" t="s">
        <v>135</v>
      </c>
      <c r="G9" s="27">
        <v>2</v>
      </c>
      <c r="H9" s="30">
        <v>4</v>
      </c>
      <c r="I9" s="30" t="s">
        <v>136</v>
      </c>
      <c r="J9" s="30" t="s">
        <v>137</v>
      </c>
      <c r="K9" s="27" t="s">
        <v>130</v>
      </c>
      <c r="L9" s="2" t="s">
        <v>138</v>
      </c>
      <c r="M9" s="31">
        <v>0.22</v>
      </c>
      <c r="N9" s="31">
        <v>0.36</v>
      </c>
      <c r="O9" s="32">
        <v>0.28999999999999998</v>
      </c>
      <c r="P9" s="31">
        <v>0.09</v>
      </c>
      <c r="Q9" s="31">
        <v>0.21</v>
      </c>
      <c r="R9" s="32">
        <v>0.15</v>
      </c>
      <c r="S9" s="31">
        <v>0.13</v>
      </c>
      <c r="T9" s="31">
        <v>0.19</v>
      </c>
      <c r="U9" s="51">
        <v>0.14000000000000001</v>
      </c>
      <c r="V9" s="705">
        <v>0.14000000000000001</v>
      </c>
      <c r="W9" s="34">
        <v>1.45</v>
      </c>
      <c r="X9" s="31">
        <v>1.55</v>
      </c>
      <c r="Y9" s="51">
        <v>1.5</v>
      </c>
      <c r="Z9" s="52">
        <v>1.32</v>
      </c>
      <c r="AA9" s="53">
        <v>1.5</v>
      </c>
      <c r="AB9" s="54">
        <v>1.7</v>
      </c>
      <c r="AC9" s="52">
        <f t="shared" si="1"/>
        <v>1.6</v>
      </c>
      <c r="AD9" s="53">
        <v>10</v>
      </c>
      <c r="AE9" s="54">
        <v>12</v>
      </c>
      <c r="AF9" s="52">
        <f t="shared" si="2"/>
        <v>11</v>
      </c>
      <c r="AG9" s="53">
        <v>150</v>
      </c>
      <c r="AH9" s="54">
        <v>175</v>
      </c>
      <c r="AI9" s="52">
        <f t="shared" si="3"/>
        <v>162.5</v>
      </c>
      <c r="AJ9" s="30" t="s">
        <v>136</v>
      </c>
      <c r="AK9" s="28">
        <v>17</v>
      </c>
      <c r="AL9" s="28">
        <v>80</v>
      </c>
      <c r="AM9" s="28"/>
      <c r="AN9" s="28"/>
      <c r="AO9" s="28"/>
      <c r="AP9" s="28"/>
    </row>
    <row r="10" spans="1:42" ht="14.25" customHeight="1">
      <c r="A10" s="2" t="s">
        <v>139</v>
      </c>
      <c r="B10" s="26" t="s">
        <v>139</v>
      </c>
      <c r="C10" s="26" t="s">
        <v>127</v>
      </c>
      <c r="D10" s="27">
        <v>6</v>
      </c>
      <c r="E10" s="28" t="s">
        <v>140</v>
      </c>
      <c r="F10" s="28" t="s">
        <v>141</v>
      </c>
      <c r="G10" s="27">
        <v>2</v>
      </c>
      <c r="H10" s="30">
        <v>4</v>
      </c>
      <c r="I10" s="30" t="s">
        <v>136</v>
      </c>
      <c r="J10" s="30" t="s">
        <v>137</v>
      </c>
      <c r="K10" s="27" t="s">
        <v>130</v>
      </c>
      <c r="L10" s="2" t="s">
        <v>142</v>
      </c>
      <c r="M10" s="31">
        <v>0.28000000000000003</v>
      </c>
      <c r="N10" s="31">
        <v>0.36</v>
      </c>
      <c r="O10" s="32">
        <v>0.32</v>
      </c>
      <c r="P10" s="31">
        <v>0.12</v>
      </c>
      <c r="Q10" s="31">
        <v>0.22</v>
      </c>
      <c r="R10" s="32">
        <v>0.17</v>
      </c>
      <c r="S10" s="31">
        <v>0.16</v>
      </c>
      <c r="T10" s="31">
        <v>0.2</v>
      </c>
      <c r="U10" s="51">
        <v>0.15</v>
      </c>
      <c r="V10" s="706"/>
      <c r="W10" s="34">
        <v>1.4</v>
      </c>
      <c r="X10" s="31">
        <v>1.5</v>
      </c>
      <c r="Y10" s="51">
        <v>1.45</v>
      </c>
      <c r="Z10" s="55">
        <v>1.3</v>
      </c>
      <c r="AA10" s="53">
        <v>1.5</v>
      </c>
      <c r="AB10" s="54">
        <v>1.7</v>
      </c>
      <c r="AC10" s="52">
        <f t="shared" si="1"/>
        <v>1.6</v>
      </c>
      <c r="AD10" s="53">
        <v>10</v>
      </c>
      <c r="AE10" s="54">
        <v>12</v>
      </c>
      <c r="AF10" s="52">
        <f t="shared" si="2"/>
        <v>11</v>
      </c>
      <c r="AG10" s="53">
        <v>150</v>
      </c>
      <c r="AH10" s="54">
        <v>175</v>
      </c>
      <c r="AI10" s="52">
        <f t="shared" si="3"/>
        <v>162.5</v>
      </c>
      <c r="AJ10" s="30" t="s">
        <v>136</v>
      </c>
      <c r="AK10" s="28">
        <v>17</v>
      </c>
      <c r="AL10" s="28">
        <v>80</v>
      </c>
      <c r="AM10" s="28"/>
      <c r="AN10" s="28"/>
      <c r="AO10" s="28"/>
      <c r="AP10" s="28"/>
    </row>
    <row r="11" spans="1:42" ht="14.25" customHeight="1">
      <c r="A11" s="2"/>
      <c r="B11" s="26" t="s">
        <v>143</v>
      </c>
      <c r="C11" s="26" t="s">
        <v>107</v>
      </c>
      <c r="D11" s="27">
        <v>7</v>
      </c>
      <c r="E11" s="28" t="s">
        <v>144</v>
      </c>
      <c r="F11" s="28" t="s">
        <v>145</v>
      </c>
      <c r="G11" s="27">
        <v>1</v>
      </c>
      <c r="H11" s="30">
        <v>4</v>
      </c>
      <c r="I11" s="30" t="s">
        <v>136</v>
      </c>
      <c r="J11" s="30" t="s">
        <v>137</v>
      </c>
      <c r="K11" s="27" t="s">
        <v>112</v>
      </c>
      <c r="L11" s="2" t="s">
        <v>146</v>
      </c>
      <c r="M11" s="56">
        <v>0.16</v>
      </c>
      <c r="N11" s="56">
        <v>0.26</v>
      </c>
      <c r="O11" s="57">
        <v>0.21</v>
      </c>
      <c r="P11" s="56">
        <v>0.03</v>
      </c>
      <c r="Q11" s="56">
        <v>0.12</v>
      </c>
      <c r="R11" s="57">
        <v>0.08</v>
      </c>
      <c r="S11" s="56">
        <v>0.06</v>
      </c>
      <c r="T11" s="56">
        <v>0.12</v>
      </c>
      <c r="U11" s="58">
        <v>0.14000000000000001</v>
      </c>
      <c r="V11" s="704"/>
      <c r="W11" s="59">
        <v>1.45</v>
      </c>
      <c r="X11" s="56">
        <v>1.55</v>
      </c>
      <c r="Y11" s="58">
        <v>1.5</v>
      </c>
      <c r="Z11" s="60">
        <v>1.6</v>
      </c>
      <c r="AA11" s="53">
        <v>1.5</v>
      </c>
      <c r="AB11" s="54">
        <v>1.7</v>
      </c>
      <c r="AC11" s="52">
        <f t="shared" si="1"/>
        <v>1.6</v>
      </c>
      <c r="AD11" s="53">
        <v>10</v>
      </c>
      <c r="AE11" s="54">
        <v>12</v>
      </c>
      <c r="AF11" s="52">
        <f t="shared" si="2"/>
        <v>11</v>
      </c>
      <c r="AG11" s="53">
        <v>150</v>
      </c>
      <c r="AH11" s="54">
        <v>175</v>
      </c>
      <c r="AI11" s="52">
        <f t="shared" si="3"/>
        <v>162.5</v>
      </c>
      <c r="AJ11" s="30" t="s">
        <v>136</v>
      </c>
      <c r="AK11" s="28">
        <v>17</v>
      </c>
      <c r="AL11" s="28">
        <v>80</v>
      </c>
      <c r="AM11" s="28"/>
      <c r="AN11" s="28"/>
      <c r="AO11" s="28"/>
      <c r="AP11" s="28"/>
    </row>
    <row r="12" spans="1:42" ht="14.25" customHeight="1">
      <c r="A12" s="2"/>
      <c r="B12" s="26" t="s">
        <v>147</v>
      </c>
      <c r="C12" s="26" t="s">
        <v>148</v>
      </c>
      <c r="D12" s="27">
        <v>8</v>
      </c>
      <c r="E12" s="28" t="s">
        <v>149</v>
      </c>
      <c r="F12" s="28" t="s">
        <v>150</v>
      </c>
      <c r="G12" s="27">
        <v>3</v>
      </c>
      <c r="H12" s="645">
        <v>5</v>
      </c>
      <c r="I12" s="646" t="s">
        <v>151</v>
      </c>
      <c r="J12" s="30" t="s">
        <v>137</v>
      </c>
      <c r="K12" s="27" t="s">
        <v>153</v>
      </c>
      <c r="L12" s="2" t="s">
        <v>154</v>
      </c>
      <c r="M12" s="56">
        <v>0.22</v>
      </c>
      <c r="N12" s="56">
        <v>0.32</v>
      </c>
      <c r="O12" s="57">
        <v>0.27</v>
      </c>
      <c r="P12" s="56">
        <v>0.08</v>
      </c>
      <c r="Q12" s="56">
        <v>0.2</v>
      </c>
      <c r="R12" s="57">
        <v>0.14000000000000001</v>
      </c>
      <c r="S12" s="56">
        <v>0.06</v>
      </c>
      <c r="T12" s="56">
        <v>0.12</v>
      </c>
      <c r="U12" s="62">
        <v>0.13</v>
      </c>
      <c r="V12" s="707">
        <v>0.14000000000000001</v>
      </c>
      <c r="W12" s="59">
        <v>1.4</v>
      </c>
      <c r="X12" s="56">
        <v>1.5</v>
      </c>
      <c r="Y12" s="62">
        <v>1.45</v>
      </c>
      <c r="Z12" s="63">
        <v>1.42</v>
      </c>
      <c r="AA12" s="64">
        <v>2</v>
      </c>
      <c r="AB12" s="65">
        <v>2</v>
      </c>
      <c r="AC12" s="63">
        <f t="shared" si="1"/>
        <v>2</v>
      </c>
      <c r="AD12" s="64">
        <v>10</v>
      </c>
      <c r="AE12" s="65">
        <v>12</v>
      </c>
      <c r="AF12" s="63">
        <f t="shared" si="2"/>
        <v>11</v>
      </c>
      <c r="AG12" s="64">
        <v>150</v>
      </c>
      <c r="AH12" s="65">
        <v>175</v>
      </c>
      <c r="AI12" s="63">
        <f t="shared" si="3"/>
        <v>162.5</v>
      </c>
      <c r="AJ12" s="66" t="s">
        <v>151</v>
      </c>
      <c r="AK12" s="67">
        <v>15</v>
      </c>
      <c r="AL12" s="67">
        <v>220</v>
      </c>
      <c r="AM12" s="67"/>
      <c r="AN12" s="67"/>
      <c r="AO12" s="67"/>
      <c r="AP12" s="67"/>
    </row>
    <row r="13" spans="1:42" ht="14.25" customHeight="1">
      <c r="A13" s="2" t="s">
        <v>155</v>
      </c>
      <c r="B13" s="26" t="s">
        <v>156</v>
      </c>
      <c r="C13" s="26" t="s">
        <v>148</v>
      </c>
      <c r="D13" s="27">
        <v>9</v>
      </c>
      <c r="E13" s="28" t="s">
        <v>157</v>
      </c>
      <c r="F13" s="28" t="s">
        <v>158</v>
      </c>
      <c r="G13" s="27">
        <v>3</v>
      </c>
      <c r="H13" s="61">
        <v>5</v>
      </c>
      <c r="I13" s="30" t="s">
        <v>151</v>
      </c>
      <c r="J13" s="30" t="s">
        <v>152</v>
      </c>
      <c r="K13" s="27" t="s">
        <v>153</v>
      </c>
      <c r="L13" s="2" t="s">
        <v>159</v>
      </c>
      <c r="M13" s="31">
        <v>0.3</v>
      </c>
      <c r="N13" s="31">
        <v>0.37</v>
      </c>
      <c r="O13" s="32">
        <v>0.34</v>
      </c>
      <c r="P13" s="31">
        <v>0.17</v>
      </c>
      <c r="Q13" s="31">
        <v>0.24</v>
      </c>
      <c r="R13" s="32">
        <v>0.21</v>
      </c>
      <c r="S13" s="31">
        <v>0.13</v>
      </c>
      <c r="T13" s="31">
        <v>0.18</v>
      </c>
      <c r="U13" s="68">
        <v>0.13</v>
      </c>
      <c r="V13" s="706"/>
      <c r="W13" s="34">
        <v>1.45</v>
      </c>
      <c r="X13" s="31">
        <v>1.55</v>
      </c>
      <c r="Y13" s="68">
        <v>1.5</v>
      </c>
      <c r="Z13" s="69">
        <v>1.4</v>
      </c>
      <c r="AA13" s="64">
        <v>2</v>
      </c>
      <c r="AB13" s="65">
        <v>2</v>
      </c>
      <c r="AC13" s="63">
        <f t="shared" si="1"/>
        <v>2</v>
      </c>
      <c r="AD13" s="64">
        <v>10</v>
      </c>
      <c r="AE13" s="65">
        <v>12</v>
      </c>
      <c r="AF13" s="63">
        <f t="shared" si="2"/>
        <v>11</v>
      </c>
      <c r="AG13" s="64">
        <v>150</v>
      </c>
      <c r="AH13" s="65">
        <v>175</v>
      </c>
      <c r="AI13" s="63">
        <f t="shared" si="3"/>
        <v>162.5</v>
      </c>
      <c r="AJ13" s="66" t="s">
        <v>151</v>
      </c>
      <c r="AK13" s="67">
        <v>15</v>
      </c>
      <c r="AL13" s="67">
        <v>220</v>
      </c>
      <c r="AM13" s="67"/>
      <c r="AN13" s="67"/>
      <c r="AO13" s="67"/>
      <c r="AP13" s="67"/>
    </row>
    <row r="14" spans="1:42" ht="14.25" customHeight="1">
      <c r="A14" s="2"/>
      <c r="B14" s="2"/>
      <c r="C14" s="2"/>
      <c r="D14" s="27">
        <v>10</v>
      </c>
      <c r="E14" s="28" t="s">
        <v>160</v>
      </c>
      <c r="F14" s="28" t="s">
        <v>161</v>
      </c>
      <c r="G14" s="27">
        <v>2</v>
      </c>
      <c r="H14" s="61">
        <v>5</v>
      </c>
      <c r="I14" s="30" t="s">
        <v>151</v>
      </c>
      <c r="J14" s="30" t="s">
        <v>152</v>
      </c>
      <c r="K14" s="27" t="s">
        <v>153</v>
      </c>
      <c r="L14" s="2" t="s">
        <v>162</v>
      </c>
      <c r="M14" s="56">
        <v>0.19</v>
      </c>
      <c r="N14" s="56">
        <v>0.28999999999999998</v>
      </c>
      <c r="O14" s="57">
        <v>0.24</v>
      </c>
      <c r="P14" s="56">
        <v>0.05</v>
      </c>
      <c r="Q14" s="56">
        <v>0.14000000000000001</v>
      </c>
      <c r="R14" s="57">
        <v>0.1</v>
      </c>
      <c r="S14" s="56">
        <v>0.06</v>
      </c>
      <c r="T14" s="56">
        <v>0.12</v>
      </c>
      <c r="U14" s="62">
        <v>0.15</v>
      </c>
      <c r="V14" s="706"/>
      <c r="W14" s="59">
        <v>1.35</v>
      </c>
      <c r="X14" s="56">
        <v>1.45</v>
      </c>
      <c r="Y14" s="62">
        <v>1.4</v>
      </c>
      <c r="Z14" s="63">
        <v>1.51</v>
      </c>
      <c r="AA14" s="64">
        <v>2</v>
      </c>
      <c r="AB14" s="65">
        <v>2</v>
      </c>
      <c r="AC14" s="63">
        <f t="shared" si="1"/>
        <v>2</v>
      </c>
      <c r="AD14" s="64">
        <v>10</v>
      </c>
      <c r="AE14" s="65">
        <v>12</v>
      </c>
      <c r="AF14" s="63">
        <f t="shared" si="2"/>
        <v>11</v>
      </c>
      <c r="AG14" s="64">
        <v>150</v>
      </c>
      <c r="AH14" s="65">
        <v>175</v>
      </c>
      <c r="AI14" s="63">
        <f t="shared" si="3"/>
        <v>162.5</v>
      </c>
      <c r="AJ14" s="66" t="s">
        <v>151</v>
      </c>
      <c r="AK14" s="67">
        <v>15</v>
      </c>
      <c r="AL14" s="67">
        <v>220</v>
      </c>
      <c r="AM14" s="67"/>
      <c r="AN14" s="67"/>
      <c r="AO14" s="67"/>
      <c r="AP14" s="67"/>
    </row>
    <row r="15" spans="1:42" ht="14.25" customHeight="1">
      <c r="A15" s="2" t="s">
        <v>163</v>
      </c>
      <c r="B15" s="26" t="s">
        <v>164</v>
      </c>
      <c r="C15" s="26" t="s">
        <v>148</v>
      </c>
      <c r="D15" s="27">
        <v>11</v>
      </c>
      <c r="E15" s="28" t="s">
        <v>165</v>
      </c>
      <c r="F15" s="28" t="s">
        <v>38</v>
      </c>
      <c r="G15" s="27">
        <v>3</v>
      </c>
      <c r="H15" s="61">
        <v>5</v>
      </c>
      <c r="I15" s="30" t="s">
        <v>151</v>
      </c>
      <c r="J15" s="30" t="s">
        <v>152</v>
      </c>
      <c r="K15" s="27" t="s">
        <v>153</v>
      </c>
      <c r="L15" s="2" t="s">
        <v>166</v>
      </c>
      <c r="M15" s="31">
        <v>0.3</v>
      </c>
      <c r="N15" s="31">
        <v>0.42</v>
      </c>
      <c r="O15" s="32">
        <v>0.36</v>
      </c>
      <c r="P15" s="31">
        <v>0.17</v>
      </c>
      <c r="Q15" s="31">
        <v>0.28999999999999998</v>
      </c>
      <c r="R15" s="32">
        <v>0.23</v>
      </c>
      <c r="S15" s="31">
        <v>0.13</v>
      </c>
      <c r="T15" s="31">
        <v>0.19</v>
      </c>
      <c r="U15" s="68">
        <v>0.13</v>
      </c>
      <c r="V15" s="704"/>
      <c r="W15" s="34">
        <v>1.4</v>
      </c>
      <c r="X15" s="31">
        <v>1.5</v>
      </c>
      <c r="Y15" s="68">
        <v>1.45</v>
      </c>
      <c r="Z15" s="69">
        <v>1.38</v>
      </c>
      <c r="AA15" s="64">
        <v>2.5</v>
      </c>
      <c r="AB15" s="65">
        <v>5</v>
      </c>
      <c r="AC15" s="63">
        <f t="shared" si="1"/>
        <v>3.75</v>
      </c>
      <c r="AD15" s="64">
        <v>10</v>
      </c>
      <c r="AE15" s="65">
        <v>12</v>
      </c>
      <c r="AF15" s="63">
        <f t="shared" si="2"/>
        <v>11</v>
      </c>
      <c r="AG15" s="64">
        <v>150</v>
      </c>
      <c r="AH15" s="65">
        <v>175</v>
      </c>
      <c r="AI15" s="63">
        <f t="shared" si="3"/>
        <v>162.5</v>
      </c>
      <c r="AJ15" s="66" t="s">
        <v>151</v>
      </c>
      <c r="AK15" s="67">
        <v>15</v>
      </c>
      <c r="AL15" s="67">
        <v>220</v>
      </c>
      <c r="AM15" s="67"/>
      <c r="AN15" s="67"/>
      <c r="AO15" s="67"/>
      <c r="AP15" s="67"/>
    </row>
    <row r="16" spans="1:42" ht="14.25" customHeight="1">
      <c r="A16" s="2" t="s">
        <v>167</v>
      </c>
      <c r="B16" s="26" t="s">
        <v>167</v>
      </c>
      <c r="C16" s="26" t="s">
        <v>148</v>
      </c>
      <c r="D16" s="27">
        <v>12</v>
      </c>
      <c r="E16" s="28" t="s">
        <v>168</v>
      </c>
      <c r="F16" s="28" t="s">
        <v>169</v>
      </c>
      <c r="G16" s="27">
        <v>3</v>
      </c>
      <c r="H16" s="39">
        <v>6</v>
      </c>
      <c r="I16" s="30" t="s">
        <v>151</v>
      </c>
      <c r="J16" s="30" t="s">
        <v>170</v>
      </c>
      <c r="K16" s="27" t="s">
        <v>153</v>
      </c>
      <c r="L16" s="2" t="s">
        <v>171</v>
      </c>
      <c r="M16" s="31">
        <v>0.32</v>
      </c>
      <c r="N16" s="31">
        <v>0.4</v>
      </c>
      <c r="O16" s="32">
        <v>0.36</v>
      </c>
      <c r="P16" s="31">
        <v>0.2</v>
      </c>
      <c r="Q16" s="31">
        <v>0.24</v>
      </c>
      <c r="R16" s="32">
        <v>0.22</v>
      </c>
      <c r="S16" s="31">
        <v>0.12</v>
      </c>
      <c r="T16" s="31">
        <v>0.2</v>
      </c>
      <c r="U16" s="40">
        <v>0.14000000000000001</v>
      </c>
      <c r="V16" s="40">
        <v>0.14000000000000001</v>
      </c>
      <c r="W16" s="70">
        <v>1.35</v>
      </c>
      <c r="X16" s="71">
        <v>1.45</v>
      </c>
      <c r="Y16" s="72">
        <v>1.4</v>
      </c>
      <c r="Z16" s="73">
        <v>1.39</v>
      </c>
      <c r="AA16" s="74">
        <v>2.5</v>
      </c>
      <c r="AB16" s="75">
        <v>5</v>
      </c>
      <c r="AC16" s="73">
        <f t="shared" si="1"/>
        <v>3.75</v>
      </c>
      <c r="AD16" s="74">
        <v>12</v>
      </c>
      <c r="AE16" s="75">
        <v>20</v>
      </c>
      <c r="AF16" s="73">
        <f t="shared" si="2"/>
        <v>16</v>
      </c>
      <c r="AG16" s="74">
        <v>200</v>
      </c>
      <c r="AH16" s="75">
        <v>300</v>
      </c>
      <c r="AI16" s="73">
        <f t="shared" si="3"/>
        <v>250</v>
      </c>
      <c r="AJ16" s="39" t="s">
        <v>151</v>
      </c>
      <c r="AK16" s="44">
        <v>15</v>
      </c>
      <c r="AL16" s="44">
        <v>300</v>
      </c>
      <c r="AM16" s="44"/>
      <c r="AN16" s="44"/>
      <c r="AO16" s="44"/>
      <c r="AP16" s="44"/>
    </row>
    <row r="17" spans="1:42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76" t="s">
        <v>172</v>
      </c>
      <c r="AA17" s="2"/>
      <c r="AB17" s="2"/>
      <c r="AC17" s="2"/>
      <c r="AD17" s="2"/>
      <c r="AE17" s="2"/>
      <c r="AF17" s="2"/>
      <c r="AG17" s="2" t="s">
        <v>173</v>
      </c>
      <c r="AH17" s="2"/>
      <c r="AI17" s="2"/>
      <c r="AJ17" s="27"/>
      <c r="AK17" s="2"/>
      <c r="AL17" s="2"/>
      <c r="AM17" s="2"/>
      <c r="AN17" s="2"/>
      <c r="AO17" s="2"/>
      <c r="AP17" s="2"/>
    </row>
    <row r="18" spans="1:42" ht="14.25" customHeight="1">
      <c r="A18" s="2"/>
      <c r="B18" s="2"/>
      <c r="C18" s="2"/>
      <c r="D18" s="2"/>
      <c r="E18" s="2"/>
      <c r="F18" s="77" t="s">
        <v>174</v>
      </c>
      <c r="G18" s="78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7"/>
      <c r="AK18" s="2"/>
      <c r="AL18" s="2"/>
      <c r="AM18" s="2"/>
      <c r="AN18" s="2"/>
      <c r="AO18" s="2"/>
      <c r="AP18" s="2"/>
    </row>
    <row r="19" spans="1:42" ht="14.25" customHeight="1">
      <c r="A19" s="79" t="s">
        <v>175</v>
      </c>
      <c r="B19" s="80"/>
      <c r="C19" s="78"/>
      <c r="D19" s="79" t="s">
        <v>176</v>
      </c>
      <c r="E19" s="80"/>
      <c r="F19" s="81" t="s">
        <v>177</v>
      </c>
      <c r="G19" s="82" t="s">
        <v>178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H19" s="2"/>
      <c r="AI19" s="2"/>
      <c r="AJ19" s="27"/>
      <c r="AK19" s="2"/>
      <c r="AL19" s="2"/>
      <c r="AM19" s="2"/>
      <c r="AN19" s="2"/>
      <c r="AO19" s="2"/>
      <c r="AP19" s="2"/>
    </row>
    <row r="20" spans="1:42" ht="14.25" customHeight="1">
      <c r="A20" s="83" t="s">
        <v>179</v>
      </c>
      <c r="B20" s="1">
        <v>0.1</v>
      </c>
      <c r="C20" s="84"/>
      <c r="D20" s="83" t="s">
        <v>180</v>
      </c>
      <c r="E20" s="2"/>
      <c r="F20" s="83" t="s">
        <v>181</v>
      </c>
      <c r="G20" s="84">
        <v>1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H20" s="2"/>
      <c r="AI20" s="2"/>
      <c r="AJ20" s="27"/>
      <c r="AK20" s="2"/>
      <c r="AL20" s="2"/>
      <c r="AM20" s="2"/>
      <c r="AN20" s="2"/>
      <c r="AO20" s="2"/>
      <c r="AP20" s="2"/>
    </row>
    <row r="21" spans="1:42" ht="14.25" customHeight="1">
      <c r="A21" s="83" t="s">
        <v>182</v>
      </c>
      <c r="B21" s="1">
        <v>0.15</v>
      </c>
      <c r="C21" s="84"/>
      <c r="D21" s="83" t="s">
        <v>183</v>
      </c>
      <c r="E21" s="2"/>
      <c r="F21" s="85" t="s">
        <v>184</v>
      </c>
      <c r="G21" s="84">
        <v>0.25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H21" s="2"/>
      <c r="AI21" s="2"/>
      <c r="AJ21" s="27"/>
      <c r="AK21" s="2"/>
      <c r="AL21" s="2"/>
      <c r="AM21" s="2"/>
      <c r="AN21" s="2"/>
      <c r="AO21" s="2"/>
      <c r="AP21" s="2"/>
    </row>
    <row r="22" spans="1:42" ht="14.25" customHeight="1">
      <c r="A22" s="83" t="s">
        <v>185</v>
      </c>
      <c r="B22" s="2">
        <v>100</v>
      </c>
      <c r="C22" s="84" t="s">
        <v>186</v>
      </c>
      <c r="D22" s="83" t="s">
        <v>35</v>
      </c>
      <c r="E22" s="2"/>
      <c r="F22" s="85" t="s">
        <v>187</v>
      </c>
      <c r="G22" s="84">
        <v>0.36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H22" s="2"/>
      <c r="AI22" s="2"/>
      <c r="AJ22" s="27"/>
      <c r="AK22" s="2"/>
      <c r="AL22" s="2"/>
      <c r="AM22" s="2"/>
      <c r="AN22" s="2"/>
      <c r="AO22" s="2"/>
      <c r="AP22" s="2"/>
    </row>
    <row r="23" spans="1:42" ht="14.25" customHeight="1">
      <c r="A23" s="83" t="s">
        <v>188</v>
      </c>
      <c r="B23" s="2">
        <v>275</v>
      </c>
      <c r="C23" s="84" t="s">
        <v>189</v>
      </c>
      <c r="D23" s="83" t="s">
        <v>190</v>
      </c>
      <c r="E23" s="2"/>
      <c r="F23" s="85" t="s">
        <v>52</v>
      </c>
      <c r="G23" s="84">
        <v>0.47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H23" s="2"/>
      <c r="AI23" s="2"/>
      <c r="AJ23" s="27"/>
      <c r="AK23" s="2"/>
      <c r="AL23" s="2"/>
      <c r="AM23" s="2"/>
      <c r="AN23" s="2"/>
      <c r="AO23" s="2"/>
      <c r="AP23" s="2"/>
    </row>
    <row r="24" spans="1:42" ht="14.25" customHeight="1">
      <c r="A24" s="83"/>
      <c r="B24" s="2"/>
      <c r="C24" s="84"/>
      <c r="D24" s="83"/>
      <c r="E24" s="2"/>
      <c r="F24" s="85" t="s">
        <v>191</v>
      </c>
      <c r="G24" s="84">
        <v>0.48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H24" s="2"/>
      <c r="AI24" s="2"/>
      <c r="AJ24" s="27"/>
      <c r="AK24" s="2"/>
      <c r="AL24" s="2"/>
      <c r="AM24" s="2"/>
      <c r="AN24" s="2"/>
      <c r="AO24" s="2"/>
      <c r="AP24" s="2"/>
    </row>
    <row r="25" spans="1:42" ht="14.25" customHeight="1">
      <c r="A25" s="83"/>
      <c r="B25" s="2"/>
      <c r="C25" s="84"/>
      <c r="D25" s="83"/>
      <c r="E25" s="2"/>
      <c r="F25" s="85" t="s">
        <v>192</v>
      </c>
      <c r="G25" s="84">
        <v>0.49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H25" s="2"/>
      <c r="AI25" s="2"/>
      <c r="AJ25" s="27"/>
      <c r="AK25" s="2"/>
      <c r="AL25" s="2"/>
      <c r="AM25" s="2"/>
      <c r="AN25" s="2"/>
      <c r="AO25" s="2"/>
      <c r="AP25" s="2"/>
    </row>
    <row r="26" spans="1:42" ht="14.25" customHeight="1">
      <c r="A26" s="83"/>
      <c r="B26" s="2"/>
      <c r="C26" s="84"/>
      <c r="D26" s="83"/>
      <c r="E26" s="2"/>
      <c r="F26" s="86" t="s">
        <v>193</v>
      </c>
      <c r="G26" s="84">
        <v>0.52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H26" s="2"/>
      <c r="AI26" s="2"/>
      <c r="AJ26" s="27"/>
      <c r="AK26" s="2"/>
      <c r="AL26" s="2"/>
      <c r="AM26" s="2"/>
      <c r="AN26" s="2"/>
      <c r="AO26" s="2"/>
      <c r="AP26" s="2"/>
    </row>
    <row r="27" spans="1:42" ht="14.25" customHeight="1">
      <c r="A27" s="87"/>
      <c r="B27" s="88"/>
      <c r="C27" s="89"/>
      <c r="D27" s="87"/>
      <c r="E27" s="88"/>
      <c r="F27" s="85" t="s">
        <v>194</v>
      </c>
      <c r="G27" s="84">
        <v>1.5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H27" s="2"/>
      <c r="AI27" s="2"/>
      <c r="AJ27" s="27"/>
      <c r="AK27" s="2"/>
      <c r="AL27" s="2"/>
      <c r="AM27" s="2"/>
      <c r="AN27" s="2"/>
      <c r="AO27" s="2"/>
      <c r="AP27" s="2"/>
    </row>
    <row r="28" spans="1:42" ht="14.25" customHeight="1">
      <c r="A28" s="2"/>
      <c r="B28" s="2"/>
      <c r="C28" s="2"/>
      <c r="D28" s="2"/>
      <c r="E28" s="2"/>
      <c r="F28" s="85" t="s">
        <v>195</v>
      </c>
      <c r="G28" s="84">
        <v>1.6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H28" s="2"/>
      <c r="AI28" s="2"/>
      <c r="AJ28" s="27"/>
      <c r="AK28" s="2"/>
      <c r="AL28" s="2"/>
      <c r="AM28" s="2"/>
      <c r="AN28" s="2"/>
      <c r="AO28" s="2"/>
      <c r="AP28" s="2"/>
    </row>
    <row r="29" spans="1:42" ht="14.25" customHeight="1">
      <c r="A29" s="2"/>
      <c r="B29" s="2"/>
      <c r="C29" s="2"/>
      <c r="D29" s="2"/>
      <c r="E29" s="2"/>
      <c r="F29" s="85" t="s">
        <v>196</v>
      </c>
      <c r="G29" s="84">
        <v>3.8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H29" s="2"/>
      <c r="AI29" s="2"/>
      <c r="AJ29" s="27"/>
      <c r="AK29" s="2"/>
      <c r="AL29" s="2"/>
      <c r="AM29" s="2"/>
      <c r="AN29" s="2"/>
      <c r="AO29" s="2"/>
      <c r="AP29" s="2"/>
    </row>
    <row r="30" spans="1:42" ht="14.25" customHeight="1">
      <c r="A30" s="2"/>
      <c r="B30" s="2"/>
      <c r="C30" s="2"/>
      <c r="D30" s="2"/>
      <c r="E30" s="2"/>
      <c r="F30" s="86" t="s">
        <v>197</v>
      </c>
      <c r="G30" s="84">
        <v>15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H30" s="2"/>
      <c r="AI30" s="2"/>
      <c r="AJ30" s="27"/>
      <c r="AK30" s="2"/>
      <c r="AL30" s="2"/>
      <c r="AM30" s="2"/>
      <c r="AN30" s="2"/>
      <c r="AO30" s="2"/>
      <c r="AP30" s="2"/>
    </row>
    <row r="31" spans="1:42" ht="14.25" customHeight="1">
      <c r="A31" s="2"/>
      <c r="B31" s="2"/>
      <c r="C31" s="2"/>
      <c r="D31" s="2"/>
      <c r="E31" s="2"/>
      <c r="F31" s="90" t="s">
        <v>198</v>
      </c>
      <c r="G31" s="89">
        <v>25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H31" s="2"/>
      <c r="AI31" s="2"/>
      <c r="AJ31" s="27"/>
      <c r="AK31" s="2"/>
      <c r="AL31" s="2"/>
      <c r="AM31" s="2"/>
      <c r="AN31" s="2"/>
      <c r="AO31" s="2"/>
      <c r="AP31" s="2"/>
    </row>
    <row r="32" spans="1:4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H32" s="2"/>
      <c r="AI32" s="2"/>
      <c r="AJ32" s="27"/>
      <c r="AK32" s="2"/>
      <c r="AL32" s="2"/>
      <c r="AM32" s="2"/>
      <c r="AN32" s="2"/>
      <c r="AO32" s="2"/>
      <c r="AP32" s="2"/>
    </row>
    <row r="33" spans="1:42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H33" s="2"/>
      <c r="AI33" s="2"/>
      <c r="AJ33" s="27"/>
      <c r="AK33" s="2"/>
      <c r="AL33" s="2"/>
      <c r="AM33" s="2"/>
      <c r="AN33" s="2"/>
      <c r="AO33" s="2"/>
      <c r="AP33" s="2"/>
    </row>
    <row r="34" spans="1:42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H34" s="2"/>
      <c r="AI34" s="2"/>
      <c r="AJ34" s="27"/>
      <c r="AK34" s="2"/>
      <c r="AL34" s="2"/>
      <c r="AM34" s="2"/>
      <c r="AN34" s="2"/>
      <c r="AO34" s="2"/>
      <c r="AP34" s="2"/>
    </row>
    <row r="35" spans="1:42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7"/>
      <c r="AK35" s="2"/>
      <c r="AL35" s="2"/>
      <c r="AM35" s="2"/>
      <c r="AN35" s="2"/>
      <c r="AO35" s="2"/>
      <c r="AP35" s="2"/>
    </row>
    <row r="36" spans="1:42" ht="14.25" customHeight="1">
      <c r="A36" s="91" t="s">
        <v>199</v>
      </c>
      <c r="B36" s="91"/>
      <c r="C36" s="91"/>
      <c r="D36" s="9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7"/>
      <c r="AK36" s="2"/>
      <c r="AL36" s="2"/>
      <c r="AM36" s="2"/>
      <c r="AN36" s="2"/>
      <c r="AO36" s="2"/>
      <c r="AP36" s="2"/>
    </row>
    <row r="37" spans="1:42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7"/>
      <c r="AK37" s="2"/>
      <c r="AL37" s="2"/>
      <c r="AM37" s="2"/>
      <c r="AN37" s="2"/>
      <c r="AO37" s="2"/>
      <c r="AP37" s="2"/>
    </row>
    <row r="38" spans="1:42" ht="14.25" customHeight="1">
      <c r="A38" s="716" t="s">
        <v>200</v>
      </c>
      <c r="B38" s="717"/>
      <c r="C38" s="717"/>
      <c r="D38" s="718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7"/>
      <c r="AK38" s="2"/>
      <c r="AL38" s="2"/>
      <c r="AM38" s="2"/>
      <c r="AN38" s="2"/>
      <c r="AO38" s="2"/>
      <c r="AP38" s="2"/>
    </row>
    <row r="39" spans="1:42" ht="14.25" customHeight="1">
      <c r="A39" s="92" t="s">
        <v>61</v>
      </c>
      <c r="B39" s="92" t="s">
        <v>201</v>
      </c>
      <c r="C39" s="92" t="s">
        <v>62</v>
      </c>
      <c r="D39" s="92" t="s">
        <v>64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7"/>
      <c r="AK39" s="2"/>
      <c r="AL39" s="2"/>
      <c r="AM39" s="2"/>
      <c r="AN39" s="2"/>
      <c r="AO39" s="2"/>
      <c r="AP39" s="2"/>
    </row>
    <row r="40" spans="1:42" ht="14.25" customHeight="1">
      <c r="A40" s="93" t="s">
        <v>202</v>
      </c>
      <c r="B40" s="94">
        <v>1</v>
      </c>
      <c r="C40" s="94">
        <v>1500</v>
      </c>
      <c r="D40" s="94">
        <v>900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7"/>
      <c r="AK40" s="2"/>
      <c r="AL40" s="2"/>
      <c r="AM40" s="2"/>
      <c r="AN40" s="2"/>
      <c r="AO40" s="2"/>
      <c r="AP40" s="2"/>
    </row>
    <row r="41" spans="1:42" ht="14.25" customHeight="1">
      <c r="A41" s="95" t="s">
        <v>203</v>
      </c>
      <c r="B41" s="96">
        <v>0.9</v>
      </c>
      <c r="C41" s="96">
        <v>800</v>
      </c>
      <c r="D41" s="96">
        <v>480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7"/>
      <c r="AK41" s="2"/>
      <c r="AL41" s="2"/>
      <c r="AM41" s="2"/>
      <c r="AN41" s="2"/>
      <c r="AO41" s="2"/>
      <c r="AP41" s="2"/>
    </row>
    <row r="42" spans="1:42" ht="14.25" customHeight="1">
      <c r="A42" s="97" t="s">
        <v>204</v>
      </c>
      <c r="B42" s="98">
        <v>1</v>
      </c>
      <c r="C42" s="98">
        <v>1000</v>
      </c>
      <c r="D42" s="98">
        <v>600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7"/>
      <c r="AK42" s="2"/>
      <c r="AL42" s="2"/>
      <c r="AM42" s="2"/>
      <c r="AN42" s="2"/>
      <c r="AO42" s="2"/>
      <c r="AP42" s="2"/>
    </row>
    <row r="43" spans="1:42" ht="14.25" customHeight="1">
      <c r="A43" s="99" t="s">
        <v>1811</v>
      </c>
      <c r="B43" s="100">
        <v>0.8</v>
      </c>
      <c r="C43" s="100">
        <v>700</v>
      </c>
      <c r="D43" s="100">
        <v>420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7"/>
      <c r="AK43" s="2"/>
      <c r="AL43" s="2"/>
      <c r="AM43" s="2"/>
      <c r="AN43" s="2"/>
      <c r="AO43" s="2"/>
      <c r="AP43" s="2"/>
    </row>
    <row r="44" spans="1:42" ht="14.25" customHeight="1">
      <c r="A44" s="101" t="s">
        <v>1812</v>
      </c>
      <c r="B44" s="102">
        <v>0.6</v>
      </c>
      <c r="C44" s="102">
        <v>500</v>
      </c>
      <c r="D44" s="102">
        <v>300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7"/>
      <c r="AK44" s="2"/>
      <c r="AL44" s="2"/>
      <c r="AM44" s="2"/>
      <c r="AN44" s="2"/>
      <c r="AO44" s="2"/>
      <c r="AP44" s="2"/>
    </row>
    <row r="45" spans="1:42" ht="21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7"/>
      <c r="AK45" s="2"/>
      <c r="AL45" s="2"/>
      <c r="AM45" s="2"/>
      <c r="AN45" s="2"/>
      <c r="AO45" s="2"/>
      <c r="AP45" s="2"/>
    </row>
    <row r="46" spans="1:42" ht="14.25" customHeight="1">
      <c r="A46" s="103"/>
      <c r="B46" s="103"/>
      <c r="C46" s="103"/>
      <c r="D46" s="103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7"/>
      <c r="AK46" s="2"/>
      <c r="AL46" s="2"/>
      <c r="AM46" s="2"/>
      <c r="AN46" s="2"/>
      <c r="AO46" s="2"/>
      <c r="AP46" s="2"/>
    </row>
    <row r="47" spans="1:42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7"/>
      <c r="AK47" s="2"/>
      <c r="AL47" s="2"/>
      <c r="AM47" s="2"/>
      <c r="AN47" s="2"/>
      <c r="AO47" s="2"/>
      <c r="AP47" s="2"/>
    </row>
    <row r="48" spans="1:42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7"/>
      <c r="AK48" s="2"/>
      <c r="AL48" s="2"/>
      <c r="AM48" s="2"/>
      <c r="AN48" s="2"/>
      <c r="AO48" s="2"/>
      <c r="AP48" s="2"/>
    </row>
    <row r="49" spans="1:42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7"/>
      <c r="AK49" s="2"/>
      <c r="AL49" s="2"/>
      <c r="AM49" s="2"/>
      <c r="AN49" s="2"/>
      <c r="AO49" s="2"/>
      <c r="AP49" s="2"/>
    </row>
    <row r="50" spans="1:42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7"/>
      <c r="AK50" s="2"/>
      <c r="AL50" s="2"/>
      <c r="AM50" s="2"/>
      <c r="AN50" s="2"/>
      <c r="AO50" s="2"/>
      <c r="AP50" s="2"/>
    </row>
    <row r="51" spans="1:42" ht="14.25" customHeight="1">
      <c r="A51" s="719" t="s">
        <v>6</v>
      </c>
      <c r="B51" s="720"/>
      <c r="C51" s="720"/>
      <c r="D51" s="720"/>
      <c r="E51" s="72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7"/>
      <c r="AK51" s="2"/>
      <c r="AL51" s="2"/>
      <c r="AM51" s="2"/>
      <c r="AN51" s="2"/>
      <c r="AO51" s="2"/>
      <c r="AP51" s="2"/>
    </row>
    <row r="52" spans="1:42" ht="14.25" customHeight="1">
      <c r="A52" s="722"/>
      <c r="B52" s="723"/>
      <c r="C52" s="723"/>
      <c r="D52" s="723"/>
      <c r="E52" s="72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7"/>
      <c r="AK52" s="2"/>
      <c r="AL52" s="2"/>
      <c r="AM52" s="2"/>
      <c r="AN52" s="2"/>
      <c r="AO52" s="2"/>
      <c r="AP52" s="2"/>
    </row>
    <row r="53" spans="1:42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7"/>
      <c r="AK53" s="2"/>
      <c r="AL53" s="2"/>
      <c r="AM53" s="2"/>
      <c r="AN53" s="2"/>
      <c r="AO53" s="2"/>
      <c r="AP53" s="2"/>
    </row>
    <row r="54" spans="1:42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7"/>
      <c r="AK54" s="2"/>
      <c r="AL54" s="2"/>
      <c r="AM54" s="2"/>
      <c r="AN54" s="2"/>
      <c r="AO54" s="2"/>
      <c r="AP54" s="2"/>
    </row>
    <row r="55" spans="1:42" ht="14.25" customHeight="1">
      <c r="A55" s="104" t="s">
        <v>205</v>
      </c>
      <c r="B55" s="104"/>
      <c r="C55" s="91"/>
      <c r="D55" s="9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7"/>
      <c r="AK55" s="2"/>
      <c r="AL55" s="2"/>
      <c r="AM55" s="2"/>
      <c r="AN55" s="2"/>
      <c r="AO55" s="2"/>
      <c r="AP55" s="2"/>
    </row>
    <row r="56" spans="1:42" ht="14.25" customHeight="1">
      <c r="A56" s="104" t="s">
        <v>206</v>
      </c>
      <c r="B56" s="104"/>
      <c r="C56" s="104"/>
      <c r="D56" s="10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7"/>
      <c r="AK56" s="2"/>
      <c r="AL56" s="2"/>
      <c r="AM56" s="2"/>
      <c r="AN56" s="2"/>
      <c r="AO56" s="2"/>
      <c r="AP56" s="2"/>
    </row>
    <row r="57" spans="1:42" ht="14.25" customHeight="1">
      <c r="A57" s="104" t="s">
        <v>207</v>
      </c>
      <c r="B57" s="104"/>
      <c r="C57" s="104"/>
      <c r="D57" s="104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7"/>
      <c r="AK57" s="2"/>
      <c r="AL57" s="2"/>
      <c r="AM57" s="2"/>
      <c r="AN57" s="2"/>
      <c r="AO57" s="2"/>
      <c r="AP57" s="2"/>
    </row>
    <row r="58" spans="1:42" ht="14.25" customHeight="1">
      <c r="A58" s="104" t="s">
        <v>208</v>
      </c>
      <c r="B58" s="104"/>
      <c r="C58" s="104"/>
      <c r="D58" s="104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7"/>
      <c r="AK58" s="2"/>
      <c r="AL58" s="2"/>
      <c r="AM58" s="2"/>
      <c r="AN58" s="2"/>
      <c r="AO58" s="2"/>
      <c r="AP58" s="2"/>
    </row>
    <row r="59" spans="1:42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7"/>
      <c r="AK59" s="2"/>
      <c r="AL59" s="2"/>
      <c r="AM59" s="2"/>
      <c r="AN59" s="2"/>
      <c r="AO59" s="2"/>
      <c r="AP59" s="2"/>
    </row>
    <row r="60" spans="1:42" ht="14.25" customHeight="1">
      <c r="A60" s="105" t="s">
        <v>209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7"/>
      <c r="AK60" s="2"/>
      <c r="AL60" s="2"/>
      <c r="AM60" s="2"/>
      <c r="AN60" s="2"/>
      <c r="AO60" s="2"/>
      <c r="AP60" s="2"/>
    </row>
    <row r="61" spans="1:42" ht="14.25" customHeight="1">
      <c r="A61" s="106" t="s">
        <v>210</v>
      </c>
      <c r="B61" s="2"/>
      <c r="C61" s="104" t="s">
        <v>211</v>
      </c>
      <c r="D61" s="2"/>
      <c r="E61" s="2"/>
      <c r="F61" s="104" t="s">
        <v>211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7"/>
      <c r="AK61" s="2"/>
      <c r="AL61" s="2"/>
      <c r="AM61" s="2"/>
      <c r="AN61" s="2"/>
      <c r="AO61" s="2"/>
      <c r="AP61" s="2"/>
    </row>
    <row r="62" spans="1:42" ht="14.25" customHeight="1">
      <c r="A62" s="106" t="s">
        <v>212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7"/>
      <c r="AK62" s="2"/>
      <c r="AL62" s="2"/>
      <c r="AM62" s="2"/>
      <c r="AN62" s="2"/>
      <c r="AO62" s="2"/>
      <c r="AP62" s="2"/>
    </row>
    <row r="63" spans="1:42" ht="14.25" customHeight="1">
      <c r="A63" s="106" t="s">
        <v>213</v>
      </c>
      <c r="B63" s="2"/>
      <c r="C63" s="107" t="s">
        <v>40</v>
      </c>
      <c r="D63" s="107" t="s">
        <v>214</v>
      </c>
      <c r="E63" s="2"/>
      <c r="F63" s="107" t="s">
        <v>42</v>
      </c>
      <c r="G63" s="107" t="s">
        <v>214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7"/>
      <c r="AK63" s="2"/>
      <c r="AL63" s="2"/>
      <c r="AM63" s="2"/>
      <c r="AN63" s="2"/>
      <c r="AO63" s="2"/>
      <c r="AP63" s="2"/>
    </row>
    <row r="64" spans="1:42" ht="14.25" customHeight="1">
      <c r="A64" s="106" t="s">
        <v>215</v>
      </c>
      <c r="B64" s="2"/>
      <c r="C64" s="108" t="s">
        <v>216</v>
      </c>
      <c r="D64" s="109">
        <v>-1072</v>
      </c>
      <c r="E64" s="2"/>
      <c r="F64" s="110" t="s">
        <v>217</v>
      </c>
      <c r="G64" s="111">
        <v>8.7999999999999995E-2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7"/>
      <c r="AK64" s="2"/>
      <c r="AL64" s="2"/>
      <c r="AM64" s="2"/>
      <c r="AN64" s="2"/>
      <c r="AO64" s="2"/>
      <c r="AP64" s="2"/>
    </row>
    <row r="65" spans="1:42" ht="14.25" customHeight="1">
      <c r="A65" s="106" t="s">
        <v>218</v>
      </c>
      <c r="B65" s="2"/>
      <c r="C65" s="112" t="s">
        <v>219</v>
      </c>
      <c r="D65" s="113">
        <v>-0.93300000000000005</v>
      </c>
      <c r="E65" s="2"/>
      <c r="F65" s="114" t="s">
        <v>220</v>
      </c>
      <c r="G65" s="113">
        <v>1.2E-2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7"/>
      <c r="AK65" s="2"/>
      <c r="AL65" s="2"/>
      <c r="AM65" s="2"/>
      <c r="AN65" s="2"/>
      <c r="AO65" s="2"/>
      <c r="AP65" s="2"/>
    </row>
    <row r="66" spans="1:42" ht="14.25" customHeight="1">
      <c r="A66" s="106" t="s">
        <v>221</v>
      </c>
      <c r="B66" s="2"/>
      <c r="C66" s="112" t="s">
        <v>222</v>
      </c>
      <c r="D66" s="113">
        <v>-0.60799999999999998</v>
      </c>
      <c r="E66" s="2"/>
      <c r="F66" s="114" t="s">
        <v>223</v>
      </c>
      <c r="G66" s="113">
        <v>0.16300000000000001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7"/>
      <c r="AK66" s="2"/>
      <c r="AL66" s="2"/>
      <c r="AM66" s="2"/>
      <c r="AN66" s="2"/>
      <c r="AO66" s="2"/>
      <c r="AP66" s="2"/>
    </row>
    <row r="67" spans="1:42" ht="14.25" customHeight="1">
      <c r="A67" s="106" t="s">
        <v>224</v>
      </c>
      <c r="B67" s="2"/>
      <c r="C67" s="112" t="s">
        <v>225</v>
      </c>
      <c r="D67" s="113">
        <v>0</v>
      </c>
      <c r="E67" s="2"/>
      <c r="F67" s="114" t="s">
        <v>226</v>
      </c>
      <c r="G67" s="113">
        <v>0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7"/>
      <c r="AK67" s="2"/>
      <c r="AL67" s="2"/>
      <c r="AM67" s="2"/>
      <c r="AN67" s="2"/>
      <c r="AO67" s="2"/>
      <c r="AP67" s="2"/>
    </row>
    <row r="68" spans="1:42" ht="17.25" customHeight="1">
      <c r="A68" s="106" t="s">
        <v>227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7"/>
      <c r="AK68" s="2"/>
      <c r="AL68" s="2"/>
      <c r="AM68" s="2"/>
      <c r="AN68" s="2"/>
      <c r="AO68" s="2"/>
      <c r="AP68" s="2"/>
    </row>
    <row r="69" spans="1:42" ht="14.25" customHeight="1">
      <c r="A69" s="106" t="s">
        <v>228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7"/>
      <c r="AK69" s="2"/>
      <c r="AL69" s="2"/>
      <c r="AM69" s="2"/>
      <c r="AN69" s="2"/>
      <c r="AO69" s="2"/>
      <c r="AP69" s="2"/>
    </row>
    <row r="70" spans="1:42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7"/>
      <c r="AK70" s="2"/>
      <c r="AL70" s="2"/>
      <c r="AM70" s="2"/>
      <c r="AN70" s="2"/>
      <c r="AO70" s="2"/>
      <c r="AP70" s="2"/>
    </row>
    <row r="71" spans="1:42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7"/>
      <c r="AK71" s="2"/>
      <c r="AL71" s="2"/>
      <c r="AM71" s="2"/>
      <c r="AN71" s="2"/>
      <c r="AO71" s="2"/>
      <c r="AP71" s="2"/>
    </row>
    <row r="72" spans="1:4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7"/>
      <c r="AK72" s="2"/>
      <c r="AL72" s="2"/>
      <c r="AM72" s="2"/>
      <c r="AN72" s="2"/>
      <c r="AO72" s="2"/>
      <c r="AP72" s="2"/>
    </row>
    <row r="73" spans="1:42" ht="14.25" customHeight="1">
      <c r="A73" s="719" t="s">
        <v>2</v>
      </c>
      <c r="B73" s="720"/>
      <c r="C73" s="720"/>
      <c r="D73" s="720"/>
      <c r="E73" s="721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7"/>
      <c r="AK73" s="2"/>
      <c r="AL73" s="2"/>
      <c r="AM73" s="2"/>
      <c r="AN73" s="2"/>
      <c r="AO73" s="2"/>
      <c r="AP73" s="2"/>
    </row>
    <row r="74" spans="1:42" ht="14.25" customHeight="1">
      <c r="A74" s="722"/>
      <c r="B74" s="723"/>
      <c r="C74" s="723"/>
      <c r="D74" s="723"/>
      <c r="E74" s="72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7"/>
      <c r="AK74" s="2"/>
      <c r="AL74" s="2"/>
      <c r="AM74" s="2"/>
      <c r="AN74" s="2"/>
      <c r="AO74" s="2"/>
      <c r="AP74" s="2"/>
    </row>
    <row r="75" spans="1:42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7"/>
      <c r="AK75" s="2"/>
      <c r="AL75" s="2"/>
      <c r="AM75" s="2"/>
      <c r="AN75" s="2"/>
      <c r="AO75" s="2"/>
      <c r="AP75" s="2"/>
    </row>
    <row r="76" spans="1:42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7"/>
      <c r="AK76" s="2"/>
      <c r="AL76" s="2"/>
      <c r="AM76" s="2"/>
      <c r="AN76" s="2"/>
      <c r="AO76" s="2"/>
      <c r="AP76" s="2"/>
    </row>
    <row r="77" spans="1:42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7"/>
      <c r="AK77" s="2"/>
      <c r="AL77" s="2"/>
      <c r="AM77" s="2"/>
      <c r="AN77" s="2"/>
      <c r="AO77" s="2"/>
      <c r="AP77" s="2"/>
    </row>
    <row r="78" spans="1:42" ht="14.25" customHeight="1">
      <c r="A78" s="104" t="s">
        <v>229</v>
      </c>
      <c r="B78" s="104"/>
      <c r="C78" s="104"/>
      <c r="D78" s="104"/>
      <c r="E78" s="10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7"/>
      <c r="AK78" s="2"/>
      <c r="AL78" s="2"/>
      <c r="AM78" s="2"/>
      <c r="AN78" s="2"/>
      <c r="AO78" s="2"/>
      <c r="AP78" s="2"/>
    </row>
    <row r="79" spans="1:42" ht="14.25" customHeight="1">
      <c r="A79" s="104" t="s">
        <v>230</v>
      </c>
      <c r="B79" s="104"/>
      <c r="C79" s="104"/>
      <c r="D79" s="104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7"/>
      <c r="AK79" s="2"/>
      <c r="AL79" s="2"/>
      <c r="AM79" s="2"/>
      <c r="AN79" s="2"/>
      <c r="AO79" s="2"/>
      <c r="AP79" s="2"/>
    </row>
    <row r="80" spans="1:42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7"/>
      <c r="AK80" s="2"/>
      <c r="AL80" s="2"/>
      <c r="AM80" s="2"/>
      <c r="AN80" s="2"/>
      <c r="AO80" s="2"/>
      <c r="AP80" s="2"/>
    </row>
    <row r="81" spans="1:42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7"/>
      <c r="AK81" s="2"/>
      <c r="AL81" s="2"/>
      <c r="AM81" s="2"/>
      <c r="AN81" s="2"/>
      <c r="AO81" s="2"/>
      <c r="AP81" s="2"/>
    </row>
    <row r="82" spans="1:42" ht="14.25" customHeight="1">
      <c r="A82" s="115" t="s">
        <v>231</v>
      </c>
      <c r="B82" s="115" t="s">
        <v>232</v>
      </c>
      <c r="C82" s="115" t="s">
        <v>31</v>
      </c>
      <c r="D82" s="115" t="s">
        <v>233</v>
      </c>
      <c r="E82" s="115" t="s">
        <v>32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7"/>
      <c r="AK82" s="2"/>
      <c r="AL82" s="2"/>
      <c r="AM82" s="2"/>
      <c r="AN82" s="2"/>
      <c r="AO82" s="2"/>
      <c r="AP82" s="2"/>
    </row>
    <row r="83" spans="1:42" ht="14.25" customHeight="1">
      <c r="A83" s="116"/>
      <c r="B83" s="116"/>
      <c r="C83" s="286" t="s">
        <v>1746</v>
      </c>
      <c r="D83" s="116"/>
      <c r="E83" s="116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7"/>
      <c r="AK83" s="2"/>
      <c r="AL83" s="2"/>
      <c r="AM83" s="2"/>
      <c r="AN83" s="2"/>
      <c r="AO83" s="2"/>
      <c r="AP83" s="2"/>
    </row>
    <row r="84" spans="1:42" ht="14.25" customHeight="1">
      <c r="A84" s="116" t="str">
        <f t="shared" ref="A84:A87" si="4">CONCATENATE(C84,D84,E84)</f>
        <v>Legume&lt;3Annual</v>
      </c>
      <c r="B84" s="117">
        <v>0.8</v>
      </c>
      <c r="C84" s="286" t="s">
        <v>1743</v>
      </c>
      <c r="D84" s="116" t="s">
        <v>234</v>
      </c>
      <c r="E84" s="116" t="s">
        <v>33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7"/>
      <c r="AK84" s="2"/>
      <c r="AL84" s="2"/>
      <c r="AM84" s="2"/>
      <c r="AN84" s="2"/>
      <c r="AO84" s="2"/>
      <c r="AP84" s="2"/>
    </row>
    <row r="85" spans="1:42" ht="14.25" customHeight="1">
      <c r="A85" s="116" t="str">
        <f t="shared" si="4"/>
        <v>Legume&gt;=3Annual</v>
      </c>
      <c r="B85" s="117">
        <v>0.5</v>
      </c>
      <c r="C85" s="286" t="s">
        <v>1743</v>
      </c>
      <c r="D85" s="116" t="s">
        <v>235</v>
      </c>
      <c r="E85" s="116" t="s">
        <v>33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7"/>
      <c r="AK85" s="2"/>
      <c r="AL85" s="2"/>
      <c r="AM85" s="2"/>
      <c r="AN85" s="2"/>
      <c r="AO85" s="2"/>
      <c r="AP85" s="2"/>
    </row>
    <row r="86" spans="1:42" ht="14.25" customHeight="1">
      <c r="A86" s="116" t="str">
        <f t="shared" si="4"/>
        <v>Legume&lt;3Pluriannual</v>
      </c>
      <c r="B86" s="117">
        <v>0.9</v>
      </c>
      <c r="C86" s="286" t="s">
        <v>1743</v>
      </c>
      <c r="D86" s="116" t="s">
        <v>234</v>
      </c>
      <c r="E86" s="116" t="s">
        <v>595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7"/>
      <c r="AK86" s="2"/>
      <c r="AL86" s="2"/>
      <c r="AM86" s="2"/>
      <c r="AN86" s="2"/>
      <c r="AO86" s="2"/>
      <c r="AP86" s="2"/>
    </row>
    <row r="87" spans="1:42" ht="14.25" customHeight="1">
      <c r="A87" s="116" t="str">
        <f t="shared" si="4"/>
        <v>Legume&gt;=3Pluriannual</v>
      </c>
      <c r="B87" s="117">
        <v>0.6</v>
      </c>
      <c r="C87" s="286" t="s">
        <v>1743</v>
      </c>
      <c r="D87" s="116" t="s">
        <v>235</v>
      </c>
      <c r="E87" s="116" t="s">
        <v>595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7"/>
      <c r="AK87" s="2"/>
      <c r="AL87" s="2"/>
      <c r="AM87" s="2"/>
      <c r="AN87" s="2"/>
      <c r="AO87" s="2"/>
      <c r="AP87" s="2"/>
    </row>
    <row r="88" spans="1:42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7"/>
      <c r="AK88" s="2"/>
      <c r="AL88" s="2"/>
      <c r="AM88" s="2"/>
      <c r="AN88" s="2"/>
      <c r="AO88" s="2"/>
      <c r="AP88" s="2"/>
    </row>
    <row r="89" spans="1:42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7"/>
      <c r="AK89" s="2"/>
      <c r="AL89" s="2"/>
      <c r="AM89" s="2"/>
      <c r="AN89" s="2"/>
      <c r="AO89" s="2"/>
      <c r="AP89" s="2"/>
    </row>
    <row r="90" spans="1:42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7"/>
      <c r="AK90" s="2"/>
      <c r="AL90" s="2"/>
      <c r="AM90" s="2"/>
      <c r="AN90" s="2"/>
      <c r="AO90" s="2"/>
      <c r="AP90" s="2"/>
    </row>
    <row r="91" spans="1:42" ht="14.25" customHeight="1">
      <c r="A91" s="104" t="s">
        <v>236</v>
      </c>
      <c r="B91" s="104"/>
      <c r="C91" s="104"/>
      <c r="D91" s="104"/>
      <c r="E91" s="10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7"/>
      <c r="AK91" s="2"/>
      <c r="AL91" s="2"/>
      <c r="AM91" s="2"/>
      <c r="AN91" s="2"/>
      <c r="AO91" s="2"/>
      <c r="AP91" s="2"/>
    </row>
    <row r="92" spans="1:4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7"/>
      <c r="AK92" s="2"/>
      <c r="AL92" s="2"/>
      <c r="AM92" s="2"/>
      <c r="AN92" s="2"/>
      <c r="AO92" s="2"/>
      <c r="AP92" s="2"/>
    </row>
    <row r="93" spans="1:42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7"/>
      <c r="AK93" s="2"/>
      <c r="AL93" s="2"/>
      <c r="AM93" s="2"/>
      <c r="AN93" s="2"/>
      <c r="AO93" s="2"/>
      <c r="AP93" s="2"/>
    </row>
    <row r="94" spans="1:42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7"/>
      <c r="AK94" s="2"/>
      <c r="AL94" s="2"/>
      <c r="AM94" s="2"/>
      <c r="AN94" s="2"/>
      <c r="AO94" s="2"/>
      <c r="AP94" s="2"/>
    </row>
    <row r="95" spans="1:42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7"/>
      <c r="AK95" s="2"/>
      <c r="AL95" s="2"/>
      <c r="AM95" s="2"/>
      <c r="AN95" s="2"/>
      <c r="AO95" s="2"/>
      <c r="AP95" s="2"/>
    </row>
    <row r="96" spans="1:42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7"/>
      <c r="AK96" s="2"/>
      <c r="AL96" s="2"/>
      <c r="AM96" s="2"/>
      <c r="AN96" s="2"/>
      <c r="AO96" s="2"/>
      <c r="AP96" s="2"/>
    </row>
    <row r="97" spans="1:42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7"/>
      <c r="AK97" s="2"/>
      <c r="AL97" s="2"/>
      <c r="AM97" s="2"/>
      <c r="AN97" s="2"/>
      <c r="AO97" s="2"/>
      <c r="AP97" s="2"/>
    </row>
    <row r="98" spans="1:42" ht="14.25" customHeight="1">
      <c r="A98" s="725" t="s">
        <v>237</v>
      </c>
      <c r="B98" s="725" t="s">
        <v>238</v>
      </c>
      <c r="C98" s="726" t="s">
        <v>95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7"/>
      <c r="AK98" s="2"/>
      <c r="AL98" s="2"/>
      <c r="AM98" s="2"/>
      <c r="AN98" s="2"/>
      <c r="AO98" s="2"/>
      <c r="AP98" s="2"/>
    </row>
    <row r="99" spans="1:42" ht="13.5" customHeight="1">
      <c r="A99" s="714"/>
      <c r="B99" s="714"/>
      <c r="C99" s="714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7"/>
      <c r="AK99" s="2"/>
      <c r="AL99" s="2"/>
      <c r="AM99" s="2"/>
      <c r="AN99" s="2"/>
      <c r="AO99" s="2"/>
      <c r="AP99" s="2"/>
    </row>
    <row r="100" spans="1:42" ht="13.5" customHeight="1">
      <c r="A100" s="118">
        <v>1</v>
      </c>
      <c r="B100" s="118" t="s">
        <v>239</v>
      </c>
      <c r="C100" s="727">
        <v>30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7"/>
      <c r="AK100" s="2"/>
      <c r="AL100" s="2"/>
      <c r="AM100" s="2"/>
      <c r="AN100" s="2"/>
      <c r="AO100" s="2"/>
      <c r="AP100" s="2"/>
    </row>
    <row r="101" spans="1:42" ht="14.25" customHeight="1">
      <c r="A101" s="118">
        <v>1</v>
      </c>
      <c r="B101" s="118" t="s">
        <v>240</v>
      </c>
      <c r="C101" s="728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7"/>
      <c r="AK101" s="2"/>
      <c r="AL101" s="2"/>
      <c r="AM101" s="2"/>
      <c r="AN101" s="2"/>
      <c r="AO101" s="2"/>
      <c r="AP101" s="2"/>
    </row>
    <row r="102" spans="1:42" ht="14.25" customHeight="1">
      <c r="A102" s="119">
        <v>2</v>
      </c>
      <c r="B102" s="119" t="s">
        <v>241</v>
      </c>
      <c r="C102" s="120">
        <v>75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7"/>
      <c r="AK102" s="2"/>
      <c r="AL102" s="2"/>
      <c r="AM102" s="2"/>
      <c r="AN102" s="2"/>
      <c r="AO102" s="2"/>
      <c r="AP102" s="2"/>
    </row>
    <row r="103" spans="1:42" ht="14.25" customHeight="1">
      <c r="A103" s="121">
        <v>3</v>
      </c>
      <c r="B103" s="121" t="s">
        <v>242</v>
      </c>
      <c r="C103" s="122">
        <v>100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7"/>
      <c r="AK103" s="2"/>
      <c r="AL103" s="2"/>
      <c r="AM103" s="2"/>
      <c r="AN103" s="2"/>
      <c r="AO103" s="2"/>
      <c r="AP103" s="2"/>
    </row>
    <row r="104" spans="1:42" ht="14.25" customHeight="1">
      <c r="A104" s="123">
        <v>4</v>
      </c>
      <c r="B104" s="123" t="s">
        <v>243</v>
      </c>
      <c r="C104" s="712">
        <v>80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7"/>
      <c r="AK104" s="2"/>
      <c r="AL104" s="2"/>
      <c r="AM104" s="2"/>
      <c r="AN104" s="2"/>
      <c r="AO104" s="2"/>
      <c r="AP104" s="2"/>
    </row>
    <row r="105" spans="1:42" ht="14.25" customHeight="1">
      <c r="A105" s="123">
        <v>4</v>
      </c>
      <c r="B105" s="123" t="s">
        <v>244</v>
      </c>
      <c r="C105" s="713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7"/>
      <c r="AK105" s="2"/>
      <c r="AL105" s="2"/>
      <c r="AM105" s="2"/>
      <c r="AN105" s="2"/>
      <c r="AO105" s="2"/>
      <c r="AP105" s="2"/>
    </row>
    <row r="106" spans="1:42" ht="14.25" customHeight="1">
      <c r="A106" s="123">
        <v>4</v>
      </c>
      <c r="B106" s="123" t="s">
        <v>245</v>
      </c>
      <c r="C106" s="714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7"/>
      <c r="AK106" s="2"/>
      <c r="AL106" s="2"/>
      <c r="AM106" s="2"/>
      <c r="AN106" s="2"/>
      <c r="AO106" s="2"/>
      <c r="AP106" s="2"/>
    </row>
    <row r="107" spans="1:42" ht="14.25" customHeight="1">
      <c r="A107" s="124">
        <v>5</v>
      </c>
      <c r="B107" s="124" t="s">
        <v>246</v>
      </c>
      <c r="C107" s="715">
        <v>220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7"/>
      <c r="AK107" s="2"/>
      <c r="AL107" s="2"/>
      <c r="AM107" s="2"/>
      <c r="AN107" s="2"/>
      <c r="AO107" s="2"/>
      <c r="AP107" s="2"/>
    </row>
    <row r="108" spans="1:42" ht="14.25" customHeight="1">
      <c r="A108" s="124">
        <v>5</v>
      </c>
      <c r="B108" s="124" t="s">
        <v>247</v>
      </c>
      <c r="C108" s="713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7"/>
      <c r="AK108" s="2"/>
      <c r="AL108" s="2"/>
      <c r="AM108" s="2"/>
      <c r="AN108" s="2"/>
      <c r="AO108" s="2"/>
      <c r="AP108" s="2"/>
    </row>
    <row r="109" spans="1:42" ht="14.25" customHeight="1">
      <c r="A109" s="124">
        <v>5</v>
      </c>
      <c r="B109" s="124" t="s">
        <v>248</v>
      </c>
      <c r="C109" s="713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7"/>
      <c r="AK109" s="2"/>
      <c r="AL109" s="2"/>
      <c r="AM109" s="2"/>
      <c r="AN109" s="2"/>
      <c r="AO109" s="2"/>
      <c r="AP109" s="2"/>
    </row>
    <row r="110" spans="1:42" ht="14.25" customHeight="1">
      <c r="A110" s="124">
        <v>5</v>
      </c>
      <c r="B110" s="124" t="s">
        <v>249</v>
      </c>
      <c r="C110" s="714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7"/>
      <c r="AK110" s="2"/>
      <c r="AL110" s="2"/>
      <c r="AM110" s="2"/>
      <c r="AN110" s="2"/>
      <c r="AO110" s="2"/>
      <c r="AP110" s="2"/>
    </row>
    <row r="111" spans="1:42" ht="14.25" customHeight="1">
      <c r="A111" s="119">
        <v>6</v>
      </c>
      <c r="B111" s="119" t="s">
        <v>250</v>
      </c>
      <c r="C111" s="120">
        <v>300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7"/>
      <c r="AK111" s="2"/>
      <c r="AL111" s="2"/>
      <c r="AM111" s="2"/>
      <c r="AN111" s="2"/>
      <c r="AO111" s="2"/>
      <c r="AP111" s="2"/>
    </row>
    <row r="112" spans="1:4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7"/>
      <c r="AK112" s="2"/>
      <c r="AL112" s="2"/>
      <c r="AM112" s="2"/>
      <c r="AN112" s="2"/>
      <c r="AO112" s="2"/>
      <c r="AP112" s="2"/>
    </row>
    <row r="113" spans="1:42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7"/>
      <c r="AK113" s="2"/>
      <c r="AL113" s="2"/>
      <c r="AM113" s="2"/>
      <c r="AN113" s="2"/>
      <c r="AO113" s="2"/>
      <c r="AP113" s="2"/>
    </row>
    <row r="114" spans="1:42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7"/>
      <c r="AK114" s="2"/>
      <c r="AL114" s="2"/>
      <c r="AM114" s="2"/>
      <c r="AN114" s="2"/>
      <c r="AO114" s="2"/>
      <c r="AP114" s="2"/>
    </row>
    <row r="115" spans="1:42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7"/>
      <c r="AK115" s="2"/>
      <c r="AL115" s="2"/>
      <c r="AM115" s="2"/>
      <c r="AN115" s="2"/>
      <c r="AO115" s="2"/>
      <c r="AP115" s="2"/>
    </row>
    <row r="116" spans="1:42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7"/>
      <c r="AK116" s="2"/>
      <c r="AL116" s="2"/>
      <c r="AM116" s="2"/>
      <c r="AN116" s="2"/>
      <c r="AO116" s="2"/>
      <c r="AP116" s="2"/>
    </row>
    <row r="117" spans="1:42" ht="14.25" customHeight="1">
      <c r="A117" s="2" t="s">
        <v>174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7"/>
      <c r="AK117" s="2"/>
      <c r="AL117" s="2"/>
      <c r="AM117" s="2"/>
      <c r="AN117" s="2"/>
      <c r="AO117" s="2"/>
      <c r="AP117" s="2"/>
    </row>
    <row r="118" spans="1:42" ht="14.25" customHeight="1">
      <c r="A118" s="125" t="s">
        <v>177</v>
      </c>
      <c r="B118" s="13" t="s">
        <v>178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7"/>
      <c r="AK118" s="2"/>
      <c r="AL118" s="2"/>
      <c r="AM118" s="2"/>
      <c r="AN118" s="2"/>
      <c r="AO118" s="2"/>
      <c r="AP118" s="2"/>
    </row>
    <row r="119" spans="1:42" ht="14.25" customHeight="1">
      <c r="A119" s="126" t="s">
        <v>251</v>
      </c>
      <c r="B119" s="2" t="s">
        <v>252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7"/>
      <c r="AK119" s="2"/>
      <c r="AL119" s="2"/>
      <c r="AM119" s="2"/>
      <c r="AN119" s="2"/>
      <c r="AO119" s="2"/>
      <c r="AP119" s="2"/>
    </row>
    <row r="120" spans="1:42" ht="14.25" customHeight="1">
      <c r="A120" s="126" t="s">
        <v>253</v>
      </c>
      <c r="B120" s="2" t="s">
        <v>254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7"/>
      <c r="AK120" s="2"/>
      <c r="AL120" s="2"/>
      <c r="AM120" s="2"/>
      <c r="AN120" s="2"/>
      <c r="AO120" s="2"/>
      <c r="AP120" s="2"/>
    </row>
    <row r="121" spans="1:42" ht="14.25" customHeight="1">
      <c r="A121" s="126" t="s">
        <v>52</v>
      </c>
      <c r="B121" s="2" t="s">
        <v>255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7"/>
      <c r="AK121" s="2"/>
      <c r="AL121" s="2"/>
      <c r="AM121" s="2"/>
      <c r="AN121" s="2"/>
      <c r="AO121" s="2"/>
      <c r="AP121" s="2"/>
    </row>
    <row r="122" spans="1:42" ht="14.25" customHeight="1">
      <c r="A122" s="126" t="s">
        <v>256</v>
      </c>
      <c r="B122" s="2" t="s">
        <v>257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7"/>
      <c r="AK122" s="2"/>
      <c r="AL122" s="2"/>
      <c r="AM122" s="2"/>
      <c r="AN122" s="2"/>
      <c r="AO122" s="2"/>
      <c r="AP122" s="2"/>
    </row>
    <row r="123" spans="1:42" ht="14.25" customHeight="1">
      <c r="A123" s="126" t="s">
        <v>192</v>
      </c>
      <c r="B123" s="2" t="s">
        <v>258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7"/>
      <c r="AK123" s="2"/>
      <c r="AL123" s="2"/>
      <c r="AM123" s="2"/>
      <c r="AN123" s="2"/>
      <c r="AO123" s="2"/>
      <c r="AP123" s="2"/>
    </row>
    <row r="124" spans="1:42" ht="14.25" customHeight="1">
      <c r="A124" s="127" t="s">
        <v>259</v>
      </c>
      <c r="B124" s="2" t="s">
        <v>260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7"/>
      <c r="AK124" s="2"/>
      <c r="AL124" s="2"/>
      <c r="AM124" s="2"/>
      <c r="AN124" s="2"/>
      <c r="AO124" s="2"/>
      <c r="AP124" s="2"/>
    </row>
    <row r="125" spans="1:42" ht="14.25" customHeight="1">
      <c r="A125" s="126" t="s">
        <v>261</v>
      </c>
      <c r="B125" s="2" t="s">
        <v>262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7"/>
      <c r="AK125" s="2"/>
      <c r="AL125" s="2"/>
      <c r="AM125" s="2"/>
      <c r="AN125" s="2"/>
      <c r="AO125" s="2"/>
      <c r="AP125" s="2"/>
    </row>
    <row r="126" spans="1:42" ht="14.25" customHeight="1">
      <c r="A126" s="126" t="s">
        <v>263</v>
      </c>
      <c r="B126" s="2" t="s">
        <v>264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7"/>
      <c r="AK126" s="2"/>
      <c r="AL126" s="2"/>
      <c r="AM126" s="2"/>
      <c r="AN126" s="2"/>
      <c r="AO126" s="2"/>
      <c r="AP126" s="2"/>
    </row>
    <row r="127" spans="1:42" ht="14.25" customHeight="1">
      <c r="A127" s="126" t="s">
        <v>196</v>
      </c>
      <c r="B127" s="2" t="s">
        <v>265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7"/>
      <c r="AK127" s="2"/>
      <c r="AL127" s="2"/>
      <c r="AM127" s="2"/>
      <c r="AN127" s="2"/>
      <c r="AO127" s="2"/>
      <c r="AP127" s="2"/>
    </row>
    <row r="128" spans="1:42" ht="14.25" customHeight="1">
      <c r="A128" s="127" t="s">
        <v>266</v>
      </c>
      <c r="B128" s="2" t="s">
        <v>267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7"/>
      <c r="AK128" s="2"/>
      <c r="AL128" s="2"/>
      <c r="AM128" s="2"/>
      <c r="AN128" s="2"/>
      <c r="AO128" s="2"/>
      <c r="AP128" s="2"/>
    </row>
    <row r="129" spans="1:42" ht="14.25" customHeight="1">
      <c r="A129" s="126" t="s">
        <v>268</v>
      </c>
      <c r="B129" s="2" t="s">
        <v>269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7"/>
      <c r="AK129" s="2"/>
      <c r="AL129" s="2"/>
      <c r="AM129" s="2"/>
      <c r="AN129" s="2"/>
      <c r="AO129" s="2"/>
      <c r="AP129" s="2"/>
    </row>
    <row r="130" spans="1:42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7"/>
      <c r="AK130" s="2"/>
      <c r="AL130" s="2"/>
      <c r="AM130" s="2"/>
      <c r="AN130" s="2"/>
      <c r="AO130" s="2"/>
      <c r="AP130" s="2"/>
    </row>
    <row r="131" spans="1:42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7"/>
      <c r="AK131" s="2"/>
      <c r="AL131" s="2"/>
      <c r="AM131" s="2"/>
      <c r="AN131" s="2"/>
      <c r="AO131" s="2"/>
      <c r="AP131" s="2"/>
    </row>
    <row r="132" spans="1:4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7"/>
      <c r="AK132" s="2"/>
      <c r="AL132" s="2"/>
      <c r="AM132" s="2"/>
      <c r="AN132" s="2"/>
      <c r="AO132" s="2"/>
      <c r="AP132" s="2"/>
    </row>
    <row r="133" spans="1:42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7"/>
      <c r="AK133" s="2"/>
      <c r="AL133" s="2"/>
      <c r="AM133" s="2"/>
      <c r="AN133" s="2"/>
      <c r="AO133" s="2"/>
      <c r="AP133" s="2"/>
    </row>
    <row r="134" spans="1:42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7"/>
      <c r="AK134" s="2"/>
      <c r="AL134" s="2"/>
      <c r="AM134" s="2"/>
      <c r="AN134" s="2"/>
      <c r="AO134" s="2"/>
      <c r="AP134" s="2"/>
    </row>
    <row r="135" spans="1:42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7"/>
      <c r="AK135" s="2"/>
      <c r="AL135" s="2"/>
      <c r="AM135" s="2"/>
      <c r="AN135" s="2"/>
      <c r="AO135" s="2"/>
      <c r="AP135" s="2"/>
    </row>
    <row r="136" spans="1:42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7"/>
      <c r="AK136" s="2"/>
      <c r="AL136" s="2"/>
      <c r="AM136" s="2"/>
      <c r="AN136" s="2"/>
      <c r="AO136" s="2"/>
      <c r="AP136" s="2"/>
    </row>
    <row r="137" spans="1:42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7"/>
      <c r="AK137" s="2"/>
      <c r="AL137" s="2"/>
      <c r="AM137" s="2"/>
      <c r="AN137" s="2"/>
      <c r="AO137" s="2"/>
      <c r="AP137" s="2"/>
    </row>
    <row r="138" spans="1:42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7"/>
      <c r="AK138" s="2"/>
      <c r="AL138" s="2"/>
      <c r="AM138" s="2"/>
      <c r="AN138" s="2"/>
      <c r="AO138" s="2"/>
      <c r="AP138" s="2"/>
    </row>
    <row r="139" spans="1:42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7"/>
      <c r="AK139" s="2"/>
      <c r="AL139" s="2"/>
      <c r="AM139" s="2"/>
      <c r="AN139" s="2"/>
      <c r="AO139" s="2"/>
      <c r="AP139" s="2"/>
    </row>
    <row r="140" spans="1:42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7"/>
      <c r="AK140" s="2"/>
      <c r="AL140" s="2"/>
      <c r="AM140" s="2"/>
      <c r="AN140" s="2"/>
      <c r="AO140" s="2"/>
      <c r="AP140" s="2"/>
    </row>
    <row r="141" spans="1:42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7"/>
      <c r="AK141" s="2"/>
      <c r="AL141" s="2"/>
      <c r="AM141" s="2"/>
      <c r="AN141" s="2"/>
      <c r="AO141" s="2"/>
      <c r="AP141" s="2"/>
    </row>
    <row r="142" spans="1: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7"/>
      <c r="AK142" s="2"/>
      <c r="AL142" s="2"/>
      <c r="AM142" s="2"/>
      <c r="AN142" s="2"/>
      <c r="AO142" s="2"/>
      <c r="AP142" s="2"/>
    </row>
    <row r="143" spans="1:42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7"/>
      <c r="AK143" s="2"/>
      <c r="AL143" s="2"/>
      <c r="AM143" s="2"/>
      <c r="AN143" s="2"/>
      <c r="AO143" s="2"/>
      <c r="AP143" s="2"/>
    </row>
    <row r="144" spans="1:42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7"/>
      <c r="AK144" s="2"/>
      <c r="AL144" s="2"/>
      <c r="AM144" s="2"/>
      <c r="AN144" s="2"/>
      <c r="AO144" s="2"/>
      <c r="AP144" s="2"/>
    </row>
    <row r="145" spans="1:42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7"/>
      <c r="AK145" s="2"/>
      <c r="AL145" s="2"/>
      <c r="AM145" s="2"/>
      <c r="AN145" s="2"/>
      <c r="AO145" s="2"/>
      <c r="AP145" s="2"/>
    </row>
    <row r="146" spans="1:42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7"/>
      <c r="AK146" s="2"/>
      <c r="AL146" s="2"/>
      <c r="AM146" s="2"/>
      <c r="AN146" s="2"/>
      <c r="AO146" s="2"/>
      <c r="AP146" s="2"/>
    </row>
    <row r="147" spans="1:42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7"/>
      <c r="AK147" s="2"/>
      <c r="AL147" s="2"/>
      <c r="AM147" s="2"/>
      <c r="AN147" s="2"/>
      <c r="AO147" s="2"/>
      <c r="AP147" s="2"/>
    </row>
    <row r="148" spans="1:42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7"/>
      <c r="AK148" s="2"/>
      <c r="AL148" s="2"/>
      <c r="AM148" s="2"/>
      <c r="AN148" s="2"/>
      <c r="AO148" s="2"/>
      <c r="AP148" s="2"/>
    </row>
    <row r="149" spans="1:42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7"/>
      <c r="AK149" s="2"/>
      <c r="AL149" s="2"/>
      <c r="AM149" s="2"/>
      <c r="AN149" s="2"/>
      <c r="AO149" s="2"/>
      <c r="AP149" s="2"/>
    </row>
    <row r="150" spans="1:42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7"/>
      <c r="AK150" s="2"/>
      <c r="AL150" s="2"/>
      <c r="AM150" s="2"/>
      <c r="AN150" s="2"/>
      <c r="AO150" s="2"/>
      <c r="AP150" s="2"/>
    </row>
    <row r="151" spans="1:42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7"/>
      <c r="AK151" s="2"/>
      <c r="AL151" s="2"/>
      <c r="AM151" s="2"/>
      <c r="AN151" s="2"/>
      <c r="AO151" s="2"/>
      <c r="AP151" s="2"/>
    </row>
    <row r="152" spans="1:4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7"/>
      <c r="AK152" s="2"/>
      <c r="AL152" s="2"/>
      <c r="AM152" s="2"/>
      <c r="AN152" s="2"/>
      <c r="AO152" s="2"/>
      <c r="AP152" s="2"/>
    </row>
    <row r="153" spans="1:42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7"/>
      <c r="AK153" s="2"/>
      <c r="AL153" s="2"/>
      <c r="AM153" s="2"/>
      <c r="AN153" s="2"/>
      <c r="AO153" s="2"/>
      <c r="AP153" s="2"/>
    </row>
    <row r="154" spans="1:42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7"/>
      <c r="AK154" s="2"/>
      <c r="AL154" s="2"/>
      <c r="AM154" s="2"/>
      <c r="AN154" s="2"/>
      <c r="AO154" s="2"/>
      <c r="AP154" s="2"/>
    </row>
    <row r="155" spans="1:42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7"/>
      <c r="AK155" s="2"/>
      <c r="AL155" s="2"/>
      <c r="AM155" s="2"/>
      <c r="AN155" s="2"/>
      <c r="AO155" s="2"/>
      <c r="AP155" s="2"/>
    </row>
    <row r="156" spans="1:42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7"/>
      <c r="AK156" s="2"/>
      <c r="AL156" s="2"/>
      <c r="AM156" s="2"/>
      <c r="AN156" s="2"/>
      <c r="AO156" s="2"/>
      <c r="AP156" s="2"/>
    </row>
    <row r="157" spans="1:42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7"/>
      <c r="AK157" s="2"/>
      <c r="AL157" s="2"/>
      <c r="AM157" s="2"/>
      <c r="AN157" s="2"/>
      <c r="AO157" s="2"/>
      <c r="AP157" s="2"/>
    </row>
    <row r="158" spans="1:42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7"/>
      <c r="AK158" s="2"/>
      <c r="AL158" s="2"/>
      <c r="AM158" s="2"/>
      <c r="AN158" s="2"/>
      <c r="AO158" s="2"/>
      <c r="AP158" s="2"/>
    </row>
    <row r="159" spans="1:42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7"/>
      <c r="AK159" s="2"/>
      <c r="AL159" s="2"/>
      <c r="AM159" s="2"/>
      <c r="AN159" s="2"/>
      <c r="AO159" s="2"/>
      <c r="AP159" s="2"/>
    </row>
    <row r="160" spans="1:42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7"/>
      <c r="AK160" s="2"/>
      <c r="AL160" s="2"/>
      <c r="AM160" s="2"/>
      <c r="AN160" s="2"/>
      <c r="AO160" s="2"/>
      <c r="AP160" s="2"/>
    </row>
    <row r="161" spans="1:42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7"/>
      <c r="AK161" s="2"/>
      <c r="AL161" s="2"/>
      <c r="AM161" s="2"/>
      <c r="AN161" s="2"/>
      <c r="AO161" s="2"/>
      <c r="AP161" s="2"/>
    </row>
    <row r="162" spans="1:4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7"/>
      <c r="AK162" s="2"/>
      <c r="AL162" s="2"/>
      <c r="AM162" s="2"/>
      <c r="AN162" s="2"/>
      <c r="AO162" s="2"/>
      <c r="AP162" s="2"/>
    </row>
    <row r="163" spans="1:42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7"/>
      <c r="AK163" s="2"/>
      <c r="AL163" s="2"/>
      <c r="AM163" s="2"/>
      <c r="AN163" s="2"/>
      <c r="AO163" s="2"/>
      <c r="AP163" s="2"/>
    </row>
    <row r="164" spans="1:42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7"/>
      <c r="AK164" s="2"/>
      <c r="AL164" s="2"/>
      <c r="AM164" s="2"/>
      <c r="AN164" s="2"/>
      <c r="AO164" s="2"/>
      <c r="AP164" s="2"/>
    </row>
    <row r="165" spans="1:42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7"/>
      <c r="AK165" s="2"/>
      <c r="AL165" s="2"/>
      <c r="AM165" s="2"/>
      <c r="AN165" s="2"/>
      <c r="AO165" s="2"/>
      <c r="AP165" s="2"/>
    </row>
    <row r="166" spans="1:42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7"/>
      <c r="AK166" s="2"/>
      <c r="AL166" s="2"/>
      <c r="AM166" s="2"/>
      <c r="AN166" s="2"/>
      <c r="AO166" s="2"/>
      <c r="AP166" s="2"/>
    </row>
    <row r="167" spans="1:42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7"/>
      <c r="AK167" s="2"/>
      <c r="AL167" s="2"/>
      <c r="AM167" s="2"/>
      <c r="AN167" s="2"/>
      <c r="AO167" s="2"/>
      <c r="AP167" s="2"/>
    </row>
    <row r="168" spans="1:42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7"/>
      <c r="AK168" s="2"/>
      <c r="AL168" s="2"/>
      <c r="AM168" s="2"/>
      <c r="AN168" s="2"/>
      <c r="AO168" s="2"/>
      <c r="AP168" s="2"/>
    </row>
    <row r="169" spans="1:42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7"/>
      <c r="AK169" s="2"/>
      <c r="AL169" s="2"/>
      <c r="AM169" s="2"/>
      <c r="AN169" s="2"/>
      <c r="AO169" s="2"/>
      <c r="AP169" s="2"/>
    </row>
    <row r="170" spans="1:42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7"/>
      <c r="AK170" s="2"/>
      <c r="AL170" s="2"/>
      <c r="AM170" s="2"/>
      <c r="AN170" s="2"/>
      <c r="AO170" s="2"/>
      <c r="AP170" s="2"/>
    </row>
    <row r="171" spans="1:42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7"/>
      <c r="AK171" s="2"/>
      <c r="AL171" s="2"/>
      <c r="AM171" s="2"/>
      <c r="AN171" s="2"/>
      <c r="AO171" s="2"/>
      <c r="AP171" s="2"/>
    </row>
    <row r="172" spans="1:4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7"/>
      <c r="AK172" s="2"/>
      <c r="AL172" s="2"/>
      <c r="AM172" s="2"/>
      <c r="AN172" s="2"/>
      <c r="AO172" s="2"/>
      <c r="AP172" s="2"/>
    </row>
    <row r="173" spans="1:42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7"/>
      <c r="AK173" s="2"/>
      <c r="AL173" s="2"/>
      <c r="AM173" s="2"/>
      <c r="AN173" s="2"/>
      <c r="AO173" s="2"/>
      <c r="AP173" s="2"/>
    </row>
    <row r="174" spans="1:42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7"/>
      <c r="AK174" s="2"/>
      <c r="AL174" s="2"/>
      <c r="AM174" s="2"/>
      <c r="AN174" s="2"/>
      <c r="AO174" s="2"/>
      <c r="AP174" s="2"/>
    </row>
    <row r="175" spans="1:42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7"/>
      <c r="AK175" s="2"/>
      <c r="AL175" s="2"/>
      <c r="AM175" s="2"/>
      <c r="AN175" s="2"/>
      <c r="AO175" s="2"/>
      <c r="AP175" s="2"/>
    </row>
    <row r="176" spans="1:42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7"/>
      <c r="AK176" s="2"/>
      <c r="AL176" s="2"/>
      <c r="AM176" s="2"/>
      <c r="AN176" s="2"/>
      <c r="AO176" s="2"/>
      <c r="AP176" s="2"/>
    </row>
    <row r="177" spans="1:42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7"/>
      <c r="AK177" s="2"/>
      <c r="AL177" s="2"/>
      <c r="AM177" s="2"/>
      <c r="AN177" s="2"/>
      <c r="AO177" s="2"/>
      <c r="AP177" s="2"/>
    </row>
    <row r="178" spans="1:42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7"/>
      <c r="AK178" s="2"/>
      <c r="AL178" s="2"/>
      <c r="AM178" s="2"/>
      <c r="AN178" s="2"/>
      <c r="AO178" s="2"/>
      <c r="AP178" s="2"/>
    </row>
    <row r="179" spans="1:42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7"/>
      <c r="AK179" s="2"/>
      <c r="AL179" s="2"/>
      <c r="AM179" s="2"/>
      <c r="AN179" s="2"/>
      <c r="AO179" s="2"/>
      <c r="AP179" s="2"/>
    </row>
    <row r="180" spans="1:42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7"/>
      <c r="AK180" s="2"/>
      <c r="AL180" s="2"/>
      <c r="AM180" s="2"/>
      <c r="AN180" s="2"/>
      <c r="AO180" s="2"/>
      <c r="AP180" s="2"/>
    </row>
    <row r="181" spans="1:42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7"/>
      <c r="AK181" s="2"/>
      <c r="AL181" s="2"/>
      <c r="AM181" s="2"/>
      <c r="AN181" s="2"/>
      <c r="AO181" s="2"/>
      <c r="AP181" s="2"/>
    </row>
    <row r="182" spans="1:4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7"/>
      <c r="AK182" s="2"/>
      <c r="AL182" s="2"/>
      <c r="AM182" s="2"/>
      <c r="AN182" s="2"/>
      <c r="AO182" s="2"/>
      <c r="AP182" s="2"/>
    </row>
    <row r="183" spans="1:42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7"/>
      <c r="AK183" s="2"/>
      <c r="AL183" s="2"/>
      <c r="AM183" s="2"/>
      <c r="AN183" s="2"/>
      <c r="AO183" s="2"/>
      <c r="AP183" s="2"/>
    </row>
    <row r="184" spans="1:42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7"/>
      <c r="AK184" s="2"/>
      <c r="AL184" s="2"/>
      <c r="AM184" s="2"/>
      <c r="AN184" s="2"/>
      <c r="AO184" s="2"/>
      <c r="AP184" s="2"/>
    </row>
    <row r="185" spans="1:42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7"/>
      <c r="AK185" s="2"/>
      <c r="AL185" s="2"/>
      <c r="AM185" s="2"/>
      <c r="AN185" s="2"/>
      <c r="AO185" s="2"/>
      <c r="AP185" s="2"/>
    </row>
    <row r="186" spans="1:42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7"/>
      <c r="AK186" s="2"/>
      <c r="AL186" s="2"/>
      <c r="AM186" s="2"/>
      <c r="AN186" s="2"/>
      <c r="AO186" s="2"/>
      <c r="AP186" s="2"/>
    </row>
    <row r="187" spans="1:42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7"/>
      <c r="AK187" s="2"/>
      <c r="AL187" s="2"/>
      <c r="AM187" s="2"/>
      <c r="AN187" s="2"/>
      <c r="AO187" s="2"/>
      <c r="AP187" s="2"/>
    </row>
    <row r="188" spans="1:42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7"/>
      <c r="AK188" s="2"/>
      <c r="AL188" s="2"/>
      <c r="AM188" s="2"/>
      <c r="AN188" s="2"/>
      <c r="AO188" s="2"/>
      <c r="AP188" s="2"/>
    </row>
    <row r="189" spans="1:42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7"/>
      <c r="AK189" s="2"/>
      <c r="AL189" s="2"/>
      <c r="AM189" s="2"/>
      <c r="AN189" s="2"/>
      <c r="AO189" s="2"/>
      <c r="AP189" s="2"/>
    </row>
    <row r="190" spans="1:42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7"/>
      <c r="AK190" s="2"/>
      <c r="AL190" s="2"/>
      <c r="AM190" s="2"/>
      <c r="AN190" s="2"/>
      <c r="AO190" s="2"/>
      <c r="AP190" s="2"/>
    </row>
    <row r="191" spans="1:42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7"/>
      <c r="AK191" s="2"/>
      <c r="AL191" s="2"/>
      <c r="AM191" s="2"/>
      <c r="AN191" s="2"/>
      <c r="AO191" s="2"/>
      <c r="AP191" s="2"/>
    </row>
    <row r="192" spans="1:4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7"/>
      <c r="AK192" s="2"/>
      <c r="AL192" s="2"/>
      <c r="AM192" s="2"/>
      <c r="AN192" s="2"/>
      <c r="AO192" s="2"/>
      <c r="AP192" s="2"/>
    </row>
    <row r="193" spans="1:42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7"/>
      <c r="AK193" s="2"/>
      <c r="AL193" s="2"/>
      <c r="AM193" s="2"/>
      <c r="AN193" s="2"/>
      <c r="AO193" s="2"/>
      <c r="AP193" s="2"/>
    </row>
    <row r="194" spans="1:42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7"/>
      <c r="AK194" s="2"/>
      <c r="AL194" s="2"/>
      <c r="AM194" s="2"/>
      <c r="AN194" s="2"/>
      <c r="AO194" s="2"/>
      <c r="AP194" s="2"/>
    </row>
    <row r="195" spans="1:42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7"/>
      <c r="AK195" s="2"/>
      <c r="AL195" s="2"/>
      <c r="AM195" s="2"/>
      <c r="AN195" s="2"/>
      <c r="AO195" s="2"/>
      <c r="AP195" s="2"/>
    </row>
    <row r="196" spans="1:42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7"/>
      <c r="AK196" s="2"/>
      <c r="AL196" s="2"/>
      <c r="AM196" s="2"/>
      <c r="AN196" s="2"/>
      <c r="AO196" s="2"/>
      <c r="AP196" s="2"/>
    </row>
    <row r="197" spans="1:42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7"/>
      <c r="AK197" s="2"/>
      <c r="AL197" s="2"/>
      <c r="AM197" s="2"/>
      <c r="AN197" s="2"/>
      <c r="AO197" s="2"/>
      <c r="AP197" s="2"/>
    </row>
    <row r="198" spans="1:42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7"/>
      <c r="AK198" s="2"/>
      <c r="AL198" s="2"/>
      <c r="AM198" s="2"/>
      <c r="AN198" s="2"/>
      <c r="AO198" s="2"/>
      <c r="AP198" s="2"/>
    </row>
    <row r="199" spans="1:42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7"/>
      <c r="AK199" s="2"/>
      <c r="AL199" s="2"/>
      <c r="AM199" s="2"/>
      <c r="AN199" s="2"/>
      <c r="AO199" s="2"/>
      <c r="AP199" s="2"/>
    </row>
    <row r="200" spans="1:42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7"/>
      <c r="AK200" s="2"/>
      <c r="AL200" s="2"/>
      <c r="AM200" s="2"/>
      <c r="AN200" s="2"/>
      <c r="AO200" s="2"/>
      <c r="AP200" s="2"/>
    </row>
    <row r="201" spans="1:42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7"/>
      <c r="AK201" s="2"/>
      <c r="AL201" s="2"/>
      <c r="AM201" s="2"/>
      <c r="AN201" s="2"/>
      <c r="AO201" s="2"/>
      <c r="AP201" s="2"/>
    </row>
    <row r="202" spans="1:4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7"/>
      <c r="AK202" s="2"/>
      <c r="AL202" s="2"/>
      <c r="AM202" s="2"/>
      <c r="AN202" s="2"/>
      <c r="AO202" s="2"/>
      <c r="AP202" s="2"/>
    </row>
    <row r="203" spans="1:42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7"/>
      <c r="AK203" s="2"/>
      <c r="AL203" s="2"/>
      <c r="AM203" s="2"/>
      <c r="AN203" s="2"/>
      <c r="AO203" s="2"/>
      <c r="AP203" s="2"/>
    </row>
    <row r="204" spans="1:42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7"/>
      <c r="AK204" s="2"/>
      <c r="AL204" s="2"/>
      <c r="AM204" s="2"/>
      <c r="AN204" s="2"/>
      <c r="AO204" s="2"/>
      <c r="AP204" s="2"/>
    </row>
    <row r="205" spans="1:42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7"/>
      <c r="AK205" s="2"/>
      <c r="AL205" s="2"/>
      <c r="AM205" s="2"/>
      <c r="AN205" s="2"/>
      <c r="AO205" s="2"/>
      <c r="AP205" s="2"/>
    </row>
    <row r="206" spans="1:42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7"/>
      <c r="AK206" s="2"/>
      <c r="AL206" s="2"/>
      <c r="AM206" s="2"/>
      <c r="AN206" s="2"/>
      <c r="AO206" s="2"/>
      <c r="AP206" s="2"/>
    </row>
    <row r="207" spans="1:42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7"/>
      <c r="AK207" s="2"/>
      <c r="AL207" s="2"/>
      <c r="AM207" s="2"/>
      <c r="AN207" s="2"/>
      <c r="AO207" s="2"/>
      <c r="AP207" s="2"/>
    </row>
    <row r="208" spans="1:42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7"/>
      <c r="AK208" s="2"/>
      <c r="AL208" s="2"/>
      <c r="AM208" s="2"/>
      <c r="AN208" s="2"/>
      <c r="AO208" s="2"/>
      <c r="AP208" s="2"/>
    </row>
    <row r="209" spans="1:42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7"/>
      <c r="AK209" s="2"/>
      <c r="AL209" s="2"/>
      <c r="AM209" s="2"/>
      <c r="AN209" s="2"/>
      <c r="AO209" s="2"/>
      <c r="AP209" s="2"/>
    </row>
    <row r="210" spans="1:42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7"/>
      <c r="AK210" s="2"/>
      <c r="AL210" s="2"/>
      <c r="AM210" s="2"/>
      <c r="AN210" s="2"/>
      <c r="AO210" s="2"/>
      <c r="AP210" s="2"/>
    </row>
    <row r="211" spans="1:42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7"/>
      <c r="AK211" s="2"/>
      <c r="AL211" s="2"/>
      <c r="AM211" s="2"/>
      <c r="AN211" s="2"/>
      <c r="AO211" s="2"/>
      <c r="AP211" s="2"/>
    </row>
    <row r="212" spans="1:4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7"/>
      <c r="AK212" s="2"/>
      <c r="AL212" s="2"/>
      <c r="AM212" s="2"/>
      <c r="AN212" s="2"/>
      <c r="AO212" s="2"/>
      <c r="AP212" s="2"/>
    </row>
    <row r="213" spans="1:42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7"/>
      <c r="AK213" s="2"/>
      <c r="AL213" s="2"/>
      <c r="AM213" s="2"/>
      <c r="AN213" s="2"/>
      <c r="AO213" s="2"/>
      <c r="AP213" s="2"/>
    </row>
    <row r="214" spans="1:42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7"/>
      <c r="AK214" s="2"/>
      <c r="AL214" s="2"/>
      <c r="AM214" s="2"/>
      <c r="AN214" s="2"/>
      <c r="AO214" s="2"/>
      <c r="AP214" s="2"/>
    </row>
    <row r="215" spans="1:42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7"/>
      <c r="AK215" s="2"/>
      <c r="AL215" s="2"/>
      <c r="AM215" s="2"/>
      <c r="AN215" s="2"/>
      <c r="AO215" s="2"/>
      <c r="AP215" s="2"/>
    </row>
    <row r="216" spans="1:42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7"/>
      <c r="AK216" s="2"/>
      <c r="AL216" s="2"/>
      <c r="AM216" s="2"/>
      <c r="AN216" s="2"/>
      <c r="AO216" s="2"/>
      <c r="AP216" s="2"/>
    </row>
    <row r="217" spans="1:42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7"/>
      <c r="AK217" s="2"/>
      <c r="AL217" s="2"/>
      <c r="AM217" s="2"/>
      <c r="AN217" s="2"/>
      <c r="AO217" s="2"/>
      <c r="AP217" s="2"/>
    </row>
    <row r="218" spans="1:42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7"/>
      <c r="AK218" s="2"/>
      <c r="AL218" s="2"/>
      <c r="AM218" s="2"/>
      <c r="AN218" s="2"/>
      <c r="AO218" s="2"/>
      <c r="AP218" s="2"/>
    </row>
    <row r="219" spans="1:42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7"/>
      <c r="AK219" s="2"/>
      <c r="AL219" s="2"/>
      <c r="AM219" s="2"/>
      <c r="AN219" s="2"/>
      <c r="AO219" s="2"/>
      <c r="AP219" s="2"/>
    </row>
    <row r="220" spans="1:42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7"/>
      <c r="AK220" s="2"/>
      <c r="AL220" s="2"/>
      <c r="AM220" s="2"/>
      <c r="AN220" s="2"/>
      <c r="AO220" s="2"/>
      <c r="AP220" s="2"/>
    </row>
    <row r="221" spans="1:42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7"/>
      <c r="AK221" s="2"/>
      <c r="AL221" s="2"/>
      <c r="AM221" s="2"/>
      <c r="AN221" s="2"/>
      <c r="AO221" s="2"/>
      <c r="AP221" s="2"/>
    </row>
    <row r="222" spans="1:4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7"/>
      <c r="AK222" s="2"/>
      <c r="AL222" s="2"/>
      <c r="AM222" s="2"/>
      <c r="AN222" s="2"/>
      <c r="AO222" s="2"/>
      <c r="AP222" s="2"/>
    </row>
    <row r="223" spans="1:42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7"/>
      <c r="AK223" s="2"/>
      <c r="AL223" s="2"/>
      <c r="AM223" s="2"/>
      <c r="AN223" s="2"/>
      <c r="AO223" s="2"/>
      <c r="AP223" s="2"/>
    </row>
    <row r="224" spans="1:42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7"/>
      <c r="AK224" s="2"/>
      <c r="AL224" s="2"/>
      <c r="AM224" s="2"/>
      <c r="AN224" s="2"/>
      <c r="AO224" s="2"/>
      <c r="AP224" s="2"/>
    </row>
    <row r="225" spans="1:42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7"/>
      <c r="AK225" s="2"/>
      <c r="AL225" s="2"/>
      <c r="AM225" s="2"/>
      <c r="AN225" s="2"/>
      <c r="AO225" s="2"/>
      <c r="AP225" s="2"/>
    </row>
    <row r="226" spans="1:42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7"/>
      <c r="AK226" s="2"/>
      <c r="AL226" s="2"/>
      <c r="AM226" s="2"/>
      <c r="AN226" s="2"/>
      <c r="AO226" s="2"/>
      <c r="AP226" s="2"/>
    </row>
    <row r="227" spans="1:42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7"/>
      <c r="AK227" s="2"/>
      <c r="AL227" s="2"/>
      <c r="AM227" s="2"/>
      <c r="AN227" s="2"/>
      <c r="AO227" s="2"/>
      <c r="AP227" s="2"/>
    </row>
    <row r="228" spans="1:42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7"/>
      <c r="AK228" s="2"/>
      <c r="AL228" s="2"/>
      <c r="AM228" s="2"/>
      <c r="AN228" s="2"/>
      <c r="AO228" s="2"/>
      <c r="AP228" s="2"/>
    </row>
    <row r="229" spans="1:42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7"/>
      <c r="AK229" s="2"/>
      <c r="AL229" s="2"/>
      <c r="AM229" s="2"/>
      <c r="AN229" s="2"/>
      <c r="AO229" s="2"/>
      <c r="AP229" s="2"/>
    </row>
    <row r="230" spans="1:42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7"/>
      <c r="AK230" s="2"/>
      <c r="AL230" s="2"/>
      <c r="AM230" s="2"/>
      <c r="AN230" s="2"/>
      <c r="AO230" s="2"/>
      <c r="AP230" s="2"/>
    </row>
    <row r="231" spans="1:42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7"/>
      <c r="AK231" s="2"/>
      <c r="AL231" s="2"/>
      <c r="AM231" s="2"/>
      <c r="AN231" s="2"/>
      <c r="AO231" s="2"/>
      <c r="AP231" s="2"/>
    </row>
    <row r="232" spans="1:4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7"/>
      <c r="AK232" s="2"/>
      <c r="AL232" s="2"/>
      <c r="AM232" s="2"/>
      <c r="AN232" s="2"/>
      <c r="AO232" s="2"/>
      <c r="AP232" s="2"/>
    </row>
    <row r="233" spans="1:42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7"/>
      <c r="AK233" s="2"/>
      <c r="AL233" s="2"/>
      <c r="AM233" s="2"/>
      <c r="AN233" s="2"/>
      <c r="AO233" s="2"/>
      <c r="AP233" s="2"/>
    </row>
    <row r="234" spans="1:42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7"/>
      <c r="AK234" s="2"/>
      <c r="AL234" s="2"/>
      <c r="AM234" s="2"/>
      <c r="AN234" s="2"/>
      <c r="AO234" s="2"/>
      <c r="AP234" s="2"/>
    </row>
    <row r="235" spans="1:42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7"/>
      <c r="AK235" s="2"/>
      <c r="AL235" s="2"/>
      <c r="AM235" s="2"/>
      <c r="AN235" s="2"/>
      <c r="AO235" s="2"/>
      <c r="AP235" s="2"/>
    </row>
    <row r="236" spans="1:42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7"/>
      <c r="AK236" s="2"/>
      <c r="AL236" s="2"/>
      <c r="AM236" s="2"/>
      <c r="AN236" s="2"/>
      <c r="AO236" s="2"/>
      <c r="AP236" s="2"/>
    </row>
    <row r="237" spans="1:42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7"/>
      <c r="AK237" s="2"/>
      <c r="AL237" s="2"/>
      <c r="AM237" s="2"/>
      <c r="AN237" s="2"/>
      <c r="AO237" s="2"/>
      <c r="AP237" s="2"/>
    </row>
    <row r="238" spans="1:42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7"/>
      <c r="AK238" s="2"/>
      <c r="AL238" s="2"/>
      <c r="AM238" s="2"/>
      <c r="AN238" s="2"/>
      <c r="AO238" s="2"/>
      <c r="AP238" s="2"/>
    </row>
    <row r="239" spans="1:42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7"/>
      <c r="AK239" s="2"/>
      <c r="AL239" s="2"/>
      <c r="AM239" s="2"/>
      <c r="AN239" s="2"/>
      <c r="AO239" s="2"/>
      <c r="AP239" s="2"/>
    </row>
    <row r="240" spans="1:42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7"/>
      <c r="AK240" s="2"/>
      <c r="AL240" s="2"/>
      <c r="AM240" s="2"/>
      <c r="AN240" s="2"/>
      <c r="AO240" s="2"/>
      <c r="AP240" s="2"/>
    </row>
    <row r="241" spans="1:42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7"/>
      <c r="AK241" s="2"/>
      <c r="AL241" s="2"/>
      <c r="AM241" s="2"/>
      <c r="AN241" s="2"/>
      <c r="AO241" s="2"/>
      <c r="AP241" s="2"/>
    </row>
    <row r="242" spans="1: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7"/>
      <c r="AK242" s="2"/>
      <c r="AL242" s="2"/>
      <c r="AM242" s="2"/>
      <c r="AN242" s="2"/>
      <c r="AO242" s="2"/>
      <c r="AP242" s="2"/>
    </row>
    <row r="243" spans="1:42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7"/>
      <c r="AK243" s="2"/>
      <c r="AL243" s="2"/>
      <c r="AM243" s="2"/>
      <c r="AN243" s="2"/>
      <c r="AO243" s="2"/>
      <c r="AP243" s="2"/>
    </row>
    <row r="244" spans="1:42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7"/>
      <c r="AK244" s="2"/>
      <c r="AL244" s="2"/>
      <c r="AM244" s="2"/>
      <c r="AN244" s="2"/>
      <c r="AO244" s="2"/>
      <c r="AP244" s="2"/>
    </row>
    <row r="245" spans="1:42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7"/>
      <c r="AK245" s="2"/>
      <c r="AL245" s="2"/>
      <c r="AM245" s="2"/>
      <c r="AN245" s="2"/>
      <c r="AO245" s="2"/>
      <c r="AP245" s="2"/>
    </row>
    <row r="246" spans="1:42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7"/>
      <c r="AK246" s="2"/>
      <c r="AL246" s="2"/>
      <c r="AM246" s="2"/>
      <c r="AN246" s="2"/>
      <c r="AO246" s="2"/>
      <c r="AP246" s="2"/>
    </row>
    <row r="247" spans="1:42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7"/>
      <c r="AK247" s="2"/>
      <c r="AL247" s="2"/>
      <c r="AM247" s="2"/>
      <c r="AN247" s="2"/>
      <c r="AO247" s="2"/>
      <c r="AP247" s="2"/>
    </row>
    <row r="248" spans="1:42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7"/>
      <c r="AK248" s="2"/>
      <c r="AL248" s="2"/>
      <c r="AM248" s="2"/>
      <c r="AN248" s="2"/>
      <c r="AO248" s="2"/>
      <c r="AP248" s="2"/>
    </row>
    <row r="249" spans="1:42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7"/>
      <c r="AK249" s="2"/>
      <c r="AL249" s="2"/>
      <c r="AM249" s="2"/>
      <c r="AN249" s="2"/>
      <c r="AO249" s="2"/>
      <c r="AP249" s="2"/>
    </row>
    <row r="250" spans="1:42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7"/>
      <c r="AK250" s="2"/>
      <c r="AL250" s="2"/>
      <c r="AM250" s="2"/>
      <c r="AN250" s="2"/>
      <c r="AO250" s="2"/>
      <c r="AP250" s="2"/>
    </row>
    <row r="251" spans="1:42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7"/>
      <c r="AK251" s="2"/>
      <c r="AL251" s="2"/>
      <c r="AM251" s="2"/>
      <c r="AN251" s="2"/>
      <c r="AO251" s="2"/>
      <c r="AP251" s="2"/>
    </row>
    <row r="252" spans="1:4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7"/>
      <c r="AK252" s="2"/>
      <c r="AL252" s="2"/>
      <c r="AM252" s="2"/>
      <c r="AN252" s="2"/>
      <c r="AO252" s="2"/>
      <c r="AP252" s="2"/>
    </row>
    <row r="253" spans="1:42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7"/>
      <c r="AK253" s="2"/>
      <c r="AL253" s="2"/>
      <c r="AM253" s="2"/>
      <c r="AN253" s="2"/>
      <c r="AO253" s="2"/>
      <c r="AP253" s="2"/>
    </row>
    <row r="254" spans="1:42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7"/>
      <c r="AK254" s="2"/>
      <c r="AL254" s="2"/>
      <c r="AM254" s="2"/>
      <c r="AN254" s="2"/>
      <c r="AO254" s="2"/>
      <c r="AP254" s="2"/>
    </row>
    <row r="255" spans="1:42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7"/>
      <c r="AK255" s="2"/>
      <c r="AL255" s="2"/>
      <c r="AM255" s="2"/>
      <c r="AN255" s="2"/>
      <c r="AO255" s="2"/>
      <c r="AP255" s="2"/>
    </row>
    <row r="256" spans="1:42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7"/>
      <c r="AK256" s="2"/>
      <c r="AL256" s="2"/>
      <c r="AM256" s="2"/>
      <c r="AN256" s="2"/>
      <c r="AO256" s="2"/>
      <c r="AP256" s="2"/>
    </row>
    <row r="257" spans="1:42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7"/>
      <c r="AK257" s="2"/>
      <c r="AL257" s="2"/>
      <c r="AM257" s="2"/>
      <c r="AN257" s="2"/>
      <c r="AO257" s="2"/>
      <c r="AP257" s="2"/>
    </row>
    <row r="258" spans="1:42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7"/>
      <c r="AK258" s="2"/>
      <c r="AL258" s="2"/>
      <c r="AM258" s="2"/>
      <c r="AN258" s="2"/>
      <c r="AO258" s="2"/>
      <c r="AP258" s="2"/>
    </row>
    <row r="259" spans="1:42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7"/>
      <c r="AK259" s="2"/>
      <c r="AL259" s="2"/>
      <c r="AM259" s="2"/>
      <c r="AN259" s="2"/>
      <c r="AO259" s="2"/>
      <c r="AP259" s="2"/>
    </row>
    <row r="260" spans="1:42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7"/>
      <c r="AK260" s="2"/>
      <c r="AL260" s="2"/>
      <c r="AM260" s="2"/>
      <c r="AN260" s="2"/>
      <c r="AO260" s="2"/>
      <c r="AP260" s="2"/>
    </row>
    <row r="261" spans="1:42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7"/>
      <c r="AK261" s="2"/>
      <c r="AL261" s="2"/>
      <c r="AM261" s="2"/>
      <c r="AN261" s="2"/>
      <c r="AO261" s="2"/>
      <c r="AP261" s="2"/>
    </row>
    <row r="262" spans="1:4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7"/>
      <c r="AK262" s="2"/>
      <c r="AL262" s="2"/>
      <c r="AM262" s="2"/>
      <c r="AN262" s="2"/>
      <c r="AO262" s="2"/>
      <c r="AP262" s="2"/>
    </row>
    <row r="263" spans="1:42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7"/>
      <c r="AK263" s="2"/>
      <c r="AL263" s="2"/>
      <c r="AM263" s="2"/>
      <c r="AN263" s="2"/>
      <c r="AO263" s="2"/>
      <c r="AP263" s="2"/>
    </row>
    <row r="264" spans="1:42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7"/>
      <c r="AK264" s="2"/>
      <c r="AL264" s="2"/>
      <c r="AM264" s="2"/>
      <c r="AN264" s="2"/>
      <c r="AO264" s="2"/>
      <c r="AP264" s="2"/>
    </row>
    <row r="265" spans="1:42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7"/>
      <c r="AK265" s="2"/>
      <c r="AL265" s="2"/>
      <c r="AM265" s="2"/>
      <c r="AN265" s="2"/>
      <c r="AO265" s="2"/>
      <c r="AP265" s="2"/>
    </row>
    <row r="266" spans="1:42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7"/>
      <c r="AK266" s="2"/>
      <c r="AL266" s="2"/>
      <c r="AM266" s="2"/>
      <c r="AN266" s="2"/>
      <c r="AO266" s="2"/>
      <c r="AP266" s="2"/>
    </row>
    <row r="267" spans="1:42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7"/>
      <c r="AK267" s="2"/>
      <c r="AL267" s="2"/>
      <c r="AM267" s="2"/>
      <c r="AN267" s="2"/>
      <c r="AO267" s="2"/>
      <c r="AP267" s="2"/>
    </row>
    <row r="268" spans="1:42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7"/>
      <c r="AK268" s="2"/>
      <c r="AL268" s="2"/>
      <c r="AM268" s="2"/>
      <c r="AN268" s="2"/>
      <c r="AO268" s="2"/>
      <c r="AP268" s="2"/>
    </row>
    <row r="269" spans="1:42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7"/>
      <c r="AK269" s="2"/>
      <c r="AL269" s="2"/>
      <c r="AM269" s="2"/>
      <c r="AN269" s="2"/>
      <c r="AO269" s="2"/>
      <c r="AP269" s="2"/>
    </row>
    <row r="270" spans="1:42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7"/>
      <c r="AK270" s="2"/>
      <c r="AL270" s="2"/>
      <c r="AM270" s="2"/>
      <c r="AN270" s="2"/>
      <c r="AO270" s="2"/>
      <c r="AP270" s="2"/>
    </row>
    <row r="271" spans="1:42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7"/>
      <c r="AK271" s="2"/>
      <c r="AL271" s="2"/>
      <c r="AM271" s="2"/>
      <c r="AN271" s="2"/>
      <c r="AO271" s="2"/>
      <c r="AP271" s="2"/>
    </row>
    <row r="272" spans="1:4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7"/>
      <c r="AK272" s="2"/>
      <c r="AL272" s="2"/>
      <c r="AM272" s="2"/>
      <c r="AN272" s="2"/>
      <c r="AO272" s="2"/>
      <c r="AP272" s="2"/>
    </row>
    <row r="273" spans="1:42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7"/>
      <c r="AK273" s="2"/>
      <c r="AL273" s="2"/>
      <c r="AM273" s="2"/>
      <c r="AN273" s="2"/>
      <c r="AO273" s="2"/>
      <c r="AP273" s="2"/>
    </row>
    <row r="274" spans="1:42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7"/>
      <c r="AK274" s="2"/>
      <c r="AL274" s="2"/>
      <c r="AM274" s="2"/>
      <c r="AN274" s="2"/>
      <c r="AO274" s="2"/>
      <c r="AP274" s="2"/>
    </row>
    <row r="275" spans="1:42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7"/>
      <c r="AK275" s="2"/>
      <c r="AL275" s="2"/>
      <c r="AM275" s="2"/>
      <c r="AN275" s="2"/>
      <c r="AO275" s="2"/>
      <c r="AP275" s="2"/>
    </row>
    <row r="276" spans="1:42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7"/>
      <c r="AK276" s="2"/>
      <c r="AL276" s="2"/>
      <c r="AM276" s="2"/>
      <c r="AN276" s="2"/>
      <c r="AO276" s="2"/>
      <c r="AP276" s="2"/>
    </row>
    <row r="277" spans="1:42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7"/>
      <c r="AK277" s="2"/>
      <c r="AL277" s="2"/>
      <c r="AM277" s="2"/>
      <c r="AN277" s="2"/>
      <c r="AO277" s="2"/>
      <c r="AP277" s="2"/>
    </row>
    <row r="278" spans="1:42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7"/>
      <c r="AK278" s="2"/>
      <c r="AL278" s="2"/>
      <c r="AM278" s="2"/>
      <c r="AN278" s="2"/>
      <c r="AO278" s="2"/>
      <c r="AP278" s="2"/>
    </row>
    <row r="279" spans="1:42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7"/>
      <c r="AK279" s="2"/>
      <c r="AL279" s="2"/>
      <c r="AM279" s="2"/>
      <c r="AN279" s="2"/>
      <c r="AO279" s="2"/>
      <c r="AP279" s="2"/>
    </row>
    <row r="280" spans="1:42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7"/>
      <c r="AK280" s="2"/>
      <c r="AL280" s="2"/>
      <c r="AM280" s="2"/>
      <c r="AN280" s="2"/>
      <c r="AO280" s="2"/>
      <c r="AP280" s="2"/>
    </row>
    <row r="281" spans="1:42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7"/>
      <c r="AK281" s="2"/>
      <c r="AL281" s="2"/>
      <c r="AM281" s="2"/>
      <c r="AN281" s="2"/>
      <c r="AO281" s="2"/>
      <c r="AP281" s="2"/>
    </row>
    <row r="282" spans="1:4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7"/>
      <c r="AK282" s="2"/>
      <c r="AL282" s="2"/>
      <c r="AM282" s="2"/>
      <c r="AN282" s="2"/>
      <c r="AO282" s="2"/>
      <c r="AP282" s="2"/>
    </row>
    <row r="283" spans="1:42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7"/>
      <c r="AK283" s="2"/>
      <c r="AL283" s="2"/>
      <c r="AM283" s="2"/>
      <c r="AN283" s="2"/>
      <c r="AO283" s="2"/>
      <c r="AP283" s="2"/>
    </row>
    <row r="284" spans="1:42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7"/>
      <c r="AK284" s="2"/>
      <c r="AL284" s="2"/>
      <c r="AM284" s="2"/>
      <c r="AN284" s="2"/>
      <c r="AO284" s="2"/>
      <c r="AP284" s="2"/>
    </row>
    <row r="285" spans="1:42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7"/>
      <c r="AK285" s="2"/>
      <c r="AL285" s="2"/>
      <c r="AM285" s="2"/>
      <c r="AN285" s="2"/>
      <c r="AO285" s="2"/>
      <c r="AP285" s="2"/>
    </row>
    <row r="286" spans="1:42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7"/>
      <c r="AK286" s="2"/>
      <c r="AL286" s="2"/>
      <c r="AM286" s="2"/>
      <c r="AN286" s="2"/>
      <c r="AO286" s="2"/>
      <c r="AP286" s="2"/>
    </row>
    <row r="287" spans="1:42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7"/>
      <c r="AK287" s="2"/>
      <c r="AL287" s="2"/>
      <c r="AM287" s="2"/>
      <c r="AN287" s="2"/>
      <c r="AO287" s="2"/>
      <c r="AP287" s="2"/>
    </row>
    <row r="288" spans="1:42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7"/>
      <c r="AK288" s="2"/>
      <c r="AL288" s="2"/>
      <c r="AM288" s="2"/>
      <c r="AN288" s="2"/>
      <c r="AO288" s="2"/>
      <c r="AP288" s="2"/>
    </row>
    <row r="289" spans="1:42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7"/>
      <c r="AK289" s="2"/>
      <c r="AL289" s="2"/>
      <c r="AM289" s="2"/>
      <c r="AN289" s="2"/>
      <c r="AO289" s="2"/>
      <c r="AP289" s="2"/>
    </row>
    <row r="290" spans="1:42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7"/>
      <c r="AK290" s="2"/>
      <c r="AL290" s="2"/>
      <c r="AM290" s="2"/>
      <c r="AN290" s="2"/>
      <c r="AO290" s="2"/>
      <c r="AP290" s="2"/>
    </row>
    <row r="291" spans="1:42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7"/>
      <c r="AK291" s="2"/>
      <c r="AL291" s="2"/>
      <c r="AM291" s="2"/>
      <c r="AN291" s="2"/>
      <c r="AO291" s="2"/>
      <c r="AP291" s="2"/>
    </row>
    <row r="292" spans="1:4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7"/>
      <c r="AK292" s="2"/>
      <c r="AL292" s="2"/>
      <c r="AM292" s="2"/>
      <c r="AN292" s="2"/>
      <c r="AO292" s="2"/>
      <c r="AP292" s="2"/>
    </row>
    <row r="293" spans="1:42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7"/>
      <c r="AK293" s="2"/>
      <c r="AL293" s="2"/>
      <c r="AM293" s="2"/>
      <c r="AN293" s="2"/>
      <c r="AO293" s="2"/>
      <c r="AP293" s="2"/>
    </row>
    <row r="294" spans="1:42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7"/>
      <c r="AK294" s="2"/>
      <c r="AL294" s="2"/>
      <c r="AM294" s="2"/>
      <c r="AN294" s="2"/>
      <c r="AO294" s="2"/>
      <c r="AP294" s="2"/>
    </row>
    <row r="295" spans="1:42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7"/>
      <c r="AK295" s="2"/>
      <c r="AL295" s="2"/>
      <c r="AM295" s="2"/>
      <c r="AN295" s="2"/>
      <c r="AO295" s="2"/>
      <c r="AP295" s="2"/>
    </row>
    <row r="296" spans="1:42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7"/>
      <c r="AK296" s="2"/>
      <c r="AL296" s="2"/>
      <c r="AM296" s="2"/>
      <c r="AN296" s="2"/>
      <c r="AO296" s="2"/>
      <c r="AP296" s="2"/>
    </row>
    <row r="297" spans="1:42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7"/>
      <c r="AK297" s="2"/>
      <c r="AL297" s="2"/>
      <c r="AM297" s="2"/>
      <c r="AN297" s="2"/>
      <c r="AO297" s="2"/>
      <c r="AP297" s="2"/>
    </row>
    <row r="298" spans="1:42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7"/>
      <c r="AK298" s="2"/>
      <c r="AL298" s="2"/>
      <c r="AM298" s="2"/>
      <c r="AN298" s="2"/>
      <c r="AO298" s="2"/>
      <c r="AP298" s="2"/>
    </row>
    <row r="299" spans="1:42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7"/>
      <c r="AK299" s="2"/>
      <c r="AL299" s="2"/>
      <c r="AM299" s="2"/>
      <c r="AN299" s="2"/>
      <c r="AO299" s="2"/>
      <c r="AP299" s="2"/>
    </row>
    <row r="300" spans="1:42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7"/>
      <c r="AK300" s="2"/>
      <c r="AL300" s="2"/>
      <c r="AM300" s="2"/>
      <c r="AN300" s="2"/>
      <c r="AO300" s="2"/>
      <c r="AP300" s="2"/>
    </row>
    <row r="301" spans="1:42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7"/>
      <c r="AK301" s="2"/>
      <c r="AL301" s="2"/>
      <c r="AM301" s="2"/>
      <c r="AN301" s="2"/>
      <c r="AO301" s="2"/>
      <c r="AP301" s="2"/>
    </row>
    <row r="302" spans="1:4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7"/>
      <c r="AK302" s="2"/>
      <c r="AL302" s="2"/>
      <c r="AM302" s="2"/>
      <c r="AN302" s="2"/>
      <c r="AO302" s="2"/>
      <c r="AP302" s="2"/>
    </row>
    <row r="303" spans="1:42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7"/>
      <c r="AK303" s="2"/>
      <c r="AL303" s="2"/>
      <c r="AM303" s="2"/>
      <c r="AN303" s="2"/>
      <c r="AO303" s="2"/>
      <c r="AP303" s="2"/>
    </row>
    <row r="304" spans="1:42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7"/>
      <c r="AK304" s="2"/>
      <c r="AL304" s="2"/>
      <c r="AM304" s="2"/>
      <c r="AN304" s="2"/>
      <c r="AO304" s="2"/>
      <c r="AP304" s="2"/>
    </row>
    <row r="305" spans="1:42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7"/>
      <c r="AK305" s="2"/>
      <c r="AL305" s="2"/>
      <c r="AM305" s="2"/>
      <c r="AN305" s="2"/>
      <c r="AO305" s="2"/>
      <c r="AP305" s="2"/>
    </row>
    <row r="306" spans="1:42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7"/>
      <c r="AK306" s="2"/>
      <c r="AL306" s="2"/>
      <c r="AM306" s="2"/>
      <c r="AN306" s="2"/>
      <c r="AO306" s="2"/>
      <c r="AP306" s="2"/>
    </row>
    <row r="307" spans="1:42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7"/>
      <c r="AK307" s="2"/>
      <c r="AL307" s="2"/>
      <c r="AM307" s="2"/>
      <c r="AN307" s="2"/>
      <c r="AO307" s="2"/>
      <c r="AP307" s="2"/>
    </row>
    <row r="308" spans="1:42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7"/>
      <c r="AK308" s="2"/>
      <c r="AL308" s="2"/>
      <c r="AM308" s="2"/>
      <c r="AN308" s="2"/>
      <c r="AO308" s="2"/>
      <c r="AP308" s="2"/>
    </row>
    <row r="309" spans="1:42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7"/>
      <c r="AK309" s="2"/>
      <c r="AL309" s="2"/>
      <c r="AM309" s="2"/>
      <c r="AN309" s="2"/>
      <c r="AO309" s="2"/>
      <c r="AP309" s="2"/>
    </row>
    <row r="310" spans="1:42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7"/>
      <c r="AK310" s="2"/>
      <c r="AL310" s="2"/>
      <c r="AM310" s="2"/>
      <c r="AN310" s="2"/>
      <c r="AO310" s="2"/>
      <c r="AP310" s="2"/>
    </row>
    <row r="311" spans="1:42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7"/>
      <c r="AK311" s="2"/>
      <c r="AL311" s="2"/>
      <c r="AM311" s="2"/>
      <c r="AN311" s="2"/>
      <c r="AO311" s="2"/>
      <c r="AP311" s="2"/>
    </row>
    <row r="312" spans="1:4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7"/>
      <c r="AK312" s="2"/>
      <c r="AL312" s="2"/>
      <c r="AM312" s="2"/>
      <c r="AN312" s="2"/>
      <c r="AO312" s="2"/>
      <c r="AP312" s="2"/>
    </row>
    <row r="313" spans="1:42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7"/>
      <c r="AK313" s="2"/>
      <c r="AL313" s="2"/>
      <c r="AM313" s="2"/>
      <c r="AN313" s="2"/>
      <c r="AO313" s="2"/>
      <c r="AP313" s="2"/>
    </row>
    <row r="314" spans="1:42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7"/>
      <c r="AK314" s="2"/>
      <c r="AL314" s="2"/>
      <c r="AM314" s="2"/>
      <c r="AN314" s="2"/>
      <c r="AO314" s="2"/>
      <c r="AP314" s="2"/>
    </row>
    <row r="315" spans="1:42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7"/>
      <c r="AK315" s="2"/>
      <c r="AL315" s="2"/>
      <c r="AM315" s="2"/>
      <c r="AN315" s="2"/>
      <c r="AO315" s="2"/>
      <c r="AP315" s="2"/>
    </row>
    <row r="316" spans="1:42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7"/>
      <c r="AK316" s="2"/>
      <c r="AL316" s="2"/>
      <c r="AM316" s="2"/>
      <c r="AN316" s="2"/>
      <c r="AO316" s="2"/>
      <c r="AP316" s="2"/>
    </row>
    <row r="317" spans="1:42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7"/>
      <c r="AK317" s="2"/>
      <c r="AL317" s="2"/>
      <c r="AM317" s="2"/>
      <c r="AN317" s="2"/>
      <c r="AO317" s="2"/>
      <c r="AP317" s="2"/>
    </row>
    <row r="318" spans="1:42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7"/>
      <c r="AK318" s="2"/>
      <c r="AL318" s="2"/>
      <c r="AM318" s="2"/>
      <c r="AN318" s="2"/>
      <c r="AO318" s="2"/>
      <c r="AP318" s="2"/>
    </row>
    <row r="319" spans="1:42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7"/>
      <c r="AK319" s="2"/>
      <c r="AL319" s="2"/>
      <c r="AM319" s="2"/>
      <c r="AN319" s="2"/>
      <c r="AO319" s="2"/>
      <c r="AP319" s="2"/>
    </row>
    <row r="320" spans="1:42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7"/>
      <c r="AK320" s="2"/>
      <c r="AL320" s="2"/>
      <c r="AM320" s="2"/>
      <c r="AN320" s="2"/>
      <c r="AO320" s="2"/>
      <c r="AP320" s="2"/>
    </row>
    <row r="321" spans="1:42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7"/>
      <c r="AK321" s="2"/>
      <c r="AL321" s="2"/>
      <c r="AM321" s="2"/>
      <c r="AN321" s="2"/>
      <c r="AO321" s="2"/>
      <c r="AP321" s="2"/>
    </row>
    <row r="322" spans="1:4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7"/>
      <c r="AK322" s="2"/>
      <c r="AL322" s="2"/>
      <c r="AM322" s="2"/>
      <c r="AN322" s="2"/>
      <c r="AO322" s="2"/>
      <c r="AP322" s="2"/>
    </row>
    <row r="323" spans="1:42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7"/>
      <c r="AK323" s="2"/>
      <c r="AL323" s="2"/>
      <c r="AM323" s="2"/>
      <c r="AN323" s="2"/>
      <c r="AO323" s="2"/>
      <c r="AP323" s="2"/>
    </row>
    <row r="324" spans="1:42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7"/>
      <c r="AK324" s="2"/>
      <c r="AL324" s="2"/>
      <c r="AM324" s="2"/>
      <c r="AN324" s="2"/>
      <c r="AO324" s="2"/>
      <c r="AP324" s="2"/>
    </row>
    <row r="325" spans="1:42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7"/>
      <c r="AK325" s="2"/>
      <c r="AL325" s="2"/>
      <c r="AM325" s="2"/>
      <c r="AN325" s="2"/>
      <c r="AO325" s="2"/>
      <c r="AP325" s="2"/>
    </row>
    <row r="326" spans="1:42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7"/>
      <c r="AK326" s="2"/>
      <c r="AL326" s="2"/>
      <c r="AM326" s="2"/>
      <c r="AN326" s="2"/>
      <c r="AO326" s="2"/>
      <c r="AP326" s="2"/>
    </row>
    <row r="327" spans="1:42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7"/>
      <c r="AK327" s="2"/>
      <c r="AL327" s="2"/>
      <c r="AM327" s="2"/>
      <c r="AN327" s="2"/>
      <c r="AO327" s="2"/>
      <c r="AP327" s="2"/>
    </row>
    <row r="328" spans="1:42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7"/>
      <c r="AK328" s="2"/>
      <c r="AL328" s="2"/>
      <c r="AM328" s="2"/>
      <c r="AN328" s="2"/>
      <c r="AO328" s="2"/>
      <c r="AP328" s="2"/>
    </row>
    <row r="329" spans="1:42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7"/>
      <c r="AK329" s="2"/>
      <c r="AL329" s="2"/>
      <c r="AM329" s="2"/>
      <c r="AN329" s="2"/>
      <c r="AO329" s="2"/>
      <c r="AP329" s="2"/>
    </row>
    <row r="330" spans="1:42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7"/>
      <c r="AK330" s="2"/>
      <c r="AL330" s="2"/>
      <c r="AM330" s="2"/>
      <c r="AN330" s="2"/>
      <c r="AO330" s="2"/>
      <c r="AP330" s="2"/>
    </row>
    <row r="331" spans="1:42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7"/>
      <c r="AK331" s="2"/>
      <c r="AL331" s="2"/>
      <c r="AM331" s="2"/>
      <c r="AN331" s="2"/>
      <c r="AO331" s="2"/>
      <c r="AP331" s="2"/>
    </row>
    <row r="332" spans="1:4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7"/>
      <c r="AK332" s="2"/>
      <c r="AL332" s="2"/>
      <c r="AM332" s="2"/>
      <c r="AN332" s="2"/>
      <c r="AO332" s="2"/>
      <c r="AP332" s="2"/>
    </row>
    <row r="333" spans="1:42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7"/>
      <c r="AK333" s="2"/>
      <c r="AL333" s="2"/>
      <c r="AM333" s="2"/>
      <c r="AN333" s="2"/>
      <c r="AO333" s="2"/>
      <c r="AP333" s="2"/>
    </row>
    <row r="334" spans="1:42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7"/>
      <c r="AK334" s="2"/>
      <c r="AL334" s="2"/>
      <c r="AM334" s="2"/>
      <c r="AN334" s="2"/>
      <c r="AO334" s="2"/>
      <c r="AP334" s="2"/>
    </row>
    <row r="335" spans="1:42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7"/>
      <c r="AK335" s="2"/>
      <c r="AL335" s="2"/>
      <c r="AM335" s="2"/>
      <c r="AN335" s="2"/>
      <c r="AO335" s="2"/>
      <c r="AP335" s="2"/>
    </row>
    <row r="336" spans="1:42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7"/>
      <c r="AK336" s="2"/>
      <c r="AL336" s="2"/>
      <c r="AM336" s="2"/>
      <c r="AN336" s="2"/>
      <c r="AO336" s="2"/>
      <c r="AP336" s="2"/>
    </row>
    <row r="337" spans="1:42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7"/>
      <c r="AK337" s="2"/>
      <c r="AL337" s="2"/>
      <c r="AM337" s="2"/>
      <c r="AN337" s="2"/>
      <c r="AO337" s="2"/>
      <c r="AP337" s="2"/>
    </row>
    <row r="338" spans="1:42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7"/>
      <c r="AK338" s="2"/>
      <c r="AL338" s="2"/>
      <c r="AM338" s="2"/>
      <c r="AN338" s="2"/>
      <c r="AO338" s="2"/>
      <c r="AP338" s="2"/>
    </row>
    <row r="339" spans="1:42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7"/>
      <c r="AK339" s="2"/>
      <c r="AL339" s="2"/>
      <c r="AM339" s="2"/>
      <c r="AN339" s="2"/>
      <c r="AO339" s="2"/>
      <c r="AP339" s="2"/>
    </row>
    <row r="340" spans="1:42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7"/>
      <c r="AK340" s="2"/>
      <c r="AL340" s="2"/>
      <c r="AM340" s="2"/>
      <c r="AN340" s="2"/>
      <c r="AO340" s="2"/>
      <c r="AP340" s="2"/>
    </row>
    <row r="341" spans="1:42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7"/>
      <c r="AK341" s="2"/>
      <c r="AL341" s="2"/>
      <c r="AM341" s="2"/>
      <c r="AN341" s="2"/>
      <c r="AO341" s="2"/>
      <c r="AP341" s="2"/>
    </row>
    <row r="342" spans="1: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7"/>
      <c r="AK342" s="2"/>
      <c r="AL342" s="2"/>
      <c r="AM342" s="2"/>
      <c r="AN342" s="2"/>
      <c r="AO342" s="2"/>
      <c r="AP342" s="2"/>
    </row>
    <row r="343" spans="1:42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7"/>
      <c r="AK343" s="2"/>
      <c r="AL343" s="2"/>
      <c r="AM343" s="2"/>
      <c r="AN343" s="2"/>
      <c r="AO343" s="2"/>
      <c r="AP343" s="2"/>
    </row>
    <row r="344" spans="1:42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7"/>
      <c r="AK344" s="2"/>
      <c r="AL344" s="2"/>
      <c r="AM344" s="2"/>
      <c r="AN344" s="2"/>
      <c r="AO344" s="2"/>
      <c r="AP344" s="2"/>
    </row>
    <row r="345" spans="1:42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7"/>
      <c r="AK345" s="2"/>
      <c r="AL345" s="2"/>
      <c r="AM345" s="2"/>
      <c r="AN345" s="2"/>
      <c r="AO345" s="2"/>
      <c r="AP345" s="2"/>
    </row>
    <row r="346" spans="1:42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7"/>
      <c r="AK346" s="2"/>
      <c r="AL346" s="2"/>
      <c r="AM346" s="2"/>
      <c r="AN346" s="2"/>
      <c r="AO346" s="2"/>
      <c r="AP346" s="2"/>
    </row>
    <row r="347" spans="1:42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7"/>
      <c r="AK347" s="2"/>
      <c r="AL347" s="2"/>
      <c r="AM347" s="2"/>
      <c r="AN347" s="2"/>
      <c r="AO347" s="2"/>
      <c r="AP347" s="2"/>
    </row>
    <row r="348" spans="1:42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7"/>
      <c r="AK348" s="2"/>
      <c r="AL348" s="2"/>
      <c r="AM348" s="2"/>
      <c r="AN348" s="2"/>
      <c r="AO348" s="2"/>
      <c r="AP348" s="2"/>
    </row>
    <row r="349" spans="1:42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7"/>
      <c r="AK349" s="2"/>
      <c r="AL349" s="2"/>
      <c r="AM349" s="2"/>
      <c r="AN349" s="2"/>
      <c r="AO349" s="2"/>
      <c r="AP349" s="2"/>
    </row>
    <row r="350" spans="1:42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7"/>
      <c r="AK350" s="2"/>
      <c r="AL350" s="2"/>
      <c r="AM350" s="2"/>
      <c r="AN350" s="2"/>
      <c r="AO350" s="2"/>
      <c r="AP350" s="2"/>
    </row>
    <row r="351" spans="1:42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7"/>
      <c r="AK351" s="2"/>
      <c r="AL351" s="2"/>
      <c r="AM351" s="2"/>
      <c r="AN351" s="2"/>
      <c r="AO351" s="2"/>
      <c r="AP351" s="2"/>
    </row>
    <row r="352" spans="1:4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7"/>
      <c r="AK352" s="2"/>
      <c r="AL352" s="2"/>
      <c r="AM352" s="2"/>
      <c r="AN352" s="2"/>
      <c r="AO352" s="2"/>
      <c r="AP352" s="2"/>
    </row>
    <row r="353" spans="1:42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7"/>
      <c r="AK353" s="2"/>
      <c r="AL353" s="2"/>
      <c r="AM353" s="2"/>
      <c r="AN353" s="2"/>
      <c r="AO353" s="2"/>
      <c r="AP353" s="2"/>
    </row>
    <row r="354" spans="1:42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7"/>
      <c r="AK354" s="2"/>
      <c r="AL354" s="2"/>
      <c r="AM354" s="2"/>
      <c r="AN354" s="2"/>
      <c r="AO354" s="2"/>
      <c r="AP354" s="2"/>
    </row>
    <row r="355" spans="1:42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7"/>
      <c r="AK355" s="2"/>
      <c r="AL355" s="2"/>
      <c r="AM355" s="2"/>
      <c r="AN355" s="2"/>
      <c r="AO355" s="2"/>
      <c r="AP355" s="2"/>
    </row>
    <row r="356" spans="1:42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7"/>
      <c r="AK356" s="2"/>
      <c r="AL356" s="2"/>
      <c r="AM356" s="2"/>
      <c r="AN356" s="2"/>
      <c r="AO356" s="2"/>
      <c r="AP356" s="2"/>
    </row>
    <row r="357" spans="1:42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7"/>
      <c r="AK357" s="2"/>
      <c r="AL357" s="2"/>
      <c r="AM357" s="2"/>
      <c r="AN357" s="2"/>
      <c r="AO357" s="2"/>
      <c r="AP357" s="2"/>
    </row>
    <row r="358" spans="1:42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7"/>
      <c r="AK358" s="2"/>
      <c r="AL358" s="2"/>
      <c r="AM358" s="2"/>
      <c r="AN358" s="2"/>
      <c r="AO358" s="2"/>
      <c r="AP358" s="2"/>
    </row>
    <row r="359" spans="1:42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7"/>
      <c r="AK359" s="2"/>
      <c r="AL359" s="2"/>
      <c r="AM359" s="2"/>
      <c r="AN359" s="2"/>
      <c r="AO359" s="2"/>
      <c r="AP359" s="2"/>
    </row>
    <row r="360" spans="1:42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7"/>
      <c r="AK360" s="2"/>
      <c r="AL360" s="2"/>
      <c r="AM360" s="2"/>
      <c r="AN360" s="2"/>
      <c r="AO360" s="2"/>
      <c r="AP360" s="2"/>
    </row>
    <row r="361" spans="1:42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7"/>
      <c r="AK361" s="2"/>
      <c r="AL361" s="2"/>
      <c r="AM361" s="2"/>
      <c r="AN361" s="2"/>
      <c r="AO361" s="2"/>
      <c r="AP361" s="2"/>
    </row>
    <row r="362" spans="1:4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7"/>
      <c r="AK362" s="2"/>
      <c r="AL362" s="2"/>
      <c r="AM362" s="2"/>
      <c r="AN362" s="2"/>
      <c r="AO362" s="2"/>
      <c r="AP362" s="2"/>
    </row>
    <row r="363" spans="1:42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7"/>
      <c r="AK363" s="2"/>
      <c r="AL363" s="2"/>
      <c r="AM363" s="2"/>
      <c r="AN363" s="2"/>
      <c r="AO363" s="2"/>
      <c r="AP363" s="2"/>
    </row>
    <row r="364" spans="1:42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7"/>
      <c r="AK364" s="2"/>
      <c r="AL364" s="2"/>
      <c r="AM364" s="2"/>
      <c r="AN364" s="2"/>
      <c r="AO364" s="2"/>
      <c r="AP364" s="2"/>
    </row>
    <row r="365" spans="1:42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7"/>
      <c r="AK365" s="2"/>
      <c r="AL365" s="2"/>
      <c r="AM365" s="2"/>
      <c r="AN365" s="2"/>
      <c r="AO365" s="2"/>
      <c r="AP365" s="2"/>
    </row>
    <row r="366" spans="1:42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7"/>
      <c r="AK366" s="2"/>
      <c r="AL366" s="2"/>
      <c r="AM366" s="2"/>
      <c r="AN366" s="2"/>
      <c r="AO366" s="2"/>
      <c r="AP366" s="2"/>
    </row>
    <row r="367" spans="1:42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7"/>
      <c r="AK367" s="2"/>
      <c r="AL367" s="2"/>
      <c r="AM367" s="2"/>
      <c r="AN367" s="2"/>
      <c r="AO367" s="2"/>
      <c r="AP367" s="2"/>
    </row>
    <row r="368" spans="1:42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7"/>
      <c r="AK368" s="2"/>
      <c r="AL368" s="2"/>
      <c r="AM368" s="2"/>
      <c r="AN368" s="2"/>
      <c r="AO368" s="2"/>
      <c r="AP368" s="2"/>
    </row>
    <row r="369" spans="1:42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7"/>
      <c r="AK369" s="2"/>
      <c r="AL369" s="2"/>
      <c r="AM369" s="2"/>
      <c r="AN369" s="2"/>
      <c r="AO369" s="2"/>
      <c r="AP369" s="2"/>
    </row>
    <row r="370" spans="1:42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7"/>
      <c r="AK370" s="2"/>
      <c r="AL370" s="2"/>
      <c r="AM370" s="2"/>
      <c r="AN370" s="2"/>
      <c r="AO370" s="2"/>
      <c r="AP370" s="2"/>
    </row>
    <row r="371" spans="1:42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7"/>
      <c r="AK371" s="2"/>
      <c r="AL371" s="2"/>
      <c r="AM371" s="2"/>
      <c r="AN371" s="2"/>
      <c r="AO371" s="2"/>
      <c r="AP371" s="2"/>
    </row>
    <row r="372" spans="1:4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7"/>
      <c r="AK372" s="2"/>
      <c r="AL372" s="2"/>
      <c r="AM372" s="2"/>
      <c r="AN372" s="2"/>
      <c r="AO372" s="2"/>
      <c r="AP372" s="2"/>
    </row>
    <row r="373" spans="1:42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7"/>
      <c r="AK373" s="2"/>
      <c r="AL373" s="2"/>
      <c r="AM373" s="2"/>
      <c r="AN373" s="2"/>
      <c r="AO373" s="2"/>
      <c r="AP373" s="2"/>
    </row>
    <row r="374" spans="1:42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7"/>
      <c r="AK374" s="2"/>
      <c r="AL374" s="2"/>
      <c r="AM374" s="2"/>
      <c r="AN374" s="2"/>
      <c r="AO374" s="2"/>
      <c r="AP374" s="2"/>
    </row>
    <row r="375" spans="1:42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7"/>
      <c r="AK375" s="2"/>
      <c r="AL375" s="2"/>
      <c r="AM375" s="2"/>
      <c r="AN375" s="2"/>
      <c r="AO375" s="2"/>
      <c r="AP375" s="2"/>
    </row>
    <row r="376" spans="1:42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7"/>
      <c r="AK376" s="2"/>
      <c r="AL376" s="2"/>
      <c r="AM376" s="2"/>
      <c r="AN376" s="2"/>
      <c r="AO376" s="2"/>
      <c r="AP376" s="2"/>
    </row>
    <row r="377" spans="1:42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7"/>
      <c r="AK377" s="2"/>
      <c r="AL377" s="2"/>
      <c r="AM377" s="2"/>
      <c r="AN377" s="2"/>
      <c r="AO377" s="2"/>
      <c r="AP377" s="2"/>
    </row>
    <row r="378" spans="1:42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7"/>
      <c r="AK378" s="2"/>
      <c r="AL378" s="2"/>
      <c r="AM378" s="2"/>
      <c r="AN378" s="2"/>
      <c r="AO378" s="2"/>
      <c r="AP378" s="2"/>
    </row>
    <row r="379" spans="1:42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7"/>
      <c r="AK379" s="2"/>
      <c r="AL379" s="2"/>
      <c r="AM379" s="2"/>
      <c r="AN379" s="2"/>
      <c r="AO379" s="2"/>
      <c r="AP379" s="2"/>
    </row>
    <row r="380" spans="1:42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7"/>
      <c r="AK380" s="2"/>
      <c r="AL380" s="2"/>
      <c r="AM380" s="2"/>
      <c r="AN380" s="2"/>
      <c r="AO380" s="2"/>
      <c r="AP380" s="2"/>
    </row>
    <row r="381" spans="1:42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7"/>
      <c r="AK381" s="2"/>
      <c r="AL381" s="2"/>
      <c r="AM381" s="2"/>
      <c r="AN381" s="2"/>
      <c r="AO381" s="2"/>
      <c r="AP381" s="2"/>
    </row>
    <row r="382" spans="1:4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7"/>
      <c r="AK382" s="2"/>
      <c r="AL382" s="2"/>
      <c r="AM382" s="2"/>
      <c r="AN382" s="2"/>
      <c r="AO382" s="2"/>
      <c r="AP382" s="2"/>
    </row>
    <row r="383" spans="1:42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7"/>
      <c r="AK383" s="2"/>
      <c r="AL383" s="2"/>
      <c r="AM383" s="2"/>
      <c r="AN383" s="2"/>
      <c r="AO383" s="2"/>
      <c r="AP383" s="2"/>
    </row>
    <row r="384" spans="1:42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7"/>
      <c r="AK384" s="2"/>
      <c r="AL384" s="2"/>
      <c r="AM384" s="2"/>
      <c r="AN384" s="2"/>
      <c r="AO384" s="2"/>
      <c r="AP384" s="2"/>
    </row>
    <row r="385" spans="1:42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7"/>
      <c r="AK385" s="2"/>
      <c r="AL385" s="2"/>
      <c r="AM385" s="2"/>
      <c r="AN385" s="2"/>
      <c r="AO385" s="2"/>
      <c r="AP385" s="2"/>
    </row>
    <row r="386" spans="1:42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7"/>
      <c r="AK386" s="2"/>
      <c r="AL386" s="2"/>
      <c r="AM386" s="2"/>
      <c r="AN386" s="2"/>
      <c r="AO386" s="2"/>
      <c r="AP386" s="2"/>
    </row>
    <row r="387" spans="1:42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7"/>
      <c r="AK387" s="2"/>
      <c r="AL387" s="2"/>
      <c r="AM387" s="2"/>
      <c r="AN387" s="2"/>
      <c r="AO387" s="2"/>
      <c r="AP387" s="2"/>
    </row>
    <row r="388" spans="1:42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7"/>
      <c r="AK388" s="2"/>
      <c r="AL388" s="2"/>
      <c r="AM388" s="2"/>
      <c r="AN388" s="2"/>
      <c r="AO388" s="2"/>
      <c r="AP388" s="2"/>
    </row>
    <row r="389" spans="1:42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7"/>
      <c r="AK389" s="2"/>
      <c r="AL389" s="2"/>
      <c r="AM389" s="2"/>
      <c r="AN389" s="2"/>
      <c r="AO389" s="2"/>
      <c r="AP389" s="2"/>
    </row>
    <row r="390" spans="1:42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7"/>
      <c r="AK390" s="2"/>
      <c r="AL390" s="2"/>
      <c r="AM390" s="2"/>
      <c r="AN390" s="2"/>
      <c r="AO390" s="2"/>
      <c r="AP390" s="2"/>
    </row>
    <row r="391" spans="1:42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7"/>
      <c r="AK391" s="2"/>
      <c r="AL391" s="2"/>
      <c r="AM391" s="2"/>
      <c r="AN391" s="2"/>
      <c r="AO391" s="2"/>
      <c r="AP391" s="2"/>
    </row>
    <row r="392" spans="1:4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7"/>
      <c r="AK392" s="2"/>
      <c r="AL392" s="2"/>
      <c r="AM392" s="2"/>
      <c r="AN392" s="2"/>
      <c r="AO392" s="2"/>
      <c r="AP392" s="2"/>
    </row>
    <row r="393" spans="1:42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7"/>
      <c r="AK393" s="2"/>
      <c r="AL393" s="2"/>
      <c r="AM393" s="2"/>
      <c r="AN393" s="2"/>
      <c r="AO393" s="2"/>
      <c r="AP393" s="2"/>
    </row>
    <row r="394" spans="1:42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7"/>
      <c r="AK394" s="2"/>
      <c r="AL394" s="2"/>
      <c r="AM394" s="2"/>
      <c r="AN394" s="2"/>
      <c r="AO394" s="2"/>
      <c r="AP394" s="2"/>
    </row>
    <row r="395" spans="1:42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7"/>
      <c r="AK395" s="2"/>
      <c r="AL395" s="2"/>
      <c r="AM395" s="2"/>
      <c r="AN395" s="2"/>
      <c r="AO395" s="2"/>
      <c r="AP395" s="2"/>
    </row>
    <row r="396" spans="1:42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7"/>
      <c r="AK396" s="2"/>
      <c r="AL396" s="2"/>
      <c r="AM396" s="2"/>
      <c r="AN396" s="2"/>
      <c r="AO396" s="2"/>
      <c r="AP396" s="2"/>
    </row>
    <row r="397" spans="1:42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7"/>
      <c r="AK397" s="2"/>
      <c r="AL397" s="2"/>
      <c r="AM397" s="2"/>
      <c r="AN397" s="2"/>
      <c r="AO397" s="2"/>
      <c r="AP397" s="2"/>
    </row>
    <row r="398" spans="1:42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7"/>
      <c r="AK398" s="2"/>
      <c r="AL398" s="2"/>
      <c r="AM398" s="2"/>
      <c r="AN398" s="2"/>
      <c r="AO398" s="2"/>
      <c r="AP398" s="2"/>
    </row>
    <row r="399" spans="1:42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7"/>
      <c r="AK399" s="2"/>
      <c r="AL399" s="2"/>
      <c r="AM399" s="2"/>
      <c r="AN399" s="2"/>
      <c r="AO399" s="2"/>
      <c r="AP399" s="2"/>
    </row>
    <row r="400" spans="1:42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7"/>
      <c r="AK400" s="2"/>
      <c r="AL400" s="2"/>
      <c r="AM400" s="2"/>
      <c r="AN400" s="2"/>
      <c r="AO400" s="2"/>
      <c r="AP400" s="2"/>
    </row>
    <row r="401" spans="1:42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7"/>
      <c r="AK401" s="2"/>
      <c r="AL401" s="2"/>
      <c r="AM401" s="2"/>
      <c r="AN401" s="2"/>
      <c r="AO401" s="2"/>
      <c r="AP401" s="2"/>
    </row>
    <row r="402" spans="1:4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7"/>
      <c r="AK402" s="2"/>
      <c r="AL402" s="2"/>
      <c r="AM402" s="2"/>
      <c r="AN402" s="2"/>
      <c r="AO402" s="2"/>
      <c r="AP402" s="2"/>
    </row>
    <row r="403" spans="1:42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7"/>
      <c r="AK403" s="2"/>
      <c r="AL403" s="2"/>
      <c r="AM403" s="2"/>
      <c r="AN403" s="2"/>
      <c r="AO403" s="2"/>
      <c r="AP403" s="2"/>
    </row>
    <row r="404" spans="1:42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7"/>
      <c r="AK404" s="2"/>
      <c r="AL404" s="2"/>
      <c r="AM404" s="2"/>
      <c r="AN404" s="2"/>
      <c r="AO404" s="2"/>
      <c r="AP404" s="2"/>
    </row>
    <row r="405" spans="1:42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7"/>
      <c r="AK405" s="2"/>
      <c r="AL405" s="2"/>
      <c r="AM405" s="2"/>
      <c r="AN405" s="2"/>
      <c r="AO405" s="2"/>
      <c r="AP405" s="2"/>
    </row>
    <row r="406" spans="1:42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7"/>
      <c r="AK406" s="2"/>
      <c r="AL406" s="2"/>
      <c r="AM406" s="2"/>
      <c r="AN406" s="2"/>
      <c r="AO406" s="2"/>
      <c r="AP406" s="2"/>
    </row>
    <row r="407" spans="1:42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7"/>
      <c r="AK407" s="2"/>
      <c r="AL407" s="2"/>
      <c r="AM407" s="2"/>
      <c r="AN407" s="2"/>
      <c r="AO407" s="2"/>
      <c r="AP407" s="2"/>
    </row>
    <row r="408" spans="1:42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7"/>
      <c r="AK408" s="2"/>
      <c r="AL408" s="2"/>
      <c r="AM408" s="2"/>
      <c r="AN408" s="2"/>
      <c r="AO408" s="2"/>
      <c r="AP408" s="2"/>
    </row>
    <row r="409" spans="1:42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7"/>
      <c r="AK409" s="2"/>
      <c r="AL409" s="2"/>
      <c r="AM409" s="2"/>
      <c r="AN409" s="2"/>
      <c r="AO409" s="2"/>
      <c r="AP409" s="2"/>
    </row>
    <row r="410" spans="1:42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7"/>
      <c r="AK410" s="2"/>
      <c r="AL410" s="2"/>
      <c r="AM410" s="2"/>
      <c r="AN410" s="2"/>
      <c r="AO410" s="2"/>
      <c r="AP410" s="2"/>
    </row>
    <row r="411" spans="1:42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7"/>
      <c r="AK411" s="2"/>
      <c r="AL411" s="2"/>
      <c r="AM411" s="2"/>
      <c r="AN411" s="2"/>
      <c r="AO411" s="2"/>
      <c r="AP411" s="2"/>
    </row>
    <row r="412" spans="1:4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7"/>
      <c r="AK412" s="2"/>
      <c r="AL412" s="2"/>
      <c r="AM412" s="2"/>
      <c r="AN412" s="2"/>
      <c r="AO412" s="2"/>
      <c r="AP412" s="2"/>
    </row>
    <row r="413" spans="1:42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7"/>
      <c r="AK413" s="2"/>
      <c r="AL413" s="2"/>
      <c r="AM413" s="2"/>
      <c r="AN413" s="2"/>
      <c r="AO413" s="2"/>
      <c r="AP413" s="2"/>
    </row>
    <row r="414" spans="1:42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7"/>
      <c r="AK414" s="2"/>
      <c r="AL414" s="2"/>
      <c r="AM414" s="2"/>
      <c r="AN414" s="2"/>
      <c r="AO414" s="2"/>
      <c r="AP414" s="2"/>
    </row>
    <row r="415" spans="1:42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7"/>
      <c r="AK415" s="2"/>
      <c r="AL415" s="2"/>
      <c r="AM415" s="2"/>
      <c r="AN415" s="2"/>
      <c r="AO415" s="2"/>
      <c r="AP415" s="2"/>
    </row>
    <row r="416" spans="1:42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7"/>
      <c r="AK416" s="2"/>
      <c r="AL416" s="2"/>
      <c r="AM416" s="2"/>
      <c r="AN416" s="2"/>
      <c r="AO416" s="2"/>
      <c r="AP416" s="2"/>
    </row>
    <row r="417" spans="1:42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7"/>
      <c r="AK417" s="2"/>
      <c r="AL417" s="2"/>
      <c r="AM417" s="2"/>
      <c r="AN417" s="2"/>
      <c r="AO417" s="2"/>
      <c r="AP417" s="2"/>
    </row>
    <row r="418" spans="1:42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7"/>
      <c r="AK418" s="2"/>
      <c r="AL418" s="2"/>
      <c r="AM418" s="2"/>
      <c r="AN418" s="2"/>
      <c r="AO418" s="2"/>
      <c r="AP418" s="2"/>
    </row>
    <row r="419" spans="1:42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7"/>
      <c r="AK419" s="2"/>
      <c r="AL419" s="2"/>
      <c r="AM419" s="2"/>
      <c r="AN419" s="2"/>
      <c r="AO419" s="2"/>
      <c r="AP419" s="2"/>
    </row>
    <row r="420" spans="1:42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7"/>
      <c r="AK420" s="2"/>
      <c r="AL420" s="2"/>
      <c r="AM420" s="2"/>
      <c r="AN420" s="2"/>
      <c r="AO420" s="2"/>
      <c r="AP420" s="2"/>
    </row>
    <row r="421" spans="1:42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7"/>
      <c r="AK421" s="2"/>
      <c r="AL421" s="2"/>
      <c r="AM421" s="2"/>
      <c r="AN421" s="2"/>
      <c r="AO421" s="2"/>
      <c r="AP421" s="2"/>
    </row>
    <row r="422" spans="1:4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7"/>
      <c r="AK422" s="2"/>
      <c r="AL422" s="2"/>
      <c r="AM422" s="2"/>
      <c r="AN422" s="2"/>
      <c r="AO422" s="2"/>
      <c r="AP422" s="2"/>
    </row>
    <row r="423" spans="1:42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7"/>
      <c r="AK423" s="2"/>
      <c r="AL423" s="2"/>
      <c r="AM423" s="2"/>
      <c r="AN423" s="2"/>
      <c r="AO423" s="2"/>
      <c r="AP423" s="2"/>
    </row>
    <row r="424" spans="1:42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7"/>
      <c r="AK424" s="2"/>
      <c r="AL424" s="2"/>
      <c r="AM424" s="2"/>
      <c r="AN424" s="2"/>
      <c r="AO424" s="2"/>
      <c r="AP424" s="2"/>
    </row>
    <row r="425" spans="1:42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7"/>
      <c r="AK425" s="2"/>
      <c r="AL425" s="2"/>
      <c r="AM425" s="2"/>
      <c r="AN425" s="2"/>
      <c r="AO425" s="2"/>
      <c r="AP425" s="2"/>
    </row>
    <row r="426" spans="1:42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7"/>
      <c r="AK426" s="2"/>
      <c r="AL426" s="2"/>
      <c r="AM426" s="2"/>
      <c r="AN426" s="2"/>
      <c r="AO426" s="2"/>
      <c r="AP426" s="2"/>
    </row>
    <row r="427" spans="1:42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7"/>
      <c r="AK427" s="2"/>
      <c r="AL427" s="2"/>
      <c r="AM427" s="2"/>
      <c r="AN427" s="2"/>
      <c r="AO427" s="2"/>
      <c r="AP427" s="2"/>
    </row>
    <row r="428" spans="1:42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7"/>
      <c r="AK428" s="2"/>
      <c r="AL428" s="2"/>
      <c r="AM428" s="2"/>
      <c r="AN428" s="2"/>
      <c r="AO428" s="2"/>
      <c r="AP428" s="2"/>
    </row>
    <row r="429" spans="1:42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7"/>
      <c r="AK429" s="2"/>
      <c r="AL429" s="2"/>
      <c r="AM429" s="2"/>
      <c r="AN429" s="2"/>
      <c r="AO429" s="2"/>
      <c r="AP429" s="2"/>
    </row>
    <row r="430" spans="1:42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7"/>
      <c r="AK430" s="2"/>
      <c r="AL430" s="2"/>
      <c r="AM430" s="2"/>
      <c r="AN430" s="2"/>
      <c r="AO430" s="2"/>
      <c r="AP430" s="2"/>
    </row>
    <row r="431" spans="1:42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7"/>
      <c r="AK431" s="2"/>
      <c r="AL431" s="2"/>
      <c r="AM431" s="2"/>
      <c r="AN431" s="2"/>
      <c r="AO431" s="2"/>
      <c r="AP431" s="2"/>
    </row>
    <row r="432" spans="1:4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7"/>
      <c r="AK432" s="2"/>
      <c r="AL432" s="2"/>
      <c r="AM432" s="2"/>
      <c r="AN432" s="2"/>
      <c r="AO432" s="2"/>
      <c r="AP432" s="2"/>
    </row>
    <row r="433" spans="1:42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7"/>
      <c r="AK433" s="2"/>
      <c r="AL433" s="2"/>
      <c r="AM433" s="2"/>
      <c r="AN433" s="2"/>
      <c r="AO433" s="2"/>
      <c r="AP433" s="2"/>
    </row>
    <row r="434" spans="1:42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7"/>
      <c r="AK434" s="2"/>
      <c r="AL434" s="2"/>
      <c r="AM434" s="2"/>
      <c r="AN434" s="2"/>
      <c r="AO434" s="2"/>
      <c r="AP434" s="2"/>
    </row>
    <row r="435" spans="1:42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7"/>
      <c r="AK435" s="2"/>
      <c r="AL435" s="2"/>
      <c r="AM435" s="2"/>
      <c r="AN435" s="2"/>
      <c r="AO435" s="2"/>
      <c r="AP435" s="2"/>
    </row>
    <row r="436" spans="1:42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7"/>
      <c r="AK436" s="2"/>
      <c r="AL436" s="2"/>
      <c r="AM436" s="2"/>
      <c r="AN436" s="2"/>
      <c r="AO436" s="2"/>
      <c r="AP436" s="2"/>
    </row>
    <row r="437" spans="1:42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7"/>
      <c r="AK437" s="2"/>
      <c r="AL437" s="2"/>
      <c r="AM437" s="2"/>
      <c r="AN437" s="2"/>
      <c r="AO437" s="2"/>
      <c r="AP437" s="2"/>
    </row>
    <row r="438" spans="1:42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7"/>
      <c r="AK438" s="2"/>
      <c r="AL438" s="2"/>
      <c r="AM438" s="2"/>
      <c r="AN438" s="2"/>
      <c r="AO438" s="2"/>
      <c r="AP438" s="2"/>
    </row>
    <row r="439" spans="1:42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7"/>
      <c r="AK439" s="2"/>
      <c r="AL439" s="2"/>
      <c r="AM439" s="2"/>
      <c r="AN439" s="2"/>
      <c r="AO439" s="2"/>
      <c r="AP439" s="2"/>
    </row>
    <row r="440" spans="1:42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7"/>
      <c r="AK440" s="2"/>
      <c r="AL440" s="2"/>
      <c r="AM440" s="2"/>
      <c r="AN440" s="2"/>
      <c r="AO440" s="2"/>
      <c r="AP440" s="2"/>
    </row>
    <row r="441" spans="1:42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7"/>
      <c r="AK441" s="2"/>
      <c r="AL441" s="2"/>
      <c r="AM441" s="2"/>
      <c r="AN441" s="2"/>
      <c r="AO441" s="2"/>
      <c r="AP441" s="2"/>
    </row>
    <row r="442" spans="1: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7"/>
      <c r="AK442" s="2"/>
      <c r="AL442" s="2"/>
      <c r="AM442" s="2"/>
      <c r="AN442" s="2"/>
      <c r="AO442" s="2"/>
      <c r="AP442" s="2"/>
    </row>
    <row r="443" spans="1:42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7"/>
      <c r="AK443" s="2"/>
      <c r="AL443" s="2"/>
      <c r="AM443" s="2"/>
      <c r="AN443" s="2"/>
      <c r="AO443" s="2"/>
      <c r="AP443" s="2"/>
    </row>
    <row r="444" spans="1:42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7"/>
      <c r="AK444" s="2"/>
      <c r="AL444" s="2"/>
      <c r="AM444" s="2"/>
      <c r="AN444" s="2"/>
      <c r="AO444" s="2"/>
      <c r="AP444" s="2"/>
    </row>
    <row r="445" spans="1:42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7"/>
      <c r="AK445" s="2"/>
      <c r="AL445" s="2"/>
      <c r="AM445" s="2"/>
      <c r="AN445" s="2"/>
      <c r="AO445" s="2"/>
      <c r="AP445" s="2"/>
    </row>
    <row r="446" spans="1:42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7"/>
      <c r="AK446" s="2"/>
      <c r="AL446" s="2"/>
      <c r="AM446" s="2"/>
      <c r="AN446" s="2"/>
      <c r="AO446" s="2"/>
      <c r="AP446" s="2"/>
    </row>
    <row r="447" spans="1:42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7"/>
      <c r="AK447" s="2"/>
      <c r="AL447" s="2"/>
      <c r="AM447" s="2"/>
      <c r="AN447" s="2"/>
      <c r="AO447" s="2"/>
      <c r="AP447" s="2"/>
    </row>
    <row r="448" spans="1:42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7"/>
      <c r="AK448" s="2"/>
      <c r="AL448" s="2"/>
      <c r="AM448" s="2"/>
      <c r="AN448" s="2"/>
      <c r="AO448" s="2"/>
      <c r="AP448" s="2"/>
    </row>
    <row r="449" spans="1:42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7"/>
      <c r="AK449" s="2"/>
      <c r="AL449" s="2"/>
      <c r="AM449" s="2"/>
      <c r="AN449" s="2"/>
      <c r="AO449" s="2"/>
      <c r="AP449" s="2"/>
    </row>
    <row r="450" spans="1:42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7"/>
      <c r="AK450" s="2"/>
      <c r="AL450" s="2"/>
      <c r="AM450" s="2"/>
      <c r="AN450" s="2"/>
      <c r="AO450" s="2"/>
      <c r="AP450" s="2"/>
    </row>
    <row r="451" spans="1:42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7"/>
      <c r="AK451" s="2"/>
      <c r="AL451" s="2"/>
      <c r="AM451" s="2"/>
      <c r="AN451" s="2"/>
      <c r="AO451" s="2"/>
      <c r="AP451" s="2"/>
    </row>
    <row r="452" spans="1:4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7"/>
      <c r="AK452" s="2"/>
      <c r="AL452" s="2"/>
      <c r="AM452" s="2"/>
      <c r="AN452" s="2"/>
      <c r="AO452" s="2"/>
      <c r="AP452" s="2"/>
    </row>
    <row r="453" spans="1:42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7"/>
      <c r="AK453" s="2"/>
      <c r="AL453" s="2"/>
      <c r="AM453" s="2"/>
      <c r="AN453" s="2"/>
      <c r="AO453" s="2"/>
      <c r="AP453" s="2"/>
    </row>
    <row r="454" spans="1:42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7"/>
      <c r="AK454" s="2"/>
      <c r="AL454" s="2"/>
      <c r="AM454" s="2"/>
      <c r="AN454" s="2"/>
      <c r="AO454" s="2"/>
      <c r="AP454" s="2"/>
    </row>
    <row r="455" spans="1:42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7"/>
      <c r="AK455" s="2"/>
      <c r="AL455" s="2"/>
      <c r="AM455" s="2"/>
      <c r="AN455" s="2"/>
      <c r="AO455" s="2"/>
      <c r="AP455" s="2"/>
    </row>
    <row r="456" spans="1:42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7"/>
      <c r="AK456" s="2"/>
      <c r="AL456" s="2"/>
      <c r="AM456" s="2"/>
      <c r="AN456" s="2"/>
      <c r="AO456" s="2"/>
      <c r="AP456" s="2"/>
    </row>
    <row r="457" spans="1:42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7"/>
      <c r="AK457" s="2"/>
      <c r="AL457" s="2"/>
      <c r="AM457" s="2"/>
      <c r="AN457" s="2"/>
      <c r="AO457" s="2"/>
      <c r="AP457" s="2"/>
    </row>
    <row r="458" spans="1:42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7"/>
      <c r="AK458" s="2"/>
      <c r="AL458" s="2"/>
      <c r="AM458" s="2"/>
      <c r="AN458" s="2"/>
      <c r="AO458" s="2"/>
      <c r="AP458" s="2"/>
    </row>
    <row r="459" spans="1:42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7"/>
      <c r="AK459" s="2"/>
      <c r="AL459" s="2"/>
      <c r="AM459" s="2"/>
      <c r="AN459" s="2"/>
      <c r="AO459" s="2"/>
      <c r="AP459" s="2"/>
    </row>
    <row r="460" spans="1:42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7"/>
      <c r="AK460" s="2"/>
      <c r="AL460" s="2"/>
      <c r="AM460" s="2"/>
      <c r="AN460" s="2"/>
      <c r="AO460" s="2"/>
      <c r="AP460" s="2"/>
    </row>
    <row r="461" spans="1:42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7"/>
      <c r="AK461" s="2"/>
      <c r="AL461" s="2"/>
      <c r="AM461" s="2"/>
      <c r="AN461" s="2"/>
      <c r="AO461" s="2"/>
      <c r="AP461" s="2"/>
    </row>
    <row r="462" spans="1:4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7"/>
      <c r="AK462" s="2"/>
      <c r="AL462" s="2"/>
      <c r="AM462" s="2"/>
      <c r="AN462" s="2"/>
      <c r="AO462" s="2"/>
      <c r="AP462" s="2"/>
    </row>
    <row r="463" spans="1:42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7"/>
      <c r="AK463" s="2"/>
      <c r="AL463" s="2"/>
      <c r="AM463" s="2"/>
      <c r="AN463" s="2"/>
      <c r="AO463" s="2"/>
      <c r="AP463" s="2"/>
    </row>
    <row r="464" spans="1:42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7"/>
      <c r="AK464" s="2"/>
      <c r="AL464" s="2"/>
      <c r="AM464" s="2"/>
      <c r="AN464" s="2"/>
      <c r="AO464" s="2"/>
      <c r="AP464" s="2"/>
    </row>
    <row r="465" spans="1:42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7"/>
      <c r="AK465" s="2"/>
      <c r="AL465" s="2"/>
      <c r="AM465" s="2"/>
      <c r="AN465" s="2"/>
      <c r="AO465" s="2"/>
      <c r="AP465" s="2"/>
    </row>
    <row r="466" spans="1:42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7"/>
      <c r="AK466" s="2"/>
      <c r="AL466" s="2"/>
      <c r="AM466" s="2"/>
      <c r="AN466" s="2"/>
      <c r="AO466" s="2"/>
      <c r="AP466" s="2"/>
    </row>
    <row r="467" spans="1:42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7"/>
      <c r="AK467" s="2"/>
      <c r="AL467" s="2"/>
      <c r="AM467" s="2"/>
      <c r="AN467" s="2"/>
      <c r="AO467" s="2"/>
      <c r="AP467" s="2"/>
    </row>
    <row r="468" spans="1:42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7"/>
      <c r="AK468" s="2"/>
      <c r="AL468" s="2"/>
      <c r="AM468" s="2"/>
      <c r="AN468" s="2"/>
      <c r="AO468" s="2"/>
      <c r="AP468" s="2"/>
    </row>
    <row r="469" spans="1:42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7"/>
      <c r="AK469" s="2"/>
      <c r="AL469" s="2"/>
      <c r="AM469" s="2"/>
      <c r="AN469" s="2"/>
      <c r="AO469" s="2"/>
      <c r="AP469" s="2"/>
    </row>
    <row r="470" spans="1:42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7"/>
      <c r="AK470" s="2"/>
      <c r="AL470" s="2"/>
      <c r="AM470" s="2"/>
      <c r="AN470" s="2"/>
      <c r="AO470" s="2"/>
      <c r="AP470" s="2"/>
    </row>
    <row r="471" spans="1:42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7"/>
      <c r="AK471" s="2"/>
      <c r="AL471" s="2"/>
      <c r="AM471" s="2"/>
      <c r="AN471" s="2"/>
      <c r="AO471" s="2"/>
      <c r="AP471" s="2"/>
    </row>
    <row r="472" spans="1:4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7"/>
      <c r="AK472" s="2"/>
      <c r="AL472" s="2"/>
      <c r="AM472" s="2"/>
      <c r="AN472" s="2"/>
      <c r="AO472" s="2"/>
      <c r="AP472" s="2"/>
    </row>
    <row r="473" spans="1:42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7"/>
      <c r="AK473" s="2"/>
      <c r="AL473" s="2"/>
      <c r="AM473" s="2"/>
      <c r="AN473" s="2"/>
      <c r="AO473" s="2"/>
      <c r="AP473" s="2"/>
    </row>
    <row r="474" spans="1:42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7"/>
      <c r="AK474" s="2"/>
      <c r="AL474" s="2"/>
      <c r="AM474" s="2"/>
      <c r="AN474" s="2"/>
      <c r="AO474" s="2"/>
      <c r="AP474" s="2"/>
    </row>
    <row r="475" spans="1:42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7"/>
      <c r="AK475" s="2"/>
      <c r="AL475" s="2"/>
      <c r="AM475" s="2"/>
      <c r="AN475" s="2"/>
      <c r="AO475" s="2"/>
      <c r="AP475" s="2"/>
    </row>
    <row r="476" spans="1:42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7"/>
      <c r="AK476" s="2"/>
      <c r="AL476" s="2"/>
      <c r="AM476" s="2"/>
      <c r="AN476" s="2"/>
      <c r="AO476" s="2"/>
      <c r="AP476" s="2"/>
    </row>
    <row r="477" spans="1:42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7"/>
      <c r="AK477" s="2"/>
      <c r="AL477" s="2"/>
      <c r="AM477" s="2"/>
      <c r="AN477" s="2"/>
      <c r="AO477" s="2"/>
      <c r="AP477" s="2"/>
    </row>
    <row r="478" spans="1:42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7"/>
      <c r="AK478" s="2"/>
      <c r="AL478" s="2"/>
      <c r="AM478" s="2"/>
      <c r="AN478" s="2"/>
      <c r="AO478" s="2"/>
      <c r="AP478" s="2"/>
    </row>
    <row r="479" spans="1:42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7"/>
      <c r="AK479" s="2"/>
      <c r="AL479" s="2"/>
      <c r="AM479" s="2"/>
      <c r="AN479" s="2"/>
      <c r="AO479" s="2"/>
      <c r="AP479" s="2"/>
    </row>
    <row r="480" spans="1:42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7"/>
      <c r="AK480" s="2"/>
      <c r="AL480" s="2"/>
      <c r="AM480" s="2"/>
      <c r="AN480" s="2"/>
      <c r="AO480" s="2"/>
      <c r="AP480" s="2"/>
    </row>
    <row r="481" spans="1:42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7"/>
      <c r="AK481" s="2"/>
      <c r="AL481" s="2"/>
      <c r="AM481" s="2"/>
      <c r="AN481" s="2"/>
      <c r="AO481" s="2"/>
      <c r="AP481" s="2"/>
    </row>
    <row r="482" spans="1:4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7"/>
      <c r="AK482" s="2"/>
      <c r="AL482" s="2"/>
      <c r="AM482" s="2"/>
      <c r="AN482" s="2"/>
      <c r="AO482" s="2"/>
      <c r="AP482" s="2"/>
    </row>
    <row r="483" spans="1:42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7"/>
      <c r="AK483" s="2"/>
      <c r="AL483" s="2"/>
      <c r="AM483" s="2"/>
      <c r="AN483" s="2"/>
      <c r="AO483" s="2"/>
      <c r="AP483" s="2"/>
    </row>
    <row r="484" spans="1:42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7"/>
      <c r="AK484" s="2"/>
      <c r="AL484" s="2"/>
      <c r="AM484" s="2"/>
      <c r="AN484" s="2"/>
      <c r="AO484" s="2"/>
      <c r="AP484" s="2"/>
    </row>
    <row r="485" spans="1:42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7"/>
      <c r="AK485" s="2"/>
      <c r="AL485" s="2"/>
      <c r="AM485" s="2"/>
      <c r="AN485" s="2"/>
      <c r="AO485" s="2"/>
      <c r="AP485" s="2"/>
    </row>
    <row r="486" spans="1:42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7"/>
      <c r="AK486" s="2"/>
      <c r="AL486" s="2"/>
      <c r="AM486" s="2"/>
      <c r="AN486" s="2"/>
      <c r="AO486" s="2"/>
      <c r="AP486" s="2"/>
    </row>
    <row r="487" spans="1:42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7"/>
      <c r="AK487" s="2"/>
      <c r="AL487" s="2"/>
      <c r="AM487" s="2"/>
      <c r="AN487" s="2"/>
      <c r="AO487" s="2"/>
      <c r="AP487" s="2"/>
    </row>
    <row r="488" spans="1:42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7"/>
      <c r="AK488" s="2"/>
      <c r="AL488" s="2"/>
      <c r="AM488" s="2"/>
      <c r="AN488" s="2"/>
      <c r="AO488" s="2"/>
      <c r="AP488" s="2"/>
    </row>
    <row r="489" spans="1:42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7"/>
      <c r="AK489" s="2"/>
      <c r="AL489" s="2"/>
      <c r="AM489" s="2"/>
      <c r="AN489" s="2"/>
      <c r="AO489" s="2"/>
      <c r="AP489" s="2"/>
    </row>
    <row r="490" spans="1:42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7"/>
      <c r="AK490" s="2"/>
      <c r="AL490" s="2"/>
      <c r="AM490" s="2"/>
      <c r="AN490" s="2"/>
      <c r="AO490" s="2"/>
      <c r="AP490" s="2"/>
    </row>
    <row r="491" spans="1:42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7"/>
      <c r="AK491" s="2"/>
      <c r="AL491" s="2"/>
      <c r="AM491" s="2"/>
      <c r="AN491" s="2"/>
      <c r="AO491" s="2"/>
      <c r="AP491" s="2"/>
    </row>
    <row r="492" spans="1:4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7"/>
      <c r="AK492" s="2"/>
      <c r="AL492" s="2"/>
      <c r="AM492" s="2"/>
      <c r="AN492" s="2"/>
      <c r="AO492" s="2"/>
      <c r="AP492" s="2"/>
    </row>
    <row r="493" spans="1:42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7"/>
      <c r="AK493" s="2"/>
      <c r="AL493" s="2"/>
      <c r="AM493" s="2"/>
      <c r="AN493" s="2"/>
      <c r="AO493" s="2"/>
      <c r="AP493" s="2"/>
    </row>
    <row r="494" spans="1:42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7"/>
      <c r="AK494" s="2"/>
      <c r="AL494" s="2"/>
      <c r="AM494" s="2"/>
      <c r="AN494" s="2"/>
      <c r="AO494" s="2"/>
      <c r="AP494" s="2"/>
    </row>
    <row r="495" spans="1:42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7"/>
      <c r="AK495" s="2"/>
      <c r="AL495" s="2"/>
      <c r="AM495" s="2"/>
      <c r="AN495" s="2"/>
      <c r="AO495" s="2"/>
      <c r="AP495" s="2"/>
    </row>
    <row r="496" spans="1:42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7"/>
      <c r="AK496" s="2"/>
      <c r="AL496" s="2"/>
      <c r="AM496" s="2"/>
      <c r="AN496" s="2"/>
      <c r="AO496" s="2"/>
      <c r="AP496" s="2"/>
    </row>
    <row r="497" spans="1:42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7"/>
      <c r="AK497" s="2"/>
      <c r="AL497" s="2"/>
      <c r="AM497" s="2"/>
      <c r="AN497" s="2"/>
      <c r="AO497" s="2"/>
      <c r="AP497" s="2"/>
    </row>
    <row r="498" spans="1:42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7"/>
      <c r="AK498" s="2"/>
      <c r="AL498" s="2"/>
      <c r="AM498" s="2"/>
      <c r="AN498" s="2"/>
      <c r="AO498" s="2"/>
      <c r="AP498" s="2"/>
    </row>
    <row r="499" spans="1:42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7"/>
      <c r="AK499" s="2"/>
      <c r="AL499" s="2"/>
      <c r="AM499" s="2"/>
      <c r="AN499" s="2"/>
      <c r="AO499" s="2"/>
      <c r="AP499" s="2"/>
    </row>
    <row r="500" spans="1:42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7"/>
      <c r="AK500" s="2"/>
      <c r="AL500" s="2"/>
      <c r="AM500" s="2"/>
      <c r="AN500" s="2"/>
      <c r="AO500" s="2"/>
      <c r="AP500" s="2"/>
    </row>
    <row r="501" spans="1:42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7"/>
      <c r="AK501" s="2"/>
      <c r="AL501" s="2"/>
      <c r="AM501" s="2"/>
      <c r="AN501" s="2"/>
      <c r="AO501" s="2"/>
      <c r="AP501" s="2"/>
    </row>
    <row r="502" spans="1:4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7"/>
      <c r="AK502" s="2"/>
      <c r="AL502" s="2"/>
      <c r="AM502" s="2"/>
      <c r="AN502" s="2"/>
      <c r="AO502" s="2"/>
      <c r="AP502" s="2"/>
    </row>
    <row r="503" spans="1:42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7"/>
      <c r="AK503" s="2"/>
      <c r="AL503" s="2"/>
      <c r="AM503" s="2"/>
      <c r="AN503" s="2"/>
      <c r="AO503" s="2"/>
      <c r="AP503" s="2"/>
    </row>
    <row r="504" spans="1:42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7"/>
      <c r="AK504" s="2"/>
      <c r="AL504" s="2"/>
      <c r="AM504" s="2"/>
      <c r="AN504" s="2"/>
      <c r="AO504" s="2"/>
      <c r="AP504" s="2"/>
    </row>
    <row r="505" spans="1:42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7"/>
      <c r="AK505" s="2"/>
      <c r="AL505" s="2"/>
      <c r="AM505" s="2"/>
      <c r="AN505" s="2"/>
      <c r="AO505" s="2"/>
      <c r="AP505" s="2"/>
    </row>
    <row r="506" spans="1:42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7"/>
      <c r="AK506" s="2"/>
      <c r="AL506" s="2"/>
      <c r="AM506" s="2"/>
      <c r="AN506" s="2"/>
      <c r="AO506" s="2"/>
      <c r="AP506" s="2"/>
    </row>
    <row r="507" spans="1:42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7"/>
      <c r="AK507" s="2"/>
      <c r="AL507" s="2"/>
      <c r="AM507" s="2"/>
      <c r="AN507" s="2"/>
      <c r="AO507" s="2"/>
      <c r="AP507" s="2"/>
    </row>
    <row r="508" spans="1:42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7"/>
      <c r="AK508" s="2"/>
      <c r="AL508" s="2"/>
      <c r="AM508" s="2"/>
      <c r="AN508" s="2"/>
      <c r="AO508" s="2"/>
      <c r="AP508" s="2"/>
    </row>
    <row r="509" spans="1:42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7"/>
      <c r="AK509" s="2"/>
      <c r="AL509" s="2"/>
      <c r="AM509" s="2"/>
      <c r="AN509" s="2"/>
      <c r="AO509" s="2"/>
      <c r="AP509" s="2"/>
    </row>
    <row r="510" spans="1:42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7"/>
      <c r="AK510" s="2"/>
      <c r="AL510" s="2"/>
      <c r="AM510" s="2"/>
      <c r="AN510" s="2"/>
      <c r="AO510" s="2"/>
      <c r="AP510" s="2"/>
    </row>
    <row r="511" spans="1:42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7"/>
      <c r="AK511" s="2"/>
      <c r="AL511" s="2"/>
      <c r="AM511" s="2"/>
      <c r="AN511" s="2"/>
      <c r="AO511" s="2"/>
      <c r="AP511" s="2"/>
    </row>
    <row r="512" spans="1:4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7"/>
      <c r="AK512" s="2"/>
      <c r="AL512" s="2"/>
      <c r="AM512" s="2"/>
      <c r="AN512" s="2"/>
      <c r="AO512" s="2"/>
      <c r="AP512" s="2"/>
    </row>
    <row r="513" spans="1:42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7"/>
      <c r="AK513" s="2"/>
      <c r="AL513" s="2"/>
      <c r="AM513" s="2"/>
      <c r="AN513" s="2"/>
      <c r="AO513" s="2"/>
      <c r="AP513" s="2"/>
    </row>
    <row r="514" spans="1:42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7"/>
      <c r="AK514" s="2"/>
      <c r="AL514" s="2"/>
      <c r="AM514" s="2"/>
      <c r="AN514" s="2"/>
      <c r="AO514" s="2"/>
      <c r="AP514" s="2"/>
    </row>
    <row r="515" spans="1:42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7"/>
      <c r="AK515" s="2"/>
      <c r="AL515" s="2"/>
      <c r="AM515" s="2"/>
      <c r="AN515" s="2"/>
      <c r="AO515" s="2"/>
      <c r="AP515" s="2"/>
    </row>
    <row r="516" spans="1:42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7"/>
      <c r="AK516" s="2"/>
      <c r="AL516" s="2"/>
      <c r="AM516" s="2"/>
      <c r="AN516" s="2"/>
      <c r="AO516" s="2"/>
      <c r="AP516" s="2"/>
    </row>
    <row r="517" spans="1:42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7"/>
      <c r="AK517" s="2"/>
      <c r="AL517" s="2"/>
      <c r="AM517" s="2"/>
      <c r="AN517" s="2"/>
      <c r="AO517" s="2"/>
      <c r="AP517" s="2"/>
    </row>
    <row r="518" spans="1:42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7"/>
      <c r="AK518" s="2"/>
      <c r="AL518" s="2"/>
      <c r="AM518" s="2"/>
      <c r="AN518" s="2"/>
      <c r="AO518" s="2"/>
      <c r="AP518" s="2"/>
    </row>
    <row r="519" spans="1:42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7"/>
      <c r="AK519" s="2"/>
      <c r="AL519" s="2"/>
      <c r="AM519" s="2"/>
      <c r="AN519" s="2"/>
      <c r="AO519" s="2"/>
      <c r="AP519" s="2"/>
    </row>
    <row r="520" spans="1:42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7"/>
      <c r="AK520" s="2"/>
      <c r="AL520" s="2"/>
      <c r="AM520" s="2"/>
      <c r="AN520" s="2"/>
      <c r="AO520" s="2"/>
      <c r="AP520" s="2"/>
    </row>
    <row r="521" spans="1:42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7"/>
      <c r="AK521" s="2"/>
      <c r="AL521" s="2"/>
      <c r="AM521" s="2"/>
      <c r="AN521" s="2"/>
      <c r="AO521" s="2"/>
      <c r="AP521" s="2"/>
    </row>
    <row r="522" spans="1:4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7"/>
      <c r="AK522" s="2"/>
      <c r="AL522" s="2"/>
      <c r="AM522" s="2"/>
      <c r="AN522" s="2"/>
      <c r="AO522" s="2"/>
      <c r="AP522" s="2"/>
    </row>
    <row r="523" spans="1:42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7"/>
      <c r="AK523" s="2"/>
      <c r="AL523" s="2"/>
      <c r="AM523" s="2"/>
      <c r="AN523" s="2"/>
      <c r="AO523" s="2"/>
      <c r="AP523" s="2"/>
    </row>
    <row r="524" spans="1:42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7"/>
      <c r="AK524" s="2"/>
      <c r="AL524" s="2"/>
      <c r="AM524" s="2"/>
      <c r="AN524" s="2"/>
      <c r="AO524" s="2"/>
      <c r="AP524" s="2"/>
    </row>
    <row r="525" spans="1:42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7"/>
      <c r="AK525" s="2"/>
      <c r="AL525" s="2"/>
      <c r="AM525" s="2"/>
      <c r="AN525" s="2"/>
      <c r="AO525" s="2"/>
      <c r="AP525" s="2"/>
    </row>
    <row r="526" spans="1:42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7"/>
      <c r="AK526" s="2"/>
      <c r="AL526" s="2"/>
      <c r="AM526" s="2"/>
      <c r="AN526" s="2"/>
      <c r="AO526" s="2"/>
      <c r="AP526" s="2"/>
    </row>
    <row r="527" spans="1:42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7"/>
      <c r="AK527" s="2"/>
      <c r="AL527" s="2"/>
      <c r="AM527" s="2"/>
      <c r="AN527" s="2"/>
      <c r="AO527" s="2"/>
      <c r="AP527" s="2"/>
    </row>
    <row r="528" spans="1:42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7"/>
      <c r="AK528" s="2"/>
      <c r="AL528" s="2"/>
      <c r="AM528" s="2"/>
      <c r="AN528" s="2"/>
      <c r="AO528" s="2"/>
      <c r="AP528" s="2"/>
    </row>
    <row r="529" spans="1:42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7"/>
      <c r="AK529" s="2"/>
      <c r="AL529" s="2"/>
      <c r="AM529" s="2"/>
      <c r="AN529" s="2"/>
      <c r="AO529" s="2"/>
      <c r="AP529" s="2"/>
    </row>
    <row r="530" spans="1:42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7"/>
      <c r="AK530" s="2"/>
      <c r="AL530" s="2"/>
      <c r="AM530" s="2"/>
      <c r="AN530" s="2"/>
      <c r="AO530" s="2"/>
      <c r="AP530" s="2"/>
    </row>
    <row r="531" spans="1:42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7"/>
      <c r="AK531" s="2"/>
      <c r="AL531" s="2"/>
      <c r="AM531" s="2"/>
      <c r="AN531" s="2"/>
      <c r="AO531" s="2"/>
      <c r="AP531" s="2"/>
    </row>
    <row r="532" spans="1:4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7"/>
      <c r="AK532" s="2"/>
      <c r="AL532" s="2"/>
      <c r="AM532" s="2"/>
      <c r="AN532" s="2"/>
      <c r="AO532" s="2"/>
      <c r="AP532" s="2"/>
    </row>
    <row r="533" spans="1:42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7"/>
      <c r="AK533" s="2"/>
      <c r="AL533" s="2"/>
      <c r="AM533" s="2"/>
      <c r="AN533" s="2"/>
      <c r="AO533" s="2"/>
      <c r="AP533" s="2"/>
    </row>
    <row r="534" spans="1:42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7"/>
      <c r="AK534" s="2"/>
      <c r="AL534" s="2"/>
      <c r="AM534" s="2"/>
      <c r="AN534" s="2"/>
      <c r="AO534" s="2"/>
      <c r="AP534" s="2"/>
    </row>
    <row r="535" spans="1:42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7"/>
      <c r="AK535" s="2"/>
      <c r="AL535" s="2"/>
      <c r="AM535" s="2"/>
      <c r="AN535" s="2"/>
      <c r="AO535" s="2"/>
      <c r="AP535" s="2"/>
    </row>
    <row r="536" spans="1:42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7"/>
      <c r="AK536" s="2"/>
      <c r="AL536" s="2"/>
      <c r="AM536" s="2"/>
      <c r="AN536" s="2"/>
      <c r="AO536" s="2"/>
      <c r="AP536" s="2"/>
    </row>
    <row r="537" spans="1:42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7"/>
      <c r="AK537" s="2"/>
      <c r="AL537" s="2"/>
      <c r="AM537" s="2"/>
      <c r="AN537" s="2"/>
      <c r="AO537" s="2"/>
      <c r="AP537" s="2"/>
    </row>
    <row r="538" spans="1:42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7"/>
      <c r="AK538" s="2"/>
      <c r="AL538" s="2"/>
      <c r="AM538" s="2"/>
      <c r="AN538" s="2"/>
      <c r="AO538" s="2"/>
      <c r="AP538" s="2"/>
    </row>
    <row r="539" spans="1:42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7"/>
      <c r="AK539" s="2"/>
      <c r="AL539" s="2"/>
      <c r="AM539" s="2"/>
      <c r="AN539" s="2"/>
      <c r="AO539" s="2"/>
      <c r="AP539" s="2"/>
    </row>
    <row r="540" spans="1:42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7"/>
      <c r="AK540" s="2"/>
      <c r="AL540" s="2"/>
      <c r="AM540" s="2"/>
      <c r="AN540" s="2"/>
      <c r="AO540" s="2"/>
      <c r="AP540" s="2"/>
    </row>
    <row r="541" spans="1:42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7"/>
      <c r="AK541" s="2"/>
      <c r="AL541" s="2"/>
      <c r="AM541" s="2"/>
      <c r="AN541" s="2"/>
      <c r="AO541" s="2"/>
      <c r="AP541" s="2"/>
    </row>
    <row r="542" spans="1: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7"/>
      <c r="AK542" s="2"/>
      <c r="AL542" s="2"/>
      <c r="AM542" s="2"/>
      <c r="AN542" s="2"/>
      <c r="AO542" s="2"/>
      <c r="AP542" s="2"/>
    </row>
    <row r="543" spans="1:42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7"/>
      <c r="AK543" s="2"/>
      <c r="AL543" s="2"/>
      <c r="AM543" s="2"/>
      <c r="AN543" s="2"/>
      <c r="AO543" s="2"/>
      <c r="AP543" s="2"/>
    </row>
    <row r="544" spans="1:42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7"/>
      <c r="AK544" s="2"/>
      <c r="AL544" s="2"/>
      <c r="AM544" s="2"/>
      <c r="AN544" s="2"/>
      <c r="AO544" s="2"/>
      <c r="AP544" s="2"/>
    </row>
    <row r="545" spans="1:42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7"/>
      <c r="AK545" s="2"/>
      <c r="AL545" s="2"/>
      <c r="AM545" s="2"/>
      <c r="AN545" s="2"/>
      <c r="AO545" s="2"/>
      <c r="AP545" s="2"/>
    </row>
    <row r="546" spans="1:42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7"/>
      <c r="AK546" s="2"/>
      <c r="AL546" s="2"/>
      <c r="AM546" s="2"/>
      <c r="AN546" s="2"/>
      <c r="AO546" s="2"/>
      <c r="AP546" s="2"/>
    </row>
    <row r="547" spans="1:42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7"/>
      <c r="AK547" s="2"/>
      <c r="AL547" s="2"/>
      <c r="AM547" s="2"/>
      <c r="AN547" s="2"/>
      <c r="AO547" s="2"/>
      <c r="AP547" s="2"/>
    </row>
    <row r="548" spans="1:42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7"/>
      <c r="AK548" s="2"/>
      <c r="AL548" s="2"/>
      <c r="AM548" s="2"/>
      <c r="AN548" s="2"/>
      <c r="AO548" s="2"/>
      <c r="AP548" s="2"/>
    </row>
    <row r="549" spans="1:42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7"/>
      <c r="AK549" s="2"/>
      <c r="AL549" s="2"/>
      <c r="AM549" s="2"/>
      <c r="AN549" s="2"/>
      <c r="AO549" s="2"/>
      <c r="AP549" s="2"/>
    </row>
    <row r="550" spans="1:42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7"/>
      <c r="AK550" s="2"/>
      <c r="AL550" s="2"/>
      <c r="AM550" s="2"/>
      <c r="AN550" s="2"/>
      <c r="AO550" s="2"/>
      <c r="AP550" s="2"/>
    </row>
    <row r="551" spans="1:42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7"/>
      <c r="AK551" s="2"/>
      <c r="AL551" s="2"/>
      <c r="AM551" s="2"/>
      <c r="AN551" s="2"/>
      <c r="AO551" s="2"/>
      <c r="AP551" s="2"/>
    </row>
    <row r="552" spans="1:4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7"/>
      <c r="AK552" s="2"/>
      <c r="AL552" s="2"/>
      <c r="AM552" s="2"/>
      <c r="AN552" s="2"/>
      <c r="AO552" s="2"/>
      <c r="AP552" s="2"/>
    </row>
    <row r="553" spans="1:42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7"/>
      <c r="AK553" s="2"/>
      <c r="AL553" s="2"/>
      <c r="AM553" s="2"/>
      <c r="AN553" s="2"/>
      <c r="AO553" s="2"/>
      <c r="AP553" s="2"/>
    </row>
    <row r="554" spans="1:42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7"/>
      <c r="AK554" s="2"/>
      <c r="AL554" s="2"/>
      <c r="AM554" s="2"/>
      <c r="AN554" s="2"/>
      <c r="AO554" s="2"/>
      <c r="AP554" s="2"/>
    </row>
    <row r="555" spans="1:42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7"/>
      <c r="AK555" s="2"/>
      <c r="AL555" s="2"/>
      <c r="AM555" s="2"/>
      <c r="AN555" s="2"/>
      <c r="AO555" s="2"/>
      <c r="AP555" s="2"/>
    </row>
    <row r="556" spans="1:42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7"/>
      <c r="AK556" s="2"/>
      <c r="AL556" s="2"/>
      <c r="AM556" s="2"/>
      <c r="AN556" s="2"/>
      <c r="AO556" s="2"/>
      <c r="AP556" s="2"/>
    </row>
    <row r="557" spans="1:42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7"/>
      <c r="AK557" s="2"/>
      <c r="AL557" s="2"/>
      <c r="AM557" s="2"/>
      <c r="AN557" s="2"/>
      <c r="AO557" s="2"/>
      <c r="AP557" s="2"/>
    </row>
    <row r="558" spans="1:42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7"/>
      <c r="AK558" s="2"/>
      <c r="AL558" s="2"/>
      <c r="AM558" s="2"/>
      <c r="AN558" s="2"/>
      <c r="AO558" s="2"/>
      <c r="AP558" s="2"/>
    </row>
    <row r="559" spans="1:42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7"/>
      <c r="AK559" s="2"/>
      <c r="AL559" s="2"/>
      <c r="AM559" s="2"/>
      <c r="AN559" s="2"/>
      <c r="AO559" s="2"/>
      <c r="AP559" s="2"/>
    </row>
    <row r="560" spans="1:42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7"/>
      <c r="AK560" s="2"/>
      <c r="AL560" s="2"/>
      <c r="AM560" s="2"/>
      <c r="AN560" s="2"/>
      <c r="AO560" s="2"/>
      <c r="AP560" s="2"/>
    </row>
    <row r="561" spans="1:42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7"/>
      <c r="AK561" s="2"/>
      <c r="AL561" s="2"/>
      <c r="AM561" s="2"/>
      <c r="AN561" s="2"/>
      <c r="AO561" s="2"/>
      <c r="AP561" s="2"/>
    </row>
    <row r="562" spans="1:4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7"/>
      <c r="AK562" s="2"/>
      <c r="AL562" s="2"/>
      <c r="AM562" s="2"/>
      <c r="AN562" s="2"/>
      <c r="AO562" s="2"/>
      <c r="AP562" s="2"/>
    </row>
    <row r="563" spans="1:42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7"/>
      <c r="AK563" s="2"/>
      <c r="AL563" s="2"/>
      <c r="AM563" s="2"/>
      <c r="AN563" s="2"/>
      <c r="AO563" s="2"/>
      <c r="AP563" s="2"/>
    </row>
    <row r="564" spans="1:42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7"/>
      <c r="AK564" s="2"/>
      <c r="AL564" s="2"/>
      <c r="AM564" s="2"/>
      <c r="AN564" s="2"/>
      <c r="AO564" s="2"/>
      <c r="AP564" s="2"/>
    </row>
    <row r="565" spans="1:42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7"/>
      <c r="AK565" s="2"/>
      <c r="AL565" s="2"/>
      <c r="AM565" s="2"/>
      <c r="AN565" s="2"/>
      <c r="AO565" s="2"/>
      <c r="AP565" s="2"/>
    </row>
    <row r="566" spans="1:42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7"/>
      <c r="AK566" s="2"/>
      <c r="AL566" s="2"/>
      <c r="AM566" s="2"/>
      <c r="AN566" s="2"/>
      <c r="AO566" s="2"/>
      <c r="AP566" s="2"/>
    </row>
    <row r="567" spans="1:42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7"/>
      <c r="AK567" s="2"/>
      <c r="AL567" s="2"/>
      <c r="AM567" s="2"/>
      <c r="AN567" s="2"/>
      <c r="AO567" s="2"/>
      <c r="AP567" s="2"/>
    </row>
    <row r="568" spans="1:42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7"/>
      <c r="AK568" s="2"/>
      <c r="AL568" s="2"/>
      <c r="AM568" s="2"/>
      <c r="AN568" s="2"/>
      <c r="AO568" s="2"/>
      <c r="AP568" s="2"/>
    </row>
    <row r="569" spans="1:42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7"/>
      <c r="AK569" s="2"/>
      <c r="AL569" s="2"/>
      <c r="AM569" s="2"/>
      <c r="AN569" s="2"/>
      <c r="AO569" s="2"/>
      <c r="AP569" s="2"/>
    </row>
    <row r="570" spans="1:42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7"/>
      <c r="AK570" s="2"/>
      <c r="AL570" s="2"/>
      <c r="AM570" s="2"/>
      <c r="AN570" s="2"/>
      <c r="AO570" s="2"/>
      <c r="AP570" s="2"/>
    </row>
    <row r="571" spans="1:42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7"/>
      <c r="AK571" s="2"/>
      <c r="AL571" s="2"/>
      <c r="AM571" s="2"/>
      <c r="AN571" s="2"/>
      <c r="AO571" s="2"/>
      <c r="AP571" s="2"/>
    </row>
    <row r="572" spans="1:4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7"/>
      <c r="AK572" s="2"/>
      <c r="AL572" s="2"/>
      <c r="AM572" s="2"/>
      <c r="AN572" s="2"/>
      <c r="AO572" s="2"/>
      <c r="AP572" s="2"/>
    </row>
    <row r="573" spans="1:42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7"/>
      <c r="AK573" s="2"/>
      <c r="AL573" s="2"/>
      <c r="AM573" s="2"/>
      <c r="AN573" s="2"/>
      <c r="AO573" s="2"/>
      <c r="AP573" s="2"/>
    </row>
    <row r="574" spans="1:42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7"/>
      <c r="AK574" s="2"/>
      <c r="AL574" s="2"/>
      <c r="AM574" s="2"/>
      <c r="AN574" s="2"/>
      <c r="AO574" s="2"/>
      <c r="AP574" s="2"/>
    </row>
    <row r="575" spans="1:42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7"/>
      <c r="AK575" s="2"/>
      <c r="AL575" s="2"/>
      <c r="AM575" s="2"/>
      <c r="AN575" s="2"/>
      <c r="AO575" s="2"/>
      <c r="AP575" s="2"/>
    </row>
    <row r="576" spans="1:42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7"/>
      <c r="AK576" s="2"/>
      <c r="AL576" s="2"/>
      <c r="AM576" s="2"/>
      <c r="AN576" s="2"/>
      <c r="AO576" s="2"/>
      <c r="AP576" s="2"/>
    </row>
    <row r="577" spans="1:42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7"/>
      <c r="AK577" s="2"/>
      <c r="AL577" s="2"/>
      <c r="AM577" s="2"/>
      <c r="AN577" s="2"/>
      <c r="AO577" s="2"/>
      <c r="AP577" s="2"/>
    </row>
    <row r="578" spans="1:42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7"/>
      <c r="AK578" s="2"/>
      <c r="AL578" s="2"/>
      <c r="AM578" s="2"/>
      <c r="AN578" s="2"/>
      <c r="AO578" s="2"/>
      <c r="AP578" s="2"/>
    </row>
    <row r="579" spans="1:42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7"/>
      <c r="AK579" s="2"/>
      <c r="AL579" s="2"/>
      <c r="AM579" s="2"/>
      <c r="AN579" s="2"/>
      <c r="AO579" s="2"/>
      <c r="AP579" s="2"/>
    </row>
    <row r="580" spans="1:42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7"/>
      <c r="AK580" s="2"/>
      <c r="AL580" s="2"/>
      <c r="AM580" s="2"/>
      <c r="AN580" s="2"/>
      <c r="AO580" s="2"/>
      <c r="AP580" s="2"/>
    </row>
    <row r="581" spans="1:42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7"/>
      <c r="AK581" s="2"/>
      <c r="AL581" s="2"/>
      <c r="AM581" s="2"/>
      <c r="AN581" s="2"/>
      <c r="AO581" s="2"/>
      <c r="AP581" s="2"/>
    </row>
    <row r="582" spans="1:4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7"/>
      <c r="AK582" s="2"/>
      <c r="AL582" s="2"/>
      <c r="AM582" s="2"/>
      <c r="AN582" s="2"/>
      <c r="AO582" s="2"/>
      <c r="AP582" s="2"/>
    </row>
    <row r="583" spans="1:42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7"/>
      <c r="AK583" s="2"/>
      <c r="AL583" s="2"/>
      <c r="AM583" s="2"/>
      <c r="AN583" s="2"/>
      <c r="AO583" s="2"/>
      <c r="AP583" s="2"/>
    </row>
    <row r="584" spans="1:42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7"/>
      <c r="AK584" s="2"/>
      <c r="AL584" s="2"/>
      <c r="AM584" s="2"/>
      <c r="AN584" s="2"/>
      <c r="AO584" s="2"/>
      <c r="AP584" s="2"/>
    </row>
    <row r="585" spans="1:42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7"/>
      <c r="AK585" s="2"/>
      <c r="AL585" s="2"/>
      <c r="AM585" s="2"/>
      <c r="AN585" s="2"/>
      <c r="AO585" s="2"/>
      <c r="AP585" s="2"/>
    </row>
    <row r="586" spans="1:42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7"/>
      <c r="AK586" s="2"/>
      <c r="AL586" s="2"/>
      <c r="AM586" s="2"/>
      <c r="AN586" s="2"/>
      <c r="AO586" s="2"/>
      <c r="AP586" s="2"/>
    </row>
    <row r="587" spans="1:42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7"/>
      <c r="AK587" s="2"/>
      <c r="AL587" s="2"/>
      <c r="AM587" s="2"/>
      <c r="AN587" s="2"/>
      <c r="AO587" s="2"/>
      <c r="AP587" s="2"/>
    </row>
    <row r="588" spans="1:42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7"/>
      <c r="AK588" s="2"/>
      <c r="AL588" s="2"/>
      <c r="AM588" s="2"/>
      <c r="AN588" s="2"/>
      <c r="AO588" s="2"/>
      <c r="AP588" s="2"/>
    </row>
    <row r="589" spans="1:42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7"/>
      <c r="AK589" s="2"/>
      <c r="AL589" s="2"/>
      <c r="AM589" s="2"/>
      <c r="AN589" s="2"/>
      <c r="AO589" s="2"/>
      <c r="AP589" s="2"/>
    </row>
    <row r="590" spans="1:42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7"/>
      <c r="AK590" s="2"/>
      <c r="AL590" s="2"/>
      <c r="AM590" s="2"/>
      <c r="AN590" s="2"/>
      <c r="AO590" s="2"/>
      <c r="AP590" s="2"/>
    </row>
    <row r="591" spans="1:42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7"/>
      <c r="AK591" s="2"/>
      <c r="AL591" s="2"/>
      <c r="AM591" s="2"/>
      <c r="AN591" s="2"/>
      <c r="AO591" s="2"/>
      <c r="AP591" s="2"/>
    </row>
    <row r="592" spans="1:4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7"/>
      <c r="AK592" s="2"/>
      <c r="AL592" s="2"/>
      <c r="AM592" s="2"/>
      <c r="AN592" s="2"/>
      <c r="AO592" s="2"/>
      <c r="AP592" s="2"/>
    </row>
    <row r="593" spans="1:42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7"/>
      <c r="AK593" s="2"/>
      <c r="AL593" s="2"/>
      <c r="AM593" s="2"/>
      <c r="AN593" s="2"/>
      <c r="AO593" s="2"/>
      <c r="AP593" s="2"/>
    </row>
    <row r="594" spans="1:42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7"/>
      <c r="AK594" s="2"/>
      <c r="AL594" s="2"/>
      <c r="AM594" s="2"/>
      <c r="AN594" s="2"/>
      <c r="AO594" s="2"/>
      <c r="AP594" s="2"/>
    </row>
    <row r="595" spans="1:42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7"/>
      <c r="AK595" s="2"/>
      <c r="AL595" s="2"/>
      <c r="AM595" s="2"/>
      <c r="AN595" s="2"/>
      <c r="AO595" s="2"/>
      <c r="AP595" s="2"/>
    </row>
    <row r="596" spans="1:42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7"/>
      <c r="AK596" s="2"/>
      <c r="AL596" s="2"/>
      <c r="AM596" s="2"/>
      <c r="AN596" s="2"/>
      <c r="AO596" s="2"/>
      <c r="AP596" s="2"/>
    </row>
    <row r="597" spans="1:42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7"/>
      <c r="AK597" s="2"/>
      <c r="AL597" s="2"/>
      <c r="AM597" s="2"/>
      <c r="AN597" s="2"/>
      <c r="AO597" s="2"/>
      <c r="AP597" s="2"/>
    </row>
    <row r="598" spans="1:42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7"/>
      <c r="AK598" s="2"/>
      <c r="AL598" s="2"/>
      <c r="AM598" s="2"/>
      <c r="AN598" s="2"/>
      <c r="AO598" s="2"/>
      <c r="AP598" s="2"/>
    </row>
    <row r="599" spans="1:42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7"/>
      <c r="AK599" s="2"/>
      <c r="AL599" s="2"/>
      <c r="AM599" s="2"/>
      <c r="AN599" s="2"/>
      <c r="AO599" s="2"/>
      <c r="AP599" s="2"/>
    </row>
    <row r="600" spans="1:42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7"/>
      <c r="AK600" s="2"/>
      <c r="AL600" s="2"/>
      <c r="AM600" s="2"/>
      <c r="AN600" s="2"/>
      <c r="AO600" s="2"/>
      <c r="AP600" s="2"/>
    </row>
    <row r="601" spans="1:42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7"/>
      <c r="AK601" s="2"/>
      <c r="AL601" s="2"/>
      <c r="AM601" s="2"/>
      <c r="AN601" s="2"/>
      <c r="AO601" s="2"/>
      <c r="AP601" s="2"/>
    </row>
    <row r="602" spans="1:4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7"/>
      <c r="AK602" s="2"/>
      <c r="AL602" s="2"/>
      <c r="AM602" s="2"/>
      <c r="AN602" s="2"/>
      <c r="AO602" s="2"/>
      <c r="AP602" s="2"/>
    </row>
    <row r="603" spans="1:42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7"/>
      <c r="AK603" s="2"/>
      <c r="AL603" s="2"/>
      <c r="AM603" s="2"/>
      <c r="AN603" s="2"/>
      <c r="AO603" s="2"/>
      <c r="AP603" s="2"/>
    </row>
    <row r="604" spans="1:42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7"/>
      <c r="AK604" s="2"/>
      <c r="AL604" s="2"/>
      <c r="AM604" s="2"/>
      <c r="AN604" s="2"/>
      <c r="AO604" s="2"/>
      <c r="AP604" s="2"/>
    </row>
    <row r="605" spans="1:42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7"/>
      <c r="AK605" s="2"/>
      <c r="AL605" s="2"/>
      <c r="AM605" s="2"/>
      <c r="AN605" s="2"/>
      <c r="AO605" s="2"/>
      <c r="AP605" s="2"/>
    </row>
    <row r="606" spans="1:42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7"/>
      <c r="AK606" s="2"/>
      <c r="AL606" s="2"/>
      <c r="AM606" s="2"/>
      <c r="AN606" s="2"/>
      <c r="AO606" s="2"/>
      <c r="AP606" s="2"/>
    </row>
    <row r="607" spans="1:42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7"/>
      <c r="AK607" s="2"/>
      <c r="AL607" s="2"/>
      <c r="AM607" s="2"/>
      <c r="AN607" s="2"/>
      <c r="AO607" s="2"/>
      <c r="AP607" s="2"/>
    </row>
    <row r="608" spans="1:42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7"/>
      <c r="AK608" s="2"/>
      <c r="AL608" s="2"/>
      <c r="AM608" s="2"/>
      <c r="AN608" s="2"/>
      <c r="AO608" s="2"/>
      <c r="AP608" s="2"/>
    </row>
    <row r="609" spans="1:42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7"/>
      <c r="AK609" s="2"/>
      <c r="AL609" s="2"/>
      <c r="AM609" s="2"/>
      <c r="AN609" s="2"/>
      <c r="AO609" s="2"/>
      <c r="AP609" s="2"/>
    </row>
    <row r="610" spans="1:42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7"/>
      <c r="AK610" s="2"/>
      <c r="AL610" s="2"/>
      <c r="AM610" s="2"/>
      <c r="AN610" s="2"/>
      <c r="AO610" s="2"/>
      <c r="AP610" s="2"/>
    </row>
    <row r="611" spans="1:42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7"/>
      <c r="AK611" s="2"/>
      <c r="AL611" s="2"/>
      <c r="AM611" s="2"/>
      <c r="AN611" s="2"/>
      <c r="AO611" s="2"/>
      <c r="AP611" s="2"/>
    </row>
    <row r="612" spans="1:4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7"/>
      <c r="AK612" s="2"/>
      <c r="AL612" s="2"/>
      <c r="AM612" s="2"/>
      <c r="AN612" s="2"/>
      <c r="AO612" s="2"/>
      <c r="AP612" s="2"/>
    </row>
    <row r="613" spans="1:42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7"/>
      <c r="AK613" s="2"/>
      <c r="AL613" s="2"/>
      <c r="AM613" s="2"/>
      <c r="AN613" s="2"/>
      <c r="AO613" s="2"/>
      <c r="AP613" s="2"/>
    </row>
    <row r="614" spans="1:42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7"/>
      <c r="AK614" s="2"/>
      <c r="AL614" s="2"/>
      <c r="AM614" s="2"/>
      <c r="AN614" s="2"/>
      <c r="AO614" s="2"/>
      <c r="AP614" s="2"/>
    </row>
    <row r="615" spans="1:42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7"/>
      <c r="AK615" s="2"/>
      <c r="AL615" s="2"/>
      <c r="AM615" s="2"/>
      <c r="AN615" s="2"/>
      <c r="AO615" s="2"/>
      <c r="AP615" s="2"/>
    </row>
    <row r="616" spans="1:42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7"/>
      <c r="AK616" s="2"/>
      <c r="AL616" s="2"/>
      <c r="AM616" s="2"/>
      <c r="AN616" s="2"/>
      <c r="AO616" s="2"/>
      <c r="AP616" s="2"/>
    </row>
    <row r="617" spans="1:42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7"/>
      <c r="AK617" s="2"/>
      <c r="AL617" s="2"/>
      <c r="AM617" s="2"/>
      <c r="AN617" s="2"/>
      <c r="AO617" s="2"/>
      <c r="AP617" s="2"/>
    </row>
    <row r="618" spans="1:42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7"/>
      <c r="AK618" s="2"/>
      <c r="AL618" s="2"/>
      <c r="AM618" s="2"/>
      <c r="AN618" s="2"/>
      <c r="AO618" s="2"/>
      <c r="AP618" s="2"/>
    </row>
    <row r="619" spans="1:42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7"/>
      <c r="AK619" s="2"/>
      <c r="AL619" s="2"/>
      <c r="AM619" s="2"/>
      <c r="AN619" s="2"/>
      <c r="AO619" s="2"/>
      <c r="AP619" s="2"/>
    </row>
    <row r="620" spans="1:42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7"/>
      <c r="AK620" s="2"/>
      <c r="AL620" s="2"/>
      <c r="AM620" s="2"/>
      <c r="AN620" s="2"/>
      <c r="AO620" s="2"/>
      <c r="AP620" s="2"/>
    </row>
    <row r="621" spans="1:42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7"/>
      <c r="AK621" s="2"/>
      <c r="AL621" s="2"/>
      <c r="AM621" s="2"/>
      <c r="AN621" s="2"/>
      <c r="AO621" s="2"/>
      <c r="AP621" s="2"/>
    </row>
    <row r="622" spans="1:4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7"/>
      <c r="AK622" s="2"/>
      <c r="AL622" s="2"/>
      <c r="AM622" s="2"/>
      <c r="AN622" s="2"/>
      <c r="AO622" s="2"/>
      <c r="AP622" s="2"/>
    </row>
    <row r="623" spans="1:42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7"/>
      <c r="AK623" s="2"/>
      <c r="AL623" s="2"/>
      <c r="AM623" s="2"/>
      <c r="AN623" s="2"/>
      <c r="AO623" s="2"/>
      <c r="AP623" s="2"/>
    </row>
    <row r="624" spans="1:42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7"/>
      <c r="AK624" s="2"/>
      <c r="AL624" s="2"/>
      <c r="AM624" s="2"/>
      <c r="AN624" s="2"/>
      <c r="AO624" s="2"/>
      <c r="AP624" s="2"/>
    </row>
    <row r="625" spans="1:42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7"/>
      <c r="AK625" s="2"/>
      <c r="AL625" s="2"/>
      <c r="AM625" s="2"/>
      <c r="AN625" s="2"/>
      <c r="AO625" s="2"/>
      <c r="AP625" s="2"/>
    </row>
    <row r="626" spans="1:42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7"/>
      <c r="AK626" s="2"/>
      <c r="AL626" s="2"/>
      <c r="AM626" s="2"/>
      <c r="AN626" s="2"/>
      <c r="AO626" s="2"/>
      <c r="AP626" s="2"/>
    </row>
    <row r="627" spans="1:42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7"/>
      <c r="AK627" s="2"/>
      <c r="AL627" s="2"/>
      <c r="AM627" s="2"/>
      <c r="AN627" s="2"/>
      <c r="AO627" s="2"/>
      <c r="AP627" s="2"/>
    </row>
    <row r="628" spans="1:42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7"/>
      <c r="AK628" s="2"/>
      <c r="AL628" s="2"/>
      <c r="AM628" s="2"/>
      <c r="AN628" s="2"/>
      <c r="AO628" s="2"/>
      <c r="AP628" s="2"/>
    </row>
    <row r="629" spans="1:42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7"/>
      <c r="AK629" s="2"/>
      <c r="AL629" s="2"/>
      <c r="AM629" s="2"/>
      <c r="AN629" s="2"/>
      <c r="AO629" s="2"/>
      <c r="AP629" s="2"/>
    </row>
    <row r="630" spans="1:42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7"/>
      <c r="AK630" s="2"/>
      <c r="AL630" s="2"/>
      <c r="AM630" s="2"/>
      <c r="AN630" s="2"/>
      <c r="AO630" s="2"/>
      <c r="AP630" s="2"/>
    </row>
    <row r="631" spans="1:42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7"/>
      <c r="AK631" s="2"/>
      <c r="AL631" s="2"/>
      <c r="AM631" s="2"/>
      <c r="AN631" s="2"/>
      <c r="AO631" s="2"/>
      <c r="AP631" s="2"/>
    </row>
    <row r="632" spans="1:4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7"/>
      <c r="AK632" s="2"/>
      <c r="AL632" s="2"/>
      <c r="AM632" s="2"/>
      <c r="AN632" s="2"/>
      <c r="AO632" s="2"/>
      <c r="AP632" s="2"/>
    </row>
    <row r="633" spans="1:42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7"/>
      <c r="AK633" s="2"/>
      <c r="AL633" s="2"/>
      <c r="AM633" s="2"/>
      <c r="AN633" s="2"/>
      <c r="AO633" s="2"/>
      <c r="AP633" s="2"/>
    </row>
    <row r="634" spans="1:42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7"/>
      <c r="AK634" s="2"/>
      <c r="AL634" s="2"/>
      <c r="AM634" s="2"/>
      <c r="AN634" s="2"/>
      <c r="AO634" s="2"/>
      <c r="AP634" s="2"/>
    </row>
    <row r="635" spans="1:42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7"/>
      <c r="AK635" s="2"/>
      <c r="AL635" s="2"/>
      <c r="AM635" s="2"/>
      <c r="AN635" s="2"/>
      <c r="AO635" s="2"/>
      <c r="AP635" s="2"/>
    </row>
    <row r="636" spans="1:42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7"/>
      <c r="AK636" s="2"/>
      <c r="AL636" s="2"/>
      <c r="AM636" s="2"/>
      <c r="AN636" s="2"/>
      <c r="AO636" s="2"/>
      <c r="AP636" s="2"/>
    </row>
    <row r="637" spans="1:42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7"/>
      <c r="AK637" s="2"/>
      <c r="AL637" s="2"/>
      <c r="AM637" s="2"/>
      <c r="AN637" s="2"/>
      <c r="AO637" s="2"/>
      <c r="AP637" s="2"/>
    </row>
    <row r="638" spans="1:42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7"/>
      <c r="AK638" s="2"/>
      <c r="AL638" s="2"/>
      <c r="AM638" s="2"/>
      <c r="AN638" s="2"/>
      <c r="AO638" s="2"/>
      <c r="AP638" s="2"/>
    </row>
    <row r="639" spans="1:42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7"/>
      <c r="AK639" s="2"/>
      <c r="AL639" s="2"/>
      <c r="AM639" s="2"/>
      <c r="AN639" s="2"/>
      <c r="AO639" s="2"/>
      <c r="AP639" s="2"/>
    </row>
    <row r="640" spans="1:42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7"/>
      <c r="AK640" s="2"/>
      <c r="AL640" s="2"/>
      <c r="AM640" s="2"/>
      <c r="AN640" s="2"/>
      <c r="AO640" s="2"/>
      <c r="AP640" s="2"/>
    </row>
    <row r="641" spans="1:42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7"/>
      <c r="AK641" s="2"/>
      <c r="AL641" s="2"/>
      <c r="AM641" s="2"/>
      <c r="AN641" s="2"/>
      <c r="AO641" s="2"/>
      <c r="AP641" s="2"/>
    </row>
    <row r="642" spans="1: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7"/>
      <c r="AK642" s="2"/>
      <c r="AL642" s="2"/>
      <c r="AM642" s="2"/>
      <c r="AN642" s="2"/>
      <c r="AO642" s="2"/>
      <c r="AP642" s="2"/>
    </row>
    <row r="643" spans="1:42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7"/>
      <c r="AK643" s="2"/>
      <c r="AL643" s="2"/>
      <c r="AM643" s="2"/>
      <c r="AN643" s="2"/>
      <c r="AO643" s="2"/>
      <c r="AP643" s="2"/>
    </row>
    <row r="644" spans="1:42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7"/>
      <c r="AK644" s="2"/>
      <c r="AL644" s="2"/>
      <c r="AM644" s="2"/>
      <c r="AN644" s="2"/>
      <c r="AO644" s="2"/>
      <c r="AP644" s="2"/>
    </row>
    <row r="645" spans="1:42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7"/>
      <c r="AK645" s="2"/>
      <c r="AL645" s="2"/>
      <c r="AM645" s="2"/>
      <c r="AN645" s="2"/>
      <c r="AO645" s="2"/>
      <c r="AP645" s="2"/>
    </row>
    <row r="646" spans="1:42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7"/>
      <c r="AK646" s="2"/>
      <c r="AL646" s="2"/>
      <c r="AM646" s="2"/>
      <c r="AN646" s="2"/>
      <c r="AO646" s="2"/>
      <c r="AP646" s="2"/>
    </row>
    <row r="647" spans="1:42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7"/>
      <c r="AK647" s="2"/>
      <c r="AL647" s="2"/>
      <c r="AM647" s="2"/>
      <c r="AN647" s="2"/>
      <c r="AO647" s="2"/>
      <c r="AP647" s="2"/>
    </row>
    <row r="648" spans="1:42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7"/>
      <c r="AK648" s="2"/>
      <c r="AL648" s="2"/>
      <c r="AM648" s="2"/>
      <c r="AN648" s="2"/>
      <c r="AO648" s="2"/>
      <c r="AP648" s="2"/>
    </row>
    <row r="649" spans="1:42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7"/>
      <c r="AK649" s="2"/>
      <c r="AL649" s="2"/>
      <c r="AM649" s="2"/>
      <c r="AN649" s="2"/>
      <c r="AO649" s="2"/>
      <c r="AP649" s="2"/>
    </row>
    <row r="650" spans="1:42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7"/>
      <c r="AK650" s="2"/>
      <c r="AL650" s="2"/>
      <c r="AM650" s="2"/>
      <c r="AN650" s="2"/>
      <c r="AO650" s="2"/>
      <c r="AP650" s="2"/>
    </row>
    <row r="651" spans="1:42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7"/>
      <c r="AK651" s="2"/>
      <c r="AL651" s="2"/>
      <c r="AM651" s="2"/>
      <c r="AN651" s="2"/>
      <c r="AO651" s="2"/>
      <c r="AP651" s="2"/>
    </row>
    <row r="652" spans="1:4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7"/>
      <c r="AK652" s="2"/>
      <c r="AL652" s="2"/>
      <c r="AM652" s="2"/>
      <c r="AN652" s="2"/>
      <c r="AO652" s="2"/>
      <c r="AP652" s="2"/>
    </row>
    <row r="653" spans="1:42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7"/>
      <c r="AK653" s="2"/>
      <c r="AL653" s="2"/>
      <c r="AM653" s="2"/>
      <c r="AN653" s="2"/>
      <c r="AO653" s="2"/>
      <c r="AP653" s="2"/>
    </row>
    <row r="654" spans="1:42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7"/>
      <c r="AK654" s="2"/>
      <c r="AL654" s="2"/>
      <c r="AM654" s="2"/>
      <c r="AN654" s="2"/>
      <c r="AO654" s="2"/>
      <c r="AP654" s="2"/>
    </row>
    <row r="655" spans="1:42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7"/>
      <c r="AK655" s="2"/>
      <c r="AL655" s="2"/>
      <c r="AM655" s="2"/>
      <c r="AN655" s="2"/>
      <c r="AO655" s="2"/>
      <c r="AP655" s="2"/>
    </row>
    <row r="656" spans="1:42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7"/>
      <c r="AK656" s="2"/>
      <c r="AL656" s="2"/>
      <c r="AM656" s="2"/>
      <c r="AN656" s="2"/>
      <c r="AO656" s="2"/>
      <c r="AP656" s="2"/>
    </row>
    <row r="657" spans="1:42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7"/>
      <c r="AK657" s="2"/>
      <c r="AL657" s="2"/>
      <c r="AM657" s="2"/>
      <c r="AN657" s="2"/>
      <c r="AO657" s="2"/>
      <c r="AP657" s="2"/>
    </row>
    <row r="658" spans="1:42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7"/>
      <c r="AK658" s="2"/>
      <c r="AL658" s="2"/>
      <c r="AM658" s="2"/>
      <c r="AN658" s="2"/>
      <c r="AO658" s="2"/>
      <c r="AP658" s="2"/>
    </row>
    <row r="659" spans="1:42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7"/>
      <c r="AK659" s="2"/>
      <c r="AL659" s="2"/>
      <c r="AM659" s="2"/>
      <c r="AN659" s="2"/>
      <c r="AO659" s="2"/>
      <c r="AP659" s="2"/>
    </row>
    <row r="660" spans="1:42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7"/>
      <c r="AK660" s="2"/>
      <c r="AL660" s="2"/>
      <c r="AM660" s="2"/>
      <c r="AN660" s="2"/>
      <c r="AO660" s="2"/>
      <c r="AP660" s="2"/>
    </row>
    <row r="661" spans="1:42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7"/>
      <c r="AK661" s="2"/>
      <c r="AL661" s="2"/>
      <c r="AM661" s="2"/>
      <c r="AN661" s="2"/>
      <c r="AO661" s="2"/>
      <c r="AP661" s="2"/>
    </row>
    <row r="662" spans="1:4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7"/>
      <c r="AK662" s="2"/>
      <c r="AL662" s="2"/>
      <c r="AM662" s="2"/>
      <c r="AN662" s="2"/>
      <c r="AO662" s="2"/>
      <c r="AP662" s="2"/>
    </row>
    <row r="663" spans="1:42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7"/>
      <c r="AK663" s="2"/>
      <c r="AL663" s="2"/>
      <c r="AM663" s="2"/>
      <c r="AN663" s="2"/>
      <c r="AO663" s="2"/>
      <c r="AP663" s="2"/>
    </row>
    <row r="664" spans="1:42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7"/>
      <c r="AK664" s="2"/>
      <c r="AL664" s="2"/>
      <c r="AM664" s="2"/>
      <c r="AN664" s="2"/>
      <c r="AO664" s="2"/>
      <c r="AP664" s="2"/>
    </row>
    <row r="665" spans="1:42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7"/>
      <c r="AK665" s="2"/>
      <c r="AL665" s="2"/>
      <c r="AM665" s="2"/>
      <c r="AN665" s="2"/>
      <c r="AO665" s="2"/>
      <c r="AP665" s="2"/>
    </row>
    <row r="666" spans="1:42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7"/>
      <c r="AK666" s="2"/>
      <c r="AL666" s="2"/>
      <c r="AM666" s="2"/>
      <c r="AN666" s="2"/>
      <c r="AO666" s="2"/>
      <c r="AP666" s="2"/>
    </row>
    <row r="667" spans="1:42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7"/>
      <c r="AK667" s="2"/>
      <c r="AL667" s="2"/>
      <c r="AM667" s="2"/>
      <c r="AN667" s="2"/>
      <c r="AO667" s="2"/>
      <c r="AP667" s="2"/>
    </row>
    <row r="668" spans="1:42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7"/>
      <c r="AK668" s="2"/>
      <c r="AL668" s="2"/>
      <c r="AM668" s="2"/>
      <c r="AN668" s="2"/>
      <c r="AO668" s="2"/>
      <c r="AP668" s="2"/>
    </row>
    <row r="669" spans="1:42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7"/>
      <c r="AK669" s="2"/>
      <c r="AL669" s="2"/>
      <c r="AM669" s="2"/>
      <c r="AN669" s="2"/>
      <c r="AO669" s="2"/>
      <c r="AP669" s="2"/>
    </row>
    <row r="670" spans="1:42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7"/>
      <c r="AK670" s="2"/>
      <c r="AL670" s="2"/>
      <c r="AM670" s="2"/>
      <c r="AN670" s="2"/>
      <c r="AO670" s="2"/>
      <c r="AP670" s="2"/>
    </row>
    <row r="671" spans="1:42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7"/>
      <c r="AK671" s="2"/>
      <c r="AL671" s="2"/>
      <c r="AM671" s="2"/>
      <c r="AN671" s="2"/>
      <c r="AO671" s="2"/>
      <c r="AP671" s="2"/>
    </row>
    <row r="672" spans="1:4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7"/>
      <c r="AK672" s="2"/>
      <c r="AL672" s="2"/>
      <c r="AM672" s="2"/>
      <c r="AN672" s="2"/>
      <c r="AO672" s="2"/>
      <c r="AP672" s="2"/>
    </row>
    <row r="673" spans="1:42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7"/>
      <c r="AK673" s="2"/>
      <c r="AL673" s="2"/>
      <c r="AM673" s="2"/>
      <c r="AN673" s="2"/>
      <c r="AO673" s="2"/>
      <c r="AP673" s="2"/>
    </row>
    <row r="674" spans="1:42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7"/>
      <c r="AK674" s="2"/>
      <c r="AL674" s="2"/>
      <c r="AM674" s="2"/>
      <c r="AN674" s="2"/>
      <c r="AO674" s="2"/>
      <c r="AP674" s="2"/>
    </row>
    <row r="675" spans="1:42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7"/>
      <c r="AK675" s="2"/>
      <c r="AL675" s="2"/>
      <c r="AM675" s="2"/>
      <c r="AN675" s="2"/>
      <c r="AO675" s="2"/>
      <c r="AP675" s="2"/>
    </row>
    <row r="676" spans="1:42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7"/>
      <c r="AK676" s="2"/>
      <c r="AL676" s="2"/>
      <c r="AM676" s="2"/>
      <c r="AN676" s="2"/>
      <c r="AO676" s="2"/>
      <c r="AP676" s="2"/>
    </row>
    <row r="677" spans="1:42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7"/>
      <c r="AK677" s="2"/>
      <c r="AL677" s="2"/>
      <c r="AM677" s="2"/>
      <c r="AN677" s="2"/>
      <c r="AO677" s="2"/>
      <c r="AP677" s="2"/>
    </row>
    <row r="678" spans="1:42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7"/>
      <c r="AK678" s="2"/>
      <c r="AL678" s="2"/>
      <c r="AM678" s="2"/>
      <c r="AN678" s="2"/>
      <c r="AO678" s="2"/>
      <c r="AP678" s="2"/>
    </row>
    <row r="679" spans="1:42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7"/>
      <c r="AK679" s="2"/>
      <c r="AL679" s="2"/>
      <c r="AM679" s="2"/>
      <c r="AN679" s="2"/>
      <c r="AO679" s="2"/>
      <c r="AP679" s="2"/>
    </row>
    <row r="680" spans="1:42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7"/>
      <c r="AK680" s="2"/>
      <c r="AL680" s="2"/>
      <c r="AM680" s="2"/>
      <c r="AN680" s="2"/>
      <c r="AO680" s="2"/>
      <c r="AP680" s="2"/>
    </row>
    <row r="681" spans="1:42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7"/>
      <c r="AK681" s="2"/>
      <c r="AL681" s="2"/>
      <c r="AM681" s="2"/>
      <c r="AN681" s="2"/>
      <c r="AO681" s="2"/>
      <c r="AP681" s="2"/>
    </row>
    <row r="682" spans="1:4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7"/>
      <c r="AK682" s="2"/>
      <c r="AL682" s="2"/>
      <c r="AM682" s="2"/>
      <c r="AN682" s="2"/>
      <c r="AO682" s="2"/>
      <c r="AP682" s="2"/>
    </row>
    <row r="683" spans="1:42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7"/>
      <c r="AK683" s="2"/>
      <c r="AL683" s="2"/>
      <c r="AM683" s="2"/>
      <c r="AN683" s="2"/>
      <c r="AO683" s="2"/>
      <c r="AP683" s="2"/>
    </row>
    <row r="684" spans="1:42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7"/>
      <c r="AK684" s="2"/>
      <c r="AL684" s="2"/>
      <c r="AM684" s="2"/>
      <c r="AN684" s="2"/>
      <c r="AO684" s="2"/>
      <c r="AP684" s="2"/>
    </row>
    <row r="685" spans="1:42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7"/>
      <c r="AK685" s="2"/>
      <c r="AL685" s="2"/>
      <c r="AM685" s="2"/>
      <c r="AN685" s="2"/>
      <c r="AO685" s="2"/>
      <c r="AP685" s="2"/>
    </row>
    <row r="686" spans="1:42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7"/>
      <c r="AK686" s="2"/>
      <c r="AL686" s="2"/>
      <c r="AM686" s="2"/>
      <c r="AN686" s="2"/>
      <c r="AO686" s="2"/>
      <c r="AP686" s="2"/>
    </row>
    <row r="687" spans="1:42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7"/>
      <c r="AK687" s="2"/>
      <c r="AL687" s="2"/>
      <c r="AM687" s="2"/>
      <c r="AN687" s="2"/>
      <c r="AO687" s="2"/>
      <c r="AP687" s="2"/>
    </row>
    <row r="688" spans="1:42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7"/>
      <c r="AK688" s="2"/>
      <c r="AL688" s="2"/>
      <c r="AM688" s="2"/>
      <c r="AN688" s="2"/>
      <c r="AO688" s="2"/>
      <c r="AP688" s="2"/>
    </row>
    <row r="689" spans="1:42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7"/>
      <c r="AK689" s="2"/>
      <c r="AL689" s="2"/>
      <c r="AM689" s="2"/>
      <c r="AN689" s="2"/>
      <c r="AO689" s="2"/>
      <c r="AP689" s="2"/>
    </row>
    <row r="690" spans="1:42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7"/>
      <c r="AK690" s="2"/>
      <c r="AL690" s="2"/>
      <c r="AM690" s="2"/>
      <c r="AN690" s="2"/>
      <c r="AO690" s="2"/>
      <c r="AP690" s="2"/>
    </row>
    <row r="691" spans="1:42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7"/>
      <c r="AK691" s="2"/>
      <c r="AL691" s="2"/>
      <c r="AM691" s="2"/>
      <c r="AN691" s="2"/>
      <c r="AO691" s="2"/>
      <c r="AP691" s="2"/>
    </row>
    <row r="692" spans="1:4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7"/>
      <c r="AK692" s="2"/>
      <c r="AL692" s="2"/>
      <c r="AM692" s="2"/>
      <c r="AN692" s="2"/>
      <c r="AO692" s="2"/>
      <c r="AP692" s="2"/>
    </row>
    <row r="693" spans="1:42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7"/>
      <c r="AK693" s="2"/>
      <c r="AL693" s="2"/>
      <c r="AM693" s="2"/>
      <c r="AN693" s="2"/>
      <c r="AO693" s="2"/>
      <c r="AP693" s="2"/>
    </row>
    <row r="694" spans="1:42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7"/>
      <c r="AK694" s="2"/>
      <c r="AL694" s="2"/>
      <c r="AM694" s="2"/>
      <c r="AN694" s="2"/>
      <c r="AO694" s="2"/>
      <c r="AP694" s="2"/>
    </row>
    <row r="695" spans="1:42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7"/>
      <c r="AK695" s="2"/>
      <c r="AL695" s="2"/>
      <c r="AM695" s="2"/>
      <c r="AN695" s="2"/>
      <c r="AO695" s="2"/>
      <c r="AP695" s="2"/>
    </row>
    <row r="696" spans="1:42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7"/>
      <c r="AK696" s="2"/>
      <c r="AL696" s="2"/>
      <c r="AM696" s="2"/>
      <c r="AN696" s="2"/>
      <c r="AO696" s="2"/>
      <c r="AP696" s="2"/>
    </row>
    <row r="697" spans="1:42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7"/>
      <c r="AK697" s="2"/>
      <c r="AL697" s="2"/>
      <c r="AM697" s="2"/>
      <c r="AN697" s="2"/>
      <c r="AO697" s="2"/>
      <c r="AP697" s="2"/>
    </row>
    <row r="698" spans="1:42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7"/>
      <c r="AK698" s="2"/>
      <c r="AL698" s="2"/>
      <c r="AM698" s="2"/>
      <c r="AN698" s="2"/>
      <c r="AO698" s="2"/>
      <c r="AP698" s="2"/>
    </row>
    <row r="699" spans="1:42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7"/>
      <c r="AK699" s="2"/>
      <c r="AL699" s="2"/>
      <c r="AM699" s="2"/>
      <c r="AN699" s="2"/>
      <c r="AO699" s="2"/>
      <c r="AP699" s="2"/>
    </row>
    <row r="700" spans="1:42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7"/>
      <c r="AK700" s="2"/>
      <c r="AL700" s="2"/>
      <c r="AM700" s="2"/>
      <c r="AN700" s="2"/>
      <c r="AO700" s="2"/>
      <c r="AP700" s="2"/>
    </row>
    <row r="701" spans="1:42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7"/>
      <c r="AK701" s="2"/>
      <c r="AL701" s="2"/>
      <c r="AM701" s="2"/>
      <c r="AN701" s="2"/>
      <c r="AO701" s="2"/>
      <c r="AP701" s="2"/>
    </row>
    <row r="702" spans="1:4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7"/>
      <c r="AK702" s="2"/>
      <c r="AL702" s="2"/>
      <c r="AM702" s="2"/>
      <c r="AN702" s="2"/>
      <c r="AO702" s="2"/>
      <c r="AP702" s="2"/>
    </row>
    <row r="703" spans="1:42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7"/>
      <c r="AK703" s="2"/>
      <c r="AL703" s="2"/>
      <c r="AM703" s="2"/>
      <c r="AN703" s="2"/>
      <c r="AO703" s="2"/>
      <c r="AP703" s="2"/>
    </row>
    <row r="704" spans="1:42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7"/>
      <c r="AK704" s="2"/>
      <c r="AL704" s="2"/>
      <c r="AM704" s="2"/>
      <c r="AN704" s="2"/>
      <c r="AO704" s="2"/>
      <c r="AP704" s="2"/>
    </row>
    <row r="705" spans="1:42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7"/>
      <c r="AK705" s="2"/>
      <c r="AL705" s="2"/>
      <c r="AM705" s="2"/>
      <c r="AN705" s="2"/>
      <c r="AO705" s="2"/>
      <c r="AP705" s="2"/>
    </row>
    <row r="706" spans="1:42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7"/>
      <c r="AK706" s="2"/>
      <c r="AL706" s="2"/>
      <c r="AM706" s="2"/>
      <c r="AN706" s="2"/>
      <c r="AO706" s="2"/>
      <c r="AP706" s="2"/>
    </row>
    <row r="707" spans="1:42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7"/>
      <c r="AK707" s="2"/>
      <c r="AL707" s="2"/>
      <c r="AM707" s="2"/>
      <c r="AN707" s="2"/>
      <c r="AO707" s="2"/>
      <c r="AP707" s="2"/>
    </row>
    <row r="708" spans="1:42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7"/>
      <c r="AK708" s="2"/>
      <c r="AL708" s="2"/>
      <c r="AM708" s="2"/>
      <c r="AN708" s="2"/>
      <c r="AO708" s="2"/>
      <c r="AP708" s="2"/>
    </row>
    <row r="709" spans="1:42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7"/>
      <c r="AK709" s="2"/>
      <c r="AL709" s="2"/>
      <c r="AM709" s="2"/>
      <c r="AN709" s="2"/>
      <c r="AO709" s="2"/>
      <c r="AP709" s="2"/>
    </row>
    <row r="710" spans="1:42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7"/>
      <c r="AK710" s="2"/>
      <c r="AL710" s="2"/>
      <c r="AM710" s="2"/>
      <c r="AN710" s="2"/>
      <c r="AO710" s="2"/>
      <c r="AP710" s="2"/>
    </row>
    <row r="711" spans="1:42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7"/>
      <c r="AK711" s="2"/>
      <c r="AL711" s="2"/>
      <c r="AM711" s="2"/>
      <c r="AN711" s="2"/>
      <c r="AO711" s="2"/>
      <c r="AP711" s="2"/>
    </row>
    <row r="712" spans="1:4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7"/>
      <c r="AK712" s="2"/>
      <c r="AL712" s="2"/>
      <c r="AM712" s="2"/>
      <c r="AN712" s="2"/>
      <c r="AO712" s="2"/>
      <c r="AP712" s="2"/>
    </row>
    <row r="713" spans="1:42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7"/>
      <c r="AK713" s="2"/>
      <c r="AL713" s="2"/>
      <c r="AM713" s="2"/>
      <c r="AN713" s="2"/>
      <c r="AO713" s="2"/>
      <c r="AP713" s="2"/>
    </row>
    <row r="714" spans="1:42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7"/>
      <c r="AK714" s="2"/>
      <c r="AL714" s="2"/>
      <c r="AM714" s="2"/>
      <c r="AN714" s="2"/>
      <c r="AO714" s="2"/>
      <c r="AP714" s="2"/>
    </row>
    <row r="715" spans="1:42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7"/>
      <c r="AK715" s="2"/>
      <c r="AL715" s="2"/>
      <c r="AM715" s="2"/>
      <c r="AN715" s="2"/>
      <c r="AO715" s="2"/>
      <c r="AP715" s="2"/>
    </row>
    <row r="716" spans="1:42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7"/>
      <c r="AK716" s="2"/>
      <c r="AL716" s="2"/>
      <c r="AM716" s="2"/>
      <c r="AN716" s="2"/>
      <c r="AO716" s="2"/>
      <c r="AP716" s="2"/>
    </row>
    <row r="717" spans="1:42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7"/>
      <c r="AK717" s="2"/>
      <c r="AL717" s="2"/>
      <c r="AM717" s="2"/>
      <c r="AN717" s="2"/>
      <c r="AO717" s="2"/>
      <c r="AP717" s="2"/>
    </row>
    <row r="718" spans="1:42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7"/>
      <c r="AK718" s="2"/>
      <c r="AL718" s="2"/>
      <c r="AM718" s="2"/>
      <c r="AN718" s="2"/>
      <c r="AO718" s="2"/>
      <c r="AP718" s="2"/>
    </row>
    <row r="719" spans="1:42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7"/>
      <c r="AK719" s="2"/>
      <c r="AL719" s="2"/>
      <c r="AM719" s="2"/>
      <c r="AN719" s="2"/>
      <c r="AO719" s="2"/>
      <c r="AP719" s="2"/>
    </row>
    <row r="720" spans="1:42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7"/>
      <c r="AK720" s="2"/>
      <c r="AL720" s="2"/>
      <c r="AM720" s="2"/>
      <c r="AN720" s="2"/>
      <c r="AO720" s="2"/>
      <c r="AP720" s="2"/>
    </row>
    <row r="721" spans="1:42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7"/>
      <c r="AK721" s="2"/>
      <c r="AL721" s="2"/>
      <c r="AM721" s="2"/>
      <c r="AN721" s="2"/>
      <c r="AO721" s="2"/>
      <c r="AP721" s="2"/>
    </row>
    <row r="722" spans="1:4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7"/>
      <c r="AK722" s="2"/>
      <c r="AL722" s="2"/>
      <c r="AM722" s="2"/>
      <c r="AN722" s="2"/>
      <c r="AO722" s="2"/>
      <c r="AP722" s="2"/>
    </row>
    <row r="723" spans="1:42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7"/>
      <c r="AK723" s="2"/>
      <c r="AL723" s="2"/>
      <c r="AM723" s="2"/>
      <c r="AN723" s="2"/>
      <c r="AO723" s="2"/>
      <c r="AP723" s="2"/>
    </row>
    <row r="724" spans="1:42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7"/>
      <c r="AK724" s="2"/>
      <c r="AL724" s="2"/>
      <c r="AM724" s="2"/>
      <c r="AN724" s="2"/>
      <c r="AO724" s="2"/>
      <c r="AP724" s="2"/>
    </row>
    <row r="725" spans="1:42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7"/>
      <c r="AK725" s="2"/>
      <c r="AL725" s="2"/>
      <c r="AM725" s="2"/>
      <c r="AN725" s="2"/>
      <c r="AO725" s="2"/>
      <c r="AP725" s="2"/>
    </row>
    <row r="726" spans="1:42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7"/>
      <c r="AK726" s="2"/>
      <c r="AL726" s="2"/>
      <c r="AM726" s="2"/>
      <c r="AN726" s="2"/>
      <c r="AO726" s="2"/>
      <c r="AP726" s="2"/>
    </row>
    <row r="727" spans="1:42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7"/>
      <c r="AK727" s="2"/>
      <c r="AL727" s="2"/>
      <c r="AM727" s="2"/>
      <c r="AN727" s="2"/>
      <c r="AO727" s="2"/>
      <c r="AP727" s="2"/>
    </row>
    <row r="728" spans="1:42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7"/>
      <c r="AK728" s="2"/>
      <c r="AL728" s="2"/>
      <c r="AM728" s="2"/>
      <c r="AN728" s="2"/>
      <c r="AO728" s="2"/>
      <c r="AP728" s="2"/>
    </row>
    <row r="729" spans="1:42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7"/>
      <c r="AK729" s="2"/>
      <c r="AL729" s="2"/>
      <c r="AM729" s="2"/>
      <c r="AN729" s="2"/>
      <c r="AO729" s="2"/>
      <c r="AP729" s="2"/>
    </row>
    <row r="730" spans="1:42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7"/>
      <c r="AK730" s="2"/>
      <c r="AL730" s="2"/>
      <c r="AM730" s="2"/>
      <c r="AN730" s="2"/>
      <c r="AO730" s="2"/>
      <c r="AP730" s="2"/>
    </row>
    <row r="731" spans="1:42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7"/>
      <c r="AK731" s="2"/>
      <c r="AL731" s="2"/>
      <c r="AM731" s="2"/>
      <c r="AN731" s="2"/>
      <c r="AO731" s="2"/>
      <c r="AP731" s="2"/>
    </row>
    <row r="732" spans="1:4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7"/>
      <c r="AK732" s="2"/>
      <c r="AL732" s="2"/>
      <c r="AM732" s="2"/>
      <c r="AN732" s="2"/>
      <c r="AO732" s="2"/>
      <c r="AP732" s="2"/>
    </row>
    <row r="733" spans="1:42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7"/>
      <c r="AK733" s="2"/>
      <c r="AL733" s="2"/>
      <c r="AM733" s="2"/>
      <c r="AN733" s="2"/>
      <c r="AO733" s="2"/>
      <c r="AP733" s="2"/>
    </row>
    <row r="734" spans="1:42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7"/>
      <c r="AK734" s="2"/>
      <c r="AL734" s="2"/>
      <c r="AM734" s="2"/>
      <c r="AN734" s="2"/>
      <c r="AO734" s="2"/>
      <c r="AP734" s="2"/>
    </row>
    <row r="735" spans="1:42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7"/>
      <c r="AK735" s="2"/>
      <c r="AL735" s="2"/>
      <c r="AM735" s="2"/>
      <c r="AN735" s="2"/>
      <c r="AO735" s="2"/>
      <c r="AP735" s="2"/>
    </row>
    <row r="736" spans="1:42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7"/>
      <c r="AK736" s="2"/>
      <c r="AL736" s="2"/>
      <c r="AM736" s="2"/>
      <c r="AN736" s="2"/>
      <c r="AO736" s="2"/>
      <c r="AP736" s="2"/>
    </row>
    <row r="737" spans="1:42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7"/>
      <c r="AK737" s="2"/>
      <c r="AL737" s="2"/>
      <c r="AM737" s="2"/>
      <c r="AN737" s="2"/>
      <c r="AO737" s="2"/>
      <c r="AP737" s="2"/>
    </row>
    <row r="738" spans="1:42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7"/>
      <c r="AK738" s="2"/>
      <c r="AL738" s="2"/>
      <c r="AM738" s="2"/>
      <c r="AN738" s="2"/>
      <c r="AO738" s="2"/>
      <c r="AP738" s="2"/>
    </row>
    <row r="739" spans="1:42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7"/>
      <c r="AK739" s="2"/>
      <c r="AL739" s="2"/>
      <c r="AM739" s="2"/>
      <c r="AN739" s="2"/>
      <c r="AO739" s="2"/>
      <c r="AP739" s="2"/>
    </row>
    <row r="740" spans="1:42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7"/>
      <c r="AK740" s="2"/>
      <c r="AL740" s="2"/>
      <c r="AM740" s="2"/>
      <c r="AN740" s="2"/>
      <c r="AO740" s="2"/>
      <c r="AP740" s="2"/>
    </row>
    <row r="741" spans="1:42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7"/>
      <c r="AK741" s="2"/>
      <c r="AL741" s="2"/>
      <c r="AM741" s="2"/>
      <c r="AN741" s="2"/>
      <c r="AO741" s="2"/>
      <c r="AP741" s="2"/>
    </row>
    <row r="742" spans="1: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7"/>
      <c r="AK742" s="2"/>
      <c r="AL742" s="2"/>
      <c r="AM742" s="2"/>
      <c r="AN742" s="2"/>
      <c r="AO742" s="2"/>
      <c r="AP742" s="2"/>
    </row>
    <row r="743" spans="1:42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7"/>
      <c r="AK743" s="2"/>
      <c r="AL743" s="2"/>
      <c r="AM743" s="2"/>
      <c r="AN743" s="2"/>
      <c r="AO743" s="2"/>
      <c r="AP743" s="2"/>
    </row>
    <row r="744" spans="1:42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7"/>
      <c r="AK744" s="2"/>
      <c r="AL744" s="2"/>
      <c r="AM744" s="2"/>
      <c r="AN744" s="2"/>
      <c r="AO744" s="2"/>
      <c r="AP744" s="2"/>
    </row>
    <row r="745" spans="1:42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7"/>
      <c r="AK745" s="2"/>
      <c r="AL745" s="2"/>
      <c r="AM745" s="2"/>
      <c r="AN745" s="2"/>
      <c r="AO745" s="2"/>
      <c r="AP745" s="2"/>
    </row>
    <row r="746" spans="1:42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7"/>
      <c r="AK746" s="2"/>
      <c r="AL746" s="2"/>
      <c r="AM746" s="2"/>
      <c r="AN746" s="2"/>
      <c r="AO746" s="2"/>
      <c r="AP746" s="2"/>
    </row>
    <row r="747" spans="1:42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7"/>
      <c r="AK747" s="2"/>
      <c r="AL747" s="2"/>
      <c r="AM747" s="2"/>
      <c r="AN747" s="2"/>
      <c r="AO747" s="2"/>
      <c r="AP747" s="2"/>
    </row>
    <row r="748" spans="1:42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7"/>
      <c r="AK748" s="2"/>
      <c r="AL748" s="2"/>
      <c r="AM748" s="2"/>
      <c r="AN748" s="2"/>
      <c r="AO748" s="2"/>
      <c r="AP748" s="2"/>
    </row>
    <row r="749" spans="1:42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7"/>
      <c r="AK749" s="2"/>
      <c r="AL749" s="2"/>
      <c r="AM749" s="2"/>
      <c r="AN749" s="2"/>
      <c r="AO749" s="2"/>
      <c r="AP749" s="2"/>
    </row>
    <row r="750" spans="1:42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7"/>
      <c r="AK750" s="2"/>
      <c r="AL750" s="2"/>
      <c r="AM750" s="2"/>
      <c r="AN750" s="2"/>
      <c r="AO750" s="2"/>
      <c r="AP750" s="2"/>
    </row>
    <row r="751" spans="1:42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7"/>
      <c r="AK751" s="2"/>
      <c r="AL751" s="2"/>
      <c r="AM751" s="2"/>
      <c r="AN751" s="2"/>
      <c r="AO751" s="2"/>
      <c r="AP751" s="2"/>
    </row>
    <row r="752" spans="1:4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7"/>
      <c r="AK752" s="2"/>
      <c r="AL752" s="2"/>
      <c r="AM752" s="2"/>
      <c r="AN752" s="2"/>
      <c r="AO752" s="2"/>
      <c r="AP752" s="2"/>
    </row>
    <row r="753" spans="1:42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7"/>
      <c r="AK753" s="2"/>
      <c r="AL753" s="2"/>
      <c r="AM753" s="2"/>
      <c r="AN753" s="2"/>
      <c r="AO753" s="2"/>
      <c r="AP753" s="2"/>
    </row>
    <row r="754" spans="1:42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7"/>
      <c r="AK754" s="2"/>
      <c r="AL754" s="2"/>
      <c r="AM754" s="2"/>
      <c r="AN754" s="2"/>
      <c r="AO754" s="2"/>
      <c r="AP754" s="2"/>
    </row>
    <row r="755" spans="1:42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7"/>
      <c r="AK755" s="2"/>
      <c r="AL755" s="2"/>
      <c r="AM755" s="2"/>
      <c r="AN755" s="2"/>
      <c r="AO755" s="2"/>
      <c r="AP755" s="2"/>
    </row>
    <row r="756" spans="1:42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7"/>
      <c r="AK756" s="2"/>
      <c r="AL756" s="2"/>
      <c r="AM756" s="2"/>
      <c r="AN756" s="2"/>
      <c r="AO756" s="2"/>
      <c r="AP756" s="2"/>
    </row>
    <row r="757" spans="1:42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7"/>
      <c r="AK757" s="2"/>
      <c r="AL757" s="2"/>
      <c r="AM757" s="2"/>
      <c r="AN757" s="2"/>
      <c r="AO757" s="2"/>
      <c r="AP757" s="2"/>
    </row>
    <row r="758" spans="1:42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7"/>
      <c r="AK758" s="2"/>
      <c r="AL758" s="2"/>
      <c r="AM758" s="2"/>
      <c r="AN758" s="2"/>
      <c r="AO758" s="2"/>
      <c r="AP758" s="2"/>
    </row>
    <row r="759" spans="1:42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7"/>
      <c r="AK759" s="2"/>
      <c r="AL759" s="2"/>
      <c r="AM759" s="2"/>
      <c r="AN759" s="2"/>
      <c r="AO759" s="2"/>
      <c r="AP759" s="2"/>
    </row>
    <row r="760" spans="1:42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7"/>
      <c r="AK760" s="2"/>
      <c r="AL760" s="2"/>
      <c r="AM760" s="2"/>
      <c r="AN760" s="2"/>
      <c r="AO760" s="2"/>
      <c r="AP760" s="2"/>
    </row>
    <row r="761" spans="1:42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7"/>
      <c r="AK761" s="2"/>
      <c r="AL761" s="2"/>
      <c r="AM761" s="2"/>
      <c r="AN761" s="2"/>
      <c r="AO761" s="2"/>
      <c r="AP761" s="2"/>
    </row>
    <row r="762" spans="1:4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7"/>
      <c r="AK762" s="2"/>
      <c r="AL762" s="2"/>
      <c r="AM762" s="2"/>
      <c r="AN762" s="2"/>
      <c r="AO762" s="2"/>
      <c r="AP762" s="2"/>
    </row>
    <row r="763" spans="1:42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7"/>
      <c r="AK763" s="2"/>
      <c r="AL763" s="2"/>
      <c r="AM763" s="2"/>
      <c r="AN763" s="2"/>
      <c r="AO763" s="2"/>
      <c r="AP763" s="2"/>
    </row>
    <row r="764" spans="1:42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7"/>
      <c r="AK764" s="2"/>
      <c r="AL764" s="2"/>
      <c r="AM764" s="2"/>
      <c r="AN764" s="2"/>
      <c r="AO764" s="2"/>
      <c r="AP764" s="2"/>
    </row>
    <row r="765" spans="1:42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7"/>
      <c r="AK765" s="2"/>
      <c r="AL765" s="2"/>
      <c r="AM765" s="2"/>
      <c r="AN765" s="2"/>
      <c r="AO765" s="2"/>
      <c r="AP765" s="2"/>
    </row>
    <row r="766" spans="1:42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7"/>
      <c r="AK766" s="2"/>
      <c r="AL766" s="2"/>
      <c r="AM766" s="2"/>
      <c r="AN766" s="2"/>
      <c r="AO766" s="2"/>
      <c r="AP766" s="2"/>
    </row>
    <row r="767" spans="1:42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7"/>
      <c r="AK767" s="2"/>
      <c r="AL767" s="2"/>
      <c r="AM767" s="2"/>
      <c r="AN767" s="2"/>
      <c r="AO767" s="2"/>
      <c r="AP767" s="2"/>
    </row>
    <row r="768" spans="1:42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7"/>
      <c r="AK768" s="2"/>
      <c r="AL768" s="2"/>
      <c r="AM768" s="2"/>
      <c r="AN768" s="2"/>
      <c r="AO768" s="2"/>
      <c r="AP768" s="2"/>
    </row>
    <row r="769" spans="1:42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7"/>
      <c r="AK769" s="2"/>
      <c r="AL769" s="2"/>
      <c r="AM769" s="2"/>
      <c r="AN769" s="2"/>
      <c r="AO769" s="2"/>
      <c r="AP769" s="2"/>
    </row>
    <row r="770" spans="1:42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7"/>
      <c r="AK770" s="2"/>
      <c r="AL770" s="2"/>
      <c r="AM770" s="2"/>
      <c r="AN770" s="2"/>
      <c r="AO770" s="2"/>
      <c r="AP770" s="2"/>
    </row>
    <row r="771" spans="1:42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7"/>
      <c r="AK771" s="2"/>
      <c r="AL771" s="2"/>
      <c r="AM771" s="2"/>
      <c r="AN771" s="2"/>
      <c r="AO771" s="2"/>
      <c r="AP771" s="2"/>
    </row>
    <row r="772" spans="1:4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7"/>
      <c r="AK772" s="2"/>
      <c r="AL772" s="2"/>
      <c r="AM772" s="2"/>
      <c r="AN772" s="2"/>
      <c r="AO772" s="2"/>
      <c r="AP772" s="2"/>
    </row>
    <row r="773" spans="1:42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7"/>
      <c r="AK773" s="2"/>
      <c r="AL773" s="2"/>
      <c r="AM773" s="2"/>
      <c r="AN773" s="2"/>
      <c r="AO773" s="2"/>
      <c r="AP773" s="2"/>
    </row>
    <row r="774" spans="1:42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7"/>
      <c r="AK774" s="2"/>
      <c r="AL774" s="2"/>
      <c r="AM774" s="2"/>
      <c r="AN774" s="2"/>
      <c r="AO774" s="2"/>
      <c r="AP774" s="2"/>
    </row>
    <row r="775" spans="1:42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7"/>
      <c r="AK775" s="2"/>
      <c r="AL775" s="2"/>
      <c r="AM775" s="2"/>
      <c r="AN775" s="2"/>
      <c r="AO775" s="2"/>
      <c r="AP775" s="2"/>
    </row>
    <row r="776" spans="1:42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7"/>
      <c r="AK776" s="2"/>
      <c r="AL776" s="2"/>
      <c r="AM776" s="2"/>
      <c r="AN776" s="2"/>
      <c r="AO776" s="2"/>
      <c r="AP776" s="2"/>
    </row>
    <row r="777" spans="1:42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7"/>
      <c r="AK777" s="2"/>
      <c r="AL777" s="2"/>
      <c r="AM777" s="2"/>
      <c r="AN777" s="2"/>
      <c r="AO777" s="2"/>
      <c r="AP777" s="2"/>
    </row>
    <row r="778" spans="1:42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7"/>
      <c r="AK778" s="2"/>
      <c r="AL778" s="2"/>
      <c r="AM778" s="2"/>
      <c r="AN778" s="2"/>
      <c r="AO778" s="2"/>
      <c r="AP778" s="2"/>
    </row>
    <row r="779" spans="1:42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7"/>
      <c r="AK779" s="2"/>
      <c r="AL779" s="2"/>
      <c r="AM779" s="2"/>
      <c r="AN779" s="2"/>
      <c r="AO779" s="2"/>
      <c r="AP779" s="2"/>
    </row>
    <row r="780" spans="1:42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7"/>
      <c r="AK780" s="2"/>
      <c r="AL780" s="2"/>
      <c r="AM780" s="2"/>
      <c r="AN780" s="2"/>
      <c r="AO780" s="2"/>
      <c r="AP780" s="2"/>
    </row>
    <row r="781" spans="1:42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7"/>
      <c r="AK781" s="2"/>
      <c r="AL781" s="2"/>
      <c r="AM781" s="2"/>
      <c r="AN781" s="2"/>
      <c r="AO781" s="2"/>
      <c r="AP781" s="2"/>
    </row>
    <row r="782" spans="1:4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7"/>
      <c r="AK782" s="2"/>
      <c r="AL782" s="2"/>
      <c r="AM782" s="2"/>
      <c r="AN782" s="2"/>
      <c r="AO782" s="2"/>
      <c r="AP782" s="2"/>
    </row>
    <row r="783" spans="1:42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7"/>
      <c r="AK783" s="2"/>
      <c r="AL783" s="2"/>
      <c r="AM783" s="2"/>
      <c r="AN783" s="2"/>
      <c r="AO783" s="2"/>
      <c r="AP783" s="2"/>
    </row>
    <row r="784" spans="1:42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7"/>
      <c r="AK784" s="2"/>
      <c r="AL784" s="2"/>
      <c r="AM784" s="2"/>
      <c r="AN784" s="2"/>
      <c r="AO784" s="2"/>
      <c r="AP784" s="2"/>
    </row>
    <row r="785" spans="1:42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7"/>
      <c r="AK785" s="2"/>
      <c r="AL785" s="2"/>
      <c r="AM785" s="2"/>
      <c r="AN785" s="2"/>
      <c r="AO785" s="2"/>
      <c r="AP785" s="2"/>
    </row>
    <row r="786" spans="1:42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7"/>
      <c r="AK786" s="2"/>
      <c r="AL786" s="2"/>
      <c r="AM786" s="2"/>
      <c r="AN786" s="2"/>
      <c r="AO786" s="2"/>
      <c r="AP786" s="2"/>
    </row>
    <row r="787" spans="1:42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7"/>
      <c r="AK787" s="2"/>
      <c r="AL787" s="2"/>
      <c r="AM787" s="2"/>
      <c r="AN787" s="2"/>
      <c r="AO787" s="2"/>
      <c r="AP787" s="2"/>
    </row>
    <row r="788" spans="1:42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7"/>
      <c r="AK788" s="2"/>
      <c r="AL788" s="2"/>
      <c r="AM788" s="2"/>
      <c r="AN788" s="2"/>
      <c r="AO788" s="2"/>
      <c r="AP788" s="2"/>
    </row>
    <row r="789" spans="1:42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7"/>
      <c r="AK789" s="2"/>
      <c r="AL789" s="2"/>
      <c r="AM789" s="2"/>
      <c r="AN789" s="2"/>
      <c r="AO789" s="2"/>
      <c r="AP789" s="2"/>
    </row>
    <row r="790" spans="1:42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7"/>
      <c r="AK790" s="2"/>
      <c r="AL790" s="2"/>
      <c r="AM790" s="2"/>
      <c r="AN790" s="2"/>
      <c r="AO790" s="2"/>
      <c r="AP790" s="2"/>
    </row>
    <row r="791" spans="1:42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7"/>
      <c r="AK791" s="2"/>
      <c r="AL791" s="2"/>
      <c r="AM791" s="2"/>
      <c r="AN791" s="2"/>
      <c r="AO791" s="2"/>
      <c r="AP791" s="2"/>
    </row>
    <row r="792" spans="1:4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7"/>
      <c r="AK792" s="2"/>
      <c r="AL792" s="2"/>
      <c r="AM792" s="2"/>
      <c r="AN792" s="2"/>
      <c r="AO792" s="2"/>
      <c r="AP792" s="2"/>
    </row>
    <row r="793" spans="1:42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7"/>
      <c r="AK793" s="2"/>
      <c r="AL793" s="2"/>
      <c r="AM793" s="2"/>
      <c r="AN793" s="2"/>
      <c r="AO793" s="2"/>
      <c r="AP793" s="2"/>
    </row>
    <row r="794" spans="1:42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7"/>
      <c r="AK794" s="2"/>
      <c r="AL794" s="2"/>
      <c r="AM794" s="2"/>
      <c r="AN794" s="2"/>
      <c r="AO794" s="2"/>
      <c r="AP794" s="2"/>
    </row>
    <row r="795" spans="1:42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7"/>
      <c r="AK795" s="2"/>
      <c r="AL795" s="2"/>
      <c r="AM795" s="2"/>
      <c r="AN795" s="2"/>
      <c r="AO795" s="2"/>
      <c r="AP795" s="2"/>
    </row>
    <row r="796" spans="1:42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7"/>
      <c r="AK796" s="2"/>
      <c r="AL796" s="2"/>
      <c r="AM796" s="2"/>
      <c r="AN796" s="2"/>
      <c r="AO796" s="2"/>
      <c r="AP796" s="2"/>
    </row>
    <row r="797" spans="1:42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7"/>
      <c r="AK797" s="2"/>
      <c r="AL797" s="2"/>
      <c r="AM797" s="2"/>
      <c r="AN797" s="2"/>
      <c r="AO797" s="2"/>
      <c r="AP797" s="2"/>
    </row>
    <row r="798" spans="1:42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7"/>
      <c r="AK798" s="2"/>
      <c r="AL798" s="2"/>
      <c r="AM798" s="2"/>
      <c r="AN798" s="2"/>
      <c r="AO798" s="2"/>
      <c r="AP798" s="2"/>
    </row>
    <row r="799" spans="1:42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7"/>
      <c r="AK799" s="2"/>
      <c r="AL799" s="2"/>
      <c r="AM799" s="2"/>
      <c r="AN799" s="2"/>
      <c r="AO799" s="2"/>
      <c r="AP799" s="2"/>
    </row>
    <row r="800" spans="1:42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7"/>
      <c r="AK800" s="2"/>
      <c r="AL800" s="2"/>
      <c r="AM800" s="2"/>
      <c r="AN800" s="2"/>
      <c r="AO800" s="2"/>
      <c r="AP800" s="2"/>
    </row>
    <row r="801" spans="1:42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7"/>
      <c r="AK801" s="2"/>
      <c r="AL801" s="2"/>
      <c r="AM801" s="2"/>
      <c r="AN801" s="2"/>
      <c r="AO801" s="2"/>
      <c r="AP801" s="2"/>
    </row>
    <row r="802" spans="1:4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7"/>
      <c r="AK802" s="2"/>
      <c r="AL802" s="2"/>
      <c r="AM802" s="2"/>
      <c r="AN802" s="2"/>
      <c r="AO802" s="2"/>
      <c r="AP802" s="2"/>
    </row>
    <row r="803" spans="1:42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7"/>
      <c r="AK803" s="2"/>
      <c r="AL803" s="2"/>
      <c r="AM803" s="2"/>
      <c r="AN803" s="2"/>
      <c r="AO803" s="2"/>
      <c r="AP803" s="2"/>
    </row>
    <row r="804" spans="1:42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7"/>
      <c r="AK804" s="2"/>
      <c r="AL804" s="2"/>
      <c r="AM804" s="2"/>
      <c r="AN804" s="2"/>
      <c r="AO804" s="2"/>
      <c r="AP804" s="2"/>
    </row>
    <row r="805" spans="1:42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7"/>
      <c r="AK805" s="2"/>
      <c r="AL805" s="2"/>
      <c r="AM805" s="2"/>
      <c r="AN805" s="2"/>
      <c r="AO805" s="2"/>
      <c r="AP805" s="2"/>
    </row>
    <row r="806" spans="1:42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7"/>
      <c r="AK806" s="2"/>
      <c r="AL806" s="2"/>
      <c r="AM806" s="2"/>
      <c r="AN806" s="2"/>
      <c r="AO806" s="2"/>
      <c r="AP806" s="2"/>
    </row>
    <row r="807" spans="1:42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7"/>
      <c r="AK807" s="2"/>
      <c r="AL807" s="2"/>
      <c r="AM807" s="2"/>
      <c r="AN807" s="2"/>
      <c r="AO807" s="2"/>
      <c r="AP807" s="2"/>
    </row>
    <row r="808" spans="1:42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7"/>
      <c r="AK808" s="2"/>
      <c r="AL808" s="2"/>
      <c r="AM808" s="2"/>
      <c r="AN808" s="2"/>
      <c r="AO808" s="2"/>
      <c r="AP808" s="2"/>
    </row>
    <row r="809" spans="1:42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7"/>
      <c r="AK809" s="2"/>
      <c r="AL809" s="2"/>
      <c r="AM809" s="2"/>
      <c r="AN809" s="2"/>
      <c r="AO809" s="2"/>
      <c r="AP809" s="2"/>
    </row>
    <row r="810" spans="1:42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7"/>
      <c r="AK810" s="2"/>
      <c r="AL810" s="2"/>
      <c r="AM810" s="2"/>
      <c r="AN810" s="2"/>
      <c r="AO810" s="2"/>
      <c r="AP810" s="2"/>
    </row>
    <row r="811" spans="1:42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7"/>
      <c r="AK811" s="2"/>
      <c r="AL811" s="2"/>
      <c r="AM811" s="2"/>
      <c r="AN811" s="2"/>
      <c r="AO811" s="2"/>
      <c r="AP811" s="2"/>
    </row>
    <row r="812" spans="1:4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7"/>
      <c r="AK812" s="2"/>
      <c r="AL812" s="2"/>
      <c r="AM812" s="2"/>
      <c r="AN812" s="2"/>
      <c r="AO812" s="2"/>
      <c r="AP812" s="2"/>
    </row>
    <row r="813" spans="1:42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7"/>
      <c r="AK813" s="2"/>
      <c r="AL813" s="2"/>
      <c r="AM813" s="2"/>
      <c r="AN813" s="2"/>
      <c r="AO813" s="2"/>
      <c r="AP813" s="2"/>
    </row>
    <row r="814" spans="1:42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7"/>
      <c r="AK814" s="2"/>
      <c r="AL814" s="2"/>
      <c r="AM814" s="2"/>
      <c r="AN814" s="2"/>
      <c r="AO814" s="2"/>
      <c r="AP814" s="2"/>
    </row>
    <row r="815" spans="1:42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7"/>
      <c r="AK815" s="2"/>
      <c r="AL815" s="2"/>
      <c r="AM815" s="2"/>
      <c r="AN815" s="2"/>
      <c r="AO815" s="2"/>
      <c r="AP815" s="2"/>
    </row>
    <row r="816" spans="1:42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7"/>
      <c r="AK816" s="2"/>
      <c r="AL816" s="2"/>
      <c r="AM816" s="2"/>
      <c r="AN816" s="2"/>
      <c r="AO816" s="2"/>
      <c r="AP816" s="2"/>
    </row>
    <row r="817" spans="1:42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7"/>
      <c r="AK817" s="2"/>
      <c r="AL817" s="2"/>
      <c r="AM817" s="2"/>
      <c r="AN817" s="2"/>
      <c r="AO817" s="2"/>
      <c r="AP817" s="2"/>
    </row>
    <row r="818" spans="1:42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7"/>
      <c r="AK818" s="2"/>
      <c r="AL818" s="2"/>
      <c r="AM818" s="2"/>
      <c r="AN818" s="2"/>
      <c r="AO818" s="2"/>
      <c r="AP818" s="2"/>
    </row>
    <row r="819" spans="1:42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7"/>
      <c r="AK819" s="2"/>
      <c r="AL819" s="2"/>
      <c r="AM819" s="2"/>
      <c r="AN819" s="2"/>
      <c r="AO819" s="2"/>
      <c r="AP819" s="2"/>
    </row>
    <row r="820" spans="1:42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7"/>
      <c r="AK820" s="2"/>
      <c r="AL820" s="2"/>
      <c r="AM820" s="2"/>
      <c r="AN820" s="2"/>
      <c r="AO820" s="2"/>
      <c r="AP820" s="2"/>
    </row>
    <row r="821" spans="1:42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7"/>
      <c r="AK821" s="2"/>
      <c r="AL821" s="2"/>
      <c r="AM821" s="2"/>
      <c r="AN821" s="2"/>
      <c r="AO821" s="2"/>
      <c r="AP821" s="2"/>
    </row>
    <row r="822" spans="1:4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7"/>
      <c r="AK822" s="2"/>
      <c r="AL822" s="2"/>
      <c r="AM822" s="2"/>
      <c r="AN822" s="2"/>
      <c r="AO822" s="2"/>
      <c r="AP822" s="2"/>
    </row>
    <row r="823" spans="1:42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7"/>
      <c r="AK823" s="2"/>
      <c r="AL823" s="2"/>
      <c r="AM823" s="2"/>
      <c r="AN823" s="2"/>
      <c r="AO823" s="2"/>
      <c r="AP823" s="2"/>
    </row>
    <row r="824" spans="1:42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7"/>
      <c r="AK824" s="2"/>
      <c r="AL824" s="2"/>
      <c r="AM824" s="2"/>
      <c r="AN824" s="2"/>
      <c r="AO824" s="2"/>
      <c r="AP824" s="2"/>
    </row>
    <row r="825" spans="1:42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7"/>
      <c r="AK825" s="2"/>
      <c r="AL825" s="2"/>
      <c r="AM825" s="2"/>
      <c r="AN825" s="2"/>
      <c r="AO825" s="2"/>
      <c r="AP825" s="2"/>
    </row>
    <row r="826" spans="1:42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7"/>
      <c r="AK826" s="2"/>
      <c r="AL826" s="2"/>
      <c r="AM826" s="2"/>
      <c r="AN826" s="2"/>
      <c r="AO826" s="2"/>
      <c r="AP826" s="2"/>
    </row>
    <row r="827" spans="1:42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7"/>
      <c r="AK827" s="2"/>
      <c r="AL827" s="2"/>
      <c r="AM827" s="2"/>
      <c r="AN827" s="2"/>
      <c r="AO827" s="2"/>
      <c r="AP827" s="2"/>
    </row>
    <row r="828" spans="1:42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7"/>
      <c r="AK828" s="2"/>
      <c r="AL828" s="2"/>
      <c r="AM828" s="2"/>
      <c r="AN828" s="2"/>
      <c r="AO828" s="2"/>
      <c r="AP828" s="2"/>
    </row>
    <row r="829" spans="1:42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7"/>
      <c r="AK829" s="2"/>
      <c r="AL829" s="2"/>
      <c r="AM829" s="2"/>
      <c r="AN829" s="2"/>
      <c r="AO829" s="2"/>
      <c r="AP829" s="2"/>
    </row>
    <row r="830" spans="1:42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7"/>
      <c r="AK830" s="2"/>
      <c r="AL830" s="2"/>
      <c r="AM830" s="2"/>
      <c r="AN830" s="2"/>
      <c r="AO830" s="2"/>
      <c r="AP830" s="2"/>
    </row>
    <row r="831" spans="1:42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7"/>
      <c r="AK831" s="2"/>
      <c r="AL831" s="2"/>
      <c r="AM831" s="2"/>
      <c r="AN831" s="2"/>
      <c r="AO831" s="2"/>
      <c r="AP831" s="2"/>
    </row>
    <row r="832" spans="1:4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7"/>
      <c r="AK832" s="2"/>
      <c r="AL832" s="2"/>
      <c r="AM832" s="2"/>
      <c r="AN832" s="2"/>
      <c r="AO832" s="2"/>
      <c r="AP832" s="2"/>
    </row>
    <row r="833" spans="1:42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7"/>
      <c r="AK833" s="2"/>
      <c r="AL833" s="2"/>
      <c r="AM833" s="2"/>
      <c r="AN833" s="2"/>
      <c r="AO833" s="2"/>
      <c r="AP833" s="2"/>
    </row>
    <row r="834" spans="1:42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7"/>
      <c r="AK834" s="2"/>
      <c r="AL834" s="2"/>
      <c r="AM834" s="2"/>
      <c r="AN834" s="2"/>
      <c r="AO834" s="2"/>
      <c r="AP834" s="2"/>
    </row>
    <row r="835" spans="1:42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7"/>
      <c r="AK835" s="2"/>
      <c r="AL835" s="2"/>
      <c r="AM835" s="2"/>
      <c r="AN835" s="2"/>
      <c r="AO835" s="2"/>
      <c r="AP835" s="2"/>
    </row>
    <row r="836" spans="1:42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7"/>
      <c r="AK836" s="2"/>
      <c r="AL836" s="2"/>
      <c r="AM836" s="2"/>
      <c r="AN836" s="2"/>
      <c r="AO836" s="2"/>
      <c r="AP836" s="2"/>
    </row>
    <row r="837" spans="1:42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7"/>
      <c r="AK837" s="2"/>
      <c r="AL837" s="2"/>
      <c r="AM837" s="2"/>
      <c r="AN837" s="2"/>
      <c r="AO837" s="2"/>
      <c r="AP837" s="2"/>
    </row>
    <row r="838" spans="1:42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7"/>
      <c r="AK838" s="2"/>
      <c r="AL838" s="2"/>
      <c r="AM838" s="2"/>
      <c r="AN838" s="2"/>
      <c r="AO838" s="2"/>
      <c r="AP838" s="2"/>
    </row>
    <row r="839" spans="1:42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7"/>
      <c r="AK839" s="2"/>
      <c r="AL839" s="2"/>
      <c r="AM839" s="2"/>
      <c r="AN839" s="2"/>
      <c r="AO839" s="2"/>
      <c r="AP839" s="2"/>
    </row>
    <row r="840" spans="1:42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7"/>
      <c r="AK840" s="2"/>
      <c r="AL840" s="2"/>
      <c r="AM840" s="2"/>
      <c r="AN840" s="2"/>
      <c r="AO840" s="2"/>
      <c r="AP840" s="2"/>
    </row>
    <row r="841" spans="1:42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7"/>
      <c r="AK841" s="2"/>
      <c r="AL841" s="2"/>
      <c r="AM841" s="2"/>
      <c r="AN841" s="2"/>
      <c r="AO841" s="2"/>
      <c r="AP841" s="2"/>
    </row>
    <row r="842" spans="1: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7"/>
      <c r="AK842" s="2"/>
      <c r="AL842" s="2"/>
      <c r="AM842" s="2"/>
      <c r="AN842" s="2"/>
      <c r="AO842" s="2"/>
      <c r="AP842" s="2"/>
    </row>
    <row r="843" spans="1:42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7"/>
      <c r="AK843" s="2"/>
      <c r="AL843" s="2"/>
      <c r="AM843" s="2"/>
      <c r="AN843" s="2"/>
      <c r="AO843" s="2"/>
      <c r="AP843" s="2"/>
    </row>
    <row r="844" spans="1:42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7"/>
      <c r="AK844" s="2"/>
      <c r="AL844" s="2"/>
      <c r="AM844" s="2"/>
      <c r="AN844" s="2"/>
      <c r="AO844" s="2"/>
      <c r="AP844" s="2"/>
    </row>
    <row r="845" spans="1:42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7"/>
      <c r="AK845" s="2"/>
      <c r="AL845" s="2"/>
      <c r="AM845" s="2"/>
      <c r="AN845" s="2"/>
      <c r="AO845" s="2"/>
      <c r="AP845" s="2"/>
    </row>
    <row r="846" spans="1:42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7"/>
      <c r="AK846" s="2"/>
      <c r="AL846" s="2"/>
      <c r="AM846" s="2"/>
      <c r="AN846" s="2"/>
      <c r="AO846" s="2"/>
      <c r="AP846" s="2"/>
    </row>
    <row r="847" spans="1:42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7"/>
      <c r="AK847" s="2"/>
      <c r="AL847" s="2"/>
      <c r="AM847" s="2"/>
      <c r="AN847" s="2"/>
      <c r="AO847" s="2"/>
      <c r="AP847" s="2"/>
    </row>
    <row r="848" spans="1:42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7"/>
      <c r="AK848" s="2"/>
      <c r="AL848" s="2"/>
      <c r="AM848" s="2"/>
      <c r="AN848" s="2"/>
      <c r="AO848" s="2"/>
      <c r="AP848" s="2"/>
    </row>
    <row r="849" spans="1:42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7"/>
      <c r="AK849" s="2"/>
      <c r="AL849" s="2"/>
      <c r="AM849" s="2"/>
      <c r="AN849" s="2"/>
      <c r="AO849" s="2"/>
      <c r="AP849" s="2"/>
    </row>
    <row r="850" spans="1:42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7"/>
      <c r="AK850" s="2"/>
      <c r="AL850" s="2"/>
      <c r="AM850" s="2"/>
      <c r="AN850" s="2"/>
      <c r="AO850" s="2"/>
      <c r="AP850" s="2"/>
    </row>
    <row r="851" spans="1:42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7"/>
      <c r="AK851" s="2"/>
      <c r="AL851" s="2"/>
      <c r="AM851" s="2"/>
      <c r="AN851" s="2"/>
      <c r="AO851" s="2"/>
      <c r="AP851" s="2"/>
    </row>
    <row r="852" spans="1:4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7"/>
      <c r="AK852" s="2"/>
      <c r="AL852" s="2"/>
      <c r="AM852" s="2"/>
      <c r="AN852" s="2"/>
      <c r="AO852" s="2"/>
      <c r="AP852" s="2"/>
    </row>
    <row r="853" spans="1:42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7"/>
      <c r="AK853" s="2"/>
      <c r="AL853" s="2"/>
      <c r="AM853" s="2"/>
      <c r="AN853" s="2"/>
      <c r="AO853" s="2"/>
      <c r="AP853" s="2"/>
    </row>
    <row r="854" spans="1:42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7"/>
      <c r="AK854" s="2"/>
      <c r="AL854" s="2"/>
      <c r="AM854" s="2"/>
      <c r="AN854" s="2"/>
      <c r="AO854" s="2"/>
      <c r="AP854" s="2"/>
    </row>
    <row r="855" spans="1:42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7"/>
      <c r="AK855" s="2"/>
      <c r="AL855" s="2"/>
      <c r="AM855" s="2"/>
      <c r="AN855" s="2"/>
      <c r="AO855" s="2"/>
      <c r="AP855" s="2"/>
    </row>
    <row r="856" spans="1:42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7"/>
      <c r="AK856" s="2"/>
      <c r="AL856" s="2"/>
      <c r="AM856" s="2"/>
      <c r="AN856" s="2"/>
      <c r="AO856" s="2"/>
      <c r="AP856" s="2"/>
    </row>
    <row r="857" spans="1:42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7"/>
      <c r="AK857" s="2"/>
      <c r="AL857" s="2"/>
      <c r="AM857" s="2"/>
      <c r="AN857" s="2"/>
      <c r="AO857" s="2"/>
      <c r="AP857" s="2"/>
    </row>
    <row r="858" spans="1:42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7"/>
      <c r="AK858" s="2"/>
      <c r="AL858" s="2"/>
      <c r="AM858" s="2"/>
      <c r="AN858" s="2"/>
      <c r="AO858" s="2"/>
      <c r="AP858" s="2"/>
    </row>
    <row r="859" spans="1:42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7"/>
      <c r="AK859" s="2"/>
      <c r="AL859" s="2"/>
      <c r="AM859" s="2"/>
      <c r="AN859" s="2"/>
      <c r="AO859" s="2"/>
      <c r="AP859" s="2"/>
    </row>
    <row r="860" spans="1:42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7"/>
      <c r="AK860" s="2"/>
      <c r="AL860" s="2"/>
      <c r="AM860" s="2"/>
      <c r="AN860" s="2"/>
      <c r="AO860" s="2"/>
      <c r="AP860" s="2"/>
    </row>
    <row r="861" spans="1:42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7"/>
      <c r="AK861" s="2"/>
      <c r="AL861" s="2"/>
      <c r="AM861" s="2"/>
      <c r="AN861" s="2"/>
      <c r="AO861" s="2"/>
      <c r="AP861" s="2"/>
    </row>
    <row r="862" spans="1:4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7"/>
      <c r="AK862" s="2"/>
      <c r="AL862" s="2"/>
      <c r="AM862" s="2"/>
      <c r="AN862" s="2"/>
      <c r="AO862" s="2"/>
      <c r="AP862" s="2"/>
    </row>
    <row r="863" spans="1:42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7"/>
      <c r="AK863" s="2"/>
      <c r="AL863" s="2"/>
      <c r="AM863" s="2"/>
      <c r="AN863" s="2"/>
      <c r="AO863" s="2"/>
      <c r="AP863" s="2"/>
    </row>
    <row r="864" spans="1:42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7"/>
      <c r="AK864" s="2"/>
      <c r="AL864" s="2"/>
      <c r="AM864" s="2"/>
      <c r="AN864" s="2"/>
      <c r="AO864" s="2"/>
      <c r="AP864" s="2"/>
    </row>
    <row r="865" spans="1:42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7"/>
      <c r="AK865" s="2"/>
      <c r="AL865" s="2"/>
      <c r="AM865" s="2"/>
      <c r="AN865" s="2"/>
      <c r="AO865" s="2"/>
      <c r="AP865" s="2"/>
    </row>
    <row r="866" spans="1:42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7"/>
      <c r="AK866" s="2"/>
      <c r="AL866" s="2"/>
      <c r="AM866" s="2"/>
      <c r="AN866" s="2"/>
      <c r="AO866" s="2"/>
      <c r="AP866" s="2"/>
    </row>
    <row r="867" spans="1:42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7"/>
      <c r="AK867" s="2"/>
      <c r="AL867" s="2"/>
      <c r="AM867" s="2"/>
      <c r="AN867" s="2"/>
      <c r="AO867" s="2"/>
      <c r="AP867" s="2"/>
    </row>
    <row r="868" spans="1:42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7"/>
      <c r="AK868" s="2"/>
      <c r="AL868" s="2"/>
      <c r="AM868" s="2"/>
      <c r="AN868" s="2"/>
      <c r="AO868" s="2"/>
      <c r="AP868" s="2"/>
    </row>
    <row r="869" spans="1:42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7"/>
      <c r="AK869" s="2"/>
      <c r="AL869" s="2"/>
      <c r="AM869" s="2"/>
      <c r="AN869" s="2"/>
      <c r="AO869" s="2"/>
      <c r="AP869" s="2"/>
    </row>
    <row r="870" spans="1:42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7"/>
      <c r="AK870" s="2"/>
      <c r="AL870" s="2"/>
      <c r="AM870" s="2"/>
      <c r="AN870" s="2"/>
      <c r="AO870" s="2"/>
      <c r="AP870" s="2"/>
    </row>
    <row r="871" spans="1:42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7"/>
      <c r="AK871" s="2"/>
      <c r="AL871" s="2"/>
      <c r="AM871" s="2"/>
      <c r="AN871" s="2"/>
      <c r="AO871" s="2"/>
      <c r="AP871" s="2"/>
    </row>
    <row r="872" spans="1:4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7"/>
      <c r="AK872" s="2"/>
      <c r="AL872" s="2"/>
      <c r="AM872" s="2"/>
      <c r="AN872" s="2"/>
      <c r="AO872" s="2"/>
      <c r="AP872" s="2"/>
    </row>
    <row r="873" spans="1:42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7"/>
      <c r="AK873" s="2"/>
      <c r="AL873" s="2"/>
      <c r="AM873" s="2"/>
      <c r="AN873" s="2"/>
      <c r="AO873" s="2"/>
      <c r="AP873" s="2"/>
    </row>
    <row r="874" spans="1:42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7"/>
      <c r="AK874" s="2"/>
      <c r="AL874" s="2"/>
      <c r="AM874" s="2"/>
      <c r="AN874" s="2"/>
      <c r="AO874" s="2"/>
      <c r="AP874" s="2"/>
    </row>
    <row r="875" spans="1:42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7"/>
      <c r="AK875" s="2"/>
      <c r="AL875" s="2"/>
      <c r="AM875" s="2"/>
      <c r="AN875" s="2"/>
      <c r="AO875" s="2"/>
      <c r="AP875" s="2"/>
    </row>
    <row r="876" spans="1:42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7"/>
      <c r="AK876" s="2"/>
      <c r="AL876" s="2"/>
      <c r="AM876" s="2"/>
      <c r="AN876" s="2"/>
      <c r="AO876" s="2"/>
      <c r="AP876" s="2"/>
    </row>
    <row r="877" spans="1:42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7"/>
      <c r="AK877" s="2"/>
      <c r="AL877" s="2"/>
      <c r="AM877" s="2"/>
      <c r="AN877" s="2"/>
      <c r="AO877" s="2"/>
      <c r="AP877" s="2"/>
    </row>
    <row r="878" spans="1:42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7"/>
      <c r="AK878" s="2"/>
      <c r="AL878" s="2"/>
      <c r="AM878" s="2"/>
      <c r="AN878" s="2"/>
      <c r="AO878" s="2"/>
      <c r="AP878" s="2"/>
    </row>
    <row r="879" spans="1:42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7"/>
      <c r="AK879" s="2"/>
      <c r="AL879" s="2"/>
      <c r="AM879" s="2"/>
      <c r="AN879" s="2"/>
      <c r="AO879" s="2"/>
      <c r="AP879" s="2"/>
    </row>
    <row r="880" spans="1:42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7"/>
      <c r="AK880" s="2"/>
      <c r="AL880" s="2"/>
      <c r="AM880" s="2"/>
      <c r="AN880" s="2"/>
      <c r="AO880" s="2"/>
      <c r="AP880" s="2"/>
    </row>
    <row r="881" spans="1:42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7"/>
      <c r="AK881" s="2"/>
      <c r="AL881" s="2"/>
      <c r="AM881" s="2"/>
      <c r="AN881" s="2"/>
      <c r="AO881" s="2"/>
      <c r="AP881" s="2"/>
    </row>
    <row r="882" spans="1:4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7"/>
      <c r="AK882" s="2"/>
      <c r="AL882" s="2"/>
      <c r="AM882" s="2"/>
      <c r="AN882" s="2"/>
      <c r="AO882" s="2"/>
      <c r="AP882" s="2"/>
    </row>
    <row r="883" spans="1:42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7"/>
      <c r="AK883" s="2"/>
      <c r="AL883" s="2"/>
      <c r="AM883" s="2"/>
      <c r="AN883" s="2"/>
      <c r="AO883" s="2"/>
      <c r="AP883" s="2"/>
    </row>
    <row r="884" spans="1:42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7"/>
      <c r="AK884" s="2"/>
      <c r="AL884" s="2"/>
      <c r="AM884" s="2"/>
      <c r="AN884" s="2"/>
      <c r="AO884" s="2"/>
      <c r="AP884" s="2"/>
    </row>
    <row r="885" spans="1:42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7"/>
      <c r="AK885" s="2"/>
      <c r="AL885" s="2"/>
      <c r="AM885" s="2"/>
      <c r="AN885" s="2"/>
      <c r="AO885" s="2"/>
      <c r="AP885" s="2"/>
    </row>
    <row r="886" spans="1:42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7"/>
      <c r="AK886" s="2"/>
      <c r="AL886" s="2"/>
      <c r="AM886" s="2"/>
      <c r="AN886" s="2"/>
      <c r="AO886" s="2"/>
      <c r="AP886" s="2"/>
    </row>
    <row r="887" spans="1:42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7"/>
      <c r="AK887" s="2"/>
      <c r="AL887" s="2"/>
      <c r="AM887" s="2"/>
      <c r="AN887" s="2"/>
      <c r="AO887" s="2"/>
      <c r="AP887" s="2"/>
    </row>
    <row r="888" spans="1:42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7"/>
      <c r="AK888" s="2"/>
      <c r="AL888" s="2"/>
      <c r="AM888" s="2"/>
      <c r="AN888" s="2"/>
      <c r="AO888" s="2"/>
      <c r="AP888" s="2"/>
    </row>
    <row r="889" spans="1:42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7"/>
      <c r="AK889" s="2"/>
      <c r="AL889" s="2"/>
      <c r="AM889" s="2"/>
      <c r="AN889" s="2"/>
      <c r="AO889" s="2"/>
      <c r="AP889" s="2"/>
    </row>
    <row r="890" spans="1:42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7"/>
      <c r="AK890" s="2"/>
      <c r="AL890" s="2"/>
      <c r="AM890" s="2"/>
      <c r="AN890" s="2"/>
      <c r="AO890" s="2"/>
      <c r="AP890" s="2"/>
    </row>
    <row r="891" spans="1:42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7"/>
      <c r="AK891" s="2"/>
      <c r="AL891" s="2"/>
      <c r="AM891" s="2"/>
      <c r="AN891" s="2"/>
      <c r="AO891" s="2"/>
      <c r="AP891" s="2"/>
    </row>
    <row r="892" spans="1:4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7"/>
      <c r="AK892" s="2"/>
      <c r="AL892" s="2"/>
      <c r="AM892" s="2"/>
      <c r="AN892" s="2"/>
      <c r="AO892" s="2"/>
      <c r="AP892" s="2"/>
    </row>
    <row r="893" spans="1:42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7"/>
      <c r="AK893" s="2"/>
      <c r="AL893" s="2"/>
      <c r="AM893" s="2"/>
      <c r="AN893" s="2"/>
      <c r="AO893" s="2"/>
      <c r="AP893" s="2"/>
    </row>
    <row r="894" spans="1:42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7"/>
      <c r="AK894" s="2"/>
      <c r="AL894" s="2"/>
      <c r="AM894" s="2"/>
      <c r="AN894" s="2"/>
      <c r="AO894" s="2"/>
      <c r="AP894" s="2"/>
    </row>
    <row r="895" spans="1:42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7"/>
      <c r="AK895" s="2"/>
      <c r="AL895" s="2"/>
      <c r="AM895" s="2"/>
      <c r="AN895" s="2"/>
      <c r="AO895" s="2"/>
      <c r="AP895" s="2"/>
    </row>
    <row r="896" spans="1:42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7"/>
      <c r="AK896" s="2"/>
      <c r="AL896" s="2"/>
      <c r="AM896" s="2"/>
      <c r="AN896" s="2"/>
      <c r="AO896" s="2"/>
      <c r="AP896" s="2"/>
    </row>
    <row r="897" spans="1:42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7"/>
      <c r="AK897" s="2"/>
      <c r="AL897" s="2"/>
      <c r="AM897" s="2"/>
      <c r="AN897" s="2"/>
      <c r="AO897" s="2"/>
      <c r="AP897" s="2"/>
    </row>
    <row r="898" spans="1:42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7"/>
      <c r="AK898" s="2"/>
      <c r="AL898" s="2"/>
      <c r="AM898" s="2"/>
      <c r="AN898" s="2"/>
      <c r="AO898" s="2"/>
      <c r="AP898" s="2"/>
    </row>
    <row r="899" spans="1:42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7"/>
      <c r="AK899" s="2"/>
      <c r="AL899" s="2"/>
      <c r="AM899" s="2"/>
      <c r="AN899" s="2"/>
      <c r="AO899" s="2"/>
      <c r="AP899" s="2"/>
    </row>
    <row r="900" spans="1:42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7"/>
      <c r="AK900" s="2"/>
      <c r="AL900" s="2"/>
      <c r="AM900" s="2"/>
      <c r="AN900" s="2"/>
      <c r="AO900" s="2"/>
      <c r="AP900" s="2"/>
    </row>
    <row r="901" spans="1:42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7"/>
      <c r="AK901" s="2"/>
      <c r="AL901" s="2"/>
      <c r="AM901" s="2"/>
      <c r="AN901" s="2"/>
      <c r="AO901" s="2"/>
      <c r="AP901" s="2"/>
    </row>
    <row r="902" spans="1:4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7"/>
      <c r="AK902" s="2"/>
      <c r="AL902" s="2"/>
      <c r="AM902" s="2"/>
      <c r="AN902" s="2"/>
      <c r="AO902" s="2"/>
      <c r="AP902" s="2"/>
    </row>
    <row r="903" spans="1:42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7"/>
      <c r="AK903" s="2"/>
      <c r="AL903" s="2"/>
      <c r="AM903" s="2"/>
      <c r="AN903" s="2"/>
      <c r="AO903" s="2"/>
      <c r="AP903" s="2"/>
    </row>
    <row r="904" spans="1:42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7"/>
      <c r="AK904" s="2"/>
      <c r="AL904" s="2"/>
      <c r="AM904" s="2"/>
      <c r="AN904" s="2"/>
      <c r="AO904" s="2"/>
      <c r="AP904" s="2"/>
    </row>
    <row r="905" spans="1:42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7"/>
      <c r="AK905" s="2"/>
      <c r="AL905" s="2"/>
      <c r="AM905" s="2"/>
      <c r="AN905" s="2"/>
      <c r="AO905" s="2"/>
      <c r="AP905" s="2"/>
    </row>
    <row r="906" spans="1:42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7"/>
      <c r="AK906" s="2"/>
      <c r="AL906" s="2"/>
      <c r="AM906" s="2"/>
      <c r="AN906" s="2"/>
      <c r="AO906" s="2"/>
      <c r="AP906" s="2"/>
    </row>
    <row r="907" spans="1:42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7"/>
      <c r="AK907" s="2"/>
      <c r="AL907" s="2"/>
      <c r="AM907" s="2"/>
      <c r="AN907" s="2"/>
      <c r="AO907" s="2"/>
      <c r="AP907" s="2"/>
    </row>
    <row r="908" spans="1:42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7"/>
      <c r="AK908" s="2"/>
      <c r="AL908" s="2"/>
      <c r="AM908" s="2"/>
      <c r="AN908" s="2"/>
      <c r="AO908" s="2"/>
      <c r="AP908" s="2"/>
    </row>
    <row r="909" spans="1:42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7"/>
      <c r="AK909" s="2"/>
      <c r="AL909" s="2"/>
      <c r="AM909" s="2"/>
      <c r="AN909" s="2"/>
      <c r="AO909" s="2"/>
      <c r="AP909" s="2"/>
    </row>
    <row r="910" spans="1:42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7"/>
      <c r="AK910" s="2"/>
      <c r="AL910" s="2"/>
      <c r="AM910" s="2"/>
      <c r="AN910" s="2"/>
      <c r="AO910" s="2"/>
      <c r="AP910" s="2"/>
    </row>
    <row r="911" spans="1:42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7"/>
      <c r="AK911" s="2"/>
      <c r="AL911" s="2"/>
      <c r="AM911" s="2"/>
      <c r="AN911" s="2"/>
      <c r="AO911" s="2"/>
      <c r="AP911" s="2"/>
    </row>
    <row r="912" spans="1:4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7"/>
      <c r="AK912" s="2"/>
      <c r="AL912" s="2"/>
      <c r="AM912" s="2"/>
      <c r="AN912" s="2"/>
      <c r="AO912" s="2"/>
      <c r="AP912" s="2"/>
    </row>
    <row r="913" spans="1:42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7"/>
      <c r="AK913" s="2"/>
      <c r="AL913" s="2"/>
      <c r="AM913" s="2"/>
      <c r="AN913" s="2"/>
      <c r="AO913" s="2"/>
      <c r="AP913" s="2"/>
    </row>
    <row r="914" spans="1:42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7"/>
      <c r="AK914" s="2"/>
      <c r="AL914" s="2"/>
      <c r="AM914" s="2"/>
      <c r="AN914" s="2"/>
      <c r="AO914" s="2"/>
      <c r="AP914" s="2"/>
    </row>
    <row r="915" spans="1:42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7"/>
      <c r="AK915" s="2"/>
      <c r="AL915" s="2"/>
      <c r="AM915" s="2"/>
      <c r="AN915" s="2"/>
      <c r="AO915" s="2"/>
      <c r="AP915" s="2"/>
    </row>
    <row r="916" spans="1:42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7"/>
      <c r="AK916" s="2"/>
      <c r="AL916" s="2"/>
      <c r="AM916" s="2"/>
      <c r="AN916" s="2"/>
      <c r="AO916" s="2"/>
      <c r="AP916" s="2"/>
    </row>
    <row r="917" spans="1:42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7"/>
      <c r="AK917" s="2"/>
      <c r="AL917" s="2"/>
      <c r="AM917" s="2"/>
      <c r="AN917" s="2"/>
      <c r="AO917" s="2"/>
      <c r="AP917" s="2"/>
    </row>
    <row r="918" spans="1:42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7"/>
      <c r="AK918" s="2"/>
      <c r="AL918" s="2"/>
      <c r="AM918" s="2"/>
      <c r="AN918" s="2"/>
      <c r="AO918" s="2"/>
      <c r="AP918" s="2"/>
    </row>
    <row r="919" spans="1:42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7"/>
      <c r="AK919" s="2"/>
      <c r="AL919" s="2"/>
      <c r="AM919" s="2"/>
      <c r="AN919" s="2"/>
      <c r="AO919" s="2"/>
      <c r="AP919" s="2"/>
    </row>
    <row r="920" spans="1:42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7"/>
      <c r="AK920" s="2"/>
      <c r="AL920" s="2"/>
      <c r="AM920" s="2"/>
      <c r="AN920" s="2"/>
      <c r="AO920" s="2"/>
      <c r="AP920" s="2"/>
    </row>
    <row r="921" spans="1:42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7"/>
      <c r="AK921" s="2"/>
      <c r="AL921" s="2"/>
      <c r="AM921" s="2"/>
      <c r="AN921" s="2"/>
      <c r="AO921" s="2"/>
      <c r="AP921" s="2"/>
    </row>
    <row r="922" spans="1:4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7"/>
      <c r="AK922" s="2"/>
      <c r="AL922" s="2"/>
      <c r="AM922" s="2"/>
      <c r="AN922" s="2"/>
      <c r="AO922" s="2"/>
      <c r="AP922" s="2"/>
    </row>
    <row r="923" spans="1:42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7"/>
      <c r="AK923" s="2"/>
      <c r="AL923" s="2"/>
      <c r="AM923" s="2"/>
      <c r="AN923" s="2"/>
      <c r="AO923" s="2"/>
      <c r="AP923" s="2"/>
    </row>
    <row r="924" spans="1:42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7"/>
      <c r="AK924" s="2"/>
      <c r="AL924" s="2"/>
      <c r="AM924" s="2"/>
      <c r="AN924" s="2"/>
      <c r="AO924" s="2"/>
      <c r="AP924" s="2"/>
    </row>
    <row r="925" spans="1:42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7"/>
      <c r="AK925" s="2"/>
      <c r="AL925" s="2"/>
      <c r="AM925" s="2"/>
      <c r="AN925" s="2"/>
      <c r="AO925" s="2"/>
      <c r="AP925" s="2"/>
    </row>
    <row r="926" spans="1:42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7"/>
      <c r="AK926" s="2"/>
      <c r="AL926" s="2"/>
      <c r="AM926" s="2"/>
      <c r="AN926" s="2"/>
      <c r="AO926" s="2"/>
      <c r="AP926" s="2"/>
    </row>
    <row r="927" spans="1:42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7"/>
      <c r="AK927" s="2"/>
      <c r="AL927" s="2"/>
      <c r="AM927" s="2"/>
      <c r="AN927" s="2"/>
      <c r="AO927" s="2"/>
      <c r="AP927" s="2"/>
    </row>
    <row r="928" spans="1:42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7"/>
      <c r="AK928" s="2"/>
      <c r="AL928" s="2"/>
      <c r="AM928" s="2"/>
      <c r="AN928" s="2"/>
      <c r="AO928" s="2"/>
      <c r="AP928" s="2"/>
    </row>
    <row r="929" spans="1:42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7"/>
      <c r="AK929" s="2"/>
      <c r="AL929" s="2"/>
      <c r="AM929" s="2"/>
      <c r="AN929" s="2"/>
      <c r="AO929" s="2"/>
      <c r="AP929" s="2"/>
    </row>
    <row r="930" spans="1:42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7"/>
      <c r="AK930" s="2"/>
      <c r="AL930" s="2"/>
      <c r="AM930" s="2"/>
      <c r="AN930" s="2"/>
      <c r="AO930" s="2"/>
      <c r="AP930" s="2"/>
    </row>
    <row r="931" spans="1:42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7"/>
      <c r="AK931" s="2"/>
      <c r="AL931" s="2"/>
      <c r="AM931" s="2"/>
      <c r="AN931" s="2"/>
      <c r="AO931" s="2"/>
      <c r="AP931" s="2"/>
    </row>
    <row r="932" spans="1:4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7"/>
      <c r="AK932" s="2"/>
      <c r="AL932" s="2"/>
      <c r="AM932" s="2"/>
      <c r="AN932" s="2"/>
      <c r="AO932" s="2"/>
      <c r="AP932" s="2"/>
    </row>
    <row r="933" spans="1:42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7"/>
      <c r="AK933" s="2"/>
      <c r="AL933" s="2"/>
      <c r="AM933" s="2"/>
      <c r="AN933" s="2"/>
      <c r="AO933" s="2"/>
      <c r="AP933" s="2"/>
    </row>
    <row r="934" spans="1:42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7"/>
      <c r="AK934" s="2"/>
      <c r="AL934" s="2"/>
      <c r="AM934" s="2"/>
      <c r="AN934" s="2"/>
      <c r="AO934" s="2"/>
      <c r="AP934" s="2"/>
    </row>
    <row r="935" spans="1:42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7"/>
      <c r="AK935" s="2"/>
      <c r="AL935" s="2"/>
      <c r="AM935" s="2"/>
      <c r="AN935" s="2"/>
      <c r="AO935" s="2"/>
      <c r="AP935" s="2"/>
    </row>
    <row r="936" spans="1:42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7"/>
      <c r="AK936" s="2"/>
      <c r="AL936" s="2"/>
      <c r="AM936" s="2"/>
      <c r="AN936" s="2"/>
      <c r="AO936" s="2"/>
      <c r="AP936" s="2"/>
    </row>
    <row r="937" spans="1:42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7"/>
      <c r="AK937" s="2"/>
      <c r="AL937" s="2"/>
      <c r="AM937" s="2"/>
      <c r="AN937" s="2"/>
      <c r="AO937" s="2"/>
      <c r="AP937" s="2"/>
    </row>
    <row r="938" spans="1:42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7"/>
      <c r="AK938" s="2"/>
      <c r="AL938" s="2"/>
      <c r="AM938" s="2"/>
      <c r="AN938" s="2"/>
      <c r="AO938" s="2"/>
      <c r="AP938" s="2"/>
    </row>
    <row r="939" spans="1:42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7"/>
      <c r="AK939" s="2"/>
      <c r="AL939" s="2"/>
      <c r="AM939" s="2"/>
      <c r="AN939" s="2"/>
      <c r="AO939" s="2"/>
      <c r="AP939" s="2"/>
    </row>
    <row r="940" spans="1:42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7"/>
      <c r="AK940" s="2"/>
      <c r="AL940" s="2"/>
      <c r="AM940" s="2"/>
      <c r="AN940" s="2"/>
      <c r="AO940" s="2"/>
      <c r="AP940" s="2"/>
    </row>
    <row r="941" spans="1:42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7"/>
      <c r="AK941" s="2"/>
      <c r="AL941" s="2"/>
      <c r="AM941" s="2"/>
      <c r="AN941" s="2"/>
      <c r="AO941" s="2"/>
      <c r="AP941" s="2"/>
    </row>
    <row r="942" spans="1: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7"/>
      <c r="AK942" s="2"/>
      <c r="AL942" s="2"/>
      <c r="AM942" s="2"/>
      <c r="AN942" s="2"/>
      <c r="AO942" s="2"/>
      <c r="AP942" s="2"/>
    </row>
    <row r="943" spans="1:42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7"/>
      <c r="AK943" s="2"/>
      <c r="AL943" s="2"/>
      <c r="AM943" s="2"/>
      <c r="AN943" s="2"/>
      <c r="AO943" s="2"/>
      <c r="AP943" s="2"/>
    </row>
    <row r="944" spans="1:42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7"/>
      <c r="AK944" s="2"/>
      <c r="AL944" s="2"/>
      <c r="AM944" s="2"/>
      <c r="AN944" s="2"/>
      <c r="AO944" s="2"/>
      <c r="AP944" s="2"/>
    </row>
    <row r="945" spans="1:42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7"/>
      <c r="AK945" s="2"/>
      <c r="AL945" s="2"/>
      <c r="AM945" s="2"/>
      <c r="AN945" s="2"/>
      <c r="AO945" s="2"/>
      <c r="AP945" s="2"/>
    </row>
    <row r="946" spans="1:42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7"/>
      <c r="AK946" s="2"/>
      <c r="AL946" s="2"/>
      <c r="AM946" s="2"/>
      <c r="AN946" s="2"/>
      <c r="AO946" s="2"/>
      <c r="AP946" s="2"/>
    </row>
    <row r="947" spans="1:42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7"/>
      <c r="AK947" s="2"/>
      <c r="AL947" s="2"/>
      <c r="AM947" s="2"/>
      <c r="AN947" s="2"/>
      <c r="AO947" s="2"/>
      <c r="AP947" s="2"/>
    </row>
    <row r="948" spans="1:42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7"/>
      <c r="AK948" s="2"/>
      <c r="AL948" s="2"/>
      <c r="AM948" s="2"/>
      <c r="AN948" s="2"/>
      <c r="AO948" s="2"/>
      <c r="AP948" s="2"/>
    </row>
    <row r="949" spans="1:42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7"/>
      <c r="AK949" s="2"/>
      <c r="AL949" s="2"/>
      <c r="AM949" s="2"/>
      <c r="AN949" s="2"/>
      <c r="AO949" s="2"/>
      <c r="AP949" s="2"/>
    </row>
    <row r="950" spans="1:42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7"/>
      <c r="AK950" s="2"/>
      <c r="AL950" s="2"/>
      <c r="AM950" s="2"/>
      <c r="AN950" s="2"/>
      <c r="AO950" s="2"/>
      <c r="AP950" s="2"/>
    </row>
    <row r="951" spans="1:42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7"/>
      <c r="AK951" s="2"/>
      <c r="AL951" s="2"/>
      <c r="AM951" s="2"/>
      <c r="AN951" s="2"/>
      <c r="AO951" s="2"/>
      <c r="AP951" s="2"/>
    </row>
    <row r="952" spans="1:4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7"/>
      <c r="AK952" s="2"/>
      <c r="AL952" s="2"/>
      <c r="AM952" s="2"/>
      <c r="AN952" s="2"/>
      <c r="AO952" s="2"/>
      <c r="AP952" s="2"/>
    </row>
    <row r="953" spans="1:42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7"/>
      <c r="AK953" s="2"/>
      <c r="AL953" s="2"/>
      <c r="AM953" s="2"/>
      <c r="AN953" s="2"/>
      <c r="AO953" s="2"/>
      <c r="AP953" s="2"/>
    </row>
    <row r="954" spans="1:42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7"/>
      <c r="AK954" s="2"/>
      <c r="AL954" s="2"/>
      <c r="AM954" s="2"/>
      <c r="AN954" s="2"/>
      <c r="AO954" s="2"/>
      <c r="AP954" s="2"/>
    </row>
    <row r="955" spans="1:42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7"/>
      <c r="AK955" s="2"/>
      <c r="AL955" s="2"/>
      <c r="AM955" s="2"/>
      <c r="AN955" s="2"/>
      <c r="AO955" s="2"/>
      <c r="AP955" s="2"/>
    </row>
    <row r="956" spans="1:42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7"/>
      <c r="AK956" s="2"/>
      <c r="AL956" s="2"/>
      <c r="AM956" s="2"/>
      <c r="AN956" s="2"/>
      <c r="AO956" s="2"/>
      <c r="AP956" s="2"/>
    </row>
    <row r="957" spans="1:42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7"/>
      <c r="AK957" s="2"/>
      <c r="AL957" s="2"/>
      <c r="AM957" s="2"/>
      <c r="AN957" s="2"/>
      <c r="AO957" s="2"/>
      <c r="AP957" s="2"/>
    </row>
    <row r="958" spans="1:42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7"/>
      <c r="AK958" s="2"/>
      <c r="AL958" s="2"/>
      <c r="AM958" s="2"/>
      <c r="AN958" s="2"/>
      <c r="AO958" s="2"/>
      <c r="AP958" s="2"/>
    </row>
    <row r="959" spans="1:42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7"/>
      <c r="AK959" s="2"/>
      <c r="AL959" s="2"/>
      <c r="AM959" s="2"/>
      <c r="AN959" s="2"/>
      <c r="AO959" s="2"/>
      <c r="AP959" s="2"/>
    </row>
    <row r="960" spans="1:42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7"/>
      <c r="AK960" s="2"/>
      <c r="AL960" s="2"/>
      <c r="AM960" s="2"/>
      <c r="AN960" s="2"/>
      <c r="AO960" s="2"/>
      <c r="AP960" s="2"/>
    </row>
    <row r="961" spans="1:42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7"/>
      <c r="AK961" s="2"/>
      <c r="AL961" s="2"/>
      <c r="AM961" s="2"/>
      <c r="AN961" s="2"/>
      <c r="AO961" s="2"/>
      <c r="AP961" s="2"/>
    </row>
    <row r="962" spans="1:4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7"/>
      <c r="AK962" s="2"/>
      <c r="AL962" s="2"/>
      <c r="AM962" s="2"/>
      <c r="AN962" s="2"/>
      <c r="AO962" s="2"/>
      <c r="AP962" s="2"/>
    </row>
    <row r="963" spans="1:42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7"/>
      <c r="AK963" s="2"/>
      <c r="AL963" s="2"/>
      <c r="AM963" s="2"/>
      <c r="AN963" s="2"/>
      <c r="AO963" s="2"/>
      <c r="AP963" s="2"/>
    </row>
    <row r="964" spans="1:42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7"/>
      <c r="AK964" s="2"/>
      <c r="AL964" s="2"/>
      <c r="AM964" s="2"/>
      <c r="AN964" s="2"/>
      <c r="AO964" s="2"/>
      <c r="AP964" s="2"/>
    </row>
    <row r="965" spans="1:42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7"/>
      <c r="AK965" s="2"/>
      <c r="AL965" s="2"/>
      <c r="AM965" s="2"/>
      <c r="AN965" s="2"/>
      <c r="AO965" s="2"/>
      <c r="AP965" s="2"/>
    </row>
    <row r="966" spans="1:42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7"/>
      <c r="AK966" s="2"/>
      <c r="AL966" s="2"/>
      <c r="AM966" s="2"/>
      <c r="AN966" s="2"/>
      <c r="AO966" s="2"/>
      <c r="AP966" s="2"/>
    </row>
    <row r="967" spans="1:42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7"/>
      <c r="AK967" s="2"/>
      <c r="AL967" s="2"/>
      <c r="AM967" s="2"/>
      <c r="AN967" s="2"/>
      <c r="AO967" s="2"/>
      <c r="AP967" s="2"/>
    </row>
    <row r="968" spans="1:42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7"/>
      <c r="AK968" s="2"/>
      <c r="AL968" s="2"/>
      <c r="AM968" s="2"/>
      <c r="AN968" s="2"/>
      <c r="AO968" s="2"/>
      <c r="AP968" s="2"/>
    </row>
    <row r="969" spans="1:42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7"/>
      <c r="AK969" s="2"/>
      <c r="AL969" s="2"/>
      <c r="AM969" s="2"/>
      <c r="AN969" s="2"/>
      <c r="AO969" s="2"/>
      <c r="AP969" s="2"/>
    </row>
    <row r="970" spans="1:42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7"/>
      <c r="AK970" s="2"/>
      <c r="AL970" s="2"/>
      <c r="AM970" s="2"/>
      <c r="AN970" s="2"/>
      <c r="AO970" s="2"/>
      <c r="AP970" s="2"/>
    </row>
    <row r="971" spans="1:42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7"/>
      <c r="AK971" s="2"/>
      <c r="AL971" s="2"/>
      <c r="AM971" s="2"/>
      <c r="AN971" s="2"/>
      <c r="AO971" s="2"/>
      <c r="AP971" s="2"/>
    </row>
    <row r="972" spans="1:4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7"/>
      <c r="AK972" s="2"/>
      <c r="AL972" s="2"/>
      <c r="AM972" s="2"/>
      <c r="AN972" s="2"/>
      <c r="AO972" s="2"/>
      <c r="AP972" s="2"/>
    </row>
    <row r="973" spans="1:42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7"/>
      <c r="AK973" s="2"/>
      <c r="AL973" s="2"/>
      <c r="AM973" s="2"/>
      <c r="AN973" s="2"/>
      <c r="AO973" s="2"/>
      <c r="AP973" s="2"/>
    </row>
    <row r="974" spans="1:42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7"/>
      <c r="AK974" s="2"/>
      <c r="AL974" s="2"/>
      <c r="AM974" s="2"/>
      <c r="AN974" s="2"/>
      <c r="AO974" s="2"/>
      <c r="AP974" s="2"/>
    </row>
    <row r="975" spans="1:42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7"/>
      <c r="AK975" s="2"/>
      <c r="AL975" s="2"/>
      <c r="AM975" s="2"/>
      <c r="AN975" s="2"/>
      <c r="AO975" s="2"/>
      <c r="AP975" s="2"/>
    </row>
    <row r="976" spans="1:42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7"/>
      <c r="AK976" s="2"/>
      <c r="AL976" s="2"/>
      <c r="AM976" s="2"/>
      <c r="AN976" s="2"/>
      <c r="AO976" s="2"/>
      <c r="AP976" s="2"/>
    </row>
    <row r="977" spans="1:42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7"/>
      <c r="AK977" s="2"/>
      <c r="AL977" s="2"/>
      <c r="AM977" s="2"/>
      <c r="AN977" s="2"/>
      <c r="AO977" s="2"/>
      <c r="AP977" s="2"/>
    </row>
    <row r="978" spans="1:42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7"/>
      <c r="AK978" s="2"/>
      <c r="AL978" s="2"/>
      <c r="AM978" s="2"/>
      <c r="AN978" s="2"/>
      <c r="AO978" s="2"/>
      <c r="AP978" s="2"/>
    </row>
    <row r="979" spans="1:42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7"/>
      <c r="AK979" s="2"/>
      <c r="AL979" s="2"/>
      <c r="AM979" s="2"/>
      <c r="AN979" s="2"/>
      <c r="AO979" s="2"/>
      <c r="AP979" s="2"/>
    </row>
    <row r="980" spans="1:42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7"/>
      <c r="AK980" s="2"/>
      <c r="AL980" s="2"/>
      <c r="AM980" s="2"/>
      <c r="AN980" s="2"/>
      <c r="AO980" s="2"/>
      <c r="AP980" s="2"/>
    </row>
    <row r="981" spans="1:42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7"/>
      <c r="AK981" s="2"/>
      <c r="AL981" s="2"/>
      <c r="AM981" s="2"/>
      <c r="AN981" s="2"/>
      <c r="AO981" s="2"/>
      <c r="AP981" s="2"/>
    </row>
    <row r="982" spans="1:4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7"/>
      <c r="AK982" s="2"/>
      <c r="AL982" s="2"/>
      <c r="AM982" s="2"/>
      <c r="AN982" s="2"/>
      <c r="AO982" s="2"/>
      <c r="AP982" s="2"/>
    </row>
    <row r="983" spans="1:42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7"/>
      <c r="AK983" s="2"/>
      <c r="AL983" s="2"/>
      <c r="AM983" s="2"/>
      <c r="AN983" s="2"/>
      <c r="AO983" s="2"/>
      <c r="AP983" s="2"/>
    </row>
    <row r="984" spans="1:42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7"/>
      <c r="AK984" s="2"/>
      <c r="AL984" s="2"/>
      <c r="AM984" s="2"/>
      <c r="AN984" s="2"/>
      <c r="AO984" s="2"/>
      <c r="AP984" s="2"/>
    </row>
    <row r="985" spans="1:42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7"/>
      <c r="AK985" s="2"/>
      <c r="AL985" s="2"/>
      <c r="AM985" s="2"/>
      <c r="AN985" s="2"/>
      <c r="AO985" s="2"/>
      <c r="AP985" s="2"/>
    </row>
    <row r="986" spans="1:42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7"/>
      <c r="AK986" s="2"/>
      <c r="AL986" s="2"/>
      <c r="AM986" s="2"/>
      <c r="AN986" s="2"/>
      <c r="AO986" s="2"/>
      <c r="AP986" s="2"/>
    </row>
    <row r="987" spans="1:42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7"/>
      <c r="AK987" s="2"/>
      <c r="AL987" s="2"/>
      <c r="AM987" s="2"/>
      <c r="AN987" s="2"/>
      <c r="AO987" s="2"/>
      <c r="AP987" s="2"/>
    </row>
    <row r="988" spans="1:42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7"/>
      <c r="AK988" s="2"/>
      <c r="AL988" s="2"/>
      <c r="AM988" s="2"/>
      <c r="AN988" s="2"/>
      <c r="AO988" s="2"/>
      <c r="AP988" s="2"/>
    </row>
    <row r="989" spans="1:42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7"/>
      <c r="AK989" s="2"/>
      <c r="AL989" s="2"/>
      <c r="AM989" s="2"/>
      <c r="AN989" s="2"/>
      <c r="AO989" s="2"/>
      <c r="AP989" s="2"/>
    </row>
    <row r="990" spans="1:42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7"/>
      <c r="AK990" s="2"/>
      <c r="AL990" s="2"/>
      <c r="AM990" s="2"/>
      <c r="AN990" s="2"/>
      <c r="AO990" s="2"/>
      <c r="AP990" s="2"/>
    </row>
    <row r="991" spans="1:42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7"/>
      <c r="AK991" s="2"/>
      <c r="AL991" s="2"/>
      <c r="AM991" s="2"/>
      <c r="AN991" s="2"/>
      <c r="AO991" s="2"/>
      <c r="AP991" s="2"/>
    </row>
    <row r="992" spans="1:4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7"/>
      <c r="AK992" s="2"/>
      <c r="AL992" s="2"/>
      <c r="AM992" s="2"/>
      <c r="AN992" s="2"/>
      <c r="AO992" s="2"/>
      <c r="AP992" s="2"/>
    </row>
    <row r="993" spans="1:42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7"/>
      <c r="AK993" s="2"/>
      <c r="AL993" s="2"/>
      <c r="AM993" s="2"/>
      <c r="AN993" s="2"/>
      <c r="AO993" s="2"/>
      <c r="AP993" s="2"/>
    </row>
    <row r="994" spans="1:42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7"/>
      <c r="AK994" s="2"/>
      <c r="AL994" s="2"/>
      <c r="AM994" s="2"/>
      <c r="AN994" s="2"/>
      <c r="AO994" s="2"/>
      <c r="AP994" s="2"/>
    </row>
    <row r="995" spans="1:42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7"/>
      <c r="AK995" s="2"/>
      <c r="AL995" s="2"/>
      <c r="AM995" s="2"/>
      <c r="AN995" s="2"/>
      <c r="AO995" s="2"/>
      <c r="AP995" s="2"/>
    </row>
    <row r="996" spans="1:42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7"/>
      <c r="AK996" s="2"/>
      <c r="AL996" s="2"/>
      <c r="AM996" s="2"/>
      <c r="AN996" s="2"/>
      <c r="AO996" s="2"/>
      <c r="AP996" s="2"/>
    </row>
    <row r="997" spans="1:42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7"/>
      <c r="AK997" s="2"/>
      <c r="AL997" s="2"/>
      <c r="AM997" s="2"/>
      <c r="AN997" s="2"/>
      <c r="AO997" s="2"/>
      <c r="AP997" s="2"/>
    </row>
    <row r="998" spans="1:42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7"/>
      <c r="AK998" s="2"/>
      <c r="AL998" s="2"/>
      <c r="AM998" s="2"/>
      <c r="AN998" s="2"/>
      <c r="AO998" s="2"/>
      <c r="AP998" s="2"/>
    </row>
    <row r="999" spans="1:42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7"/>
      <c r="AK999" s="2"/>
      <c r="AL999" s="2"/>
      <c r="AM999" s="2"/>
      <c r="AN999" s="2"/>
      <c r="AO999" s="2"/>
      <c r="AP999" s="2"/>
    </row>
    <row r="1000" spans="1:42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7"/>
      <c r="AK1000" s="2"/>
      <c r="AL1000" s="2"/>
      <c r="AM1000" s="2"/>
      <c r="AN1000" s="2"/>
      <c r="AO1000" s="2"/>
      <c r="AP1000" s="2"/>
    </row>
  </sheetData>
  <mergeCells count="31">
    <mergeCell ref="F3:F4"/>
    <mergeCell ref="G3:G4"/>
    <mergeCell ref="C104:C106"/>
    <mergeCell ref="C107:C110"/>
    <mergeCell ref="A38:D38"/>
    <mergeCell ref="A51:E52"/>
    <mergeCell ref="A73:E74"/>
    <mergeCell ref="A98:A99"/>
    <mergeCell ref="B98:B99"/>
    <mergeCell ref="C98:C99"/>
    <mergeCell ref="C100:C101"/>
    <mergeCell ref="A3:A4"/>
    <mergeCell ref="B3:B4"/>
    <mergeCell ref="C3:C4"/>
    <mergeCell ref="D3:D4"/>
    <mergeCell ref="E3:E4"/>
    <mergeCell ref="V9:V11"/>
    <mergeCell ref="V12:V15"/>
    <mergeCell ref="H3:H4"/>
    <mergeCell ref="I3:I4"/>
    <mergeCell ref="J3:J4"/>
    <mergeCell ref="K3:K4"/>
    <mergeCell ref="L3:L4"/>
    <mergeCell ref="M3:O3"/>
    <mergeCell ref="P3:R3"/>
    <mergeCell ref="S3:U3"/>
    <mergeCell ref="W3:Z3"/>
    <mergeCell ref="AA3:AC3"/>
    <mergeCell ref="AD3:AF3"/>
    <mergeCell ref="AG3:AI3"/>
    <mergeCell ref="V5:V6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4A6C1-C2F8-4C5A-ADD5-64BEBAD6A0CA}">
  <sheetPr codeName="Hoja6">
    <tabColor rgb="FF002060"/>
    <outlinePr summaryBelow="0" summaryRight="0"/>
  </sheetPr>
  <dimension ref="A1:HE1686"/>
  <sheetViews>
    <sheetView zoomScale="80" zoomScaleNormal="80" workbookViewId="0">
      <pane xSplit="3" ySplit="4" topLeftCell="D53" activePane="bottomRight" state="frozen"/>
      <selection pane="topRight" activeCell="D1" sqref="D1"/>
      <selection pane="bottomLeft" activeCell="A5" sqref="A5"/>
      <selection pane="bottomRight" activeCell="AN108" sqref="AN108"/>
    </sheetView>
  </sheetViews>
  <sheetFormatPr baseColWidth="10" defaultColWidth="12.25" defaultRowHeight="15" customHeight="1"/>
  <cols>
    <col min="1" max="1" width="11.25" style="271" customWidth="1"/>
    <col min="2" max="2" width="10.375" style="271" customWidth="1"/>
    <col min="3" max="3" width="31.375" style="271" bestFit="1" customWidth="1"/>
    <col min="4" max="4" width="7.75" style="271" customWidth="1"/>
    <col min="5" max="5" width="17.25" style="271" bestFit="1" customWidth="1"/>
    <col min="6" max="6" width="11.375" style="334" bestFit="1" customWidth="1"/>
    <col min="7" max="7" width="11" style="271" customWidth="1"/>
    <col min="8" max="8" width="10.25" style="295" bestFit="1" customWidth="1"/>
    <col min="9" max="9" width="5" style="330" customWidth="1"/>
    <col min="10" max="10" width="8" style="271" customWidth="1"/>
    <col min="11" max="11" width="9.5" style="271" customWidth="1"/>
    <col min="12" max="12" width="12" style="271" customWidth="1"/>
    <col min="13" max="13" width="10.625" style="271" customWidth="1"/>
    <col min="14" max="14" width="9.75" style="271" customWidth="1"/>
    <col min="15" max="15" width="16.75" style="418" bestFit="1" customWidth="1"/>
    <col min="16" max="16" width="13" style="433" customWidth="1"/>
    <col min="17" max="17" width="10.5" style="432" customWidth="1"/>
    <col min="18" max="18" width="9.25" style="443" customWidth="1"/>
    <col min="19" max="19" width="9.25" style="329" customWidth="1"/>
    <col min="20" max="20" width="8.375" style="443" customWidth="1"/>
    <col min="21" max="21" width="4.375" style="443" customWidth="1"/>
    <col min="22" max="22" width="14" style="455" customWidth="1"/>
    <col min="23" max="23" width="14" style="463" customWidth="1"/>
    <col min="24" max="24" width="4.375" style="329" customWidth="1"/>
    <col min="25" max="25" width="4.375" style="443" customWidth="1"/>
    <col min="26" max="26" width="7.375" style="463" customWidth="1"/>
    <col min="27" max="27" width="4.625" style="443" customWidth="1"/>
    <col min="28" max="28" width="10.375" style="329" customWidth="1"/>
    <col min="29" max="29" width="8.75" style="330" customWidth="1"/>
    <col min="30" max="30" width="7.375" style="334" bestFit="1" customWidth="1"/>
    <col min="31" max="31" width="7.75" style="334" customWidth="1"/>
    <col min="32" max="32" width="10" style="296" bestFit="1" customWidth="1"/>
    <col min="33" max="33" width="9.875" style="296" bestFit="1" customWidth="1"/>
    <col min="34" max="34" width="10.375" style="296" bestFit="1" customWidth="1"/>
    <col min="35" max="35" width="24.75" style="465" customWidth="1"/>
    <col min="36" max="36" width="12.25" style="465"/>
    <col min="37" max="37" width="7.25" style="271" customWidth="1"/>
    <col min="38" max="38" width="10.75" style="290" customWidth="1"/>
    <col min="39" max="39" width="7" style="271" customWidth="1"/>
    <col min="40" max="40" width="8" style="271" bestFit="1" customWidth="1"/>
    <col min="41" max="41" width="13" style="271" bestFit="1" customWidth="1"/>
    <col min="42" max="42" width="8.25" style="271" customWidth="1"/>
    <col min="43" max="43" width="9.25" style="271" bestFit="1" customWidth="1"/>
    <col min="44" max="44" width="7.75" style="271" customWidth="1"/>
    <col min="45" max="45" width="11.25" style="271" customWidth="1"/>
    <col min="46" max="46" width="8.625" style="290" customWidth="1"/>
    <col min="47" max="47" width="10.875" style="488" customWidth="1"/>
    <col min="48" max="48" width="8.625" style="634" customWidth="1"/>
    <col min="49" max="49" width="10.625" style="334" customWidth="1"/>
    <col min="50" max="50" width="7.5" style="271" customWidth="1"/>
    <col min="51" max="51" width="6.25" style="271" bestFit="1" customWidth="1"/>
    <col min="52" max="52" width="11.75" style="271" bestFit="1" customWidth="1"/>
    <col min="53" max="53" width="3.875" style="271" bestFit="1" customWidth="1"/>
    <col min="54" max="54" width="4.875" style="271" bestFit="1" customWidth="1"/>
    <col min="55" max="55" width="3.375" style="271" bestFit="1" customWidth="1"/>
    <col min="56" max="56" width="11.25" style="271" bestFit="1" customWidth="1"/>
    <col min="57" max="57" width="11.25" style="290" bestFit="1" customWidth="1"/>
    <col min="58" max="58" width="13.375" style="271" bestFit="1" customWidth="1"/>
    <col min="59" max="16384" width="12.25" style="271"/>
  </cols>
  <sheetData>
    <row r="1" spans="1:213" ht="15" customHeight="1">
      <c r="B1" s="271">
        <v>1</v>
      </c>
      <c r="C1" s="271">
        <v>2</v>
      </c>
      <c r="D1" s="271">
        <v>3</v>
      </c>
      <c r="E1" s="271">
        <v>4</v>
      </c>
      <c r="F1" s="378">
        <v>5</v>
      </c>
      <c r="G1" s="271">
        <v>6</v>
      </c>
      <c r="H1" s="271">
        <v>7</v>
      </c>
      <c r="I1" s="330">
        <v>8</v>
      </c>
      <c r="J1" s="271">
        <v>9</v>
      </c>
      <c r="K1" s="271">
        <v>10</v>
      </c>
      <c r="L1" s="271">
        <v>11</v>
      </c>
      <c r="M1" s="271">
        <v>12</v>
      </c>
      <c r="N1" s="271">
        <v>13</v>
      </c>
      <c r="O1" s="271">
        <v>14</v>
      </c>
      <c r="P1" s="271">
        <v>15</v>
      </c>
      <c r="Q1" s="271">
        <v>16</v>
      </c>
      <c r="R1" s="271">
        <v>17</v>
      </c>
      <c r="S1" s="271">
        <v>18</v>
      </c>
      <c r="T1" s="271">
        <v>19</v>
      </c>
      <c r="U1" s="271">
        <v>20</v>
      </c>
      <c r="V1" s="271">
        <v>21</v>
      </c>
      <c r="W1" s="271">
        <v>22</v>
      </c>
      <c r="X1" s="271">
        <v>23</v>
      </c>
      <c r="Y1" s="271">
        <v>24</v>
      </c>
      <c r="Z1" s="271">
        <v>25</v>
      </c>
      <c r="AA1" s="271">
        <v>26</v>
      </c>
      <c r="AB1" s="271">
        <v>27</v>
      </c>
      <c r="AC1" s="271">
        <v>28</v>
      </c>
      <c r="AD1" s="378">
        <v>29</v>
      </c>
      <c r="AE1" s="378">
        <v>30</v>
      </c>
      <c r="AF1" s="271">
        <v>31</v>
      </c>
      <c r="AG1" s="271">
        <v>32</v>
      </c>
      <c r="AH1" s="271">
        <v>33</v>
      </c>
      <c r="AI1" s="271">
        <v>34</v>
      </c>
      <c r="AJ1" s="271">
        <v>35</v>
      </c>
      <c r="AK1" s="271">
        <v>36</v>
      </c>
      <c r="AL1" s="271">
        <v>37</v>
      </c>
      <c r="AM1" s="271">
        <v>38</v>
      </c>
      <c r="AN1" s="271">
        <v>39</v>
      </c>
      <c r="AO1" s="271">
        <v>40</v>
      </c>
      <c r="AP1" s="271">
        <v>41</v>
      </c>
      <c r="AQ1" s="271">
        <v>42</v>
      </c>
      <c r="AR1" s="271">
        <v>43</v>
      </c>
      <c r="AS1" s="271">
        <v>44</v>
      </c>
      <c r="AT1" s="271">
        <v>45</v>
      </c>
      <c r="AU1" s="271">
        <v>46</v>
      </c>
      <c r="AV1" s="634">
        <v>47</v>
      </c>
      <c r="AW1" s="271"/>
      <c r="AX1" s="271">
        <v>48</v>
      </c>
      <c r="AY1" s="271">
        <v>49</v>
      </c>
      <c r="AZ1" s="271">
        <v>50</v>
      </c>
      <c r="BA1" s="271">
        <v>51</v>
      </c>
      <c r="BB1" s="271">
        <v>52</v>
      </c>
      <c r="BC1" s="271">
        <v>53</v>
      </c>
      <c r="BD1" s="271">
        <v>54</v>
      </c>
      <c r="BE1" s="290">
        <v>54</v>
      </c>
    </row>
    <row r="2" spans="1:213" s="408" customFormat="1" ht="15" customHeight="1">
      <c r="A2" s="401"/>
      <c r="B2" s="402" t="s">
        <v>285</v>
      </c>
      <c r="C2" s="403" t="s">
        <v>73</v>
      </c>
      <c r="D2" s="403" t="s">
        <v>73</v>
      </c>
      <c r="E2" s="403" t="s">
        <v>1740</v>
      </c>
      <c r="F2" s="404" t="s">
        <v>209</v>
      </c>
      <c r="G2" s="403" t="s">
        <v>1322</v>
      </c>
      <c r="H2" s="405" t="s">
        <v>1739</v>
      </c>
      <c r="I2" s="406" t="s">
        <v>1758</v>
      </c>
      <c r="J2" s="403" t="s">
        <v>1738</v>
      </c>
      <c r="K2" s="403" t="s">
        <v>1737</v>
      </c>
      <c r="L2" s="403" t="s">
        <v>1736</v>
      </c>
      <c r="M2" s="403" t="s">
        <v>1735</v>
      </c>
      <c r="N2" s="403" t="s">
        <v>1734</v>
      </c>
      <c r="O2" s="404" t="s">
        <v>69</v>
      </c>
      <c r="P2" s="434" t="s">
        <v>1751</v>
      </c>
      <c r="Q2" s="403" t="s">
        <v>1733</v>
      </c>
      <c r="R2" s="434" t="s">
        <v>1732</v>
      </c>
      <c r="S2" s="403" t="s">
        <v>1731</v>
      </c>
      <c r="T2" s="434" t="s">
        <v>1730</v>
      </c>
      <c r="U2" s="434"/>
      <c r="V2" s="448" t="s">
        <v>70</v>
      </c>
      <c r="W2" s="456" t="s">
        <v>1729</v>
      </c>
      <c r="X2" s="403" t="s">
        <v>1728</v>
      </c>
      <c r="Y2" s="434" t="s">
        <v>1727</v>
      </c>
      <c r="Z2" s="456" t="s">
        <v>1726</v>
      </c>
      <c r="AA2" s="434" t="s">
        <v>1725</v>
      </c>
      <c r="AB2" s="403" t="s">
        <v>1724</v>
      </c>
      <c r="AC2" s="406" t="s">
        <v>1723</v>
      </c>
      <c r="AD2" s="404" t="s">
        <v>1722</v>
      </c>
      <c r="AE2" s="407" t="s">
        <v>1721</v>
      </c>
      <c r="AF2" s="409"/>
      <c r="AG2" s="409"/>
      <c r="AH2" s="409"/>
      <c r="AI2" s="466"/>
      <c r="AJ2" s="271"/>
      <c r="AK2" s="271"/>
      <c r="AL2" s="271"/>
      <c r="AM2" s="271"/>
      <c r="AN2" s="271"/>
      <c r="AO2" s="271"/>
      <c r="AP2" s="271"/>
      <c r="AQ2" s="271"/>
      <c r="AR2" s="271"/>
      <c r="AS2" s="271"/>
      <c r="AT2" s="271"/>
      <c r="AU2" s="271"/>
      <c r="AV2" s="634"/>
      <c r="AW2" s="271"/>
      <c r="AX2" s="271"/>
      <c r="AY2" s="271"/>
      <c r="AZ2" s="271"/>
      <c r="BA2" s="271"/>
      <c r="BB2" s="271"/>
      <c r="BC2" s="271"/>
      <c r="BD2" s="271"/>
      <c r="BE2" s="290"/>
      <c r="BF2" s="271"/>
      <c r="BG2" s="271"/>
      <c r="BH2" s="271"/>
      <c r="BI2" s="271"/>
      <c r="BJ2" s="271"/>
      <c r="BK2" s="271"/>
      <c r="BL2" s="271"/>
      <c r="BM2" s="271"/>
      <c r="BN2" s="271"/>
      <c r="BO2" s="271"/>
      <c r="BP2" s="271"/>
      <c r="BQ2" s="271"/>
      <c r="BR2" s="271"/>
      <c r="BS2" s="271"/>
      <c r="BT2" s="271"/>
      <c r="BU2" s="271"/>
      <c r="BV2" s="271"/>
      <c r="BW2" s="271"/>
      <c r="BX2" s="271"/>
      <c r="BY2" s="271"/>
      <c r="BZ2" s="271"/>
      <c r="CA2" s="271"/>
      <c r="CB2" s="271"/>
      <c r="CC2" s="271"/>
      <c r="CD2" s="271"/>
      <c r="CE2" s="271"/>
      <c r="CF2" s="271"/>
      <c r="CG2" s="271"/>
      <c r="CH2" s="271"/>
      <c r="CI2" s="271"/>
      <c r="CJ2" s="271"/>
      <c r="CK2" s="271"/>
      <c r="CL2" s="271"/>
      <c r="CM2" s="271"/>
      <c r="CN2" s="271"/>
      <c r="CO2" s="271"/>
      <c r="CP2" s="271"/>
      <c r="CQ2" s="271"/>
      <c r="CR2" s="271"/>
      <c r="CS2" s="271"/>
      <c r="CT2" s="271"/>
      <c r="CU2" s="271"/>
      <c r="CV2" s="271"/>
      <c r="CW2" s="271"/>
      <c r="CX2" s="271"/>
      <c r="CY2" s="271"/>
      <c r="CZ2" s="271"/>
      <c r="DA2" s="271"/>
      <c r="DB2" s="271"/>
      <c r="DC2" s="271"/>
      <c r="DD2" s="271"/>
      <c r="DE2" s="271"/>
      <c r="DF2" s="271"/>
      <c r="DG2" s="271"/>
      <c r="DH2" s="271"/>
      <c r="DI2" s="271"/>
      <c r="DJ2" s="271"/>
      <c r="DK2" s="271"/>
      <c r="DL2" s="271"/>
      <c r="DM2" s="271"/>
      <c r="DN2" s="271"/>
      <c r="DO2" s="271"/>
      <c r="DP2" s="271"/>
      <c r="DQ2" s="271"/>
      <c r="DR2" s="271"/>
      <c r="DS2" s="271"/>
      <c r="DT2" s="271"/>
      <c r="DU2" s="271"/>
      <c r="DV2" s="271"/>
      <c r="DW2" s="271"/>
      <c r="DX2" s="271"/>
      <c r="DY2" s="271"/>
      <c r="DZ2" s="271"/>
      <c r="EA2" s="271"/>
      <c r="EB2" s="271"/>
      <c r="EC2" s="271"/>
      <c r="ED2" s="271"/>
      <c r="EE2" s="271"/>
      <c r="EF2" s="271"/>
      <c r="EG2" s="271"/>
      <c r="EH2" s="271"/>
      <c r="EI2" s="271"/>
      <c r="EJ2" s="271"/>
      <c r="EK2" s="271"/>
      <c r="EL2" s="271"/>
      <c r="EM2" s="271"/>
      <c r="EN2" s="271"/>
      <c r="EO2" s="271"/>
      <c r="EP2" s="271"/>
      <c r="EQ2" s="271"/>
      <c r="ER2" s="271"/>
      <c r="ES2" s="271"/>
      <c r="ET2" s="271"/>
      <c r="EU2" s="271"/>
      <c r="EV2" s="271"/>
      <c r="EW2" s="271"/>
      <c r="EX2" s="271"/>
      <c r="EY2" s="271"/>
      <c r="EZ2" s="271"/>
      <c r="FA2" s="271"/>
      <c r="FB2" s="271"/>
      <c r="FC2" s="271"/>
      <c r="FD2" s="271"/>
      <c r="FE2" s="271"/>
      <c r="FF2" s="271"/>
      <c r="FG2" s="271"/>
      <c r="FH2" s="271"/>
      <c r="FI2" s="271"/>
      <c r="FJ2" s="271"/>
      <c r="FK2" s="271"/>
      <c r="FL2" s="271"/>
      <c r="FM2" s="271"/>
      <c r="FN2" s="271"/>
      <c r="FO2" s="271"/>
      <c r="FP2" s="271"/>
      <c r="FQ2" s="271"/>
      <c r="FR2" s="271"/>
      <c r="FS2" s="271"/>
      <c r="FT2" s="271"/>
      <c r="FU2" s="271"/>
      <c r="FV2" s="271"/>
      <c r="FW2" s="271"/>
      <c r="FX2" s="271"/>
      <c r="FY2" s="271"/>
      <c r="FZ2" s="271"/>
      <c r="GA2" s="271"/>
      <c r="GB2" s="271"/>
      <c r="GC2" s="271"/>
      <c r="GD2" s="271"/>
      <c r="GE2" s="271"/>
      <c r="GF2" s="271"/>
      <c r="GG2" s="271"/>
      <c r="GH2" s="271"/>
      <c r="GI2" s="271"/>
      <c r="GJ2" s="271"/>
      <c r="GK2" s="271"/>
      <c r="GL2" s="271"/>
      <c r="GM2" s="271"/>
      <c r="GN2" s="271"/>
      <c r="GO2" s="271"/>
      <c r="GP2" s="271"/>
      <c r="GQ2" s="271"/>
      <c r="GR2" s="271"/>
      <c r="GS2" s="271"/>
      <c r="GT2" s="271"/>
      <c r="GU2" s="271"/>
      <c r="GV2" s="271"/>
      <c r="GW2" s="271"/>
      <c r="GX2" s="271"/>
      <c r="GY2" s="271"/>
      <c r="GZ2" s="271"/>
      <c r="HA2" s="271"/>
      <c r="HB2" s="271"/>
      <c r="HC2" s="271"/>
      <c r="HD2" s="271"/>
      <c r="HE2" s="271"/>
    </row>
    <row r="3" spans="1:213" ht="15" customHeight="1" thickBot="1">
      <c r="B3" s="272"/>
      <c r="C3" s="272"/>
      <c r="D3" s="272"/>
      <c r="E3" s="272"/>
      <c r="F3" s="272"/>
      <c r="H3" s="293"/>
      <c r="I3" s="375"/>
      <c r="J3" s="731" t="s">
        <v>1720</v>
      </c>
      <c r="K3" s="732"/>
      <c r="L3" s="732"/>
      <c r="M3" s="732"/>
      <c r="N3" s="732"/>
      <c r="O3" s="732"/>
      <c r="P3" s="733"/>
      <c r="Q3" s="737" t="s">
        <v>1719</v>
      </c>
      <c r="R3" s="738"/>
      <c r="S3" s="739" t="s">
        <v>1718</v>
      </c>
      <c r="T3" s="740"/>
      <c r="U3" s="447" t="s">
        <v>1696</v>
      </c>
      <c r="V3" s="449" t="s">
        <v>1717</v>
      </c>
      <c r="W3" s="741" t="s">
        <v>1716</v>
      </c>
      <c r="X3" s="742"/>
      <c r="Y3" s="743"/>
      <c r="Z3" s="741" t="s">
        <v>1715</v>
      </c>
      <c r="AA3" s="743"/>
      <c r="AB3" s="735" t="s">
        <v>1714</v>
      </c>
      <c r="AC3" s="736"/>
      <c r="AD3" s="395" t="s">
        <v>1713</v>
      </c>
      <c r="AE3" s="395" t="s">
        <v>1712</v>
      </c>
      <c r="AF3" s="410" t="s">
        <v>1711</v>
      </c>
      <c r="AG3" s="410" t="s">
        <v>1710</v>
      </c>
      <c r="AH3" s="410" t="s">
        <v>1709</v>
      </c>
      <c r="AI3" s="467" t="s">
        <v>1708</v>
      </c>
      <c r="AJ3" s="271"/>
      <c r="AL3" s="271"/>
      <c r="AT3" s="271"/>
      <c r="AU3" s="271"/>
      <c r="AW3" s="271"/>
    </row>
    <row r="4" spans="1:213" s="430" customFormat="1" ht="45.75" thickBot="1">
      <c r="A4" s="422" t="s">
        <v>1707</v>
      </c>
      <c r="B4" s="423"/>
      <c r="C4" s="373"/>
      <c r="D4" s="374"/>
      <c r="E4" s="399" t="s">
        <v>1706</v>
      </c>
      <c r="F4" s="729"/>
      <c r="G4" s="730"/>
      <c r="H4" s="398" t="s">
        <v>1766</v>
      </c>
      <c r="I4" s="372"/>
      <c r="J4" s="424" t="s">
        <v>1705</v>
      </c>
      <c r="K4" s="425" t="s">
        <v>1704</v>
      </c>
      <c r="L4" s="425" t="s">
        <v>1703</v>
      </c>
      <c r="M4" s="425" t="s">
        <v>1702</v>
      </c>
      <c r="N4" s="425" t="s">
        <v>1701</v>
      </c>
      <c r="O4" s="426" t="s">
        <v>1701</v>
      </c>
      <c r="P4" s="435" t="s">
        <v>1751</v>
      </c>
      <c r="Q4" s="428" t="s">
        <v>1700</v>
      </c>
      <c r="R4" s="439" t="s">
        <v>1699</v>
      </c>
      <c r="S4" s="428" t="s">
        <v>1698</v>
      </c>
      <c r="T4" s="439" t="s">
        <v>1697</v>
      </c>
      <c r="U4" s="439" t="s">
        <v>1696</v>
      </c>
      <c r="V4" s="450" t="s">
        <v>1695</v>
      </c>
      <c r="W4" s="457" t="s">
        <v>1694</v>
      </c>
      <c r="X4" s="425" t="s">
        <v>1693</v>
      </c>
      <c r="Y4" s="435" t="s">
        <v>1692</v>
      </c>
      <c r="Z4" s="457" t="s">
        <v>1691</v>
      </c>
      <c r="AA4" s="435" t="s">
        <v>1690</v>
      </c>
      <c r="AB4" s="425" t="s">
        <v>1689</v>
      </c>
      <c r="AC4" s="427" t="s">
        <v>1688</v>
      </c>
      <c r="AD4" s="426" t="s">
        <v>1687</v>
      </c>
      <c r="AE4" s="426" t="s">
        <v>1686</v>
      </c>
      <c r="AF4" s="429"/>
      <c r="AG4" s="429"/>
      <c r="AH4" s="429"/>
      <c r="AI4" s="429"/>
      <c r="AJ4" s="627" t="s">
        <v>1685</v>
      </c>
      <c r="AK4" s="628" t="s">
        <v>1752</v>
      </c>
      <c r="AL4" s="628" t="s">
        <v>1761</v>
      </c>
      <c r="AM4" s="628" t="s">
        <v>1754</v>
      </c>
      <c r="AN4" s="628" t="s">
        <v>1753</v>
      </c>
      <c r="AO4" s="628" t="s">
        <v>1793</v>
      </c>
      <c r="AP4" s="628" t="s">
        <v>9</v>
      </c>
      <c r="AQ4" s="628" t="s">
        <v>10</v>
      </c>
      <c r="AR4" s="629" t="s">
        <v>1694</v>
      </c>
      <c r="AS4" s="630" t="s">
        <v>1759</v>
      </c>
      <c r="AT4" s="631" t="s">
        <v>1755</v>
      </c>
      <c r="AU4" s="632" t="s">
        <v>1761</v>
      </c>
      <c r="AV4" s="635" t="s">
        <v>1764</v>
      </c>
      <c r="AW4" s="633" t="s">
        <v>71</v>
      </c>
      <c r="AX4" s="633" t="s">
        <v>1753</v>
      </c>
      <c r="AY4" s="633" t="s">
        <v>1754</v>
      </c>
      <c r="AZ4" s="633" t="s">
        <v>1790</v>
      </c>
      <c r="BA4" s="633" t="s">
        <v>9</v>
      </c>
      <c r="BB4" s="633" t="s">
        <v>10</v>
      </c>
      <c r="BC4" s="633" t="s">
        <v>1694</v>
      </c>
      <c r="BD4" s="633" t="s">
        <v>1765</v>
      </c>
      <c r="BE4" s="640" t="s">
        <v>270</v>
      </c>
    </row>
    <row r="5" spans="1:213" ht="15" customHeight="1">
      <c r="A5" s="272" t="s">
        <v>1684</v>
      </c>
      <c r="B5" s="272" t="s">
        <v>1323</v>
      </c>
      <c r="C5" s="272" t="s">
        <v>1324</v>
      </c>
      <c r="D5" s="288" t="s">
        <v>1741</v>
      </c>
      <c r="E5" s="272" t="s">
        <v>1528</v>
      </c>
      <c r="F5" s="396" t="s">
        <v>1622</v>
      </c>
      <c r="G5" s="274">
        <v>-0.43</v>
      </c>
      <c r="H5" s="294" t="s">
        <v>1497</v>
      </c>
      <c r="I5" s="376"/>
      <c r="J5" s="379"/>
      <c r="K5" s="380">
        <v>0.15</v>
      </c>
      <c r="L5" s="381"/>
      <c r="M5" s="381"/>
      <c r="N5" s="380">
        <v>0.15</v>
      </c>
      <c r="O5" s="416"/>
      <c r="P5" s="436">
        <f>N5*(1-BD5)</f>
        <v>0.1460935255420136</v>
      </c>
      <c r="Q5" s="388">
        <v>0</v>
      </c>
      <c r="R5" s="440"/>
      <c r="S5" s="388">
        <v>0</v>
      </c>
      <c r="T5" s="444"/>
      <c r="U5" s="444"/>
      <c r="V5" s="451"/>
      <c r="W5" s="458"/>
      <c r="X5" s="384"/>
      <c r="Y5" s="444"/>
      <c r="Z5" s="458"/>
      <c r="AA5" s="444"/>
      <c r="AB5" s="384"/>
      <c r="AC5" s="382"/>
      <c r="AD5" s="385">
        <v>0.26</v>
      </c>
      <c r="AE5" s="383"/>
      <c r="AF5" s="297"/>
      <c r="AG5" s="297"/>
      <c r="AH5" s="297"/>
      <c r="AI5" s="468"/>
      <c r="AJ5" s="471" t="s">
        <v>1683</v>
      </c>
      <c r="AK5" s="472">
        <v>1</v>
      </c>
      <c r="AL5" s="473">
        <v>0</v>
      </c>
      <c r="AM5" s="474">
        <f>$AK5*$AL5*$N5</f>
        <v>0</v>
      </c>
      <c r="AN5" s="474">
        <f>$AK5*$AL5*$J5</f>
        <v>0</v>
      </c>
      <c r="AO5" s="474">
        <f>$AK5*$AL5*$P5</f>
        <v>0</v>
      </c>
      <c r="AP5" s="474">
        <f>$AK5*$AL5*$Q5</f>
        <v>0</v>
      </c>
      <c r="AQ5" s="474">
        <f>$AK5*$AL5*$S5</f>
        <v>0</v>
      </c>
      <c r="AR5" s="475">
        <f>$AK5*$AL5*$W5</f>
        <v>0</v>
      </c>
      <c r="AS5" s="618">
        <f t="shared" ref="AS5:AS36" si="0">IF(OR(AK5=0,H5="-"),100000,H5)</f>
        <v>100000</v>
      </c>
      <c r="AT5" s="484">
        <f>AL5*AS5/1000</f>
        <v>0</v>
      </c>
      <c r="AU5" s="487">
        <v>0</v>
      </c>
      <c r="AV5" s="636" t="s">
        <v>1762</v>
      </c>
      <c r="AW5" s="335"/>
      <c r="AX5" s="513">
        <f>$AU5*$J5</f>
        <v>0</v>
      </c>
      <c r="AY5" s="513">
        <f>$AU5*$N5</f>
        <v>0</v>
      </c>
      <c r="AZ5" s="513">
        <f t="shared" ref="AZ5:AZ36" si="1">$AU5*$P5</f>
        <v>0</v>
      </c>
      <c r="BA5" s="513">
        <f>$AU5*$Q5</f>
        <v>0</v>
      </c>
      <c r="BB5" s="513">
        <f>$AU5*$S5</f>
        <v>0</v>
      </c>
      <c r="BC5" s="513">
        <f>$AU5*$W5</f>
        <v>0</v>
      </c>
      <c r="BD5" s="313">
        <f>EXP((VLOOKUP(AV5,Vol_coef,3,FALSE)+Fertilizers!G5))*'Data vol'!J7</f>
        <v>2.6043163053242582E-2</v>
      </c>
      <c r="BE5" s="291"/>
    </row>
    <row r="6" spans="1:213" ht="15" customHeight="1">
      <c r="A6" s="272" t="s">
        <v>1682</v>
      </c>
      <c r="B6" s="272" t="s">
        <v>1325</v>
      </c>
      <c r="C6" s="272" t="s">
        <v>1326</v>
      </c>
      <c r="D6" s="288" t="s">
        <v>1741</v>
      </c>
      <c r="E6" s="272" t="s">
        <v>1528</v>
      </c>
      <c r="F6" s="396" t="s">
        <v>1534</v>
      </c>
      <c r="G6" s="274">
        <v>-0.35</v>
      </c>
      <c r="H6" s="294" t="s">
        <v>1497</v>
      </c>
      <c r="I6" s="376"/>
      <c r="J6" s="379"/>
      <c r="K6" s="380">
        <v>0.15</v>
      </c>
      <c r="L6" s="381"/>
      <c r="M6" s="381"/>
      <c r="N6" s="380">
        <v>0.15</v>
      </c>
      <c r="O6" s="416"/>
      <c r="P6" s="436">
        <f t="shared" ref="P6:P69" si="2">N6*(1-BD6)</f>
        <v>0.1457681667394608</v>
      </c>
      <c r="Q6" s="388">
        <v>0</v>
      </c>
      <c r="R6" s="440"/>
      <c r="S6" s="388">
        <v>0</v>
      </c>
      <c r="T6" s="444"/>
      <c r="U6" s="444"/>
      <c r="V6" s="451"/>
      <c r="W6" s="458"/>
      <c r="X6" s="384"/>
      <c r="Y6" s="444"/>
      <c r="Z6" s="459">
        <v>0.2</v>
      </c>
      <c r="AA6" s="436">
        <v>0.28000000000000003</v>
      </c>
      <c r="AB6" s="384"/>
      <c r="AC6" s="382"/>
      <c r="AD6" s="383"/>
      <c r="AE6" s="383"/>
      <c r="AF6" s="297"/>
      <c r="AG6" s="297"/>
      <c r="AH6" s="297"/>
      <c r="AI6" s="468"/>
      <c r="AJ6" s="471" t="s">
        <v>1681</v>
      </c>
      <c r="AK6" s="472">
        <v>1</v>
      </c>
      <c r="AL6" s="473">
        <v>0</v>
      </c>
      <c r="AM6" s="474">
        <f t="shared" ref="AM6:AM69" si="3">$AK6*$AL6*$N6</f>
        <v>0</v>
      </c>
      <c r="AN6" s="474">
        <f t="shared" ref="AN6:AN69" si="4">$AK6*$AL6*$J6</f>
        <v>0</v>
      </c>
      <c r="AO6" s="474">
        <f t="shared" ref="AO6:AO69" si="5">$AK6*$AL6*$P6</f>
        <v>0</v>
      </c>
      <c r="AP6" s="474">
        <f t="shared" ref="AP6:AP69" si="6">$AK6*$AL6*$Q6</f>
        <v>0</v>
      </c>
      <c r="AQ6" s="474">
        <f t="shared" ref="AQ6:AQ69" si="7">$AK6*$AL6*$S6</f>
        <v>0</v>
      </c>
      <c r="AR6" s="475">
        <f t="shared" ref="AR6:AR69" si="8">$AK6*$AL6*$W6</f>
        <v>0</v>
      </c>
      <c r="AS6" s="618">
        <f t="shared" si="0"/>
        <v>100000</v>
      </c>
      <c r="AT6" s="484">
        <f t="shared" ref="AT6:AT69" si="9">AL6*AS6/1000</f>
        <v>0</v>
      </c>
      <c r="AU6" s="487">
        <v>200</v>
      </c>
      <c r="AV6" s="637" t="s">
        <v>1762</v>
      </c>
      <c r="AW6" s="335"/>
      <c r="AX6" s="513">
        <f t="shared" ref="AX6:AX69" si="10">$AU6*$J6</f>
        <v>0</v>
      </c>
      <c r="AY6" s="513">
        <f t="shared" ref="AY6:AY69" si="11">$AU6*$N6</f>
        <v>30</v>
      </c>
      <c r="AZ6" s="513">
        <f t="shared" si="1"/>
        <v>29.153633347892161</v>
      </c>
      <c r="BA6" s="513">
        <f t="shared" ref="BA6:BA69" si="12">$AU6*$Q6</f>
        <v>0</v>
      </c>
      <c r="BB6" s="513">
        <f t="shared" ref="BB6:BB69" si="13">$AU6*$S6</f>
        <v>0</v>
      </c>
      <c r="BC6" s="513">
        <f t="shared" ref="BC6:BC69" si="14">$AU6*$W6</f>
        <v>0</v>
      </c>
      <c r="BD6" s="292">
        <f>EXP(VLOOKUP(AV6,Vol_coef,3,FALSE)+G6)*'Data vol'!$J$7</f>
        <v>2.821222173692798E-2</v>
      </c>
      <c r="BE6" s="291"/>
    </row>
    <row r="7" spans="1:213" ht="15" customHeight="1">
      <c r="A7" s="272" t="s">
        <v>1680</v>
      </c>
      <c r="B7" s="272" t="s">
        <v>1327</v>
      </c>
      <c r="C7" s="272" t="s">
        <v>1328</v>
      </c>
      <c r="D7" s="288" t="s">
        <v>1741</v>
      </c>
      <c r="E7" s="272" t="s">
        <v>1528</v>
      </c>
      <c r="F7" s="396" t="s">
        <v>1534</v>
      </c>
      <c r="G7" s="274">
        <v>-0.35</v>
      </c>
      <c r="H7" s="294">
        <v>280</v>
      </c>
      <c r="I7" s="376"/>
      <c r="J7" s="379"/>
      <c r="K7" s="380">
        <v>0.11</v>
      </c>
      <c r="L7" s="381"/>
      <c r="M7" s="381"/>
      <c r="N7" s="380">
        <v>0.11</v>
      </c>
      <c r="O7" s="416"/>
      <c r="P7" s="436">
        <f t="shared" si="2"/>
        <v>0.10689665560893792</v>
      </c>
      <c r="Q7" s="388">
        <v>0</v>
      </c>
      <c r="R7" s="440"/>
      <c r="S7" s="388">
        <v>0</v>
      </c>
      <c r="T7" s="444"/>
      <c r="U7" s="444"/>
      <c r="V7" s="451"/>
      <c r="W7" s="458"/>
      <c r="X7" s="384"/>
      <c r="Y7" s="444"/>
      <c r="Z7" s="458"/>
      <c r="AA7" s="444"/>
      <c r="AB7" s="379" t="s">
        <v>1531</v>
      </c>
      <c r="AC7" s="386">
        <v>0.16</v>
      </c>
      <c r="AD7" s="383"/>
      <c r="AE7" s="383"/>
      <c r="AF7" s="297"/>
      <c r="AG7" s="297"/>
      <c r="AH7" s="297"/>
      <c r="AI7" s="468"/>
      <c r="AJ7" s="471" t="s">
        <v>1679</v>
      </c>
      <c r="AK7" s="472">
        <v>1</v>
      </c>
      <c r="AL7" s="473">
        <v>0</v>
      </c>
      <c r="AM7" s="474">
        <f t="shared" si="3"/>
        <v>0</v>
      </c>
      <c r="AN7" s="474">
        <f t="shared" si="4"/>
        <v>0</v>
      </c>
      <c r="AO7" s="474">
        <f t="shared" si="5"/>
        <v>0</v>
      </c>
      <c r="AP7" s="474">
        <f t="shared" si="6"/>
        <v>0</v>
      </c>
      <c r="AQ7" s="474">
        <f t="shared" si="7"/>
        <v>0</v>
      </c>
      <c r="AR7" s="475">
        <f t="shared" si="8"/>
        <v>0</v>
      </c>
      <c r="AS7" s="618">
        <f t="shared" si="0"/>
        <v>280</v>
      </c>
      <c r="AT7" s="484">
        <f t="shared" si="9"/>
        <v>0</v>
      </c>
      <c r="AU7" s="487">
        <v>0</v>
      </c>
      <c r="AV7" s="637" t="s">
        <v>1762</v>
      </c>
      <c r="AW7" s="335"/>
      <c r="AX7" s="513">
        <f t="shared" si="10"/>
        <v>0</v>
      </c>
      <c r="AY7" s="513">
        <f t="shared" si="11"/>
        <v>0</v>
      </c>
      <c r="AZ7" s="513">
        <f t="shared" si="1"/>
        <v>0</v>
      </c>
      <c r="BA7" s="513">
        <f t="shared" si="12"/>
        <v>0</v>
      </c>
      <c r="BB7" s="513">
        <f t="shared" si="13"/>
        <v>0</v>
      </c>
      <c r="BC7" s="513">
        <f t="shared" si="14"/>
        <v>0</v>
      </c>
      <c r="BD7" s="292">
        <f>EXP(VLOOKUP(AV7,Vol_coef,3,FALSE)+G7)*'Data vol'!$J$7</f>
        <v>2.821222173692798E-2</v>
      </c>
      <c r="BE7" s="291"/>
    </row>
    <row r="8" spans="1:213" ht="15" customHeight="1">
      <c r="A8" s="272" t="s">
        <v>1678</v>
      </c>
      <c r="B8" s="272" t="s">
        <v>1329</v>
      </c>
      <c r="C8" s="272" t="s">
        <v>1330</v>
      </c>
      <c r="D8" s="288" t="s">
        <v>1741</v>
      </c>
      <c r="E8" s="272" t="s">
        <v>1528</v>
      </c>
      <c r="F8" s="396" t="s">
        <v>1527</v>
      </c>
      <c r="G8" s="273">
        <v>0.42899999999999999</v>
      </c>
      <c r="H8" s="294">
        <v>215</v>
      </c>
      <c r="I8" s="376"/>
      <c r="J8" s="379"/>
      <c r="K8" s="387"/>
      <c r="L8" s="380">
        <v>0.21</v>
      </c>
      <c r="M8" s="381"/>
      <c r="N8" s="380">
        <v>0.21</v>
      </c>
      <c r="O8" s="416"/>
      <c r="P8" s="436">
        <f t="shared" si="2"/>
        <v>0.18670805644244309</v>
      </c>
      <c r="Q8" s="388">
        <v>0</v>
      </c>
      <c r="R8" s="440"/>
      <c r="S8" s="388">
        <v>0</v>
      </c>
      <c r="T8" s="444"/>
      <c r="U8" s="444"/>
      <c r="V8" s="451"/>
      <c r="W8" s="459">
        <v>0.24</v>
      </c>
      <c r="X8" s="384"/>
      <c r="Y8" s="444"/>
      <c r="Z8" s="458"/>
      <c r="AA8" s="444"/>
      <c r="AB8" s="384"/>
      <c r="AC8" s="382"/>
      <c r="AD8" s="383"/>
      <c r="AE8" s="383"/>
      <c r="AF8" s="297"/>
      <c r="AG8" s="297"/>
      <c r="AH8" s="297"/>
      <c r="AI8" s="468"/>
      <c r="AJ8" s="471" t="s">
        <v>1677</v>
      </c>
      <c r="AK8" s="472">
        <v>1</v>
      </c>
      <c r="AL8" s="473">
        <v>1.8947806286936007E-14</v>
      </c>
      <c r="AM8" s="474">
        <f t="shared" si="3"/>
        <v>3.9790393202565614E-15</v>
      </c>
      <c r="AN8" s="474">
        <f>$AK8*$AL8*$J8</f>
        <v>0</v>
      </c>
      <c r="AO8" s="474">
        <f t="shared" si="5"/>
        <v>3.5377080856817261E-15</v>
      </c>
      <c r="AP8" s="474">
        <f t="shared" si="6"/>
        <v>0</v>
      </c>
      <c r="AQ8" s="474">
        <f t="shared" si="7"/>
        <v>0</v>
      </c>
      <c r="AR8" s="475">
        <f t="shared" si="8"/>
        <v>4.5474735088646413E-15</v>
      </c>
      <c r="AS8" s="618">
        <f t="shared" si="0"/>
        <v>215</v>
      </c>
      <c r="AT8" s="484">
        <f t="shared" si="9"/>
        <v>4.0737783516912413E-15</v>
      </c>
      <c r="AU8" s="487">
        <v>32</v>
      </c>
      <c r="AV8" s="637" t="s">
        <v>1763</v>
      </c>
      <c r="AW8" s="335"/>
      <c r="AX8" s="513">
        <f t="shared" si="10"/>
        <v>0</v>
      </c>
      <c r="AY8" s="513">
        <f t="shared" si="11"/>
        <v>6.72</v>
      </c>
      <c r="AZ8" s="513">
        <f t="shared" si="1"/>
        <v>5.974657806158179</v>
      </c>
      <c r="BA8" s="513">
        <f t="shared" si="12"/>
        <v>0</v>
      </c>
      <c r="BB8" s="513">
        <f t="shared" si="13"/>
        <v>0</v>
      </c>
      <c r="BC8" s="513">
        <f t="shared" si="14"/>
        <v>7.68</v>
      </c>
      <c r="BD8" s="292">
        <f>EXP(VLOOKUP(AV8,Vol_coef,3,FALSE)+G8)*'Data vol'!$J$7</f>
        <v>0.11091401694074723</v>
      </c>
      <c r="BE8" s="291"/>
    </row>
    <row r="9" spans="1:213" ht="15" customHeight="1">
      <c r="A9" s="272" t="s">
        <v>1676</v>
      </c>
      <c r="B9" s="272" t="s">
        <v>1331</v>
      </c>
      <c r="C9" s="272" t="s">
        <v>1332</v>
      </c>
      <c r="D9" s="288" t="s">
        <v>1741</v>
      </c>
      <c r="E9" s="272" t="s">
        <v>1528</v>
      </c>
      <c r="F9" s="396" t="s">
        <v>1534</v>
      </c>
      <c r="G9" s="274">
        <v>-0.35</v>
      </c>
      <c r="H9" s="294">
        <v>305</v>
      </c>
      <c r="I9" s="376"/>
      <c r="J9" s="388">
        <v>0.46</v>
      </c>
      <c r="K9" s="387"/>
      <c r="L9" s="381"/>
      <c r="M9" s="381"/>
      <c r="N9" s="380">
        <v>0.46</v>
      </c>
      <c r="O9" s="416"/>
      <c r="P9" s="436">
        <f t="shared" si="2"/>
        <v>0.43658852025441536</v>
      </c>
      <c r="Q9" s="388">
        <v>0</v>
      </c>
      <c r="R9" s="440"/>
      <c r="S9" s="388">
        <v>0</v>
      </c>
      <c r="T9" s="444"/>
      <c r="U9" s="444"/>
      <c r="V9" s="451"/>
      <c r="W9" s="458"/>
      <c r="X9" s="384"/>
      <c r="Y9" s="444"/>
      <c r="Z9" s="458"/>
      <c r="AA9" s="444"/>
      <c r="AB9" s="384"/>
      <c r="AC9" s="382"/>
      <c r="AD9" s="383"/>
      <c r="AE9" s="383"/>
      <c r="AF9" s="297"/>
      <c r="AG9" s="297"/>
      <c r="AH9" s="297"/>
      <c r="AI9" s="468"/>
      <c r="AJ9" s="471"/>
      <c r="AK9" s="472">
        <v>1</v>
      </c>
      <c r="AL9" s="473">
        <v>0</v>
      </c>
      <c r="AM9" s="474">
        <f t="shared" si="3"/>
        <v>0</v>
      </c>
      <c r="AN9" s="474">
        <f t="shared" si="4"/>
        <v>0</v>
      </c>
      <c r="AO9" s="474">
        <f t="shared" si="5"/>
        <v>0</v>
      </c>
      <c r="AP9" s="474">
        <f t="shared" si="6"/>
        <v>0</v>
      </c>
      <c r="AQ9" s="474">
        <f t="shared" si="7"/>
        <v>0</v>
      </c>
      <c r="AR9" s="475">
        <f t="shared" si="8"/>
        <v>0</v>
      </c>
      <c r="AS9" s="618">
        <f t="shared" si="0"/>
        <v>305</v>
      </c>
      <c r="AT9" s="484">
        <f t="shared" si="9"/>
        <v>0</v>
      </c>
      <c r="AU9" s="487">
        <v>250</v>
      </c>
      <c r="AV9" s="637" t="s">
        <v>1763</v>
      </c>
      <c r="AW9" s="335"/>
      <c r="AX9" s="513">
        <f t="shared" si="10"/>
        <v>115</v>
      </c>
      <c r="AY9" s="513">
        <f t="shared" si="11"/>
        <v>115</v>
      </c>
      <c r="AZ9" s="513">
        <f t="shared" si="1"/>
        <v>109.14713006360384</v>
      </c>
      <c r="BA9" s="513">
        <f t="shared" si="12"/>
        <v>0</v>
      </c>
      <c r="BB9" s="513">
        <f t="shared" si="13"/>
        <v>0</v>
      </c>
      <c r="BC9" s="513">
        <f t="shared" si="14"/>
        <v>0</v>
      </c>
      <c r="BD9" s="292">
        <f>EXP(VLOOKUP(AV9,Vol_coef,3,FALSE)+G9)*'Data vol'!$J$7</f>
        <v>5.0894521186053698E-2</v>
      </c>
      <c r="BE9" s="291"/>
    </row>
    <row r="10" spans="1:213" ht="15" customHeight="1">
      <c r="A10" s="272" t="s">
        <v>1675</v>
      </c>
      <c r="B10" s="272" t="s">
        <v>1333</v>
      </c>
      <c r="C10" s="272" t="s">
        <v>1334</v>
      </c>
      <c r="D10" s="288" t="s">
        <v>1741</v>
      </c>
      <c r="E10" s="272" t="s">
        <v>1528</v>
      </c>
      <c r="F10" s="396" t="s">
        <v>1534</v>
      </c>
      <c r="G10" s="274">
        <v>-0.35</v>
      </c>
      <c r="H10" s="294">
        <v>275</v>
      </c>
      <c r="I10" s="376"/>
      <c r="J10" s="379"/>
      <c r="K10" s="387" t="s">
        <v>1674</v>
      </c>
      <c r="L10" s="387" t="s">
        <v>1673</v>
      </c>
      <c r="M10" s="381"/>
      <c r="N10" s="387" t="s">
        <v>1672</v>
      </c>
      <c r="O10" s="417"/>
      <c r="P10" s="436">
        <f t="shared" si="2"/>
        <v>0.32554890571812917</v>
      </c>
      <c r="Q10" s="388">
        <v>0</v>
      </c>
      <c r="R10" s="440"/>
      <c r="S10" s="388">
        <v>0</v>
      </c>
      <c r="T10" s="444"/>
      <c r="U10" s="444"/>
      <c r="V10" s="451"/>
      <c r="W10" s="458"/>
      <c r="X10" s="384"/>
      <c r="Y10" s="444"/>
      <c r="Z10" s="458"/>
      <c r="AA10" s="444"/>
      <c r="AB10" s="384"/>
      <c r="AC10" s="382"/>
      <c r="AD10" s="383"/>
      <c r="AE10" s="383"/>
      <c r="AF10" s="297"/>
      <c r="AG10" s="297"/>
      <c r="AH10" s="297"/>
      <c r="AI10" s="468"/>
      <c r="AJ10" s="471" t="s">
        <v>1671</v>
      </c>
      <c r="AK10" s="472">
        <v>1</v>
      </c>
      <c r="AL10" s="473">
        <v>0</v>
      </c>
      <c r="AM10" s="474">
        <f t="shared" si="3"/>
        <v>0</v>
      </c>
      <c r="AN10" s="474">
        <f t="shared" si="4"/>
        <v>0</v>
      </c>
      <c r="AO10" s="474">
        <f t="shared" si="5"/>
        <v>0</v>
      </c>
      <c r="AP10" s="474">
        <f t="shared" si="6"/>
        <v>0</v>
      </c>
      <c r="AQ10" s="474">
        <f t="shared" si="7"/>
        <v>0</v>
      </c>
      <c r="AR10" s="475">
        <f t="shared" si="8"/>
        <v>0</v>
      </c>
      <c r="AS10" s="618">
        <f t="shared" si="0"/>
        <v>275</v>
      </c>
      <c r="AT10" s="484">
        <f t="shared" si="9"/>
        <v>0</v>
      </c>
      <c r="AU10" s="487">
        <v>0</v>
      </c>
      <c r="AV10" s="637" t="s">
        <v>1762</v>
      </c>
      <c r="AW10" s="335"/>
      <c r="AX10" s="513">
        <f t="shared" si="10"/>
        <v>0</v>
      </c>
      <c r="AY10" s="513">
        <f t="shared" si="11"/>
        <v>0</v>
      </c>
      <c r="AZ10" s="513">
        <f t="shared" si="1"/>
        <v>0</v>
      </c>
      <c r="BA10" s="513">
        <f t="shared" si="12"/>
        <v>0</v>
      </c>
      <c r="BB10" s="513">
        <f t="shared" si="13"/>
        <v>0</v>
      </c>
      <c r="BC10" s="513">
        <f t="shared" si="14"/>
        <v>0</v>
      </c>
      <c r="BD10" s="292">
        <f>EXP(VLOOKUP(AV10,Vol_coef,3,FALSE)+G10)*'Data vol'!$J$7</f>
        <v>2.821222173692798E-2</v>
      </c>
      <c r="BE10" s="291"/>
    </row>
    <row r="11" spans="1:213" ht="15" customHeight="1">
      <c r="A11" s="272" t="s">
        <v>1670</v>
      </c>
      <c r="B11" s="272" t="s">
        <v>1335</v>
      </c>
      <c r="C11" s="272" t="s">
        <v>1336</v>
      </c>
      <c r="D11" s="288" t="s">
        <v>1741</v>
      </c>
      <c r="E11" s="272" t="s">
        <v>1528</v>
      </c>
      <c r="F11" s="396" t="s">
        <v>1534</v>
      </c>
      <c r="G11" s="274">
        <v>-0.35</v>
      </c>
      <c r="H11" s="294">
        <v>301</v>
      </c>
      <c r="I11" s="376"/>
      <c r="J11" s="387"/>
      <c r="K11" s="387" t="s">
        <v>1543</v>
      </c>
      <c r="L11" s="387" t="s">
        <v>1543</v>
      </c>
      <c r="M11" s="381"/>
      <c r="N11" s="380">
        <v>0.26</v>
      </c>
      <c r="O11" s="416"/>
      <c r="P11" s="436">
        <f t="shared" si="2"/>
        <v>0.24676742449162606</v>
      </c>
      <c r="Q11" s="388">
        <v>0</v>
      </c>
      <c r="R11" s="440"/>
      <c r="S11" s="388">
        <v>0</v>
      </c>
      <c r="T11" s="444"/>
      <c r="U11" s="444"/>
      <c r="V11" s="451"/>
      <c r="W11" s="458"/>
      <c r="X11" s="384"/>
      <c r="Y11" s="444"/>
      <c r="Z11" s="459">
        <v>0.06</v>
      </c>
      <c r="AA11" s="436">
        <v>0.08</v>
      </c>
      <c r="AB11" s="379" t="s">
        <v>1669</v>
      </c>
      <c r="AC11" s="389" t="s">
        <v>1668</v>
      </c>
      <c r="AD11" s="383"/>
      <c r="AE11" s="383"/>
      <c r="AF11" s="297"/>
      <c r="AG11" s="297"/>
      <c r="AH11" s="297"/>
      <c r="AI11" s="468"/>
      <c r="AJ11" s="471" t="s">
        <v>1667</v>
      </c>
      <c r="AK11" s="472">
        <v>1</v>
      </c>
      <c r="AL11" s="473">
        <v>0</v>
      </c>
      <c r="AM11" s="474">
        <f t="shared" si="3"/>
        <v>0</v>
      </c>
      <c r="AN11" s="474">
        <f t="shared" si="4"/>
        <v>0</v>
      </c>
      <c r="AO11" s="474">
        <f t="shared" si="5"/>
        <v>0</v>
      </c>
      <c r="AP11" s="474">
        <f t="shared" si="6"/>
        <v>0</v>
      </c>
      <c r="AQ11" s="474">
        <f t="shared" si="7"/>
        <v>0</v>
      </c>
      <c r="AR11" s="475">
        <f t="shared" si="8"/>
        <v>0</v>
      </c>
      <c r="AS11" s="618">
        <f t="shared" si="0"/>
        <v>301</v>
      </c>
      <c r="AT11" s="484">
        <f t="shared" si="9"/>
        <v>0</v>
      </c>
      <c r="AU11" s="487">
        <v>0</v>
      </c>
      <c r="AV11" s="637" t="s">
        <v>1763</v>
      </c>
      <c r="AW11" s="335"/>
      <c r="AX11" s="513">
        <f t="shared" si="10"/>
        <v>0</v>
      </c>
      <c r="AY11" s="513">
        <f t="shared" si="11"/>
        <v>0</v>
      </c>
      <c r="AZ11" s="513">
        <f t="shared" si="1"/>
        <v>0</v>
      </c>
      <c r="BA11" s="513">
        <f t="shared" si="12"/>
        <v>0</v>
      </c>
      <c r="BB11" s="513">
        <f t="shared" si="13"/>
        <v>0</v>
      </c>
      <c r="BC11" s="513">
        <f t="shared" si="14"/>
        <v>0</v>
      </c>
      <c r="BD11" s="292">
        <f>EXP(VLOOKUP(AV11,Vol_coef,3,FALSE)+G11)*'Data vol'!$J$7</f>
        <v>5.0894521186053698E-2</v>
      </c>
      <c r="BE11" s="291"/>
    </row>
    <row r="12" spans="1:213" ht="15" customHeight="1">
      <c r="A12" s="272" t="s">
        <v>1666</v>
      </c>
      <c r="B12" s="272" t="s">
        <v>1337</v>
      </c>
      <c r="C12" s="272" t="s">
        <v>1338</v>
      </c>
      <c r="D12" s="288" t="s">
        <v>1741</v>
      </c>
      <c r="E12" s="272" t="s">
        <v>1528</v>
      </c>
      <c r="F12" s="396" t="s">
        <v>1527</v>
      </c>
      <c r="G12" s="273">
        <v>0.42899999999999999</v>
      </c>
      <c r="H12" s="294">
        <v>247</v>
      </c>
      <c r="I12" s="376"/>
      <c r="J12" s="387"/>
      <c r="K12" s="387" t="s">
        <v>1575</v>
      </c>
      <c r="L12" s="387" t="s">
        <v>1574</v>
      </c>
      <c r="M12" s="381"/>
      <c r="N12" s="380">
        <v>0.26</v>
      </c>
      <c r="O12" s="416"/>
      <c r="P12" s="436">
        <f t="shared" si="2"/>
        <v>0.23116235559540574</v>
      </c>
      <c r="Q12" s="388">
        <v>0</v>
      </c>
      <c r="R12" s="440"/>
      <c r="S12" s="388">
        <v>0</v>
      </c>
      <c r="T12" s="444"/>
      <c r="U12" s="444"/>
      <c r="V12" s="451"/>
      <c r="W12" s="460" t="s">
        <v>1665</v>
      </c>
      <c r="X12" s="384"/>
      <c r="Y12" s="436">
        <v>0.37</v>
      </c>
      <c r="Z12" s="458"/>
      <c r="AA12" s="444"/>
      <c r="AB12" s="384"/>
      <c r="AC12" s="382"/>
      <c r="AD12" s="383"/>
      <c r="AE12" s="383"/>
      <c r="AF12" s="297"/>
      <c r="AG12" s="297"/>
      <c r="AH12" s="297"/>
      <c r="AI12" s="468"/>
      <c r="AJ12" s="471" t="s">
        <v>1664</v>
      </c>
      <c r="AK12" s="472">
        <v>1</v>
      </c>
      <c r="AL12" s="473">
        <v>0</v>
      </c>
      <c r="AM12" s="474">
        <f t="shared" si="3"/>
        <v>0</v>
      </c>
      <c r="AN12" s="474">
        <f t="shared" si="4"/>
        <v>0</v>
      </c>
      <c r="AO12" s="474">
        <f t="shared" si="5"/>
        <v>0</v>
      </c>
      <c r="AP12" s="474">
        <f t="shared" si="6"/>
        <v>0</v>
      </c>
      <c r="AQ12" s="474">
        <f t="shared" si="7"/>
        <v>0</v>
      </c>
      <c r="AR12" s="475">
        <f t="shared" si="8"/>
        <v>0</v>
      </c>
      <c r="AS12" s="618">
        <f t="shared" si="0"/>
        <v>247</v>
      </c>
      <c r="AT12" s="484">
        <f t="shared" si="9"/>
        <v>0</v>
      </c>
      <c r="AU12" s="487">
        <v>0</v>
      </c>
      <c r="AV12" s="637" t="s">
        <v>1763</v>
      </c>
      <c r="AW12" s="335"/>
      <c r="AX12" s="513">
        <f t="shared" si="10"/>
        <v>0</v>
      </c>
      <c r="AY12" s="513">
        <f t="shared" si="11"/>
        <v>0</v>
      </c>
      <c r="AZ12" s="513">
        <f t="shared" si="1"/>
        <v>0</v>
      </c>
      <c r="BA12" s="513">
        <f t="shared" si="12"/>
        <v>0</v>
      </c>
      <c r="BB12" s="513">
        <f t="shared" si="13"/>
        <v>0</v>
      </c>
      <c r="BC12" s="513">
        <f t="shared" si="14"/>
        <v>0</v>
      </c>
      <c r="BD12" s="292">
        <f>EXP(VLOOKUP(AV12,Vol_coef,3,FALSE)+G12)*'Data vol'!$J$7</f>
        <v>0.11091401694074723</v>
      </c>
      <c r="BE12" s="291"/>
    </row>
    <row r="13" spans="1:213" ht="15" customHeight="1">
      <c r="A13" s="272" t="s">
        <v>1663</v>
      </c>
      <c r="B13" s="272" t="s">
        <v>1339</v>
      </c>
      <c r="C13" s="272" t="s">
        <v>1340</v>
      </c>
      <c r="D13" s="288" t="s">
        <v>1741</v>
      </c>
      <c r="E13" s="272" t="s">
        <v>1528</v>
      </c>
      <c r="F13" s="396" t="s">
        <v>1556</v>
      </c>
      <c r="G13" s="273">
        <v>-0.748</v>
      </c>
      <c r="H13" s="294">
        <v>325</v>
      </c>
      <c r="I13" s="376"/>
      <c r="J13" s="380">
        <v>0.16</v>
      </c>
      <c r="K13" s="380">
        <v>0.08</v>
      </c>
      <c r="L13" s="380">
        <v>0.08</v>
      </c>
      <c r="M13" s="381"/>
      <c r="N13" s="380">
        <v>0.32</v>
      </c>
      <c r="O13" s="416"/>
      <c r="P13" s="436">
        <f t="shared" si="2"/>
        <v>0.30906114646505217</v>
      </c>
      <c r="Q13" s="388">
        <v>0</v>
      </c>
      <c r="R13" s="440"/>
      <c r="S13" s="388">
        <v>0</v>
      </c>
      <c r="T13" s="444"/>
      <c r="U13" s="444"/>
      <c r="V13" s="451"/>
      <c r="W13" s="458"/>
      <c r="X13" s="384"/>
      <c r="Y13" s="444"/>
      <c r="Z13" s="458"/>
      <c r="AA13" s="444"/>
      <c r="AB13" s="384"/>
      <c r="AC13" s="382"/>
      <c r="AD13" s="383"/>
      <c r="AE13" s="383"/>
      <c r="AF13" s="297"/>
      <c r="AG13" s="297"/>
      <c r="AH13" s="297"/>
      <c r="AI13" s="468"/>
      <c r="AJ13" s="471" t="s">
        <v>1662</v>
      </c>
      <c r="AK13" s="472">
        <v>1</v>
      </c>
      <c r="AL13" s="473">
        <v>0</v>
      </c>
      <c r="AM13" s="474">
        <f t="shared" si="3"/>
        <v>0</v>
      </c>
      <c r="AN13" s="474">
        <f t="shared" si="4"/>
        <v>0</v>
      </c>
      <c r="AO13" s="474">
        <f t="shared" si="5"/>
        <v>0</v>
      </c>
      <c r="AP13" s="474">
        <f t="shared" si="6"/>
        <v>0</v>
      </c>
      <c r="AQ13" s="474">
        <f t="shared" si="7"/>
        <v>0</v>
      </c>
      <c r="AR13" s="475">
        <f t="shared" si="8"/>
        <v>0</v>
      </c>
      <c r="AS13" s="618">
        <f t="shared" si="0"/>
        <v>325</v>
      </c>
      <c r="AT13" s="484">
        <f t="shared" si="9"/>
        <v>0</v>
      </c>
      <c r="AU13" s="487">
        <v>0</v>
      </c>
      <c r="AV13" s="637" t="s">
        <v>1763</v>
      </c>
      <c r="AW13" s="335"/>
      <c r="AX13" s="513">
        <f t="shared" si="10"/>
        <v>0</v>
      </c>
      <c r="AY13" s="513">
        <f t="shared" si="11"/>
        <v>0</v>
      </c>
      <c r="AZ13" s="513">
        <f t="shared" si="1"/>
        <v>0</v>
      </c>
      <c r="BA13" s="513">
        <f t="shared" si="12"/>
        <v>0</v>
      </c>
      <c r="BB13" s="513">
        <f t="shared" si="13"/>
        <v>0</v>
      </c>
      <c r="BC13" s="513">
        <f t="shared" si="14"/>
        <v>0</v>
      </c>
      <c r="BD13" s="292">
        <f>EXP(VLOOKUP(AV13,Vol_coef,3,FALSE)+G13)*'Data vol'!$J$7</f>
        <v>3.4183917296711941E-2</v>
      </c>
      <c r="BE13" s="291"/>
    </row>
    <row r="14" spans="1:213" ht="15" customHeight="1">
      <c r="A14" s="272" t="s">
        <v>1661</v>
      </c>
      <c r="B14" s="272" t="s">
        <v>1341</v>
      </c>
      <c r="C14" s="272" t="s">
        <v>1342</v>
      </c>
      <c r="D14" s="288" t="s">
        <v>1741</v>
      </c>
      <c r="E14" s="272" t="s">
        <v>1528</v>
      </c>
      <c r="F14" s="396" t="s">
        <v>1332</v>
      </c>
      <c r="G14" s="273">
        <v>0.66600000000000004</v>
      </c>
      <c r="H14" s="294" t="s">
        <v>1497</v>
      </c>
      <c r="I14" s="376"/>
      <c r="J14" s="387" t="s">
        <v>1660</v>
      </c>
      <c r="K14" s="387"/>
      <c r="L14" s="381"/>
      <c r="M14" s="381"/>
      <c r="N14" s="380">
        <v>0.38</v>
      </c>
      <c r="O14" s="416"/>
      <c r="P14" s="436">
        <f t="shared" si="2"/>
        <v>0.32658074546883559</v>
      </c>
      <c r="Q14" s="388">
        <v>0</v>
      </c>
      <c r="R14" s="440"/>
      <c r="S14" s="388">
        <v>0</v>
      </c>
      <c r="T14" s="444"/>
      <c r="U14" s="444"/>
      <c r="V14" s="451"/>
      <c r="W14" s="458"/>
      <c r="X14" s="384"/>
      <c r="Y14" s="444"/>
      <c r="Z14" s="458"/>
      <c r="AA14" s="444"/>
      <c r="AB14" s="384"/>
      <c r="AC14" s="382"/>
      <c r="AD14" s="383"/>
      <c r="AE14" s="383"/>
      <c r="AF14" s="297"/>
      <c r="AG14" s="297"/>
      <c r="AH14" s="297"/>
      <c r="AI14" s="468"/>
      <c r="AJ14" s="471" t="s">
        <v>1653</v>
      </c>
      <c r="AK14" s="472">
        <v>1</v>
      </c>
      <c r="AL14" s="473">
        <v>0</v>
      </c>
      <c r="AM14" s="474">
        <f t="shared" si="3"/>
        <v>0</v>
      </c>
      <c r="AN14" s="474">
        <f>$AK14*$AL14*$J14</f>
        <v>0</v>
      </c>
      <c r="AO14" s="474">
        <f t="shared" si="5"/>
        <v>0</v>
      </c>
      <c r="AP14" s="474">
        <f t="shared" si="6"/>
        <v>0</v>
      </c>
      <c r="AQ14" s="474">
        <f t="shared" si="7"/>
        <v>0</v>
      </c>
      <c r="AR14" s="475">
        <f t="shared" si="8"/>
        <v>0</v>
      </c>
      <c r="AS14" s="618">
        <f t="shared" si="0"/>
        <v>100000</v>
      </c>
      <c r="AT14" s="484">
        <f t="shared" si="9"/>
        <v>0</v>
      </c>
      <c r="AU14" s="487">
        <v>0</v>
      </c>
      <c r="AV14" s="637" t="s">
        <v>1763</v>
      </c>
      <c r="AW14" s="335"/>
      <c r="AX14" s="513">
        <f t="shared" si="10"/>
        <v>0</v>
      </c>
      <c r="AY14" s="513">
        <f t="shared" si="11"/>
        <v>0</v>
      </c>
      <c r="AZ14" s="513">
        <f t="shared" si="1"/>
        <v>0</v>
      </c>
      <c r="BA14" s="513">
        <f t="shared" si="12"/>
        <v>0</v>
      </c>
      <c r="BB14" s="513">
        <f t="shared" si="13"/>
        <v>0</v>
      </c>
      <c r="BC14" s="513">
        <f t="shared" si="14"/>
        <v>0</v>
      </c>
      <c r="BD14" s="292">
        <f>EXP(VLOOKUP(AV14,Vol_coef,3,FALSE)+G14)*'Data vol'!$J$7</f>
        <v>0.1405769856083274</v>
      </c>
      <c r="BE14" s="291"/>
    </row>
    <row r="15" spans="1:213" ht="15" customHeight="1">
      <c r="A15" s="272" t="s">
        <v>1659</v>
      </c>
      <c r="B15" s="272" t="s">
        <v>1343</v>
      </c>
      <c r="C15" s="272" t="s">
        <v>1344</v>
      </c>
      <c r="D15" s="288" t="s">
        <v>1741</v>
      </c>
      <c r="E15" s="272" t="s">
        <v>1528</v>
      </c>
      <c r="F15" s="396" t="s">
        <v>1332</v>
      </c>
      <c r="G15" s="273">
        <v>0.66600000000000004</v>
      </c>
      <c r="H15" s="294" t="s">
        <v>1497</v>
      </c>
      <c r="I15" s="376"/>
      <c r="J15" s="387" t="s">
        <v>1658</v>
      </c>
      <c r="K15" s="387"/>
      <c r="L15" s="381"/>
      <c r="M15" s="381"/>
      <c r="N15" s="387" t="s">
        <v>1658</v>
      </c>
      <c r="O15" s="417"/>
      <c r="P15" s="436">
        <f t="shared" si="2"/>
        <v>0.27673421063411857</v>
      </c>
      <c r="Q15" s="388">
        <v>0</v>
      </c>
      <c r="R15" s="440"/>
      <c r="S15" s="388">
        <v>0</v>
      </c>
      <c r="T15" s="444"/>
      <c r="U15" s="444"/>
      <c r="V15" s="451"/>
      <c r="W15" s="458"/>
      <c r="X15" s="384"/>
      <c r="Y15" s="444"/>
      <c r="Z15" s="458"/>
      <c r="AA15" s="444"/>
      <c r="AB15" s="384"/>
      <c r="AC15" s="382"/>
      <c r="AD15" s="383"/>
      <c r="AE15" s="383"/>
      <c r="AF15" s="297"/>
      <c r="AG15" s="297"/>
      <c r="AH15" s="297"/>
      <c r="AI15" s="468"/>
      <c r="AJ15" s="471" t="s">
        <v>1653</v>
      </c>
      <c r="AK15" s="472">
        <v>1</v>
      </c>
      <c r="AL15" s="473">
        <v>0</v>
      </c>
      <c r="AM15" s="474">
        <f t="shared" si="3"/>
        <v>0</v>
      </c>
      <c r="AN15" s="474">
        <f t="shared" si="4"/>
        <v>0</v>
      </c>
      <c r="AO15" s="474">
        <f t="shared" si="5"/>
        <v>0</v>
      </c>
      <c r="AP15" s="474">
        <f t="shared" si="6"/>
        <v>0</v>
      </c>
      <c r="AQ15" s="474">
        <f t="shared" si="7"/>
        <v>0</v>
      </c>
      <c r="AR15" s="475">
        <f t="shared" si="8"/>
        <v>0</v>
      </c>
      <c r="AS15" s="618">
        <f t="shared" si="0"/>
        <v>100000</v>
      </c>
      <c r="AT15" s="484">
        <f t="shared" si="9"/>
        <v>0</v>
      </c>
      <c r="AU15" s="487">
        <v>0</v>
      </c>
      <c r="AV15" s="637" t="s">
        <v>1763</v>
      </c>
      <c r="AW15" s="335"/>
      <c r="AX15" s="513">
        <f t="shared" si="10"/>
        <v>0</v>
      </c>
      <c r="AY15" s="513">
        <f t="shared" si="11"/>
        <v>0</v>
      </c>
      <c r="AZ15" s="513">
        <f t="shared" si="1"/>
        <v>0</v>
      </c>
      <c r="BA15" s="513">
        <f t="shared" si="12"/>
        <v>0</v>
      </c>
      <c r="BB15" s="513">
        <f t="shared" si="13"/>
        <v>0</v>
      </c>
      <c r="BC15" s="513">
        <f t="shared" si="14"/>
        <v>0</v>
      </c>
      <c r="BD15" s="292">
        <f>EXP(VLOOKUP(AV15,Vol_coef,3,FALSE)+G15)*'Data vol'!$J$7</f>
        <v>0.1405769856083274</v>
      </c>
      <c r="BE15" s="291"/>
    </row>
    <row r="16" spans="1:213" ht="15" customHeight="1">
      <c r="A16" s="272" t="s">
        <v>1657</v>
      </c>
      <c r="B16" s="272" t="s">
        <v>1345</v>
      </c>
      <c r="C16" s="272" t="s">
        <v>1346</v>
      </c>
      <c r="D16" s="288" t="s">
        <v>1741</v>
      </c>
      <c r="E16" s="272" t="s">
        <v>1528</v>
      </c>
      <c r="F16" s="396" t="s">
        <v>1332</v>
      </c>
      <c r="G16" s="273">
        <v>0.66600000000000004</v>
      </c>
      <c r="H16" s="294" t="s">
        <v>1497</v>
      </c>
      <c r="I16" s="376"/>
      <c r="J16" s="387" t="s">
        <v>1656</v>
      </c>
      <c r="K16" s="387" t="s">
        <v>1655</v>
      </c>
      <c r="L16" s="381"/>
      <c r="M16" s="381"/>
      <c r="N16" s="387" t="s">
        <v>1654</v>
      </c>
      <c r="O16" s="417"/>
      <c r="P16" s="436">
        <f t="shared" si="2"/>
        <v>0.27931247967729361</v>
      </c>
      <c r="Q16" s="388">
        <v>0</v>
      </c>
      <c r="R16" s="440"/>
      <c r="S16" s="388">
        <v>0</v>
      </c>
      <c r="T16" s="444"/>
      <c r="U16" s="444"/>
      <c r="V16" s="451"/>
      <c r="W16" s="458"/>
      <c r="X16" s="384"/>
      <c r="Y16" s="444"/>
      <c r="Z16" s="458"/>
      <c r="AA16" s="444"/>
      <c r="AB16" s="384"/>
      <c r="AC16" s="382"/>
      <c r="AD16" s="383"/>
      <c r="AE16" s="383"/>
      <c r="AF16" s="297"/>
      <c r="AG16" s="297"/>
      <c r="AH16" s="297"/>
      <c r="AI16" s="468"/>
      <c r="AJ16" s="471" t="s">
        <v>1653</v>
      </c>
      <c r="AK16" s="472">
        <v>1</v>
      </c>
      <c r="AL16" s="473">
        <v>0</v>
      </c>
      <c r="AM16" s="474">
        <f t="shared" si="3"/>
        <v>0</v>
      </c>
      <c r="AN16" s="474">
        <f t="shared" si="4"/>
        <v>0</v>
      </c>
      <c r="AO16" s="474">
        <f t="shared" si="5"/>
        <v>0</v>
      </c>
      <c r="AP16" s="474">
        <f t="shared" si="6"/>
        <v>0</v>
      </c>
      <c r="AQ16" s="474">
        <f t="shared" si="7"/>
        <v>0</v>
      </c>
      <c r="AR16" s="475">
        <f t="shared" si="8"/>
        <v>0</v>
      </c>
      <c r="AS16" s="618">
        <f t="shared" si="0"/>
        <v>100000</v>
      </c>
      <c r="AT16" s="484">
        <f t="shared" si="9"/>
        <v>0</v>
      </c>
      <c r="AU16" s="487">
        <v>0</v>
      </c>
      <c r="AV16" s="637" t="s">
        <v>1763</v>
      </c>
      <c r="AW16" s="335"/>
      <c r="AX16" s="513">
        <f t="shared" si="10"/>
        <v>0</v>
      </c>
      <c r="AY16" s="513">
        <f t="shared" si="11"/>
        <v>0</v>
      </c>
      <c r="AZ16" s="513">
        <f t="shared" si="1"/>
        <v>0</v>
      </c>
      <c r="BA16" s="513">
        <f t="shared" si="12"/>
        <v>0</v>
      </c>
      <c r="BB16" s="513">
        <f t="shared" si="13"/>
        <v>0</v>
      </c>
      <c r="BC16" s="513">
        <f t="shared" si="14"/>
        <v>0</v>
      </c>
      <c r="BD16" s="292">
        <f>EXP(VLOOKUP(AV16,Vol_coef,3,FALSE)+G16)*'Data vol'!$J$7</f>
        <v>0.1405769856083274</v>
      </c>
      <c r="BE16" s="291"/>
    </row>
    <row r="17" spans="1:57" ht="15" customHeight="1">
      <c r="A17" s="272" t="s">
        <v>1652</v>
      </c>
      <c r="B17" s="272" t="s">
        <v>1347</v>
      </c>
      <c r="C17" s="272" t="s">
        <v>1348</v>
      </c>
      <c r="D17" s="288" t="s">
        <v>1741</v>
      </c>
      <c r="E17" s="272" t="s">
        <v>1528</v>
      </c>
      <c r="F17" s="396" t="s">
        <v>1497</v>
      </c>
      <c r="G17" s="274">
        <v>0</v>
      </c>
      <c r="H17" s="294">
        <v>273</v>
      </c>
      <c r="I17" s="376"/>
      <c r="J17" s="387"/>
      <c r="K17" s="387"/>
      <c r="L17" s="381"/>
      <c r="M17" s="381"/>
      <c r="N17" s="381"/>
      <c r="O17" s="417"/>
      <c r="P17" s="436">
        <f t="shared" si="2"/>
        <v>0</v>
      </c>
      <c r="Q17" s="388">
        <v>0.09</v>
      </c>
      <c r="R17" s="436">
        <v>0.2</v>
      </c>
      <c r="S17" s="388">
        <v>0</v>
      </c>
      <c r="T17" s="444"/>
      <c r="U17" s="444"/>
      <c r="V17" s="451"/>
      <c r="W17" s="460" t="s">
        <v>1651</v>
      </c>
      <c r="X17" s="388">
        <v>0.12</v>
      </c>
      <c r="Y17" s="444"/>
      <c r="Z17" s="459">
        <v>0.2</v>
      </c>
      <c r="AA17" s="444"/>
      <c r="AB17" s="384"/>
      <c r="AC17" s="382"/>
      <c r="AD17" s="383"/>
      <c r="AE17" s="383"/>
      <c r="AF17" s="297"/>
      <c r="AG17" s="297"/>
      <c r="AH17" s="297"/>
      <c r="AI17" s="468"/>
      <c r="AJ17" s="471" t="s">
        <v>1650</v>
      </c>
      <c r="AK17" s="472">
        <v>1</v>
      </c>
      <c r="AL17" s="473">
        <v>0</v>
      </c>
      <c r="AM17" s="474">
        <f t="shared" si="3"/>
        <v>0</v>
      </c>
      <c r="AN17" s="474">
        <f t="shared" si="4"/>
        <v>0</v>
      </c>
      <c r="AO17" s="474">
        <f t="shared" si="5"/>
        <v>0</v>
      </c>
      <c r="AP17" s="474">
        <f t="shared" si="6"/>
        <v>0</v>
      </c>
      <c r="AQ17" s="474">
        <f t="shared" si="7"/>
        <v>0</v>
      </c>
      <c r="AR17" s="475">
        <f t="shared" si="8"/>
        <v>0</v>
      </c>
      <c r="AS17" s="618">
        <f t="shared" si="0"/>
        <v>273</v>
      </c>
      <c r="AT17" s="484">
        <f t="shared" si="9"/>
        <v>0</v>
      </c>
      <c r="AU17" s="487">
        <v>0</v>
      </c>
      <c r="AV17" s="637" t="s">
        <v>1762</v>
      </c>
      <c r="AW17" s="335"/>
      <c r="AX17" s="513">
        <f t="shared" si="10"/>
        <v>0</v>
      </c>
      <c r="AY17" s="513">
        <f t="shared" si="11"/>
        <v>0</v>
      </c>
      <c r="AZ17" s="513">
        <f t="shared" si="1"/>
        <v>0</v>
      </c>
      <c r="BA17" s="513">
        <f t="shared" si="12"/>
        <v>0</v>
      </c>
      <c r="BB17" s="513">
        <f t="shared" si="13"/>
        <v>0</v>
      </c>
      <c r="BC17" s="513">
        <f t="shared" si="14"/>
        <v>0</v>
      </c>
      <c r="BD17" s="292">
        <f>EXP(VLOOKUP(AV17,Vol_coef,3,FALSE)+G17)*'Data vol'!$J$7</f>
        <v>4.0035048340591801E-2</v>
      </c>
      <c r="BE17" s="291"/>
    </row>
    <row r="18" spans="1:57" ht="15" customHeight="1">
      <c r="A18" s="272" t="s">
        <v>1649</v>
      </c>
      <c r="B18" s="272" t="s">
        <v>1349</v>
      </c>
      <c r="C18" s="272" t="s">
        <v>1350</v>
      </c>
      <c r="D18" s="288" t="s">
        <v>1741</v>
      </c>
      <c r="E18" s="272" t="s">
        <v>1528</v>
      </c>
      <c r="F18" s="396" t="s">
        <v>1497</v>
      </c>
      <c r="G18" s="274">
        <v>0</v>
      </c>
      <c r="H18" s="294">
        <v>202</v>
      </c>
      <c r="I18" s="376"/>
      <c r="J18" s="387"/>
      <c r="K18" s="387"/>
      <c r="L18" s="381"/>
      <c r="M18" s="381"/>
      <c r="N18" s="381"/>
      <c r="O18" s="417"/>
      <c r="P18" s="436">
        <f t="shared" si="2"/>
        <v>0</v>
      </c>
      <c r="Q18" s="388">
        <v>0.18</v>
      </c>
      <c r="R18" s="436">
        <v>0.42</v>
      </c>
      <c r="S18" s="388">
        <v>0</v>
      </c>
      <c r="T18" s="444"/>
      <c r="U18" s="444"/>
      <c r="V18" s="451"/>
      <c r="W18" s="458"/>
      <c r="X18" s="384"/>
      <c r="Y18" s="444"/>
      <c r="Z18" s="458"/>
      <c r="AA18" s="444"/>
      <c r="AB18" s="384"/>
      <c r="AC18" s="382"/>
      <c r="AD18" s="383"/>
      <c r="AE18" s="383"/>
      <c r="AF18" s="297"/>
      <c r="AG18" s="297"/>
      <c r="AH18" s="297"/>
      <c r="AI18" s="468"/>
      <c r="AJ18" s="471" t="s">
        <v>1630</v>
      </c>
      <c r="AK18" s="472">
        <v>1</v>
      </c>
      <c r="AL18" s="473">
        <v>0</v>
      </c>
      <c r="AM18" s="474">
        <f t="shared" si="3"/>
        <v>0</v>
      </c>
      <c r="AN18" s="474">
        <f t="shared" si="4"/>
        <v>0</v>
      </c>
      <c r="AO18" s="474">
        <f t="shared" si="5"/>
        <v>0</v>
      </c>
      <c r="AP18" s="474">
        <f t="shared" si="6"/>
        <v>0</v>
      </c>
      <c r="AQ18" s="474">
        <f t="shared" si="7"/>
        <v>0</v>
      </c>
      <c r="AR18" s="475">
        <f t="shared" si="8"/>
        <v>0</v>
      </c>
      <c r="AS18" s="618">
        <f t="shared" si="0"/>
        <v>202</v>
      </c>
      <c r="AT18" s="484">
        <f t="shared" si="9"/>
        <v>0</v>
      </c>
      <c r="AU18" s="487">
        <v>0</v>
      </c>
      <c r="AV18" s="637" t="s">
        <v>1762</v>
      </c>
      <c r="AW18" s="335"/>
      <c r="AX18" s="513">
        <f t="shared" si="10"/>
        <v>0</v>
      </c>
      <c r="AY18" s="513">
        <f t="shared" si="11"/>
        <v>0</v>
      </c>
      <c r="AZ18" s="513">
        <f t="shared" si="1"/>
        <v>0</v>
      </c>
      <c r="BA18" s="513">
        <f t="shared" si="12"/>
        <v>0</v>
      </c>
      <c r="BB18" s="513">
        <f t="shared" si="13"/>
        <v>0</v>
      </c>
      <c r="BC18" s="513">
        <f t="shared" si="14"/>
        <v>0</v>
      </c>
      <c r="BD18" s="292">
        <f>EXP(VLOOKUP(AV18,Vol_coef,3,FALSE)+G18)*'Data vol'!$J$7</f>
        <v>4.0035048340591801E-2</v>
      </c>
      <c r="BE18" s="291"/>
    </row>
    <row r="19" spans="1:57" ht="15" customHeight="1">
      <c r="A19" s="272" t="s">
        <v>1648</v>
      </c>
      <c r="B19" s="272" t="s">
        <v>1351</v>
      </c>
      <c r="C19" s="272" t="s">
        <v>1352</v>
      </c>
      <c r="D19" s="288" t="s">
        <v>1741</v>
      </c>
      <c r="E19" s="272" t="s">
        <v>1528</v>
      </c>
      <c r="F19" s="396" t="s">
        <v>1497</v>
      </c>
      <c r="G19" s="274">
        <v>0</v>
      </c>
      <c r="H19" s="294">
        <v>320</v>
      </c>
      <c r="I19" s="376"/>
      <c r="J19" s="387"/>
      <c r="K19" s="387"/>
      <c r="L19" s="381"/>
      <c r="M19" s="381"/>
      <c r="N19" s="381"/>
      <c r="O19" s="417"/>
      <c r="P19" s="436">
        <f t="shared" si="2"/>
        <v>0</v>
      </c>
      <c r="Q19" s="388">
        <v>0.2</v>
      </c>
      <c r="R19" s="436">
        <v>0.46</v>
      </c>
      <c r="S19" s="388">
        <v>0</v>
      </c>
      <c r="T19" s="444"/>
      <c r="U19" s="444"/>
      <c r="V19" s="451"/>
      <c r="W19" s="458"/>
      <c r="X19" s="384"/>
      <c r="Y19" s="444"/>
      <c r="Z19" s="458"/>
      <c r="AA19" s="444"/>
      <c r="AB19" s="384"/>
      <c r="AC19" s="382"/>
      <c r="AD19" s="383"/>
      <c r="AE19" s="383"/>
      <c r="AF19" s="297"/>
      <c r="AG19" s="297"/>
      <c r="AH19" s="297"/>
      <c r="AI19" s="468"/>
      <c r="AJ19" s="471" t="s">
        <v>1647</v>
      </c>
      <c r="AK19" s="472">
        <v>1</v>
      </c>
      <c r="AL19" s="473">
        <v>0</v>
      </c>
      <c r="AM19" s="474">
        <f t="shared" si="3"/>
        <v>0</v>
      </c>
      <c r="AN19" s="474">
        <f t="shared" si="4"/>
        <v>0</v>
      </c>
      <c r="AO19" s="474">
        <f t="shared" si="5"/>
        <v>0</v>
      </c>
      <c r="AP19" s="474">
        <f t="shared" si="6"/>
        <v>0</v>
      </c>
      <c r="AQ19" s="474">
        <f t="shared" si="7"/>
        <v>0</v>
      </c>
      <c r="AR19" s="475">
        <f t="shared" si="8"/>
        <v>0</v>
      </c>
      <c r="AS19" s="618">
        <f t="shared" si="0"/>
        <v>320</v>
      </c>
      <c r="AT19" s="484">
        <f t="shared" si="9"/>
        <v>0</v>
      </c>
      <c r="AU19" s="487">
        <v>0</v>
      </c>
      <c r="AV19" s="637" t="s">
        <v>1762</v>
      </c>
      <c r="AW19" s="335"/>
      <c r="AX19" s="513">
        <f t="shared" si="10"/>
        <v>0</v>
      </c>
      <c r="AY19" s="513">
        <f t="shared" si="11"/>
        <v>0</v>
      </c>
      <c r="AZ19" s="513">
        <f t="shared" si="1"/>
        <v>0</v>
      </c>
      <c r="BA19" s="513">
        <f t="shared" si="12"/>
        <v>0</v>
      </c>
      <c r="BB19" s="513">
        <f t="shared" si="13"/>
        <v>0</v>
      </c>
      <c r="BC19" s="513">
        <f t="shared" si="14"/>
        <v>0</v>
      </c>
      <c r="BD19" s="292">
        <f>EXP(VLOOKUP(AV19,Vol_coef,3,FALSE)+G19)*'Data vol'!$J$7</f>
        <v>4.0035048340591801E-2</v>
      </c>
      <c r="BE19" s="291"/>
    </row>
    <row r="20" spans="1:57" ht="15" customHeight="1">
      <c r="A20" s="272" t="s">
        <v>1646</v>
      </c>
      <c r="B20" s="272" t="s">
        <v>1353</v>
      </c>
      <c r="C20" s="272" t="s">
        <v>1354</v>
      </c>
      <c r="D20" s="288" t="s">
        <v>1741</v>
      </c>
      <c r="E20" s="272" t="s">
        <v>1528</v>
      </c>
      <c r="F20" s="396" t="s">
        <v>1497</v>
      </c>
      <c r="G20" s="274">
        <v>0</v>
      </c>
      <c r="H20" s="294">
        <v>641</v>
      </c>
      <c r="I20" s="376"/>
      <c r="J20" s="387"/>
      <c r="K20" s="387"/>
      <c r="L20" s="381"/>
      <c r="M20" s="381"/>
      <c r="N20" s="381"/>
      <c r="O20" s="417"/>
      <c r="P20" s="436">
        <f t="shared" si="2"/>
        <v>0</v>
      </c>
      <c r="Q20" s="388">
        <v>0.23</v>
      </c>
      <c r="R20" s="436">
        <v>0.52</v>
      </c>
      <c r="S20" s="388">
        <v>0</v>
      </c>
      <c r="T20" s="444"/>
      <c r="U20" s="444"/>
      <c r="V20" s="451"/>
      <c r="W20" s="458"/>
      <c r="X20" s="384"/>
      <c r="Y20" s="444"/>
      <c r="Z20" s="458"/>
      <c r="AA20" s="444"/>
      <c r="AB20" s="384"/>
      <c r="AC20" s="382"/>
      <c r="AD20" s="383"/>
      <c r="AE20" s="383"/>
      <c r="AF20" s="297"/>
      <c r="AG20" s="297"/>
      <c r="AH20" s="297"/>
      <c r="AI20" s="468"/>
      <c r="AJ20" s="471" t="s">
        <v>1630</v>
      </c>
      <c r="AK20" s="472">
        <v>1</v>
      </c>
      <c r="AL20" s="473">
        <v>0</v>
      </c>
      <c r="AM20" s="474">
        <f t="shared" si="3"/>
        <v>0</v>
      </c>
      <c r="AN20" s="474">
        <f t="shared" si="4"/>
        <v>0</v>
      </c>
      <c r="AO20" s="474">
        <f t="shared" si="5"/>
        <v>0</v>
      </c>
      <c r="AP20" s="474">
        <f t="shared" si="6"/>
        <v>0</v>
      </c>
      <c r="AQ20" s="474">
        <f t="shared" si="7"/>
        <v>0</v>
      </c>
      <c r="AR20" s="475">
        <f t="shared" si="8"/>
        <v>0</v>
      </c>
      <c r="AS20" s="618">
        <f t="shared" si="0"/>
        <v>641</v>
      </c>
      <c r="AT20" s="484">
        <f t="shared" si="9"/>
        <v>0</v>
      </c>
      <c r="AU20" s="487">
        <v>0</v>
      </c>
      <c r="AV20" s="637" t="s">
        <v>1762</v>
      </c>
      <c r="AW20" s="335"/>
      <c r="AX20" s="513">
        <f t="shared" si="10"/>
        <v>0</v>
      </c>
      <c r="AY20" s="513">
        <f t="shared" si="11"/>
        <v>0</v>
      </c>
      <c r="AZ20" s="513">
        <f t="shared" si="1"/>
        <v>0</v>
      </c>
      <c r="BA20" s="513">
        <f t="shared" si="12"/>
        <v>0</v>
      </c>
      <c r="BB20" s="513">
        <f t="shared" si="13"/>
        <v>0</v>
      </c>
      <c r="BC20" s="513">
        <f t="shared" si="14"/>
        <v>0</v>
      </c>
      <c r="BD20" s="292">
        <f>EXP(VLOOKUP(AV20,Vol_coef,3,FALSE)+G20)*'Data vol'!$J$7</f>
        <v>4.0035048340591801E-2</v>
      </c>
      <c r="BE20" s="291"/>
    </row>
    <row r="21" spans="1:57" ht="15" customHeight="1">
      <c r="A21" s="272" t="s">
        <v>1645</v>
      </c>
      <c r="B21" s="272" t="s">
        <v>1355</v>
      </c>
      <c r="C21" s="272" t="s">
        <v>1356</v>
      </c>
      <c r="D21" s="288" t="s">
        <v>1741</v>
      </c>
      <c r="E21" s="272" t="s">
        <v>1528</v>
      </c>
      <c r="F21" s="396" t="s">
        <v>1497</v>
      </c>
      <c r="G21" s="274">
        <v>0</v>
      </c>
      <c r="H21" s="294" t="s">
        <v>1497</v>
      </c>
      <c r="I21" s="376"/>
      <c r="J21" s="387"/>
      <c r="K21" s="387"/>
      <c r="L21" s="381"/>
      <c r="M21" s="381"/>
      <c r="N21" s="381"/>
      <c r="O21" s="417"/>
      <c r="P21" s="436">
        <f t="shared" si="2"/>
        <v>0</v>
      </c>
      <c r="Q21" s="388">
        <v>0.3</v>
      </c>
      <c r="R21" s="436">
        <v>0.68</v>
      </c>
      <c r="S21" s="388">
        <v>0</v>
      </c>
      <c r="T21" s="444"/>
      <c r="U21" s="444"/>
      <c r="V21" s="451"/>
      <c r="W21" s="458"/>
      <c r="X21" s="384"/>
      <c r="Y21" s="444"/>
      <c r="Z21" s="458"/>
      <c r="AA21" s="444"/>
      <c r="AB21" s="384"/>
      <c r="AC21" s="382"/>
      <c r="AD21" s="383"/>
      <c r="AE21" s="383"/>
      <c r="AF21" s="297"/>
      <c r="AG21" s="297"/>
      <c r="AH21" s="297"/>
      <c r="AI21" s="468"/>
      <c r="AJ21" s="471" t="s">
        <v>1638</v>
      </c>
      <c r="AK21" s="472">
        <v>1</v>
      </c>
      <c r="AL21" s="473">
        <v>0</v>
      </c>
      <c r="AM21" s="474">
        <f t="shared" si="3"/>
        <v>0</v>
      </c>
      <c r="AN21" s="474">
        <f t="shared" si="4"/>
        <v>0</v>
      </c>
      <c r="AO21" s="474">
        <f t="shared" si="5"/>
        <v>0</v>
      </c>
      <c r="AP21" s="474">
        <f t="shared" si="6"/>
        <v>0</v>
      </c>
      <c r="AQ21" s="474">
        <f t="shared" si="7"/>
        <v>0</v>
      </c>
      <c r="AR21" s="475">
        <f t="shared" si="8"/>
        <v>0</v>
      </c>
      <c r="AS21" s="618">
        <f t="shared" si="0"/>
        <v>100000</v>
      </c>
      <c r="AT21" s="484">
        <f t="shared" si="9"/>
        <v>0</v>
      </c>
      <c r="AU21" s="487">
        <v>0</v>
      </c>
      <c r="AV21" s="637" t="s">
        <v>1762</v>
      </c>
      <c r="AW21" s="335"/>
      <c r="AX21" s="513">
        <f t="shared" si="10"/>
        <v>0</v>
      </c>
      <c r="AY21" s="513">
        <f t="shared" si="11"/>
        <v>0</v>
      </c>
      <c r="AZ21" s="513">
        <f t="shared" si="1"/>
        <v>0</v>
      </c>
      <c r="BA21" s="513">
        <f t="shared" si="12"/>
        <v>0</v>
      </c>
      <c r="BB21" s="513">
        <f t="shared" si="13"/>
        <v>0</v>
      </c>
      <c r="BC21" s="513">
        <f t="shared" si="14"/>
        <v>0</v>
      </c>
      <c r="BD21" s="292">
        <f>EXP(VLOOKUP(AV21,Vol_coef,3,FALSE)+G21)*'Data vol'!$J$7</f>
        <v>4.0035048340591801E-2</v>
      </c>
      <c r="BE21" s="291"/>
    </row>
    <row r="22" spans="1:57" ht="15" customHeight="1">
      <c r="A22" s="272" t="s">
        <v>1644</v>
      </c>
      <c r="B22" s="272" t="s">
        <v>1357</v>
      </c>
      <c r="C22" s="272" t="s">
        <v>1358</v>
      </c>
      <c r="D22" s="288" t="s">
        <v>1741</v>
      </c>
      <c r="E22" s="272" t="s">
        <v>1528</v>
      </c>
      <c r="F22" s="396" t="s">
        <v>1497</v>
      </c>
      <c r="G22" s="274">
        <v>0</v>
      </c>
      <c r="H22" s="294" t="s">
        <v>1497</v>
      </c>
      <c r="I22" s="376"/>
      <c r="J22" s="387"/>
      <c r="K22" s="387"/>
      <c r="L22" s="381"/>
      <c r="M22" s="381"/>
      <c r="N22" s="381"/>
      <c r="O22" s="417"/>
      <c r="P22" s="436">
        <f t="shared" si="2"/>
        <v>0</v>
      </c>
      <c r="Q22" s="388">
        <v>0.08</v>
      </c>
      <c r="R22" s="436">
        <v>0.18</v>
      </c>
      <c r="S22" s="388">
        <v>0</v>
      </c>
      <c r="T22" s="444"/>
      <c r="U22" s="444"/>
      <c r="V22" s="451"/>
      <c r="W22" s="458"/>
      <c r="X22" s="384"/>
      <c r="Y22" s="444"/>
      <c r="Z22" s="459">
        <v>0.21</v>
      </c>
      <c r="AA22" s="444"/>
      <c r="AB22" s="384"/>
      <c r="AC22" s="382"/>
      <c r="AD22" s="383"/>
      <c r="AE22" s="383"/>
      <c r="AF22" s="297"/>
      <c r="AG22" s="297"/>
      <c r="AH22" s="297"/>
      <c r="AI22" s="468"/>
      <c r="AJ22" s="471" t="s">
        <v>1643</v>
      </c>
      <c r="AK22" s="472">
        <v>1</v>
      </c>
      <c r="AL22" s="473">
        <v>0</v>
      </c>
      <c r="AM22" s="474">
        <f t="shared" si="3"/>
        <v>0</v>
      </c>
      <c r="AN22" s="474">
        <f t="shared" si="4"/>
        <v>0</v>
      </c>
      <c r="AO22" s="474">
        <f t="shared" si="5"/>
        <v>0</v>
      </c>
      <c r="AP22" s="474">
        <f t="shared" si="6"/>
        <v>0</v>
      </c>
      <c r="AQ22" s="474">
        <f t="shared" si="7"/>
        <v>0</v>
      </c>
      <c r="AR22" s="475">
        <f t="shared" si="8"/>
        <v>0</v>
      </c>
      <c r="AS22" s="618">
        <f t="shared" si="0"/>
        <v>100000</v>
      </c>
      <c r="AT22" s="484">
        <f t="shared" si="9"/>
        <v>0</v>
      </c>
      <c r="AU22" s="487">
        <v>0</v>
      </c>
      <c r="AV22" s="637" t="s">
        <v>1762</v>
      </c>
      <c r="AW22" s="335"/>
      <c r="AX22" s="513">
        <f t="shared" si="10"/>
        <v>0</v>
      </c>
      <c r="AY22" s="513">
        <f t="shared" si="11"/>
        <v>0</v>
      </c>
      <c r="AZ22" s="513">
        <f t="shared" si="1"/>
        <v>0</v>
      </c>
      <c r="BA22" s="513">
        <f t="shared" si="12"/>
        <v>0</v>
      </c>
      <c r="BB22" s="513">
        <f t="shared" si="13"/>
        <v>0</v>
      </c>
      <c r="BC22" s="513">
        <f t="shared" si="14"/>
        <v>0</v>
      </c>
      <c r="BD22" s="292">
        <f>EXP(VLOOKUP(AV22,Vol_coef,3,FALSE)+G22)*'Data vol'!$J$7</f>
        <v>4.0035048340591801E-2</v>
      </c>
      <c r="BE22" s="291"/>
    </row>
    <row r="23" spans="1:57" ht="15" customHeight="1">
      <c r="A23" s="272" t="s">
        <v>1642</v>
      </c>
      <c r="B23" s="272" t="s">
        <v>1359</v>
      </c>
      <c r="C23" s="272" t="s">
        <v>1360</v>
      </c>
      <c r="D23" s="288" t="s">
        <v>1741</v>
      </c>
      <c r="E23" s="272" t="s">
        <v>1528</v>
      </c>
      <c r="F23" s="396" t="s">
        <v>1497</v>
      </c>
      <c r="G23" s="274">
        <v>0</v>
      </c>
      <c r="H23" s="294" t="s">
        <v>1497</v>
      </c>
      <c r="I23" s="376"/>
      <c r="J23" s="387"/>
      <c r="K23" s="387"/>
      <c r="L23" s="381"/>
      <c r="M23" s="381"/>
      <c r="N23" s="381"/>
      <c r="O23" s="417"/>
      <c r="P23" s="436">
        <f t="shared" si="2"/>
        <v>0</v>
      </c>
      <c r="Q23" s="388">
        <v>0.26</v>
      </c>
      <c r="R23" s="436">
        <v>0.6</v>
      </c>
      <c r="S23" s="388">
        <v>0</v>
      </c>
      <c r="T23" s="444"/>
      <c r="U23" s="444"/>
      <c r="V23" s="451"/>
      <c r="W23" s="458"/>
      <c r="X23" s="384"/>
      <c r="Y23" s="444"/>
      <c r="Z23" s="458"/>
      <c r="AA23" s="444"/>
      <c r="AB23" s="384"/>
      <c r="AC23" s="382"/>
      <c r="AD23" s="383"/>
      <c r="AE23" s="383"/>
      <c r="AF23" s="297"/>
      <c r="AG23" s="297"/>
      <c r="AH23" s="297"/>
      <c r="AI23" s="468"/>
      <c r="AJ23" s="471" t="s">
        <v>1638</v>
      </c>
      <c r="AK23" s="472">
        <v>1</v>
      </c>
      <c r="AL23" s="473">
        <v>0</v>
      </c>
      <c r="AM23" s="474">
        <f t="shared" si="3"/>
        <v>0</v>
      </c>
      <c r="AN23" s="474">
        <f t="shared" si="4"/>
        <v>0</v>
      </c>
      <c r="AO23" s="474">
        <f t="shared" si="5"/>
        <v>0</v>
      </c>
      <c r="AP23" s="474">
        <f t="shared" si="6"/>
        <v>0</v>
      </c>
      <c r="AQ23" s="474">
        <f t="shared" si="7"/>
        <v>0</v>
      </c>
      <c r="AR23" s="475">
        <f t="shared" si="8"/>
        <v>0</v>
      </c>
      <c r="AS23" s="618">
        <f t="shared" si="0"/>
        <v>100000</v>
      </c>
      <c r="AT23" s="484">
        <f t="shared" si="9"/>
        <v>0</v>
      </c>
      <c r="AU23" s="487">
        <v>0</v>
      </c>
      <c r="AV23" s="637" t="s">
        <v>1762</v>
      </c>
      <c r="AW23" s="335"/>
      <c r="AX23" s="513">
        <f t="shared" si="10"/>
        <v>0</v>
      </c>
      <c r="AY23" s="513">
        <f t="shared" si="11"/>
        <v>0</v>
      </c>
      <c r="AZ23" s="513">
        <f t="shared" si="1"/>
        <v>0</v>
      </c>
      <c r="BA23" s="513">
        <f t="shared" si="12"/>
        <v>0</v>
      </c>
      <c r="BB23" s="513">
        <f t="shared" si="13"/>
        <v>0</v>
      </c>
      <c r="BC23" s="513">
        <f t="shared" si="14"/>
        <v>0</v>
      </c>
      <c r="BD23" s="292">
        <f>EXP(VLOOKUP(AV23,Vol_coef,3,FALSE)+G23)*'Data vol'!$J$7</f>
        <v>4.0035048340591801E-2</v>
      </c>
      <c r="BE23" s="291"/>
    </row>
    <row r="24" spans="1:57" ht="15" customHeight="1">
      <c r="A24" s="272" t="s">
        <v>1641</v>
      </c>
      <c r="B24" s="272" t="s">
        <v>1361</v>
      </c>
      <c r="C24" s="272" t="s">
        <v>1362</v>
      </c>
      <c r="D24" s="288" t="s">
        <v>1741</v>
      </c>
      <c r="E24" s="272" t="s">
        <v>1528</v>
      </c>
      <c r="F24" s="396" t="s">
        <v>1497</v>
      </c>
      <c r="G24" s="274">
        <v>0</v>
      </c>
      <c r="H24" s="294" t="s">
        <v>1497</v>
      </c>
      <c r="I24" s="376"/>
      <c r="J24" s="387"/>
      <c r="K24" s="387"/>
      <c r="L24" s="381"/>
      <c r="M24" s="381"/>
      <c r="N24" s="381"/>
      <c r="O24" s="417"/>
      <c r="P24" s="436">
        <f t="shared" si="2"/>
        <v>0</v>
      </c>
      <c r="Q24" s="388">
        <v>0</v>
      </c>
      <c r="R24" s="440"/>
      <c r="S24" s="388">
        <v>0</v>
      </c>
      <c r="T24" s="444"/>
      <c r="U24" s="444"/>
      <c r="V24" s="451"/>
      <c r="W24" s="458"/>
      <c r="X24" s="384"/>
      <c r="Y24" s="444"/>
      <c r="Z24" s="458"/>
      <c r="AA24" s="444"/>
      <c r="AB24" s="384"/>
      <c r="AC24" s="382"/>
      <c r="AD24" s="383"/>
      <c r="AE24" s="383"/>
      <c r="AF24" s="297"/>
      <c r="AG24" s="297"/>
      <c r="AH24" s="297"/>
      <c r="AI24" s="468"/>
      <c r="AJ24" s="471"/>
      <c r="AK24" s="472">
        <v>1</v>
      </c>
      <c r="AL24" s="473">
        <v>0</v>
      </c>
      <c r="AM24" s="474">
        <f t="shared" si="3"/>
        <v>0</v>
      </c>
      <c r="AN24" s="474">
        <f t="shared" si="4"/>
        <v>0</v>
      </c>
      <c r="AO24" s="474">
        <f t="shared" si="5"/>
        <v>0</v>
      </c>
      <c r="AP24" s="474">
        <f t="shared" si="6"/>
        <v>0</v>
      </c>
      <c r="AQ24" s="474">
        <f t="shared" si="7"/>
        <v>0</v>
      </c>
      <c r="AR24" s="475">
        <f t="shared" si="8"/>
        <v>0</v>
      </c>
      <c r="AS24" s="618">
        <f t="shared" si="0"/>
        <v>100000</v>
      </c>
      <c r="AT24" s="484">
        <f t="shared" si="9"/>
        <v>0</v>
      </c>
      <c r="AU24" s="487">
        <v>0</v>
      </c>
      <c r="AV24" s="637" t="s">
        <v>1762</v>
      </c>
      <c r="AW24" s="335"/>
      <c r="AX24" s="513">
        <f t="shared" si="10"/>
        <v>0</v>
      </c>
      <c r="AY24" s="513">
        <f t="shared" si="11"/>
        <v>0</v>
      </c>
      <c r="AZ24" s="513">
        <f t="shared" si="1"/>
        <v>0</v>
      </c>
      <c r="BA24" s="513">
        <f t="shared" si="12"/>
        <v>0</v>
      </c>
      <c r="BB24" s="513">
        <f t="shared" si="13"/>
        <v>0</v>
      </c>
      <c r="BC24" s="513">
        <f t="shared" si="14"/>
        <v>0</v>
      </c>
      <c r="BD24" s="292">
        <f>EXP(VLOOKUP(AV24,Vol_coef,3,FALSE)+G24)*'Data vol'!$J$7</f>
        <v>4.0035048340591801E-2</v>
      </c>
      <c r="BE24" s="291"/>
    </row>
    <row r="25" spans="1:57" ht="15" customHeight="1">
      <c r="A25" s="272" t="s">
        <v>1640</v>
      </c>
      <c r="B25" s="272" t="s">
        <v>1363</v>
      </c>
      <c r="C25" s="272" t="s">
        <v>1364</v>
      </c>
      <c r="D25" s="288" t="s">
        <v>1741</v>
      </c>
      <c r="E25" s="272" t="s">
        <v>1528</v>
      </c>
      <c r="F25" s="396" t="s">
        <v>1497</v>
      </c>
      <c r="G25" s="274">
        <v>0</v>
      </c>
      <c r="H25" s="294" t="s">
        <v>1497</v>
      </c>
      <c r="I25" s="376"/>
      <c r="J25" s="387"/>
      <c r="K25" s="387"/>
      <c r="L25" s="381"/>
      <c r="M25" s="381"/>
      <c r="N25" s="381"/>
      <c r="O25" s="417"/>
      <c r="P25" s="436">
        <f t="shared" si="2"/>
        <v>0</v>
      </c>
      <c r="Q25" s="388">
        <v>0.04</v>
      </c>
      <c r="R25" s="436">
        <v>0.09</v>
      </c>
      <c r="S25" s="388">
        <v>0</v>
      </c>
      <c r="T25" s="444"/>
      <c r="U25" s="444"/>
      <c r="V25" s="451"/>
      <c r="W25" s="458"/>
      <c r="X25" s="384"/>
      <c r="Y25" s="444"/>
      <c r="Z25" s="458"/>
      <c r="AA25" s="444"/>
      <c r="AB25" s="384"/>
      <c r="AC25" s="382"/>
      <c r="AD25" s="383"/>
      <c r="AE25" s="383"/>
      <c r="AF25" s="297"/>
      <c r="AG25" s="297"/>
      <c r="AH25" s="297"/>
      <c r="AI25" s="468"/>
      <c r="AJ25" s="471" t="s">
        <v>1638</v>
      </c>
      <c r="AK25" s="472">
        <v>1</v>
      </c>
      <c r="AL25" s="473">
        <v>0</v>
      </c>
      <c r="AM25" s="474">
        <f t="shared" si="3"/>
        <v>0</v>
      </c>
      <c r="AN25" s="474">
        <f t="shared" si="4"/>
        <v>0</v>
      </c>
      <c r="AO25" s="474">
        <f t="shared" si="5"/>
        <v>0</v>
      </c>
      <c r="AP25" s="474">
        <f t="shared" si="6"/>
        <v>0</v>
      </c>
      <c r="AQ25" s="474">
        <f t="shared" si="7"/>
        <v>0</v>
      </c>
      <c r="AR25" s="475">
        <f t="shared" si="8"/>
        <v>0</v>
      </c>
      <c r="AS25" s="618">
        <f t="shared" si="0"/>
        <v>100000</v>
      </c>
      <c r="AT25" s="484">
        <f t="shared" si="9"/>
        <v>0</v>
      </c>
      <c r="AU25" s="487">
        <v>0</v>
      </c>
      <c r="AV25" s="637" t="s">
        <v>1762</v>
      </c>
      <c r="AW25" s="335"/>
      <c r="AX25" s="513">
        <f t="shared" si="10"/>
        <v>0</v>
      </c>
      <c r="AY25" s="513">
        <f t="shared" si="11"/>
        <v>0</v>
      </c>
      <c r="AZ25" s="513">
        <f t="shared" si="1"/>
        <v>0</v>
      </c>
      <c r="BA25" s="513">
        <f t="shared" si="12"/>
        <v>0</v>
      </c>
      <c r="BB25" s="513">
        <f t="shared" si="13"/>
        <v>0</v>
      </c>
      <c r="BC25" s="513">
        <f t="shared" si="14"/>
        <v>0</v>
      </c>
      <c r="BD25" s="292">
        <f>EXP(VLOOKUP(AV25,Vol_coef,3,FALSE)+G25)*'Data vol'!$J$7</f>
        <v>4.0035048340591801E-2</v>
      </c>
      <c r="BE25" s="291"/>
    </row>
    <row r="26" spans="1:57" ht="15" customHeight="1">
      <c r="A26" s="272" t="s">
        <v>1639</v>
      </c>
      <c r="B26" s="272" t="s">
        <v>1365</v>
      </c>
      <c r="C26" s="272" t="s">
        <v>1366</v>
      </c>
      <c r="D26" s="288" t="s">
        <v>1741</v>
      </c>
      <c r="E26" s="272" t="s">
        <v>1528</v>
      </c>
      <c r="F26" s="396" t="s">
        <v>1497</v>
      </c>
      <c r="G26" s="274">
        <v>0</v>
      </c>
      <c r="H26" s="294" t="s">
        <v>1497</v>
      </c>
      <c r="I26" s="376"/>
      <c r="J26" s="387"/>
      <c r="K26" s="387"/>
      <c r="L26" s="381"/>
      <c r="M26" s="381"/>
      <c r="N26" s="381"/>
      <c r="O26" s="417"/>
      <c r="P26" s="436">
        <f t="shared" si="2"/>
        <v>0</v>
      </c>
      <c r="Q26" s="388">
        <v>0.01</v>
      </c>
      <c r="R26" s="436">
        <v>0.03</v>
      </c>
      <c r="S26" s="388">
        <v>0</v>
      </c>
      <c r="T26" s="444"/>
      <c r="U26" s="444"/>
      <c r="V26" s="451"/>
      <c r="W26" s="458"/>
      <c r="X26" s="384"/>
      <c r="Y26" s="444"/>
      <c r="Z26" s="458"/>
      <c r="AA26" s="444"/>
      <c r="AB26" s="384"/>
      <c r="AC26" s="382"/>
      <c r="AD26" s="383"/>
      <c r="AE26" s="383"/>
      <c r="AF26" s="297"/>
      <c r="AG26" s="297"/>
      <c r="AH26" s="297"/>
      <c r="AI26" s="468"/>
      <c r="AJ26" s="471" t="s">
        <v>1638</v>
      </c>
      <c r="AK26" s="472">
        <v>1</v>
      </c>
      <c r="AL26" s="473">
        <v>0</v>
      </c>
      <c r="AM26" s="474">
        <f t="shared" si="3"/>
        <v>0</v>
      </c>
      <c r="AN26" s="474">
        <f t="shared" si="4"/>
        <v>0</v>
      </c>
      <c r="AO26" s="474">
        <f t="shared" si="5"/>
        <v>0</v>
      </c>
      <c r="AP26" s="474">
        <f t="shared" si="6"/>
        <v>0</v>
      </c>
      <c r="AQ26" s="474">
        <f t="shared" si="7"/>
        <v>0</v>
      </c>
      <c r="AR26" s="475">
        <f t="shared" si="8"/>
        <v>0</v>
      </c>
      <c r="AS26" s="618">
        <f t="shared" si="0"/>
        <v>100000</v>
      </c>
      <c r="AT26" s="484">
        <f t="shared" si="9"/>
        <v>0</v>
      </c>
      <c r="AU26" s="487">
        <v>0</v>
      </c>
      <c r="AV26" s="637" t="s">
        <v>1762</v>
      </c>
      <c r="AW26" s="335"/>
      <c r="AX26" s="513">
        <f t="shared" si="10"/>
        <v>0</v>
      </c>
      <c r="AY26" s="513">
        <f t="shared" si="11"/>
        <v>0</v>
      </c>
      <c r="AZ26" s="513">
        <f t="shared" si="1"/>
        <v>0</v>
      </c>
      <c r="BA26" s="513">
        <f t="shared" si="12"/>
        <v>0</v>
      </c>
      <c r="BB26" s="513">
        <f t="shared" si="13"/>
        <v>0</v>
      </c>
      <c r="BC26" s="513">
        <f t="shared" si="14"/>
        <v>0</v>
      </c>
      <c r="BD26" s="292">
        <f>EXP(VLOOKUP(AV26,Vol_coef,3,FALSE)+G26)*'Data vol'!$J$7</f>
        <v>4.0035048340591801E-2</v>
      </c>
      <c r="BE26" s="291"/>
    </row>
    <row r="27" spans="1:57" ht="15" customHeight="1">
      <c r="A27" s="272" t="s">
        <v>1637</v>
      </c>
      <c r="B27" s="272" t="s">
        <v>74</v>
      </c>
      <c r="C27" s="272" t="s">
        <v>1367</v>
      </c>
      <c r="D27" s="288" t="s">
        <v>1741</v>
      </c>
      <c r="E27" s="272" t="s">
        <v>1528</v>
      </c>
      <c r="F27" s="396" t="s">
        <v>1497</v>
      </c>
      <c r="G27" s="274">
        <v>0</v>
      </c>
      <c r="H27" s="294">
        <v>365</v>
      </c>
      <c r="I27" s="376"/>
      <c r="J27" s="387"/>
      <c r="K27" s="387"/>
      <c r="L27" s="381"/>
      <c r="M27" s="381"/>
      <c r="N27" s="381"/>
      <c r="O27" s="417"/>
      <c r="P27" s="436">
        <f t="shared" si="2"/>
        <v>0</v>
      </c>
      <c r="Q27" s="388">
        <v>0</v>
      </c>
      <c r="R27" s="440"/>
      <c r="S27" s="388">
        <v>0.5</v>
      </c>
      <c r="T27" s="436">
        <v>0.6</v>
      </c>
      <c r="U27" s="444"/>
      <c r="V27" s="451"/>
      <c r="W27" s="458"/>
      <c r="X27" s="384"/>
      <c r="Y27" s="444"/>
      <c r="Z27" s="458"/>
      <c r="AA27" s="444"/>
      <c r="AB27" s="384"/>
      <c r="AC27" s="382"/>
      <c r="AD27" s="383"/>
      <c r="AE27" s="385">
        <v>0.46</v>
      </c>
      <c r="AF27" s="298"/>
      <c r="AG27" s="298"/>
      <c r="AH27" s="298"/>
      <c r="AI27" s="469"/>
      <c r="AJ27" s="471" t="s">
        <v>1636</v>
      </c>
      <c r="AK27" s="472">
        <v>1</v>
      </c>
      <c r="AL27" s="473">
        <v>216</v>
      </c>
      <c r="AM27" s="474">
        <f t="shared" si="3"/>
        <v>0</v>
      </c>
      <c r="AN27" s="474">
        <f t="shared" si="4"/>
        <v>0</v>
      </c>
      <c r="AO27" s="474">
        <f t="shared" si="5"/>
        <v>0</v>
      </c>
      <c r="AP27" s="474">
        <f t="shared" si="6"/>
        <v>0</v>
      </c>
      <c r="AQ27" s="474">
        <f t="shared" si="7"/>
        <v>108</v>
      </c>
      <c r="AR27" s="475">
        <f t="shared" si="8"/>
        <v>0</v>
      </c>
      <c r="AS27" s="618">
        <f t="shared" si="0"/>
        <v>365</v>
      </c>
      <c r="AT27" s="484">
        <f t="shared" si="9"/>
        <v>78.84</v>
      </c>
      <c r="AU27" s="487">
        <v>0</v>
      </c>
      <c r="AV27" s="637" t="s">
        <v>1762</v>
      </c>
      <c r="AW27" s="335"/>
      <c r="AX27" s="513">
        <f t="shared" si="10"/>
        <v>0</v>
      </c>
      <c r="AY27" s="513">
        <f t="shared" si="11"/>
        <v>0</v>
      </c>
      <c r="AZ27" s="513">
        <f t="shared" si="1"/>
        <v>0</v>
      </c>
      <c r="BA27" s="513">
        <f t="shared" si="12"/>
        <v>0</v>
      </c>
      <c r="BB27" s="513">
        <f t="shared" si="13"/>
        <v>0</v>
      </c>
      <c r="BC27" s="513">
        <f t="shared" si="14"/>
        <v>0</v>
      </c>
      <c r="BD27" s="292">
        <f>EXP(VLOOKUP(AV27,Vol_coef,3,FALSE)+G27)*'Data vol'!$J$7</f>
        <v>4.0035048340591801E-2</v>
      </c>
      <c r="BE27" s="291"/>
    </row>
    <row r="28" spans="1:57" ht="15" customHeight="1">
      <c r="A28" s="272" t="s">
        <v>1635</v>
      </c>
      <c r="B28" s="272" t="s">
        <v>1368</v>
      </c>
      <c r="C28" s="272" t="s">
        <v>1369</v>
      </c>
      <c r="D28" s="288" t="s">
        <v>1741</v>
      </c>
      <c r="E28" s="272" t="s">
        <v>1528</v>
      </c>
      <c r="F28" s="396" t="s">
        <v>1497</v>
      </c>
      <c r="G28" s="274">
        <v>0</v>
      </c>
      <c r="H28" s="294">
        <v>516</v>
      </c>
      <c r="I28" s="376"/>
      <c r="J28" s="387"/>
      <c r="K28" s="387"/>
      <c r="L28" s="381"/>
      <c r="M28" s="381"/>
      <c r="N28" s="381"/>
      <c r="O28" s="417"/>
      <c r="P28" s="436">
        <f t="shared" si="2"/>
        <v>0</v>
      </c>
      <c r="Q28" s="388">
        <v>0</v>
      </c>
      <c r="R28" s="440"/>
      <c r="S28" s="388">
        <v>0.44</v>
      </c>
      <c r="T28" s="436">
        <v>0.53</v>
      </c>
      <c r="U28" s="444"/>
      <c r="V28" s="451"/>
      <c r="W28" s="459">
        <v>0.16</v>
      </c>
      <c r="X28" s="384"/>
      <c r="Y28" s="436">
        <v>0.4</v>
      </c>
      <c r="Z28" s="458"/>
      <c r="AA28" s="444"/>
      <c r="AB28" s="384"/>
      <c r="AC28" s="382"/>
      <c r="AD28" s="383"/>
      <c r="AE28" s="383"/>
      <c r="AF28" s="297"/>
      <c r="AG28" s="297"/>
      <c r="AH28" s="297"/>
      <c r="AI28" s="468"/>
      <c r="AJ28" s="471" t="s">
        <v>1634</v>
      </c>
      <c r="AK28" s="472">
        <v>1</v>
      </c>
      <c r="AL28" s="473">
        <v>0</v>
      </c>
      <c r="AM28" s="474">
        <f t="shared" si="3"/>
        <v>0</v>
      </c>
      <c r="AN28" s="474">
        <f t="shared" si="4"/>
        <v>0</v>
      </c>
      <c r="AO28" s="474">
        <f t="shared" si="5"/>
        <v>0</v>
      </c>
      <c r="AP28" s="474">
        <f t="shared" si="6"/>
        <v>0</v>
      </c>
      <c r="AQ28" s="474">
        <f t="shared" si="7"/>
        <v>0</v>
      </c>
      <c r="AR28" s="475">
        <f t="shared" si="8"/>
        <v>0</v>
      </c>
      <c r="AS28" s="618">
        <f t="shared" si="0"/>
        <v>516</v>
      </c>
      <c r="AT28" s="484">
        <f t="shared" si="9"/>
        <v>0</v>
      </c>
      <c r="AU28" s="487">
        <v>0</v>
      </c>
      <c r="AV28" s="637" t="s">
        <v>1762</v>
      </c>
      <c r="AW28" s="335"/>
      <c r="AX28" s="513">
        <f t="shared" si="10"/>
        <v>0</v>
      </c>
      <c r="AY28" s="513">
        <f t="shared" si="11"/>
        <v>0</v>
      </c>
      <c r="AZ28" s="513">
        <f t="shared" si="1"/>
        <v>0</v>
      </c>
      <c r="BA28" s="513">
        <f t="shared" si="12"/>
        <v>0</v>
      </c>
      <c r="BB28" s="513">
        <f t="shared" si="13"/>
        <v>0</v>
      </c>
      <c r="BC28" s="513">
        <f t="shared" si="14"/>
        <v>0</v>
      </c>
      <c r="BD28" s="292">
        <f>EXP(VLOOKUP(AV28,Vol_coef,3,FALSE)+G28)*'Data vol'!$J$7</f>
        <v>4.0035048340591801E-2</v>
      </c>
      <c r="BE28" s="291"/>
    </row>
    <row r="29" spans="1:57" ht="15" customHeight="1">
      <c r="A29" s="272" t="s">
        <v>1633</v>
      </c>
      <c r="B29" s="272" t="s">
        <v>1370</v>
      </c>
      <c r="C29" s="272" t="s">
        <v>1371</v>
      </c>
      <c r="D29" s="288" t="s">
        <v>1741</v>
      </c>
      <c r="E29" s="272" t="s">
        <v>1528</v>
      </c>
      <c r="F29" s="396" t="s">
        <v>1370</v>
      </c>
      <c r="G29" s="273">
        <v>-0.622</v>
      </c>
      <c r="H29" s="294">
        <v>548</v>
      </c>
      <c r="I29" s="376"/>
      <c r="J29" s="387"/>
      <c r="K29" s="380">
        <v>0.12</v>
      </c>
      <c r="L29" s="381"/>
      <c r="M29" s="381"/>
      <c r="N29" s="380">
        <v>0.12</v>
      </c>
      <c r="O29" s="416"/>
      <c r="P29" s="436">
        <f t="shared" si="2"/>
        <v>0.11742076783858921</v>
      </c>
      <c r="Q29" s="388">
        <v>0.27</v>
      </c>
      <c r="R29" s="436">
        <v>0.52</v>
      </c>
      <c r="S29" s="388">
        <v>0</v>
      </c>
      <c r="T29" s="444"/>
      <c r="U29" s="444"/>
      <c r="V29" s="451"/>
      <c r="W29" s="459">
        <v>0.15</v>
      </c>
      <c r="X29" s="384"/>
      <c r="Y29" s="436">
        <v>0.04</v>
      </c>
      <c r="Z29" s="458"/>
      <c r="AA29" s="444"/>
      <c r="AB29" s="384"/>
      <c r="AC29" s="382"/>
      <c r="AD29" s="383"/>
      <c r="AE29" s="383"/>
      <c r="AF29" s="297"/>
      <c r="AG29" s="297"/>
      <c r="AH29" s="297"/>
      <c r="AI29" s="468"/>
      <c r="AJ29" s="471" t="s">
        <v>1632</v>
      </c>
      <c r="AK29" s="472">
        <v>1</v>
      </c>
      <c r="AL29" s="473">
        <v>0</v>
      </c>
      <c r="AM29" s="474">
        <f t="shared" si="3"/>
        <v>0</v>
      </c>
      <c r="AN29" s="474">
        <f t="shared" si="4"/>
        <v>0</v>
      </c>
      <c r="AO29" s="474">
        <f t="shared" si="5"/>
        <v>0</v>
      </c>
      <c r="AP29" s="474">
        <f t="shared" si="6"/>
        <v>0</v>
      </c>
      <c r="AQ29" s="474">
        <f t="shared" si="7"/>
        <v>0</v>
      </c>
      <c r="AR29" s="475">
        <f t="shared" si="8"/>
        <v>0</v>
      </c>
      <c r="AS29" s="618">
        <f t="shared" si="0"/>
        <v>548</v>
      </c>
      <c r="AT29" s="484">
        <f t="shared" si="9"/>
        <v>0</v>
      </c>
      <c r="AU29" s="487">
        <v>0</v>
      </c>
      <c r="AV29" s="637" t="s">
        <v>1762</v>
      </c>
      <c r="AW29" s="335"/>
      <c r="AX29" s="513">
        <f t="shared" si="10"/>
        <v>0</v>
      </c>
      <c r="AY29" s="513">
        <f t="shared" si="11"/>
        <v>0</v>
      </c>
      <c r="AZ29" s="513">
        <f t="shared" si="1"/>
        <v>0</v>
      </c>
      <c r="BA29" s="513">
        <f t="shared" si="12"/>
        <v>0</v>
      </c>
      <c r="BB29" s="513">
        <f t="shared" si="13"/>
        <v>0</v>
      </c>
      <c r="BC29" s="513">
        <f t="shared" si="14"/>
        <v>0</v>
      </c>
      <c r="BD29" s="292">
        <f>EXP(VLOOKUP(AV29,Vol_coef,3,FALSE)+G29)*'Data vol'!$J$7</f>
        <v>2.1493601345089923E-2</v>
      </c>
      <c r="BE29" s="291"/>
    </row>
    <row r="30" spans="1:57" ht="15" customHeight="1">
      <c r="A30" s="272" t="s">
        <v>1631</v>
      </c>
      <c r="B30" s="272" t="s">
        <v>1372</v>
      </c>
      <c r="C30" s="272" t="s">
        <v>1373</v>
      </c>
      <c r="D30" s="288" t="s">
        <v>1741</v>
      </c>
      <c r="E30" s="272" t="s">
        <v>1528</v>
      </c>
      <c r="F30" s="396" t="s">
        <v>1372</v>
      </c>
      <c r="G30" s="273">
        <v>0.182</v>
      </c>
      <c r="H30" s="294">
        <v>411</v>
      </c>
      <c r="I30" s="376"/>
      <c r="J30" s="387"/>
      <c r="K30" s="387"/>
      <c r="L30" s="380">
        <v>0.18</v>
      </c>
      <c r="M30" s="381"/>
      <c r="N30" s="380">
        <v>0.18</v>
      </c>
      <c r="O30" s="416"/>
      <c r="P30" s="436">
        <f t="shared" si="2"/>
        <v>0.17135520979643268</v>
      </c>
      <c r="Q30" s="388">
        <v>0.2</v>
      </c>
      <c r="R30" s="436">
        <v>0.46</v>
      </c>
      <c r="S30" s="388">
        <v>0</v>
      </c>
      <c r="T30" s="436">
        <v>0</v>
      </c>
      <c r="U30" s="444"/>
      <c r="V30" s="451"/>
      <c r="W30" s="458"/>
      <c r="X30" s="384"/>
      <c r="Y30" s="444"/>
      <c r="Z30" s="458"/>
      <c r="AA30" s="444"/>
      <c r="AB30" s="384"/>
      <c r="AC30" s="382"/>
      <c r="AD30" s="383"/>
      <c r="AE30" s="383"/>
      <c r="AF30" s="297"/>
      <c r="AG30" s="297"/>
      <c r="AH30" s="297"/>
      <c r="AI30" s="468"/>
      <c r="AJ30" s="471" t="s">
        <v>1630</v>
      </c>
      <c r="AK30" s="472">
        <v>1</v>
      </c>
      <c r="AL30" s="473">
        <v>0</v>
      </c>
      <c r="AM30" s="474">
        <f t="shared" si="3"/>
        <v>0</v>
      </c>
      <c r="AN30" s="474">
        <f t="shared" si="4"/>
        <v>0</v>
      </c>
      <c r="AO30" s="474">
        <f t="shared" si="5"/>
        <v>0</v>
      </c>
      <c r="AP30" s="474">
        <f t="shared" si="6"/>
        <v>0</v>
      </c>
      <c r="AQ30" s="474">
        <f t="shared" si="7"/>
        <v>0</v>
      </c>
      <c r="AR30" s="475">
        <f t="shared" si="8"/>
        <v>0</v>
      </c>
      <c r="AS30" s="618">
        <f t="shared" si="0"/>
        <v>411</v>
      </c>
      <c r="AT30" s="484">
        <f t="shared" si="9"/>
        <v>0</v>
      </c>
      <c r="AU30" s="487">
        <v>0</v>
      </c>
      <c r="AV30" s="637" t="s">
        <v>1762</v>
      </c>
      <c r="AW30" s="335"/>
      <c r="AX30" s="513">
        <f t="shared" si="10"/>
        <v>0</v>
      </c>
      <c r="AY30" s="513">
        <f t="shared" si="11"/>
        <v>0</v>
      </c>
      <c r="AZ30" s="513">
        <f t="shared" si="1"/>
        <v>0</v>
      </c>
      <c r="BA30" s="513">
        <f t="shared" si="12"/>
        <v>0</v>
      </c>
      <c r="BB30" s="513">
        <f t="shared" si="13"/>
        <v>0</v>
      </c>
      <c r="BC30" s="513">
        <f t="shared" si="14"/>
        <v>0</v>
      </c>
      <c r="BD30" s="292">
        <f>EXP(VLOOKUP(AV30,Vol_coef,3,FALSE)+G30)*'Data vol'!$J$7</f>
        <v>4.8026612242040592E-2</v>
      </c>
      <c r="BE30" s="291"/>
    </row>
    <row r="31" spans="1:57" ht="15" customHeight="1">
      <c r="A31" s="272" t="s">
        <v>1629</v>
      </c>
      <c r="B31" s="272" t="s">
        <v>1374</v>
      </c>
      <c r="C31" s="272" t="s">
        <v>1375</v>
      </c>
      <c r="D31" s="288" t="s">
        <v>1741</v>
      </c>
      <c r="E31" s="272" t="s">
        <v>1528</v>
      </c>
      <c r="F31" s="396" t="s">
        <v>1370</v>
      </c>
      <c r="G31" s="273">
        <v>-0.622</v>
      </c>
      <c r="H31" s="294" t="s">
        <v>1497</v>
      </c>
      <c r="I31" s="376"/>
      <c r="J31" s="387"/>
      <c r="K31" s="387"/>
      <c r="L31" s="380">
        <v>0.11</v>
      </c>
      <c r="M31" s="381"/>
      <c r="N31" s="380">
        <v>0.11</v>
      </c>
      <c r="O31" s="416"/>
      <c r="P31" s="436">
        <f t="shared" si="2"/>
        <v>0.1076357038520401</v>
      </c>
      <c r="Q31" s="388">
        <v>0.16</v>
      </c>
      <c r="R31" s="436">
        <v>0.37</v>
      </c>
      <c r="S31" s="388">
        <v>0</v>
      </c>
      <c r="T31" s="444"/>
      <c r="U31" s="444"/>
      <c r="V31" s="451"/>
      <c r="W31" s="458"/>
      <c r="X31" s="384"/>
      <c r="Y31" s="444"/>
      <c r="Z31" s="458"/>
      <c r="AA31" s="444"/>
      <c r="AB31" s="384"/>
      <c r="AC31" s="382"/>
      <c r="AD31" s="383"/>
      <c r="AE31" s="383"/>
      <c r="AF31" s="297"/>
      <c r="AG31" s="297"/>
      <c r="AH31" s="297"/>
      <c r="AI31" s="468"/>
      <c r="AJ31" s="471" t="s">
        <v>1628</v>
      </c>
      <c r="AK31" s="472">
        <v>1</v>
      </c>
      <c r="AL31" s="473">
        <v>0</v>
      </c>
      <c r="AM31" s="474">
        <f t="shared" si="3"/>
        <v>0</v>
      </c>
      <c r="AN31" s="474">
        <f t="shared" si="4"/>
        <v>0</v>
      </c>
      <c r="AO31" s="474">
        <f t="shared" si="5"/>
        <v>0</v>
      </c>
      <c r="AP31" s="474">
        <f t="shared" si="6"/>
        <v>0</v>
      </c>
      <c r="AQ31" s="474">
        <f t="shared" si="7"/>
        <v>0</v>
      </c>
      <c r="AR31" s="475">
        <f t="shared" si="8"/>
        <v>0</v>
      </c>
      <c r="AS31" s="618">
        <f t="shared" si="0"/>
        <v>100000</v>
      </c>
      <c r="AT31" s="484">
        <f t="shared" si="9"/>
        <v>0</v>
      </c>
      <c r="AU31" s="487">
        <v>0</v>
      </c>
      <c r="AV31" s="637" t="s">
        <v>1762</v>
      </c>
      <c r="AW31" s="335"/>
      <c r="AX31" s="513">
        <f t="shared" si="10"/>
        <v>0</v>
      </c>
      <c r="AY31" s="513">
        <f t="shared" si="11"/>
        <v>0</v>
      </c>
      <c r="AZ31" s="513">
        <f t="shared" si="1"/>
        <v>0</v>
      </c>
      <c r="BA31" s="513">
        <f t="shared" si="12"/>
        <v>0</v>
      </c>
      <c r="BB31" s="513">
        <f t="shared" si="13"/>
        <v>0</v>
      </c>
      <c r="BC31" s="513">
        <f t="shared" si="14"/>
        <v>0</v>
      </c>
      <c r="BD31" s="292">
        <f>EXP(VLOOKUP(AV31,Vol_coef,3,FALSE)+G31)*'Data vol'!$J$7</f>
        <v>2.1493601345089923E-2</v>
      </c>
      <c r="BE31" s="291"/>
    </row>
    <row r="32" spans="1:57" ht="15" customHeight="1">
      <c r="A32" s="272" t="s">
        <v>1627</v>
      </c>
      <c r="B32" s="272" t="s">
        <v>1376</v>
      </c>
      <c r="C32" s="272" t="s">
        <v>1377</v>
      </c>
      <c r="D32" s="288" t="s">
        <v>1741</v>
      </c>
      <c r="E32" s="272" t="s">
        <v>1528</v>
      </c>
      <c r="F32" s="396" t="s">
        <v>1534</v>
      </c>
      <c r="G32" s="274">
        <v>-0.35</v>
      </c>
      <c r="H32" s="294" t="s">
        <v>1497</v>
      </c>
      <c r="I32" s="376"/>
      <c r="J32" s="387"/>
      <c r="K32" s="380">
        <v>0.08</v>
      </c>
      <c r="L32" s="381"/>
      <c r="M32" s="381"/>
      <c r="N32" s="380">
        <v>0.08</v>
      </c>
      <c r="O32" s="416"/>
      <c r="P32" s="436">
        <f t="shared" si="2"/>
        <v>7.7743022261045763E-2</v>
      </c>
      <c r="Q32" s="388">
        <v>7.0000000000000007E-2</v>
      </c>
      <c r="R32" s="436">
        <v>0.16</v>
      </c>
      <c r="S32" s="388">
        <v>0</v>
      </c>
      <c r="T32" s="444"/>
      <c r="U32" s="444"/>
      <c r="V32" s="451"/>
      <c r="W32" s="458"/>
      <c r="X32" s="384"/>
      <c r="Y32" s="444"/>
      <c r="Z32" s="458"/>
      <c r="AA32" s="444"/>
      <c r="AB32" s="384"/>
      <c r="AC32" s="382"/>
      <c r="AD32" s="383"/>
      <c r="AE32" s="383"/>
      <c r="AF32" s="297"/>
      <c r="AG32" s="297"/>
      <c r="AH32" s="297"/>
      <c r="AI32" s="468"/>
      <c r="AJ32" s="471" t="s">
        <v>1626</v>
      </c>
      <c r="AK32" s="472">
        <v>1</v>
      </c>
      <c r="AL32" s="473">
        <v>0</v>
      </c>
      <c r="AM32" s="474">
        <f t="shared" si="3"/>
        <v>0</v>
      </c>
      <c r="AN32" s="474">
        <f t="shared" si="4"/>
        <v>0</v>
      </c>
      <c r="AO32" s="474">
        <f t="shared" si="5"/>
        <v>0</v>
      </c>
      <c r="AP32" s="474">
        <f t="shared" si="6"/>
        <v>0</v>
      </c>
      <c r="AQ32" s="474">
        <f t="shared" si="7"/>
        <v>0</v>
      </c>
      <c r="AR32" s="475">
        <f t="shared" si="8"/>
        <v>0</v>
      </c>
      <c r="AS32" s="618">
        <f t="shared" si="0"/>
        <v>100000</v>
      </c>
      <c r="AT32" s="484">
        <f t="shared" si="9"/>
        <v>0</v>
      </c>
      <c r="AU32" s="487">
        <v>0</v>
      </c>
      <c r="AV32" s="637" t="s">
        <v>1762</v>
      </c>
      <c r="AW32" s="335"/>
      <c r="AX32" s="513">
        <f t="shared" si="10"/>
        <v>0</v>
      </c>
      <c r="AY32" s="513">
        <f t="shared" si="11"/>
        <v>0</v>
      </c>
      <c r="AZ32" s="513">
        <f t="shared" si="1"/>
        <v>0</v>
      </c>
      <c r="BA32" s="513">
        <f t="shared" si="12"/>
        <v>0</v>
      </c>
      <c r="BB32" s="513">
        <f t="shared" si="13"/>
        <v>0</v>
      </c>
      <c r="BC32" s="513">
        <f t="shared" si="14"/>
        <v>0</v>
      </c>
      <c r="BD32" s="292">
        <f>EXP(VLOOKUP(AV32,Vol_coef,3,FALSE)+G32)*'Data vol'!$J$7</f>
        <v>2.821222173692798E-2</v>
      </c>
      <c r="BE32" s="291"/>
    </row>
    <row r="33" spans="1:57" ht="15" customHeight="1">
      <c r="A33" s="272" t="s">
        <v>1625</v>
      </c>
      <c r="B33" s="272" t="s">
        <v>1378</v>
      </c>
      <c r="C33" s="272" t="s">
        <v>1379</v>
      </c>
      <c r="D33" s="288" t="s">
        <v>1741</v>
      </c>
      <c r="E33" s="272" t="s">
        <v>1528</v>
      </c>
      <c r="F33" s="396" t="s">
        <v>1497</v>
      </c>
      <c r="G33" s="274">
        <v>0</v>
      </c>
      <c r="H33" s="294" t="s">
        <v>1497</v>
      </c>
      <c r="I33" s="376"/>
      <c r="J33" s="387"/>
      <c r="K33" s="387"/>
      <c r="L33" s="381"/>
      <c r="M33" s="381"/>
      <c r="N33" s="381"/>
      <c r="O33" s="417"/>
      <c r="P33" s="436">
        <f t="shared" si="2"/>
        <v>0</v>
      </c>
      <c r="Q33" s="388">
        <v>0.23</v>
      </c>
      <c r="R33" s="436">
        <v>0.52</v>
      </c>
      <c r="S33" s="388">
        <v>0.28000000000000003</v>
      </c>
      <c r="T33" s="436">
        <v>0.34</v>
      </c>
      <c r="U33" s="444"/>
      <c r="V33" s="451"/>
      <c r="W33" s="458"/>
      <c r="X33" s="384"/>
      <c r="Y33" s="444"/>
      <c r="Z33" s="458"/>
      <c r="AA33" s="444"/>
      <c r="AB33" s="384"/>
      <c r="AC33" s="382"/>
      <c r="AD33" s="383"/>
      <c r="AE33" s="383"/>
      <c r="AF33" s="297"/>
      <c r="AG33" s="297"/>
      <c r="AH33" s="297"/>
      <c r="AI33" s="468"/>
      <c r="AJ33" s="471" t="s">
        <v>1624</v>
      </c>
      <c r="AK33" s="472">
        <v>1</v>
      </c>
      <c r="AL33" s="473">
        <v>0</v>
      </c>
      <c r="AM33" s="474">
        <f t="shared" si="3"/>
        <v>0</v>
      </c>
      <c r="AN33" s="474">
        <f t="shared" si="4"/>
        <v>0</v>
      </c>
      <c r="AO33" s="474">
        <f t="shared" si="5"/>
        <v>0</v>
      </c>
      <c r="AP33" s="474">
        <f t="shared" si="6"/>
        <v>0</v>
      </c>
      <c r="AQ33" s="474">
        <f t="shared" si="7"/>
        <v>0</v>
      </c>
      <c r="AR33" s="475">
        <f t="shared" si="8"/>
        <v>0</v>
      </c>
      <c r="AS33" s="618">
        <f t="shared" si="0"/>
        <v>100000</v>
      </c>
      <c r="AT33" s="484">
        <f t="shared" si="9"/>
        <v>0</v>
      </c>
      <c r="AU33" s="487">
        <v>0</v>
      </c>
      <c r="AV33" s="637" t="s">
        <v>1762</v>
      </c>
      <c r="AW33" s="335"/>
      <c r="AX33" s="513">
        <f t="shared" si="10"/>
        <v>0</v>
      </c>
      <c r="AY33" s="513">
        <f t="shared" si="11"/>
        <v>0</v>
      </c>
      <c r="AZ33" s="513">
        <f t="shared" si="1"/>
        <v>0</v>
      </c>
      <c r="BA33" s="513">
        <f t="shared" si="12"/>
        <v>0</v>
      </c>
      <c r="BB33" s="513">
        <f t="shared" si="13"/>
        <v>0</v>
      </c>
      <c r="BC33" s="513">
        <f t="shared" si="14"/>
        <v>0</v>
      </c>
      <c r="BD33" s="292">
        <f>EXP(VLOOKUP(AV33,Vol_coef,3,FALSE)+G33)*'Data vol'!$J$7</f>
        <v>4.0035048340591801E-2</v>
      </c>
      <c r="BE33" s="291"/>
    </row>
    <row r="34" spans="1:57" ht="15" customHeight="1">
      <c r="A34" s="272" t="s">
        <v>1623</v>
      </c>
      <c r="B34" s="272" t="s">
        <v>1380</v>
      </c>
      <c r="C34" s="272" t="s">
        <v>1381</v>
      </c>
      <c r="D34" s="288" t="s">
        <v>1741</v>
      </c>
      <c r="E34" s="272" t="s">
        <v>1528</v>
      </c>
      <c r="F34" s="396" t="s">
        <v>1622</v>
      </c>
      <c r="G34" s="274">
        <v>-0.43</v>
      </c>
      <c r="H34" s="294">
        <v>550</v>
      </c>
      <c r="I34" s="376"/>
      <c r="J34" s="387"/>
      <c r="K34" s="380">
        <v>0.13</v>
      </c>
      <c r="L34" s="381"/>
      <c r="M34" s="381"/>
      <c r="N34" s="380">
        <v>0.13</v>
      </c>
      <c r="O34" s="416"/>
      <c r="P34" s="436">
        <f t="shared" si="2"/>
        <v>0.12661438880307846</v>
      </c>
      <c r="Q34" s="388">
        <v>0</v>
      </c>
      <c r="R34" s="440"/>
      <c r="S34" s="388">
        <v>0.38</v>
      </c>
      <c r="T34" s="436">
        <v>0.46</v>
      </c>
      <c r="U34" s="444"/>
      <c r="V34" s="451"/>
      <c r="W34" s="458"/>
      <c r="X34" s="384"/>
      <c r="Y34" s="444"/>
      <c r="Z34" s="458"/>
      <c r="AA34" s="444"/>
      <c r="AB34" s="384"/>
      <c r="AC34" s="382"/>
      <c r="AD34" s="383"/>
      <c r="AE34" s="383"/>
      <c r="AF34" s="297"/>
      <c r="AG34" s="297"/>
      <c r="AH34" s="297"/>
      <c r="AI34" s="468"/>
      <c r="AJ34" s="471" t="s">
        <v>1621</v>
      </c>
      <c r="AK34" s="472">
        <v>1</v>
      </c>
      <c r="AL34" s="473">
        <v>0</v>
      </c>
      <c r="AM34" s="474">
        <f t="shared" si="3"/>
        <v>0</v>
      </c>
      <c r="AN34" s="474">
        <f t="shared" si="4"/>
        <v>0</v>
      </c>
      <c r="AO34" s="474">
        <f t="shared" si="5"/>
        <v>0</v>
      </c>
      <c r="AP34" s="474">
        <f t="shared" si="6"/>
        <v>0</v>
      </c>
      <c r="AQ34" s="474">
        <f t="shared" si="7"/>
        <v>0</v>
      </c>
      <c r="AR34" s="475">
        <f t="shared" si="8"/>
        <v>0</v>
      </c>
      <c r="AS34" s="618">
        <f t="shared" si="0"/>
        <v>550</v>
      </c>
      <c r="AT34" s="484">
        <f t="shared" si="9"/>
        <v>0</v>
      </c>
      <c r="AU34" s="487">
        <v>0</v>
      </c>
      <c r="AV34" s="637" t="s">
        <v>1762</v>
      </c>
      <c r="AW34" s="335"/>
      <c r="AX34" s="513">
        <f t="shared" si="10"/>
        <v>0</v>
      </c>
      <c r="AY34" s="513">
        <f t="shared" si="11"/>
        <v>0</v>
      </c>
      <c r="AZ34" s="513">
        <f t="shared" si="1"/>
        <v>0</v>
      </c>
      <c r="BA34" s="513">
        <f t="shared" si="12"/>
        <v>0</v>
      </c>
      <c r="BB34" s="513">
        <f t="shared" si="13"/>
        <v>0</v>
      </c>
      <c r="BC34" s="513">
        <f t="shared" si="14"/>
        <v>0</v>
      </c>
      <c r="BD34" s="292">
        <f>EXP(VLOOKUP(AV34,Vol_coef,3,FALSE)+G34)*'Data vol'!$J$7</f>
        <v>2.6043163053242582E-2</v>
      </c>
      <c r="BE34" s="291"/>
    </row>
    <row r="35" spans="1:57" ht="15" customHeight="1">
      <c r="A35" s="272" t="s">
        <v>1620</v>
      </c>
      <c r="B35" s="272" t="s">
        <v>1382</v>
      </c>
      <c r="C35" s="272" t="s">
        <v>1383</v>
      </c>
      <c r="D35" s="288" t="s">
        <v>1741</v>
      </c>
      <c r="E35" s="272" t="s">
        <v>1528</v>
      </c>
      <c r="F35" s="396" t="s">
        <v>1534</v>
      </c>
      <c r="G35" s="274">
        <v>-0.35</v>
      </c>
      <c r="H35" s="294">
        <v>281</v>
      </c>
      <c r="I35" s="376"/>
      <c r="J35" s="387"/>
      <c r="K35" s="380">
        <v>0.02</v>
      </c>
      <c r="L35" s="380">
        <v>0.06</v>
      </c>
      <c r="M35" s="381"/>
      <c r="N35" s="380">
        <v>0.08</v>
      </c>
      <c r="O35" s="416"/>
      <c r="P35" s="436">
        <f t="shared" si="2"/>
        <v>7.7743022261045763E-2</v>
      </c>
      <c r="Q35" s="388">
        <v>7.0000000000000007E-2</v>
      </c>
      <c r="R35" s="436">
        <v>0.15</v>
      </c>
      <c r="S35" s="388">
        <v>0.12</v>
      </c>
      <c r="T35" s="436">
        <v>0.15</v>
      </c>
      <c r="U35" s="444"/>
      <c r="V35" s="451"/>
      <c r="W35" s="458"/>
      <c r="X35" s="384"/>
      <c r="Y35" s="444"/>
      <c r="Z35" s="458"/>
      <c r="AA35" s="444"/>
      <c r="AB35" s="384"/>
      <c r="AC35" s="382"/>
      <c r="AD35" s="383"/>
      <c r="AE35" s="383"/>
      <c r="AF35" s="297"/>
      <c r="AG35" s="297"/>
      <c r="AH35" s="297"/>
      <c r="AI35" s="468"/>
      <c r="AJ35" s="471"/>
      <c r="AK35" s="472">
        <v>1</v>
      </c>
      <c r="AL35" s="473">
        <v>0</v>
      </c>
      <c r="AM35" s="474">
        <f t="shared" si="3"/>
        <v>0</v>
      </c>
      <c r="AN35" s="474">
        <f t="shared" si="4"/>
        <v>0</v>
      </c>
      <c r="AO35" s="474">
        <f t="shared" si="5"/>
        <v>0</v>
      </c>
      <c r="AP35" s="474">
        <f t="shared" si="6"/>
        <v>0</v>
      </c>
      <c r="AQ35" s="474">
        <f t="shared" si="7"/>
        <v>0</v>
      </c>
      <c r="AR35" s="475">
        <f t="shared" si="8"/>
        <v>0</v>
      </c>
      <c r="AS35" s="618">
        <f t="shared" si="0"/>
        <v>281</v>
      </c>
      <c r="AT35" s="484">
        <f t="shared" si="9"/>
        <v>0</v>
      </c>
      <c r="AU35" s="487">
        <v>0</v>
      </c>
      <c r="AV35" s="637" t="s">
        <v>1762</v>
      </c>
      <c r="AW35" s="335"/>
      <c r="AX35" s="513">
        <f t="shared" si="10"/>
        <v>0</v>
      </c>
      <c r="AY35" s="513">
        <f t="shared" si="11"/>
        <v>0</v>
      </c>
      <c r="AZ35" s="513">
        <f t="shared" si="1"/>
        <v>0</v>
      </c>
      <c r="BA35" s="513">
        <f t="shared" si="12"/>
        <v>0</v>
      </c>
      <c r="BB35" s="513">
        <f t="shared" si="13"/>
        <v>0</v>
      </c>
      <c r="BC35" s="513">
        <f t="shared" si="14"/>
        <v>0</v>
      </c>
      <c r="BD35" s="292">
        <f>EXP(VLOOKUP(AV35,Vol_coef,3,FALSE)+G35)*'Data vol'!$J$7</f>
        <v>2.821222173692798E-2</v>
      </c>
      <c r="BE35" s="291"/>
    </row>
    <row r="36" spans="1:57" ht="15" customHeight="1">
      <c r="A36" s="272" t="s">
        <v>1619</v>
      </c>
      <c r="B36" s="272" t="s">
        <v>1384</v>
      </c>
      <c r="C36" s="272" t="s">
        <v>1385</v>
      </c>
      <c r="D36" s="288" t="s">
        <v>1741</v>
      </c>
      <c r="E36" s="272" t="s">
        <v>1528</v>
      </c>
      <c r="F36" s="396" t="s">
        <v>1534</v>
      </c>
      <c r="G36" s="274">
        <v>-0.35</v>
      </c>
      <c r="H36" s="294">
        <v>371</v>
      </c>
      <c r="I36" s="376"/>
      <c r="J36" s="387"/>
      <c r="K36" s="387" t="s">
        <v>1563</v>
      </c>
      <c r="L36" s="387" t="s">
        <v>1555</v>
      </c>
      <c r="M36" s="381"/>
      <c r="N36" s="380">
        <v>0.12</v>
      </c>
      <c r="O36" s="416"/>
      <c r="P36" s="436">
        <f t="shared" si="2"/>
        <v>0.11661453339156864</v>
      </c>
      <c r="Q36" s="388">
        <v>0.05</v>
      </c>
      <c r="R36" s="436">
        <v>0.12</v>
      </c>
      <c r="S36" s="388">
        <v>0.2</v>
      </c>
      <c r="T36" s="436">
        <v>0.24</v>
      </c>
      <c r="U36" s="444"/>
      <c r="V36" s="451"/>
      <c r="W36" s="458"/>
      <c r="X36" s="384"/>
      <c r="Y36" s="444"/>
      <c r="Z36" s="458"/>
      <c r="AA36" s="444"/>
      <c r="AB36" s="384"/>
      <c r="AC36" s="382"/>
      <c r="AD36" s="383"/>
      <c r="AE36" s="383"/>
      <c r="AF36" s="297"/>
      <c r="AG36" s="297"/>
      <c r="AH36" s="297"/>
      <c r="AI36" s="468"/>
      <c r="AJ36" s="471"/>
      <c r="AK36" s="472">
        <v>1</v>
      </c>
      <c r="AL36" s="473">
        <v>0</v>
      </c>
      <c r="AM36" s="474">
        <f t="shared" si="3"/>
        <v>0</v>
      </c>
      <c r="AN36" s="474">
        <f t="shared" si="4"/>
        <v>0</v>
      </c>
      <c r="AO36" s="474">
        <f t="shared" si="5"/>
        <v>0</v>
      </c>
      <c r="AP36" s="474">
        <f t="shared" si="6"/>
        <v>0</v>
      </c>
      <c r="AQ36" s="474">
        <f t="shared" si="7"/>
        <v>0</v>
      </c>
      <c r="AR36" s="475">
        <f t="shared" si="8"/>
        <v>0</v>
      </c>
      <c r="AS36" s="618">
        <f t="shared" si="0"/>
        <v>371</v>
      </c>
      <c r="AT36" s="484">
        <f t="shared" si="9"/>
        <v>0</v>
      </c>
      <c r="AU36" s="487">
        <v>0</v>
      </c>
      <c r="AV36" s="637" t="s">
        <v>1762</v>
      </c>
      <c r="AW36" s="335"/>
      <c r="AX36" s="513">
        <f t="shared" si="10"/>
        <v>0</v>
      </c>
      <c r="AY36" s="513">
        <f t="shared" si="11"/>
        <v>0</v>
      </c>
      <c r="AZ36" s="513">
        <f t="shared" si="1"/>
        <v>0</v>
      </c>
      <c r="BA36" s="513">
        <f t="shared" si="12"/>
        <v>0</v>
      </c>
      <c r="BB36" s="513">
        <f t="shared" si="13"/>
        <v>0</v>
      </c>
      <c r="BC36" s="513">
        <f t="shared" si="14"/>
        <v>0</v>
      </c>
      <c r="BD36" s="292">
        <f>EXP(VLOOKUP(AV36,Vol_coef,3,FALSE)+G36)*'Data vol'!$J$7</f>
        <v>2.821222173692798E-2</v>
      </c>
      <c r="BE36" s="291"/>
    </row>
    <row r="37" spans="1:57" ht="15" customHeight="1">
      <c r="A37" s="272" t="s">
        <v>1618</v>
      </c>
      <c r="B37" s="272" t="s">
        <v>1386</v>
      </c>
      <c r="C37" s="272" t="s">
        <v>1387</v>
      </c>
      <c r="D37" s="288" t="s">
        <v>1741</v>
      </c>
      <c r="E37" s="272" t="s">
        <v>1528</v>
      </c>
      <c r="F37" s="396" t="s">
        <v>1534</v>
      </c>
      <c r="G37" s="274">
        <v>-0.35</v>
      </c>
      <c r="H37" s="294">
        <v>349</v>
      </c>
      <c r="I37" s="376"/>
      <c r="J37" s="387" t="s">
        <v>1617</v>
      </c>
      <c r="K37" s="387"/>
      <c r="L37" s="387" t="s">
        <v>1543</v>
      </c>
      <c r="M37" s="381"/>
      <c r="N37" s="380">
        <v>0.15</v>
      </c>
      <c r="O37" s="416"/>
      <c r="P37" s="436">
        <f t="shared" si="2"/>
        <v>0.1457681667394608</v>
      </c>
      <c r="Q37" s="388">
        <v>7.0000000000000007E-2</v>
      </c>
      <c r="R37" s="436">
        <v>0.15</v>
      </c>
      <c r="S37" s="388">
        <v>0.12</v>
      </c>
      <c r="T37" s="436">
        <v>0.15</v>
      </c>
      <c r="U37" s="444"/>
      <c r="V37" s="451"/>
      <c r="W37" s="458"/>
      <c r="X37" s="384"/>
      <c r="Y37" s="444"/>
      <c r="Z37" s="458"/>
      <c r="AA37" s="444"/>
      <c r="AB37" s="384"/>
      <c r="AC37" s="382"/>
      <c r="AD37" s="383"/>
      <c r="AE37" s="383"/>
      <c r="AF37" s="297"/>
      <c r="AG37" s="297"/>
      <c r="AH37" s="297"/>
      <c r="AI37" s="468"/>
      <c r="AJ37" s="471"/>
      <c r="AK37" s="472">
        <v>1</v>
      </c>
      <c r="AL37" s="473">
        <v>0</v>
      </c>
      <c r="AM37" s="474">
        <f t="shared" si="3"/>
        <v>0</v>
      </c>
      <c r="AN37" s="474">
        <f t="shared" si="4"/>
        <v>0</v>
      </c>
      <c r="AO37" s="474">
        <f t="shared" si="5"/>
        <v>0</v>
      </c>
      <c r="AP37" s="474">
        <f t="shared" si="6"/>
        <v>0</v>
      </c>
      <c r="AQ37" s="474">
        <f t="shared" si="7"/>
        <v>0</v>
      </c>
      <c r="AR37" s="475">
        <f t="shared" si="8"/>
        <v>0</v>
      </c>
      <c r="AS37" s="618">
        <f t="shared" ref="AS37:AS68" si="15">IF(OR(AK37=0,H37="-"),100000,H37)</f>
        <v>349</v>
      </c>
      <c r="AT37" s="484">
        <f t="shared" si="9"/>
        <v>0</v>
      </c>
      <c r="AU37" s="487">
        <v>0</v>
      </c>
      <c r="AV37" s="637" t="s">
        <v>1762</v>
      </c>
      <c r="AW37" s="335"/>
      <c r="AX37" s="513">
        <f t="shared" si="10"/>
        <v>0</v>
      </c>
      <c r="AY37" s="513">
        <f t="shared" si="11"/>
        <v>0</v>
      </c>
      <c r="AZ37" s="513">
        <f t="shared" ref="AZ37:AZ68" si="16">$AU37*$P37</f>
        <v>0</v>
      </c>
      <c r="BA37" s="513">
        <f t="shared" si="12"/>
        <v>0</v>
      </c>
      <c r="BB37" s="513">
        <f t="shared" si="13"/>
        <v>0</v>
      </c>
      <c r="BC37" s="513">
        <f t="shared" si="14"/>
        <v>0</v>
      </c>
      <c r="BD37" s="292">
        <f>EXP(VLOOKUP(AV37,Vol_coef,3,FALSE)+G37)*'Data vol'!$J$7</f>
        <v>2.821222173692798E-2</v>
      </c>
      <c r="BE37" s="291"/>
    </row>
    <row r="38" spans="1:57" ht="15" customHeight="1">
      <c r="A38" s="272" t="s">
        <v>1616</v>
      </c>
      <c r="B38" s="272" t="s">
        <v>1388</v>
      </c>
      <c r="C38" s="272" t="s">
        <v>1389</v>
      </c>
      <c r="D38" s="288" t="s">
        <v>1741</v>
      </c>
      <c r="E38" s="272" t="s">
        <v>1528</v>
      </c>
      <c r="F38" s="396" t="s">
        <v>1534</v>
      </c>
      <c r="G38" s="274">
        <v>-0.35</v>
      </c>
      <c r="H38" s="294">
        <v>357</v>
      </c>
      <c r="I38" s="376"/>
      <c r="J38" s="387"/>
      <c r="K38" s="387"/>
      <c r="L38" s="387" t="s">
        <v>1559</v>
      </c>
      <c r="M38" s="381"/>
      <c r="N38" s="380">
        <v>0.09</v>
      </c>
      <c r="O38" s="416"/>
      <c r="P38" s="436">
        <f t="shared" si="2"/>
        <v>8.7460900043676487E-2</v>
      </c>
      <c r="Q38" s="388">
        <v>0.08</v>
      </c>
      <c r="R38" s="436">
        <v>0.18</v>
      </c>
      <c r="S38" s="388">
        <v>0.22</v>
      </c>
      <c r="T38" s="436">
        <v>0.27</v>
      </c>
      <c r="U38" s="444"/>
      <c r="V38" s="451"/>
      <c r="W38" s="458"/>
      <c r="X38" s="384"/>
      <c r="Y38" s="444"/>
      <c r="Z38" s="458"/>
      <c r="AA38" s="444"/>
      <c r="AB38" s="384"/>
      <c r="AC38" s="382"/>
      <c r="AD38" s="383"/>
      <c r="AE38" s="383"/>
      <c r="AF38" s="297"/>
      <c r="AG38" s="297"/>
      <c r="AH38" s="297"/>
      <c r="AI38" s="468"/>
      <c r="AJ38" s="471"/>
      <c r="AK38" s="472">
        <v>1</v>
      </c>
      <c r="AL38" s="473">
        <v>0</v>
      </c>
      <c r="AM38" s="474">
        <f t="shared" si="3"/>
        <v>0</v>
      </c>
      <c r="AN38" s="474">
        <f t="shared" si="4"/>
        <v>0</v>
      </c>
      <c r="AO38" s="474">
        <f t="shared" si="5"/>
        <v>0</v>
      </c>
      <c r="AP38" s="474">
        <f t="shared" si="6"/>
        <v>0</v>
      </c>
      <c r="AQ38" s="474">
        <f t="shared" si="7"/>
        <v>0</v>
      </c>
      <c r="AR38" s="475">
        <f t="shared" si="8"/>
        <v>0</v>
      </c>
      <c r="AS38" s="618">
        <f t="shared" si="15"/>
        <v>357</v>
      </c>
      <c r="AT38" s="484">
        <f t="shared" si="9"/>
        <v>0</v>
      </c>
      <c r="AU38" s="487">
        <v>0</v>
      </c>
      <c r="AV38" s="637" t="s">
        <v>1762</v>
      </c>
      <c r="AW38" s="335"/>
      <c r="AX38" s="513">
        <f t="shared" si="10"/>
        <v>0</v>
      </c>
      <c r="AY38" s="513">
        <f t="shared" si="11"/>
        <v>0</v>
      </c>
      <c r="AZ38" s="513">
        <f t="shared" si="16"/>
        <v>0</v>
      </c>
      <c r="BA38" s="513">
        <f t="shared" si="12"/>
        <v>0</v>
      </c>
      <c r="BB38" s="513">
        <f t="shared" si="13"/>
        <v>0</v>
      </c>
      <c r="BC38" s="513">
        <f t="shared" si="14"/>
        <v>0</v>
      </c>
      <c r="BD38" s="292">
        <f>EXP(VLOOKUP(AV38,Vol_coef,3,FALSE)+G38)*'Data vol'!$J$7</f>
        <v>2.821222173692798E-2</v>
      </c>
      <c r="BE38" s="291"/>
    </row>
    <row r="39" spans="1:57" ht="15" customHeight="1">
      <c r="A39" s="272" t="s">
        <v>1615</v>
      </c>
      <c r="B39" s="272" t="s">
        <v>1390</v>
      </c>
      <c r="C39" s="272" t="s">
        <v>1391</v>
      </c>
      <c r="D39" s="288" t="s">
        <v>1741</v>
      </c>
      <c r="E39" s="272" t="s">
        <v>1528</v>
      </c>
      <c r="F39" s="396" t="s">
        <v>1534</v>
      </c>
      <c r="G39" s="274">
        <v>-0.35</v>
      </c>
      <c r="H39" s="294">
        <v>325</v>
      </c>
      <c r="I39" s="376"/>
      <c r="J39" s="387"/>
      <c r="K39" s="387" t="s">
        <v>1613</v>
      </c>
      <c r="L39" s="387" t="s">
        <v>1575</v>
      </c>
      <c r="M39" s="381"/>
      <c r="N39" s="380">
        <v>0.08</v>
      </c>
      <c r="O39" s="385"/>
      <c r="P39" s="436">
        <f t="shared" si="2"/>
        <v>7.7743022261045763E-2</v>
      </c>
      <c r="Q39" s="388">
        <v>0.1</v>
      </c>
      <c r="R39" s="436">
        <v>0.24</v>
      </c>
      <c r="S39" s="388">
        <v>7.0000000000000007E-2</v>
      </c>
      <c r="T39" s="436">
        <v>0.08</v>
      </c>
      <c r="U39" s="444"/>
      <c r="V39" s="451"/>
      <c r="W39" s="458"/>
      <c r="X39" s="384"/>
      <c r="Y39" s="444"/>
      <c r="Z39" s="458"/>
      <c r="AA39" s="444"/>
      <c r="AB39" s="384"/>
      <c r="AC39" s="382"/>
      <c r="AD39" s="383"/>
      <c r="AE39" s="383"/>
      <c r="AF39" s="297"/>
      <c r="AG39" s="297"/>
      <c r="AH39" s="297"/>
      <c r="AI39" s="468"/>
      <c r="AJ39" s="471"/>
      <c r="AK39" s="472">
        <v>1</v>
      </c>
      <c r="AL39" s="473">
        <v>0</v>
      </c>
      <c r="AM39" s="474">
        <f t="shared" si="3"/>
        <v>0</v>
      </c>
      <c r="AN39" s="474">
        <f t="shared" si="4"/>
        <v>0</v>
      </c>
      <c r="AO39" s="474">
        <f t="shared" si="5"/>
        <v>0</v>
      </c>
      <c r="AP39" s="474">
        <f t="shared" si="6"/>
        <v>0</v>
      </c>
      <c r="AQ39" s="474">
        <f t="shared" si="7"/>
        <v>0</v>
      </c>
      <c r="AR39" s="475">
        <f t="shared" si="8"/>
        <v>0</v>
      </c>
      <c r="AS39" s="618">
        <f t="shared" si="15"/>
        <v>325</v>
      </c>
      <c r="AT39" s="484">
        <f t="shared" si="9"/>
        <v>0</v>
      </c>
      <c r="AU39" s="487">
        <v>0</v>
      </c>
      <c r="AV39" s="637" t="s">
        <v>1762</v>
      </c>
      <c r="AW39" s="335"/>
      <c r="AX39" s="513">
        <f t="shared" si="10"/>
        <v>0</v>
      </c>
      <c r="AY39" s="513">
        <f t="shared" si="11"/>
        <v>0</v>
      </c>
      <c r="AZ39" s="513">
        <f t="shared" si="16"/>
        <v>0</v>
      </c>
      <c r="BA39" s="513">
        <f t="shared" si="12"/>
        <v>0</v>
      </c>
      <c r="BB39" s="513">
        <f t="shared" si="13"/>
        <v>0</v>
      </c>
      <c r="BC39" s="513">
        <f t="shared" si="14"/>
        <v>0</v>
      </c>
      <c r="BD39" s="292">
        <f>EXP(VLOOKUP(AV39,Vol_coef,3,FALSE)+G39)*'Data vol'!$J$7</f>
        <v>2.821222173692798E-2</v>
      </c>
      <c r="BE39" s="291"/>
    </row>
    <row r="40" spans="1:57" ht="15" customHeight="1">
      <c r="A40" s="272" t="s">
        <v>1614</v>
      </c>
      <c r="B40" s="272" t="s">
        <v>1392</v>
      </c>
      <c r="C40" s="272" t="s">
        <v>1393</v>
      </c>
      <c r="D40" s="288" t="s">
        <v>1741</v>
      </c>
      <c r="E40" s="272" t="s">
        <v>1528</v>
      </c>
      <c r="F40" s="396" t="s">
        <v>1534</v>
      </c>
      <c r="G40" s="274">
        <v>-0.35</v>
      </c>
      <c r="H40" s="294">
        <v>341</v>
      </c>
      <c r="I40" s="376"/>
      <c r="J40" s="387"/>
      <c r="K40" s="387" t="s">
        <v>1613</v>
      </c>
      <c r="L40" s="387" t="s">
        <v>1575</v>
      </c>
      <c r="M40" s="381"/>
      <c r="N40" s="380">
        <v>0.08</v>
      </c>
      <c r="O40" s="385"/>
      <c r="P40" s="436">
        <f t="shared" si="2"/>
        <v>7.7743022261045763E-2</v>
      </c>
      <c r="Q40" s="388">
        <v>0.1</v>
      </c>
      <c r="R40" s="436">
        <v>0.24</v>
      </c>
      <c r="S40" s="388">
        <v>0.13</v>
      </c>
      <c r="T40" s="436">
        <v>0.16</v>
      </c>
      <c r="U40" s="444"/>
      <c r="V40" s="451"/>
      <c r="W40" s="458"/>
      <c r="X40" s="384"/>
      <c r="Y40" s="444"/>
      <c r="Z40" s="458"/>
      <c r="AA40" s="444"/>
      <c r="AB40" s="384"/>
      <c r="AC40" s="382"/>
      <c r="AD40" s="383"/>
      <c r="AE40" s="383"/>
      <c r="AF40" s="297"/>
      <c r="AG40" s="297"/>
      <c r="AH40" s="297"/>
      <c r="AI40" s="468"/>
      <c r="AJ40" s="471"/>
      <c r="AK40" s="472">
        <v>1</v>
      </c>
      <c r="AL40" s="473">
        <v>0</v>
      </c>
      <c r="AM40" s="474">
        <f t="shared" si="3"/>
        <v>0</v>
      </c>
      <c r="AN40" s="474">
        <f t="shared" si="4"/>
        <v>0</v>
      </c>
      <c r="AO40" s="474">
        <f t="shared" si="5"/>
        <v>0</v>
      </c>
      <c r="AP40" s="474">
        <f t="shared" si="6"/>
        <v>0</v>
      </c>
      <c r="AQ40" s="474">
        <f t="shared" si="7"/>
        <v>0</v>
      </c>
      <c r="AR40" s="475">
        <f t="shared" si="8"/>
        <v>0</v>
      </c>
      <c r="AS40" s="618">
        <f t="shared" si="15"/>
        <v>341</v>
      </c>
      <c r="AT40" s="484">
        <f t="shared" si="9"/>
        <v>0</v>
      </c>
      <c r="AU40" s="487">
        <v>0</v>
      </c>
      <c r="AV40" s="637" t="s">
        <v>1762</v>
      </c>
      <c r="AW40" s="335"/>
      <c r="AX40" s="513">
        <f t="shared" si="10"/>
        <v>0</v>
      </c>
      <c r="AY40" s="513">
        <f t="shared" si="11"/>
        <v>0</v>
      </c>
      <c r="AZ40" s="513">
        <f t="shared" si="16"/>
        <v>0</v>
      </c>
      <c r="BA40" s="513">
        <f t="shared" si="12"/>
        <v>0</v>
      </c>
      <c r="BB40" s="513">
        <f t="shared" si="13"/>
        <v>0</v>
      </c>
      <c r="BC40" s="513">
        <f t="shared" si="14"/>
        <v>0</v>
      </c>
      <c r="BD40" s="292">
        <f>EXP(VLOOKUP(AV40,Vol_coef,3,FALSE)+G40)*'Data vol'!$J$7</f>
        <v>2.821222173692798E-2</v>
      </c>
      <c r="BE40" s="291"/>
    </row>
    <row r="41" spans="1:57" ht="15.75">
      <c r="A41" s="272" t="s">
        <v>1612</v>
      </c>
      <c r="B41" s="272" t="s">
        <v>1394</v>
      </c>
      <c r="C41" s="272" t="s">
        <v>1395</v>
      </c>
      <c r="D41" s="288" t="s">
        <v>1741</v>
      </c>
      <c r="E41" s="272" t="s">
        <v>1528</v>
      </c>
      <c r="F41" s="396" t="s">
        <v>1534</v>
      </c>
      <c r="G41" s="274">
        <v>-0.35</v>
      </c>
      <c r="H41" s="294">
        <v>315</v>
      </c>
      <c r="I41" s="376"/>
      <c r="J41" s="387" t="s">
        <v>1611</v>
      </c>
      <c r="K41" s="387"/>
      <c r="L41" s="387" t="s">
        <v>1555</v>
      </c>
      <c r="M41" s="381"/>
      <c r="N41" s="380">
        <v>0.12</v>
      </c>
      <c r="O41" s="385"/>
      <c r="P41" s="436">
        <f t="shared" si="2"/>
        <v>0.11661453339156864</v>
      </c>
      <c r="Q41" s="388">
        <v>0.1</v>
      </c>
      <c r="R41" s="436">
        <v>0.24</v>
      </c>
      <c r="S41" s="388">
        <v>7.0000000000000007E-2</v>
      </c>
      <c r="T41" s="436">
        <v>0.08</v>
      </c>
      <c r="U41" s="444"/>
      <c r="V41" s="451"/>
      <c r="W41" s="458"/>
      <c r="X41" s="384"/>
      <c r="Y41" s="444"/>
      <c r="Z41" s="458"/>
      <c r="AA41" s="444"/>
      <c r="AB41" s="384"/>
      <c r="AC41" s="382"/>
      <c r="AD41" s="383"/>
      <c r="AE41" s="383"/>
      <c r="AF41" s="297"/>
      <c r="AG41" s="297"/>
      <c r="AH41" s="297"/>
      <c r="AI41" s="468"/>
      <c r="AJ41" s="471" t="s">
        <v>1610</v>
      </c>
      <c r="AK41" s="472">
        <v>1</v>
      </c>
      <c r="AL41" s="473">
        <v>0</v>
      </c>
      <c r="AM41" s="474">
        <f t="shared" si="3"/>
        <v>0</v>
      </c>
      <c r="AN41" s="474">
        <f t="shared" si="4"/>
        <v>0</v>
      </c>
      <c r="AO41" s="474">
        <f t="shared" si="5"/>
        <v>0</v>
      </c>
      <c r="AP41" s="474">
        <f t="shared" si="6"/>
        <v>0</v>
      </c>
      <c r="AQ41" s="474">
        <f t="shared" si="7"/>
        <v>0</v>
      </c>
      <c r="AR41" s="475">
        <f t="shared" si="8"/>
        <v>0</v>
      </c>
      <c r="AS41" s="618">
        <f t="shared" si="15"/>
        <v>315</v>
      </c>
      <c r="AT41" s="484">
        <f t="shared" si="9"/>
        <v>0</v>
      </c>
      <c r="AU41" s="487">
        <v>0</v>
      </c>
      <c r="AV41" s="637" t="s">
        <v>1762</v>
      </c>
      <c r="AW41" s="335"/>
      <c r="AX41" s="513">
        <f t="shared" si="10"/>
        <v>0</v>
      </c>
      <c r="AY41" s="513">
        <f t="shared" si="11"/>
        <v>0</v>
      </c>
      <c r="AZ41" s="513">
        <f t="shared" si="16"/>
        <v>0</v>
      </c>
      <c r="BA41" s="513">
        <f t="shared" si="12"/>
        <v>0</v>
      </c>
      <c r="BB41" s="513">
        <f t="shared" si="13"/>
        <v>0</v>
      </c>
      <c r="BC41" s="513">
        <f t="shared" si="14"/>
        <v>0</v>
      </c>
      <c r="BD41" s="292">
        <f>EXP(VLOOKUP(AV41,Vol_coef,3,FALSE)+G41)*'Data vol'!$J$7</f>
        <v>2.821222173692798E-2</v>
      </c>
      <c r="BE41" s="291"/>
    </row>
    <row r="42" spans="1:57" ht="15.75">
      <c r="A42" s="272" t="s">
        <v>1609</v>
      </c>
      <c r="B42" s="272" t="s">
        <v>1396</v>
      </c>
      <c r="C42" s="272" t="s">
        <v>1397</v>
      </c>
      <c r="D42" s="288" t="s">
        <v>1741</v>
      </c>
      <c r="E42" s="272" t="s">
        <v>1528</v>
      </c>
      <c r="F42" s="396" t="s">
        <v>1534</v>
      </c>
      <c r="G42" s="274">
        <v>-0.35</v>
      </c>
      <c r="H42" s="294">
        <v>320</v>
      </c>
      <c r="I42" s="376"/>
      <c r="J42" s="387"/>
      <c r="K42" s="387"/>
      <c r="L42" s="387" t="s">
        <v>1608</v>
      </c>
      <c r="M42" s="381"/>
      <c r="N42" s="380">
        <v>0.12</v>
      </c>
      <c r="O42" s="385"/>
      <c r="P42" s="436">
        <f t="shared" si="2"/>
        <v>0.11661453339156864</v>
      </c>
      <c r="Q42" s="388">
        <v>0.1</v>
      </c>
      <c r="R42" s="436">
        <v>0.24</v>
      </c>
      <c r="S42" s="388">
        <v>0.1</v>
      </c>
      <c r="T42" s="436">
        <v>0.12</v>
      </c>
      <c r="U42" s="444"/>
      <c r="V42" s="451"/>
      <c r="W42" s="458"/>
      <c r="X42" s="384"/>
      <c r="Y42" s="444"/>
      <c r="Z42" s="458"/>
      <c r="AA42" s="444"/>
      <c r="AB42" s="384"/>
      <c r="AC42" s="382"/>
      <c r="AD42" s="383"/>
      <c r="AE42" s="383"/>
      <c r="AF42" s="297"/>
      <c r="AG42" s="297"/>
      <c r="AH42" s="297"/>
      <c r="AI42" s="468"/>
      <c r="AJ42" s="471"/>
      <c r="AK42" s="472">
        <v>1</v>
      </c>
      <c r="AL42" s="473">
        <v>0</v>
      </c>
      <c r="AM42" s="474">
        <f t="shared" si="3"/>
        <v>0</v>
      </c>
      <c r="AN42" s="474">
        <f t="shared" si="4"/>
        <v>0</v>
      </c>
      <c r="AO42" s="474">
        <f t="shared" si="5"/>
        <v>0</v>
      </c>
      <c r="AP42" s="474">
        <f t="shared" si="6"/>
        <v>0</v>
      </c>
      <c r="AQ42" s="474">
        <f t="shared" si="7"/>
        <v>0</v>
      </c>
      <c r="AR42" s="475">
        <f t="shared" si="8"/>
        <v>0</v>
      </c>
      <c r="AS42" s="618">
        <f t="shared" si="15"/>
        <v>320</v>
      </c>
      <c r="AT42" s="484">
        <f t="shared" si="9"/>
        <v>0</v>
      </c>
      <c r="AU42" s="487">
        <v>0</v>
      </c>
      <c r="AV42" s="637" t="s">
        <v>1762</v>
      </c>
      <c r="AW42" s="335"/>
      <c r="AX42" s="513">
        <f t="shared" si="10"/>
        <v>0</v>
      </c>
      <c r="AY42" s="513">
        <f t="shared" si="11"/>
        <v>0</v>
      </c>
      <c r="AZ42" s="513">
        <f t="shared" si="16"/>
        <v>0</v>
      </c>
      <c r="BA42" s="513">
        <f t="shared" si="12"/>
        <v>0</v>
      </c>
      <c r="BB42" s="513">
        <f t="shared" si="13"/>
        <v>0</v>
      </c>
      <c r="BC42" s="513">
        <f t="shared" si="14"/>
        <v>0</v>
      </c>
      <c r="BD42" s="292">
        <f>EXP(VLOOKUP(AV42,Vol_coef,3,FALSE)+G42)*'Data vol'!$J$7</f>
        <v>2.821222173692798E-2</v>
      </c>
      <c r="BE42" s="291"/>
    </row>
    <row r="43" spans="1:57" ht="15.75">
      <c r="A43" s="272" t="s">
        <v>1607</v>
      </c>
      <c r="B43" s="272" t="s">
        <v>1398</v>
      </c>
      <c r="C43" s="272" t="s">
        <v>1399</v>
      </c>
      <c r="D43" s="288" t="s">
        <v>1741</v>
      </c>
      <c r="E43" s="272" t="s">
        <v>1528</v>
      </c>
      <c r="F43" s="396" t="s">
        <v>1534</v>
      </c>
      <c r="G43" s="274">
        <v>-0.35</v>
      </c>
      <c r="H43" s="294" t="s">
        <v>1497</v>
      </c>
      <c r="I43" s="376"/>
      <c r="J43" s="387"/>
      <c r="K43" s="387"/>
      <c r="L43" s="387" t="s">
        <v>1559</v>
      </c>
      <c r="M43" s="381"/>
      <c r="N43" s="380">
        <v>0.09</v>
      </c>
      <c r="O43" s="385"/>
      <c r="P43" s="436">
        <f t="shared" si="2"/>
        <v>8.7460900043676487E-2</v>
      </c>
      <c r="Q43" s="388">
        <v>0.05</v>
      </c>
      <c r="R43" s="436">
        <v>0.12</v>
      </c>
      <c r="S43" s="388">
        <v>0.2</v>
      </c>
      <c r="T43" s="436">
        <v>0.24</v>
      </c>
      <c r="U43" s="444"/>
      <c r="V43" s="451"/>
      <c r="W43" s="458"/>
      <c r="X43" s="384"/>
      <c r="Y43" s="444"/>
      <c r="Z43" s="458"/>
      <c r="AA43" s="444"/>
      <c r="AB43" s="384"/>
      <c r="AC43" s="382"/>
      <c r="AD43" s="383"/>
      <c r="AE43" s="383"/>
      <c r="AF43" s="297"/>
      <c r="AG43" s="297"/>
      <c r="AH43" s="297"/>
      <c r="AI43" s="468"/>
      <c r="AJ43" s="471"/>
      <c r="AK43" s="472">
        <v>1</v>
      </c>
      <c r="AL43" s="473">
        <v>0</v>
      </c>
      <c r="AM43" s="474">
        <f t="shared" si="3"/>
        <v>0</v>
      </c>
      <c r="AN43" s="474">
        <f t="shared" si="4"/>
        <v>0</v>
      </c>
      <c r="AO43" s="474">
        <f t="shared" si="5"/>
        <v>0</v>
      </c>
      <c r="AP43" s="474">
        <f t="shared" si="6"/>
        <v>0</v>
      </c>
      <c r="AQ43" s="474">
        <f t="shared" si="7"/>
        <v>0</v>
      </c>
      <c r="AR43" s="475">
        <f t="shared" si="8"/>
        <v>0</v>
      </c>
      <c r="AS43" s="618">
        <f t="shared" si="15"/>
        <v>100000</v>
      </c>
      <c r="AT43" s="484">
        <f t="shared" si="9"/>
        <v>0</v>
      </c>
      <c r="AU43" s="487">
        <v>0</v>
      </c>
      <c r="AV43" s="637" t="s">
        <v>1762</v>
      </c>
      <c r="AW43" s="335"/>
      <c r="AX43" s="513">
        <f t="shared" si="10"/>
        <v>0</v>
      </c>
      <c r="AY43" s="513">
        <f t="shared" si="11"/>
        <v>0</v>
      </c>
      <c r="AZ43" s="513">
        <f t="shared" si="16"/>
        <v>0</v>
      </c>
      <c r="BA43" s="513">
        <f t="shared" si="12"/>
        <v>0</v>
      </c>
      <c r="BB43" s="513">
        <f t="shared" si="13"/>
        <v>0</v>
      </c>
      <c r="BC43" s="513">
        <f t="shared" si="14"/>
        <v>0</v>
      </c>
      <c r="BD43" s="292">
        <f>EXP(VLOOKUP(AV43,Vol_coef,3,FALSE)+G43)*'Data vol'!$J$7</f>
        <v>2.821222173692798E-2</v>
      </c>
      <c r="BE43" s="291"/>
    </row>
    <row r="44" spans="1:57" ht="15.75">
      <c r="A44" s="272" t="s">
        <v>1606</v>
      </c>
      <c r="B44" s="272" t="s">
        <v>1400</v>
      </c>
      <c r="C44" s="272" t="s">
        <v>1401</v>
      </c>
      <c r="D44" s="288" t="s">
        <v>1741</v>
      </c>
      <c r="E44" s="272" t="s">
        <v>1528</v>
      </c>
      <c r="F44" s="396" t="s">
        <v>1534</v>
      </c>
      <c r="G44" s="274">
        <v>-0.35</v>
      </c>
      <c r="H44" s="294">
        <v>230</v>
      </c>
      <c r="I44" s="376"/>
      <c r="J44" s="387"/>
      <c r="K44" s="387"/>
      <c r="L44" s="387" t="s">
        <v>1533</v>
      </c>
      <c r="M44" s="381"/>
      <c r="N44" s="380">
        <v>0.1</v>
      </c>
      <c r="O44" s="385"/>
      <c r="P44" s="436">
        <f t="shared" si="2"/>
        <v>9.7178777826307211E-2</v>
      </c>
      <c r="Q44" s="388">
        <v>0.09</v>
      </c>
      <c r="R44" s="436">
        <v>0.2</v>
      </c>
      <c r="S44" s="388">
        <v>0.08</v>
      </c>
      <c r="T44" s="436">
        <v>0.1</v>
      </c>
      <c r="U44" s="444"/>
      <c r="V44" s="451"/>
      <c r="W44" s="458"/>
      <c r="X44" s="384"/>
      <c r="Y44" s="444"/>
      <c r="Z44" s="458"/>
      <c r="AA44" s="444"/>
      <c r="AB44" s="384"/>
      <c r="AC44" s="382"/>
      <c r="AD44" s="383"/>
      <c r="AE44" s="383"/>
      <c r="AF44" s="297"/>
      <c r="AG44" s="297"/>
      <c r="AH44" s="297"/>
      <c r="AI44" s="468"/>
      <c r="AJ44" s="471"/>
      <c r="AK44" s="472">
        <v>1</v>
      </c>
      <c r="AL44" s="473">
        <v>0</v>
      </c>
      <c r="AM44" s="474">
        <f t="shared" si="3"/>
        <v>0</v>
      </c>
      <c r="AN44" s="474">
        <f t="shared" si="4"/>
        <v>0</v>
      </c>
      <c r="AO44" s="474">
        <f t="shared" si="5"/>
        <v>0</v>
      </c>
      <c r="AP44" s="474">
        <f t="shared" si="6"/>
        <v>0</v>
      </c>
      <c r="AQ44" s="474">
        <f t="shared" si="7"/>
        <v>0</v>
      </c>
      <c r="AR44" s="475">
        <f t="shared" si="8"/>
        <v>0</v>
      </c>
      <c r="AS44" s="618">
        <f t="shared" si="15"/>
        <v>230</v>
      </c>
      <c r="AT44" s="484">
        <f t="shared" si="9"/>
        <v>0</v>
      </c>
      <c r="AU44" s="487">
        <v>0</v>
      </c>
      <c r="AV44" s="637" t="s">
        <v>1762</v>
      </c>
      <c r="AW44" s="335"/>
      <c r="AX44" s="513">
        <f t="shared" si="10"/>
        <v>0</v>
      </c>
      <c r="AY44" s="513">
        <f t="shared" si="11"/>
        <v>0</v>
      </c>
      <c r="AZ44" s="513">
        <f t="shared" si="16"/>
        <v>0</v>
      </c>
      <c r="BA44" s="513">
        <f t="shared" si="12"/>
        <v>0</v>
      </c>
      <c r="BB44" s="513">
        <f t="shared" si="13"/>
        <v>0</v>
      </c>
      <c r="BC44" s="513">
        <f t="shared" si="14"/>
        <v>0</v>
      </c>
      <c r="BD44" s="292">
        <f>EXP(VLOOKUP(AV44,Vol_coef,3,FALSE)+G44)*'Data vol'!$J$7</f>
        <v>2.821222173692798E-2</v>
      </c>
      <c r="BE44" s="291"/>
    </row>
    <row r="45" spans="1:57" ht="15.75">
      <c r="A45" s="272" t="s">
        <v>1605</v>
      </c>
      <c r="B45" s="272" t="s">
        <v>1402</v>
      </c>
      <c r="C45" s="272" t="s">
        <v>1403</v>
      </c>
      <c r="D45" s="288" t="s">
        <v>1741</v>
      </c>
      <c r="E45" s="272" t="s">
        <v>1528</v>
      </c>
      <c r="F45" s="396" t="s">
        <v>1534</v>
      </c>
      <c r="G45" s="274">
        <v>-0.35</v>
      </c>
      <c r="H45" s="294">
        <v>305</v>
      </c>
      <c r="I45" s="376"/>
      <c r="J45" s="387"/>
      <c r="K45" s="387"/>
      <c r="L45" s="387" t="s">
        <v>1570</v>
      </c>
      <c r="M45" s="381"/>
      <c r="N45" s="380">
        <v>0.08</v>
      </c>
      <c r="O45" s="385"/>
      <c r="P45" s="436">
        <f t="shared" si="2"/>
        <v>7.7743022261045763E-2</v>
      </c>
      <c r="Q45" s="388">
        <v>7.0000000000000007E-2</v>
      </c>
      <c r="R45" s="436">
        <v>0.16</v>
      </c>
      <c r="S45" s="388">
        <v>7.0000000000000007E-2</v>
      </c>
      <c r="T45" s="436">
        <v>0.08</v>
      </c>
      <c r="U45" s="444"/>
      <c r="V45" s="451"/>
      <c r="W45" s="458"/>
      <c r="X45" s="384"/>
      <c r="Y45" s="444"/>
      <c r="Z45" s="458"/>
      <c r="AA45" s="444"/>
      <c r="AB45" s="384"/>
      <c r="AC45" s="382"/>
      <c r="AD45" s="383"/>
      <c r="AE45" s="383"/>
      <c r="AF45" s="297"/>
      <c r="AG45" s="297"/>
      <c r="AH45" s="297"/>
      <c r="AI45" s="468"/>
      <c r="AJ45" s="471"/>
      <c r="AK45" s="472">
        <v>1</v>
      </c>
      <c r="AL45" s="473">
        <v>0</v>
      </c>
      <c r="AM45" s="474">
        <f t="shared" si="3"/>
        <v>0</v>
      </c>
      <c r="AN45" s="474">
        <f t="shared" si="4"/>
        <v>0</v>
      </c>
      <c r="AO45" s="474">
        <f t="shared" si="5"/>
        <v>0</v>
      </c>
      <c r="AP45" s="474">
        <f t="shared" si="6"/>
        <v>0</v>
      </c>
      <c r="AQ45" s="474">
        <f t="shared" si="7"/>
        <v>0</v>
      </c>
      <c r="AR45" s="475">
        <f t="shared" si="8"/>
        <v>0</v>
      </c>
      <c r="AS45" s="618">
        <f t="shared" si="15"/>
        <v>305</v>
      </c>
      <c r="AT45" s="484">
        <f t="shared" si="9"/>
        <v>0</v>
      </c>
      <c r="AU45" s="487">
        <v>0</v>
      </c>
      <c r="AV45" s="637" t="s">
        <v>1762</v>
      </c>
      <c r="AW45" s="335"/>
      <c r="AX45" s="513">
        <f t="shared" si="10"/>
        <v>0</v>
      </c>
      <c r="AY45" s="513">
        <f t="shared" si="11"/>
        <v>0</v>
      </c>
      <c r="AZ45" s="513">
        <f t="shared" si="16"/>
        <v>0</v>
      </c>
      <c r="BA45" s="513">
        <f t="shared" si="12"/>
        <v>0</v>
      </c>
      <c r="BB45" s="513">
        <f t="shared" si="13"/>
        <v>0</v>
      </c>
      <c r="BC45" s="513">
        <f t="shared" si="14"/>
        <v>0</v>
      </c>
      <c r="BD45" s="292">
        <f>EXP(VLOOKUP(AV45,Vol_coef,3,FALSE)+G45)*'Data vol'!$J$7</f>
        <v>2.821222173692798E-2</v>
      </c>
      <c r="BE45" s="291"/>
    </row>
    <row r="46" spans="1:57" ht="15.75">
      <c r="A46" s="272" t="s">
        <v>1604</v>
      </c>
      <c r="B46" s="272" t="s">
        <v>1404</v>
      </c>
      <c r="C46" s="272" t="s">
        <v>1405</v>
      </c>
      <c r="D46" s="288" t="s">
        <v>1741</v>
      </c>
      <c r="E46" s="272" t="s">
        <v>1528</v>
      </c>
      <c r="F46" s="396" t="s">
        <v>1534</v>
      </c>
      <c r="G46" s="274">
        <v>-0.35</v>
      </c>
      <c r="H46" s="294">
        <v>385</v>
      </c>
      <c r="I46" s="376"/>
      <c r="J46" s="387"/>
      <c r="K46" s="387"/>
      <c r="L46" s="387" t="s">
        <v>1603</v>
      </c>
      <c r="M46" s="381"/>
      <c r="N46" s="380">
        <v>0.18</v>
      </c>
      <c r="O46" s="385"/>
      <c r="P46" s="436">
        <f t="shared" si="2"/>
        <v>0.17492180008735297</v>
      </c>
      <c r="Q46" s="388">
        <v>0.2</v>
      </c>
      <c r="R46" s="436">
        <v>0.46</v>
      </c>
      <c r="S46" s="388">
        <v>0</v>
      </c>
      <c r="T46" s="444"/>
      <c r="U46" s="444"/>
      <c r="V46" s="451"/>
      <c r="W46" s="458"/>
      <c r="X46" s="384"/>
      <c r="Y46" s="444"/>
      <c r="Z46" s="458"/>
      <c r="AA46" s="444"/>
      <c r="AB46" s="384"/>
      <c r="AC46" s="382"/>
      <c r="AD46" s="383"/>
      <c r="AE46" s="383"/>
      <c r="AF46" s="297"/>
      <c r="AG46" s="297"/>
      <c r="AH46" s="297"/>
      <c r="AI46" s="468"/>
      <c r="AJ46" s="471" t="s">
        <v>1602</v>
      </c>
      <c r="AK46" s="472">
        <v>1</v>
      </c>
      <c r="AL46" s="473">
        <v>0</v>
      </c>
      <c r="AM46" s="474">
        <f t="shared" si="3"/>
        <v>0</v>
      </c>
      <c r="AN46" s="474">
        <f t="shared" si="4"/>
        <v>0</v>
      </c>
      <c r="AO46" s="474">
        <f t="shared" si="5"/>
        <v>0</v>
      </c>
      <c r="AP46" s="474">
        <f t="shared" si="6"/>
        <v>0</v>
      </c>
      <c r="AQ46" s="474">
        <f t="shared" si="7"/>
        <v>0</v>
      </c>
      <c r="AR46" s="475">
        <f t="shared" si="8"/>
        <v>0</v>
      </c>
      <c r="AS46" s="618">
        <f t="shared" si="15"/>
        <v>385</v>
      </c>
      <c r="AT46" s="484">
        <f t="shared" si="9"/>
        <v>0</v>
      </c>
      <c r="AU46" s="487">
        <v>0</v>
      </c>
      <c r="AV46" s="637" t="s">
        <v>1762</v>
      </c>
      <c r="AW46" s="335"/>
      <c r="AX46" s="513">
        <f t="shared" si="10"/>
        <v>0</v>
      </c>
      <c r="AY46" s="513">
        <f t="shared" si="11"/>
        <v>0</v>
      </c>
      <c r="AZ46" s="513">
        <f t="shared" si="16"/>
        <v>0</v>
      </c>
      <c r="BA46" s="513">
        <f t="shared" si="12"/>
        <v>0</v>
      </c>
      <c r="BB46" s="513">
        <f t="shared" si="13"/>
        <v>0</v>
      </c>
      <c r="BC46" s="513">
        <f t="shared" si="14"/>
        <v>0</v>
      </c>
      <c r="BD46" s="292">
        <f>EXP(VLOOKUP(AV46,Vol_coef,3,FALSE)+G46)*'Data vol'!$J$7</f>
        <v>2.821222173692798E-2</v>
      </c>
      <c r="BE46" s="291"/>
    </row>
    <row r="47" spans="1:57" ht="15.75">
      <c r="A47" s="272" t="s">
        <v>1601</v>
      </c>
      <c r="B47" s="272" t="s">
        <v>1406</v>
      </c>
      <c r="C47" s="272" t="s">
        <v>1407</v>
      </c>
      <c r="D47" s="288" t="s">
        <v>1741</v>
      </c>
      <c r="E47" s="272" t="s">
        <v>1528</v>
      </c>
      <c r="F47" s="396" t="s">
        <v>1534</v>
      </c>
      <c r="G47" s="274">
        <v>-0.35</v>
      </c>
      <c r="H47" s="294">
        <v>292</v>
      </c>
      <c r="I47" s="376"/>
      <c r="J47" s="387" t="s">
        <v>1600</v>
      </c>
      <c r="K47" s="387"/>
      <c r="L47" s="387" t="s">
        <v>1599</v>
      </c>
      <c r="M47" s="381"/>
      <c r="N47" s="380">
        <v>0.1</v>
      </c>
      <c r="O47" s="385"/>
      <c r="P47" s="436">
        <f t="shared" si="2"/>
        <v>9.7178777826307211E-2</v>
      </c>
      <c r="Q47" s="388">
        <v>0.04</v>
      </c>
      <c r="R47" s="436">
        <v>0.1</v>
      </c>
      <c r="S47" s="388">
        <v>0.14000000000000001</v>
      </c>
      <c r="T47" s="436">
        <v>0.17</v>
      </c>
      <c r="U47" s="444"/>
      <c r="V47" s="451"/>
      <c r="W47" s="458"/>
      <c r="X47" s="384"/>
      <c r="Y47" s="444"/>
      <c r="Z47" s="458"/>
      <c r="AA47" s="444"/>
      <c r="AB47" s="384"/>
      <c r="AC47" s="382"/>
      <c r="AD47" s="383"/>
      <c r="AE47" s="383"/>
      <c r="AF47" s="297"/>
      <c r="AG47" s="297"/>
      <c r="AH47" s="297"/>
      <c r="AI47" s="468"/>
      <c r="AJ47" s="471" t="s">
        <v>1598</v>
      </c>
      <c r="AK47" s="472">
        <v>1</v>
      </c>
      <c r="AL47" s="473">
        <v>0</v>
      </c>
      <c r="AM47" s="474">
        <f t="shared" si="3"/>
        <v>0</v>
      </c>
      <c r="AN47" s="474">
        <f t="shared" si="4"/>
        <v>0</v>
      </c>
      <c r="AO47" s="474">
        <f t="shared" si="5"/>
        <v>0</v>
      </c>
      <c r="AP47" s="474">
        <f t="shared" si="6"/>
        <v>0</v>
      </c>
      <c r="AQ47" s="474">
        <f t="shared" si="7"/>
        <v>0</v>
      </c>
      <c r="AR47" s="475">
        <f t="shared" si="8"/>
        <v>0</v>
      </c>
      <c r="AS47" s="618">
        <f t="shared" si="15"/>
        <v>292</v>
      </c>
      <c r="AT47" s="484">
        <f t="shared" si="9"/>
        <v>0</v>
      </c>
      <c r="AU47" s="487">
        <v>0</v>
      </c>
      <c r="AV47" s="637" t="s">
        <v>1762</v>
      </c>
      <c r="AW47" s="335"/>
      <c r="AX47" s="513">
        <f t="shared" si="10"/>
        <v>0</v>
      </c>
      <c r="AY47" s="513">
        <f t="shared" si="11"/>
        <v>0</v>
      </c>
      <c r="AZ47" s="513">
        <f t="shared" si="16"/>
        <v>0</v>
      </c>
      <c r="BA47" s="513">
        <f t="shared" si="12"/>
        <v>0</v>
      </c>
      <c r="BB47" s="513">
        <f t="shared" si="13"/>
        <v>0</v>
      </c>
      <c r="BC47" s="513">
        <f t="shared" si="14"/>
        <v>0</v>
      </c>
      <c r="BD47" s="292">
        <f>EXP(VLOOKUP(AV47,Vol_coef,3,FALSE)+G47)*'Data vol'!$J$7</f>
        <v>2.821222173692798E-2</v>
      </c>
      <c r="BE47" s="291"/>
    </row>
    <row r="48" spans="1:57" ht="15.75">
      <c r="A48" s="272" t="s">
        <v>1597</v>
      </c>
      <c r="B48" s="272" t="s">
        <v>1408</v>
      </c>
      <c r="C48" s="272" t="s">
        <v>1409</v>
      </c>
      <c r="D48" s="288" t="s">
        <v>1741</v>
      </c>
      <c r="E48" s="272" t="s">
        <v>1528</v>
      </c>
      <c r="F48" s="396" t="s">
        <v>1534</v>
      </c>
      <c r="G48" s="274">
        <v>-0.35</v>
      </c>
      <c r="H48" s="294">
        <v>390</v>
      </c>
      <c r="I48" s="376"/>
      <c r="J48" s="387" t="s">
        <v>1596</v>
      </c>
      <c r="K48" s="387" t="s">
        <v>1595</v>
      </c>
      <c r="L48" s="387" t="s">
        <v>1555</v>
      </c>
      <c r="M48" s="381"/>
      <c r="N48" s="380">
        <v>0.12</v>
      </c>
      <c r="O48" s="385"/>
      <c r="P48" s="436">
        <f t="shared" si="2"/>
        <v>0.11661453339156864</v>
      </c>
      <c r="Q48" s="388">
        <v>0.16</v>
      </c>
      <c r="R48" s="436">
        <v>0.36</v>
      </c>
      <c r="S48" s="388">
        <v>0.1</v>
      </c>
      <c r="T48" s="436">
        <v>0.12</v>
      </c>
      <c r="U48" s="444"/>
      <c r="V48" s="451"/>
      <c r="W48" s="458"/>
      <c r="X48" s="384"/>
      <c r="Y48" s="444"/>
      <c r="Z48" s="458"/>
      <c r="AA48" s="444"/>
      <c r="AB48" s="384"/>
      <c r="AC48" s="382"/>
      <c r="AD48" s="383"/>
      <c r="AE48" s="383"/>
      <c r="AF48" s="297"/>
      <c r="AG48" s="297"/>
      <c r="AH48" s="297"/>
      <c r="AI48" s="468"/>
      <c r="AJ48" s="471" t="s">
        <v>1594</v>
      </c>
      <c r="AK48" s="472">
        <v>1</v>
      </c>
      <c r="AL48" s="473">
        <v>0</v>
      </c>
      <c r="AM48" s="474">
        <f t="shared" si="3"/>
        <v>0</v>
      </c>
      <c r="AN48" s="474">
        <f t="shared" si="4"/>
        <v>0</v>
      </c>
      <c r="AO48" s="474">
        <f t="shared" si="5"/>
        <v>0</v>
      </c>
      <c r="AP48" s="474">
        <f t="shared" si="6"/>
        <v>0</v>
      </c>
      <c r="AQ48" s="474">
        <f t="shared" si="7"/>
        <v>0</v>
      </c>
      <c r="AR48" s="475">
        <f t="shared" si="8"/>
        <v>0</v>
      </c>
      <c r="AS48" s="618">
        <f t="shared" si="15"/>
        <v>390</v>
      </c>
      <c r="AT48" s="484">
        <f t="shared" si="9"/>
        <v>0</v>
      </c>
      <c r="AU48" s="487">
        <v>0</v>
      </c>
      <c r="AV48" s="637" t="s">
        <v>1762</v>
      </c>
      <c r="AW48" s="335"/>
      <c r="AX48" s="513">
        <f t="shared" si="10"/>
        <v>0</v>
      </c>
      <c r="AY48" s="513">
        <f t="shared" si="11"/>
        <v>0</v>
      </c>
      <c r="AZ48" s="513">
        <f t="shared" si="16"/>
        <v>0</v>
      </c>
      <c r="BA48" s="513">
        <f t="shared" si="12"/>
        <v>0</v>
      </c>
      <c r="BB48" s="513">
        <f t="shared" si="13"/>
        <v>0</v>
      </c>
      <c r="BC48" s="513">
        <f t="shared" si="14"/>
        <v>0</v>
      </c>
      <c r="BD48" s="292">
        <f>EXP(VLOOKUP(AV48,Vol_coef,3,FALSE)+G48)*'Data vol'!$J$7</f>
        <v>2.821222173692798E-2</v>
      </c>
      <c r="BE48" s="291"/>
    </row>
    <row r="49" spans="1:57" ht="15.75">
      <c r="A49" s="272" t="s">
        <v>1593</v>
      </c>
      <c r="B49" s="272" t="s">
        <v>1410</v>
      </c>
      <c r="C49" s="272" t="s">
        <v>1411</v>
      </c>
      <c r="D49" s="288" t="s">
        <v>1741</v>
      </c>
      <c r="E49" s="272" t="s">
        <v>1528</v>
      </c>
      <c r="F49" s="396" t="s">
        <v>1497</v>
      </c>
      <c r="G49" s="274">
        <v>0</v>
      </c>
      <c r="H49" s="294">
        <v>270</v>
      </c>
      <c r="I49" s="376"/>
      <c r="J49" s="387"/>
      <c r="K49" s="387"/>
      <c r="L49" s="381"/>
      <c r="M49" s="381"/>
      <c r="N49" s="380">
        <v>0.04</v>
      </c>
      <c r="O49" s="385"/>
      <c r="P49" s="436">
        <f t="shared" si="2"/>
        <v>3.8398598066376327E-2</v>
      </c>
      <c r="Q49" s="388">
        <v>7.0000000000000007E-2</v>
      </c>
      <c r="R49" s="436">
        <v>0.16</v>
      </c>
      <c r="S49" s="388">
        <v>0.08</v>
      </c>
      <c r="T49" s="436">
        <v>0.1</v>
      </c>
      <c r="U49" s="444"/>
      <c r="V49" s="451"/>
      <c r="W49" s="458"/>
      <c r="X49" s="384"/>
      <c r="Y49" s="444"/>
      <c r="Z49" s="458"/>
      <c r="AA49" s="444"/>
      <c r="AB49" s="384"/>
      <c r="AC49" s="382"/>
      <c r="AD49" s="383"/>
      <c r="AE49" s="383"/>
      <c r="AF49" s="297"/>
      <c r="AG49" s="297"/>
      <c r="AH49" s="297"/>
      <c r="AI49" s="468"/>
      <c r="AJ49" s="471"/>
      <c r="AK49" s="472">
        <v>1</v>
      </c>
      <c r="AL49" s="473">
        <v>0</v>
      </c>
      <c r="AM49" s="474">
        <f t="shared" si="3"/>
        <v>0</v>
      </c>
      <c r="AN49" s="474">
        <f t="shared" si="4"/>
        <v>0</v>
      </c>
      <c r="AO49" s="474">
        <f t="shared" si="5"/>
        <v>0</v>
      </c>
      <c r="AP49" s="474">
        <f t="shared" si="6"/>
        <v>0</v>
      </c>
      <c r="AQ49" s="474">
        <f t="shared" si="7"/>
        <v>0</v>
      </c>
      <c r="AR49" s="475">
        <f t="shared" si="8"/>
        <v>0</v>
      </c>
      <c r="AS49" s="618">
        <f t="shared" si="15"/>
        <v>270</v>
      </c>
      <c r="AT49" s="484">
        <f t="shared" si="9"/>
        <v>0</v>
      </c>
      <c r="AU49" s="487">
        <v>1000</v>
      </c>
      <c r="AV49" s="637" t="s">
        <v>1762</v>
      </c>
      <c r="AW49" s="335"/>
      <c r="AX49" s="513">
        <f t="shared" si="10"/>
        <v>0</v>
      </c>
      <c r="AY49" s="513">
        <f t="shared" si="11"/>
        <v>40</v>
      </c>
      <c r="AZ49" s="513">
        <f t="shared" si="16"/>
        <v>38.39859806637633</v>
      </c>
      <c r="BA49" s="513">
        <f t="shared" si="12"/>
        <v>70</v>
      </c>
      <c r="BB49" s="513">
        <f t="shared" si="13"/>
        <v>80</v>
      </c>
      <c r="BC49" s="513">
        <f t="shared" si="14"/>
        <v>0</v>
      </c>
      <c r="BD49" s="292">
        <f>EXP(VLOOKUP(AV49,Vol_coef,3,FALSE)+G49)*'Data vol'!$J$7</f>
        <v>4.0035048340591801E-2</v>
      </c>
      <c r="BE49" s="291"/>
    </row>
    <row r="50" spans="1:57" ht="15.75">
      <c r="A50" s="272" t="s">
        <v>1592</v>
      </c>
      <c r="B50" s="272" t="s">
        <v>1412</v>
      </c>
      <c r="C50" s="272" t="s">
        <v>1413</v>
      </c>
      <c r="D50" s="288" t="s">
        <v>1741</v>
      </c>
      <c r="E50" s="272" t="s">
        <v>1528</v>
      </c>
      <c r="F50" s="396" t="s">
        <v>1332</v>
      </c>
      <c r="G50" s="273">
        <v>0.66600000000000004</v>
      </c>
      <c r="H50" s="294" t="s">
        <v>1497</v>
      </c>
      <c r="I50" s="376"/>
      <c r="J50" s="387" t="s">
        <v>1563</v>
      </c>
      <c r="K50" s="387"/>
      <c r="L50" s="381"/>
      <c r="M50" s="381"/>
      <c r="N50" s="380">
        <v>0.05</v>
      </c>
      <c r="O50" s="385"/>
      <c r="P50" s="436">
        <f t="shared" si="2"/>
        <v>4.61037170635787E-2</v>
      </c>
      <c r="Q50" s="388">
        <v>0.04</v>
      </c>
      <c r="R50" s="436">
        <v>0.1</v>
      </c>
      <c r="S50" s="388">
        <v>0.08</v>
      </c>
      <c r="T50" s="436">
        <v>0.1</v>
      </c>
      <c r="U50" s="444"/>
      <c r="V50" s="451"/>
      <c r="W50" s="458"/>
      <c r="X50" s="384"/>
      <c r="Y50" s="444"/>
      <c r="Z50" s="458"/>
      <c r="AA50" s="444"/>
      <c r="AB50" s="384"/>
      <c r="AC50" s="382"/>
      <c r="AD50" s="383"/>
      <c r="AE50" s="383"/>
      <c r="AF50" s="297"/>
      <c r="AG50" s="297"/>
      <c r="AH50" s="297"/>
      <c r="AI50" s="468"/>
      <c r="AJ50" s="471" t="s">
        <v>1591</v>
      </c>
      <c r="AK50" s="472">
        <v>1</v>
      </c>
      <c r="AL50" s="473">
        <v>0</v>
      </c>
      <c r="AM50" s="474">
        <f t="shared" si="3"/>
        <v>0</v>
      </c>
      <c r="AN50" s="474">
        <f t="shared" si="4"/>
        <v>0</v>
      </c>
      <c r="AO50" s="474">
        <f t="shared" si="5"/>
        <v>0</v>
      </c>
      <c r="AP50" s="474">
        <f t="shared" si="6"/>
        <v>0</v>
      </c>
      <c r="AQ50" s="474">
        <f t="shared" si="7"/>
        <v>0</v>
      </c>
      <c r="AR50" s="475">
        <f t="shared" si="8"/>
        <v>0</v>
      </c>
      <c r="AS50" s="618">
        <f t="shared" si="15"/>
        <v>100000</v>
      </c>
      <c r="AT50" s="484">
        <f t="shared" si="9"/>
        <v>0</v>
      </c>
      <c r="AU50" s="487">
        <v>250</v>
      </c>
      <c r="AV50" s="637" t="s">
        <v>1762</v>
      </c>
      <c r="AW50" s="335"/>
      <c r="AX50" s="513">
        <f t="shared" si="10"/>
        <v>12.5</v>
      </c>
      <c r="AY50" s="513">
        <f t="shared" si="11"/>
        <v>12.5</v>
      </c>
      <c r="AZ50" s="513">
        <f t="shared" si="16"/>
        <v>11.525929265894675</v>
      </c>
      <c r="BA50" s="513">
        <f t="shared" si="12"/>
        <v>10</v>
      </c>
      <c r="BB50" s="513">
        <f t="shared" si="13"/>
        <v>20</v>
      </c>
      <c r="BC50" s="513">
        <f t="shared" si="14"/>
        <v>0</v>
      </c>
      <c r="BD50" s="292">
        <f>EXP(VLOOKUP(AV50,Vol_coef,3,FALSE)+G50)*'Data vol'!$J$7</f>
        <v>7.7925658728425995E-2</v>
      </c>
      <c r="BE50" s="291"/>
    </row>
    <row r="51" spans="1:57" ht="15.75">
      <c r="A51" s="272" t="s">
        <v>1590</v>
      </c>
      <c r="B51" s="272" t="s">
        <v>1414</v>
      </c>
      <c r="C51" s="272" t="s">
        <v>1415</v>
      </c>
      <c r="D51" s="288" t="s">
        <v>1741</v>
      </c>
      <c r="E51" s="272" t="s">
        <v>1528</v>
      </c>
      <c r="F51" s="396" t="s">
        <v>1497</v>
      </c>
      <c r="G51" s="274">
        <v>0</v>
      </c>
      <c r="H51" s="294" t="s">
        <v>1497</v>
      </c>
      <c r="I51" s="376"/>
      <c r="J51" s="387"/>
      <c r="K51" s="387"/>
      <c r="L51" s="381"/>
      <c r="M51" s="381"/>
      <c r="N51" s="380">
        <v>0.05</v>
      </c>
      <c r="O51" s="385"/>
      <c r="P51" s="436">
        <f t="shared" si="2"/>
        <v>4.7998247582970416E-2</v>
      </c>
      <c r="Q51" s="388">
        <v>0.09</v>
      </c>
      <c r="R51" s="436">
        <v>0.2</v>
      </c>
      <c r="S51" s="388">
        <v>0.04</v>
      </c>
      <c r="T51" s="436">
        <v>0.05</v>
      </c>
      <c r="U51" s="444"/>
      <c r="V51" s="451"/>
      <c r="W51" s="458"/>
      <c r="X51" s="384"/>
      <c r="Y51" s="444"/>
      <c r="Z51" s="458"/>
      <c r="AA51" s="444"/>
      <c r="AB51" s="384"/>
      <c r="AC51" s="382"/>
      <c r="AD51" s="383"/>
      <c r="AE51" s="383"/>
      <c r="AF51" s="297"/>
      <c r="AG51" s="297"/>
      <c r="AH51" s="297"/>
      <c r="AI51" s="468"/>
      <c r="AJ51" s="471"/>
      <c r="AK51" s="472">
        <v>1</v>
      </c>
      <c r="AL51" s="473">
        <v>0</v>
      </c>
      <c r="AM51" s="474">
        <f t="shared" si="3"/>
        <v>0</v>
      </c>
      <c r="AN51" s="474">
        <f t="shared" si="4"/>
        <v>0</v>
      </c>
      <c r="AO51" s="474">
        <f t="shared" si="5"/>
        <v>0</v>
      </c>
      <c r="AP51" s="474">
        <f t="shared" si="6"/>
        <v>0</v>
      </c>
      <c r="AQ51" s="474">
        <f t="shared" si="7"/>
        <v>0</v>
      </c>
      <c r="AR51" s="475">
        <f t="shared" si="8"/>
        <v>0</v>
      </c>
      <c r="AS51" s="618">
        <f t="shared" si="15"/>
        <v>100000</v>
      </c>
      <c r="AT51" s="484">
        <f t="shared" si="9"/>
        <v>0</v>
      </c>
      <c r="AU51" s="487">
        <v>0</v>
      </c>
      <c r="AV51" s="637" t="s">
        <v>1762</v>
      </c>
      <c r="AW51" s="335"/>
      <c r="AX51" s="513">
        <f t="shared" si="10"/>
        <v>0</v>
      </c>
      <c r="AY51" s="513">
        <f t="shared" si="11"/>
        <v>0</v>
      </c>
      <c r="AZ51" s="513">
        <f t="shared" si="16"/>
        <v>0</v>
      </c>
      <c r="BA51" s="513">
        <f t="shared" si="12"/>
        <v>0</v>
      </c>
      <c r="BB51" s="513">
        <f t="shared" si="13"/>
        <v>0</v>
      </c>
      <c r="BC51" s="513">
        <f t="shared" si="14"/>
        <v>0</v>
      </c>
      <c r="BD51" s="292">
        <f>EXP(VLOOKUP(AV51,Vol_coef,3,FALSE)+G51)*'Data vol'!$J$7</f>
        <v>4.0035048340591801E-2</v>
      </c>
      <c r="BE51" s="291"/>
    </row>
    <row r="52" spans="1:57" ht="15.75">
      <c r="A52" s="272" t="s">
        <v>1589</v>
      </c>
      <c r="B52" s="272" t="s">
        <v>1416</v>
      </c>
      <c r="C52" s="272" t="s">
        <v>1417</v>
      </c>
      <c r="D52" s="288" t="s">
        <v>1741</v>
      </c>
      <c r="E52" s="272" t="s">
        <v>1528</v>
      </c>
      <c r="F52" s="396" t="s">
        <v>1497</v>
      </c>
      <c r="G52" s="274">
        <v>0</v>
      </c>
      <c r="H52" s="294" t="s">
        <v>1497</v>
      </c>
      <c r="I52" s="376"/>
      <c r="J52" s="387"/>
      <c r="K52" s="387"/>
      <c r="L52" s="381"/>
      <c r="M52" s="381"/>
      <c r="N52" s="380">
        <v>0.06</v>
      </c>
      <c r="O52" s="385"/>
      <c r="P52" s="436">
        <f t="shared" si="2"/>
        <v>5.7597897099564491E-2</v>
      </c>
      <c r="Q52" s="388">
        <v>0.05</v>
      </c>
      <c r="R52" s="436">
        <v>0.12</v>
      </c>
      <c r="S52" s="388">
        <v>0.08</v>
      </c>
      <c r="T52" s="436">
        <v>0.1</v>
      </c>
      <c r="U52" s="444"/>
      <c r="V52" s="451"/>
      <c r="W52" s="458"/>
      <c r="X52" s="384"/>
      <c r="Y52" s="444"/>
      <c r="Z52" s="458"/>
      <c r="AA52" s="444"/>
      <c r="AB52" s="384"/>
      <c r="AC52" s="382"/>
      <c r="AD52" s="383"/>
      <c r="AE52" s="383"/>
      <c r="AF52" s="297"/>
      <c r="AG52" s="297"/>
      <c r="AH52" s="297"/>
      <c r="AI52" s="468"/>
      <c r="AJ52" s="471"/>
      <c r="AK52" s="472">
        <v>1</v>
      </c>
      <c r="AL52" s="473">
        <v>0</v>
      </c>
      <c r="AM52" s="474">
        <f t="shared" si="3"/>
        <v>0</v>
      </c>
      <c r="AN52" s="474">
        <f t="shared" si="4"/>
        <v>0</v>
      </c>
      <c r="AO52" s="474">
        <f t="shared" si="5"/>
        <v>0</v>
      </c>
      <c r="AP52" s="474">
        <f t="shared" si="6"/>
        <v>0</v>
      </c>
      <c r="AQ52" s="474">
        <f t="shared" si="7"/>
        <v>0</v>
      </c>
      <c r="AR52" s="475">
        <f t="shared" si="8"/>
        <v>0</v>
      </c>
      <c r="AS52" s="618">
        <f t="shared" si="15"/>
        <v>100000</v>
      </c>
      <c r="AT52" s="484">
        <f t="shared" si="9"/>
        <v>0</v>
      </c>
      <c r="AU52" s="487">
        <v>0</v>
      </c>
      <c r="AV52" s="637" t="s">
        <v>1762</v>
      </c>
      <c r="AW52" s="335"/>
      <c r="AX52" s="513">
        <f t="shared" si="10"/>
        <v>0</v>
      </c>
      <c r="AY52" s="513">
        <f t="shared" si="11"/>
        <v>0</v>
      </c>
      <c r="AZ52" s="513">
        <f t="shared" si="16"/>
        <v>0</v>
      </c>
      <c r="BA52" s="513">
        <f t="shared" si="12"/>
        <v>0</v>
      </c>
      <c r="BB52" s="513">
        <f t="shared" si="13"/>
        <v>0</v>
      </c>
      <c r="BC52" s="513">
        <f t="shared" si="14"/>
        <v>0</v>
      </c>
      <c r="BD52" s="292">
        <f>EXP(VLOOKUP(AV52,Vol_coef,3,FALSE)+G52)*'Data vol'!$J$7</f>
        <v>4.0035048340591801E-2</v>
      </c>
      <c r="BE52" s="291"/>
    </row>
    <row r="53" spans="1:57" ht="15.75">
      <c r="A53" s="272" t="s">
        <v>1588</v>
      </c>
      <c r="B53" s="272" t="s">
        <v>1418</v>
      </c>
      <c r="C53" s="272" t="s">
        <v>1419</v>
      </c>
      <c r="D53" s="288" t="s">
        <v>1741</v>
      </c>
      <c r="E53" s="272" t="s">
        <v>1528</v>
      </c>
      <c r="F53" s="396" t="s">
        <v>1497</v>
      </c>
      <c r="G53" s="274">
        <v>0</v>
      </c>
      <c r="H53" s="294" t="s">
        <v>1497</v>
      </c>
      <c r="I53" s="376"/>
      <c r="J53" s="387"/>
      <c r="K53" s="387"/>
      <c r="L53" s="381"/>
      <c r="M53" s="381"/>
      <c r="N53" s="380">
        <v>0.06</v>
      </c>
      <c r="O53" s="385"/>
      <c r="P53" s="436">
        <f t="shared" si="2"/>
        <v>5.7597897099564491E-2</v>
      </c>
      <c r="Q53" s="388">
        <v>7.0000000000000007E-2</v>
      </c>
      <c r="R53" s="436">
        <v>0.16</v>
      </c>
      <c r="S53" s="388">
        <v>0.08</v>
      </c>
      <c r="T53" s="436">
        <v>0.1</v>
      </c>
      <c r="U53" s="444"/>
      <c r="V53" s="451"/>
      <c r="W53" s="458"/>
      <c r="X53" s="384"/>
      <c r="Y53" s="444"/>
      <c r="Z53" s="458"/>
      <c r="AA53" s="444"/>
      <c r="AB53" s="384"/>
      <c r="AC53" s="382"/>
      <c r="AD53" s="383"/>
      <c r="AE53" s="383"/>
      <c r="AF53" s="297"/>
      <c r="AG53" s="297"/>
      <c r="AH53" s="297"/>
      <c r="AI53" s="468"/>
      <c r="AJ53" s="471"/>
      <c r="AK53" s="472">
        <v>1</v>
      </c>
      <c r="AL53" s="473">
        <v>0</v>
      </c>
      <c r="AM53" s="474">
        <f t="shared" si="3"/>
        <v>0</v>
      </c>
      <c r="AN53" s="474">
        <f t="shared" si="4"/>
        <v>0</v>
      </c>
      <c r="AO53" s="474">
        <f t="shared" si="5"/>
        <v>0</v>
      </c>
      <c r="AP53" s="474">
        <f t="shared" si="6"/>
        <v>0</v>
      </c>
      <c r="AQ53" s="474">
        <f t="shared" si="7"/>
        <v>0</v>
      </c>
      <c r="AR53" s="475">
        <f t="shared" si="8"/>
        <v>0</v>
      </c>
      <c r="AS53" s="618">
        <f t="shared" si="15"/>
        <v>100000</v>
      </c>
      <c r="AT53" s="484">
        <f t="shared" si="9"/>
        <v>0</v>
      </c>
      <c r="AU53" s="487">
        <v>0</v>
      </c>
      <c r="AV53" s="637" t="s">
        <v>1762</v>
      </c>
      <c r="AW53" s="335"/>
      <c r="AX53" s="513">
        <f t="shared" si="10"/>
        <v>0</v>
      </c>
      <c r="AY53" s="513">
        <f t="shared" si="11"/>
        <v>0</v>
      </c>
      <c r="AZ53" s="513">
        <f t="shared" si="16"/>
        <v>0</v>
      </c>
      <c r="BA53" s="513">
        <f t="shared" si="12"/>
        <v>0</v>
      </c>
      <c r="BB53" s="513">
        <f t="shared" si="13"/>
        <v>0</v>
      </c>
      <c r="BC53" s="513">
        <f t="shared" si="14"/>
        <v>0</v>
      </c>
      <c r="BD53" s="292">
        <f>EXP(VLOOKUP(AV53,Vol_coef,3,FALSE)+G53)*'Data vol'!$J$7</f>
        <v>4.0035048340591801E-2</v>
      </c>
      <c r="BE53" s="291"/>
    </row>
    <row r="54" spans="1:57" ht="15.75">
      <c r="A54" s="272" t="s">
        <v>1587</v>
      </c>
      <c r="B54" s="272" t="s">
        <v>1420</v>
      </c>
      <c r="C54" s="272" t="s">
        <v>1421</v>
      </c>
      <c r="D54" s="288" t="s">
        <v>1741</v>
      </c>
      <c r="E54" s="272" t="s">
        <v>1528</v>
      </c>
      <c r="F54" s="396" t="s">
        <v>1497</v>
      </c>
      <c r="G54" s="274">
        <v>0</v>
      </c>
      <c r="H54" s="294" t="s">
        <v>1497</v>
      </c>
      <c r="I54" s="376"/>
      <c r="J54" s="387"/>
      <c r="K54" s="387"/>
      <c r="L54" s="381"/>
      <c r="M54" s="381"/>
      <c r="N54" s="380">
        <v>0.1</v>
      </c>
      <c r="O54" s="385"/>
      <c r="P54" s="436">
        <f t="shared" si="2"/>
        <v>9.5996495165940832E-2</v>
      </c>
      <c r="Q54" s="388">
        <v>0.09</v>
      </c>
      <c r="R54" s="436">
        <v>0.2</v>
      </c>
      <c r="S54" s="388">
        <v>0</v>
      </c>
      <c r="T54" s="436">
        <v>0</v>
      </c>
      <c r="U54" s="444"/>
      <c r="V54" s="451"/>
      <c r="W54" s="458"/>
      <c r="X54" s="384"/>
      <c r="Y54" s="444"/>
      <c r="Z54" s="458"/>
      <c r="AA54" s="444"/>
      <c r="AB54" s="384"/>
      <c r="AC54" s="382"/>
      <c r="AD54" s="383"/>
      <c r="AE54" s="383"/>
      <c r="AF54" s="297"/>
      <c r="AG54" s="297"/>
      <c r="AH54" s="297"/>
      <c r="AI54" s="468"/>
      <c r="AJ54" s="471"/>
      <c r="AK54" s="472">
        <v>1</v>
      </c>
      <c r="AL54" s="473">
        <v>0</v>
      </c>
      <c r="AM54" s="474">
        <f t="shared" si="3"/>
        <v>0</v>
      </c>
      <c r="AN54" s="474">
        <f t="shared" si="4"/>
        <v>0</v>
      </c>
      <c r="AO54" s="474">
        <f t="shared" si="5"/>
        <v>0</v>
      </c>
      <c r="AP54" s="474">
        <f t="shared" si="6"/>
        <v>0</v>
      </c>
      <c r="AQ54" s="474">
        <f t="shared" si="7"/>
        <v>0</v>
      </c>
      <c r="AR54" s="475">
        <f t="shared" si="8"/>
        <v>0</v>
      </c>
      <c r="AS54" s="618">
        <f t="shared" si="15"/>
        <v>100000</v>
      </c>
      <c r="AT54" s="484">
        <f t="shared" si="9"/>
        <v>0</v>
      </c>
      <c r="AU54" s="487">
        <v>0</v>
      </c>
      <c r="AV54" s="637" t="s">
        <v>1762</v>
      </c>
      <c r="AW54" s="335"/>
      <c r="AX54" s="513">
        <f t="shared" si="10"/>
        <v>0</v>
      </c>
      <c r="AY54" s="513">
        <f t="shared" si="11"/>
        <v>0</v>
      </c>
      <c r="AZ54" s="513">
        <f t="shared" si="16"/>
        <v>0</v>
      </c>
      <c r="BA54" s="513">
        <f t="shared" si="12"/>
        <v>0</v>
      </c>
      <c r="BB54" s="513">
        <f t="shared" si="13"/>
        <v>0</v>
      </c>
      <c r="BC54" s="513">
        <f t="shared" si="14"/>
        <v>0</v>
      </c>
      <c r="BD54" s="292">
        <f>EXP(VLOOKUP(AV54,Vol_coef,3,FALSE)+G54)*'Data vol'!$J$7</f>
        <v>4.0035048340591801E-2</v>
      </c>
      <c r="BE54" s="291"/>
    </row>
    <row r="55" spans="1:57" ht="15.75">
      <c r="A55" s="272" t="s">
        <v>1586</v>
      </c>
      <c r="B55" s="272" t="s">
        <v>1422</v>
      </c>
      <c r="C55" s="272" t="s">
        <v>1423</v>
      </c>
      <c r="D55" s="288" t="s">
        <v>1741</v>
      </c>
      <c r="E55" s="272" t="s">
        <v>1528</v>
      </c>
      <c r="F55" s="396" t="s">
        <v>1497</v>
      </c>
      <c r="G55" s="274">
        <v>0</v>
      </c>
      <c r="H55" s="294" t="s">
        <v>1497</v>
      </c>
      <c r="I55" s="376"/>
      <c r="J55" s="387"/>
      <c r="K55" s="387"/>
      <c r="L55" s="381"/>
      <c r="M55" s="381"/>
      <c r="N55" s="380">
        <v>7.0000000000000007E-2</v>
      </c>
      <c r="O55" s="385"/>
      <c r="P55" s="436">
        <f t="shared" si="2"/>
        <v>6.7197546616158579E-2</v>
      </c>
      <c r="Q55" s="388">
        <v>7.0000000000000007E-2</v>
      </c>
      <c r="R55" s="436">
        <v>0.15</v>
      </c>
      <c r="S55" s="388">
        <v>0.05</v>
      </c>
      <c r="T55" s="436">
        <v>0.06</v>
      </c>
      <c r="U55" s="444"/>
      <c r="V55" s="451"/>
      <c r="W55" s="459">
        <v>0.05</v>
      </c>
      <c r="X55" s="384"/>
      <c r="Y55" s="444"/>
      <c r="Z55" s="458"/>
      <c r="AA55" s="444"/>
      <c r="AB55" s="384"/>
      <c r="AC55" s="382"/>
      <c r="AD55" s="383"/>
      <c r="AE55" s="383"/>
      <c r="AF55" s="297"/>
      <c r="AG55" s="297"/>
      <c r="AH55" s="297"/>
      <c r="AI55" s="468"/>
      <c r="AJ55" s="471"/>
      <c r="AK55" s="472">
        <v>1</v>
      </c>
      <c r="AL55" s="473">
        <v>0</v>
      </c>
      <c r="AM55" s="474">
        <f t="shared" si="3"/>
        <v>0</v>
      </c>
      <c r="AN55" s="474">
        <f t="shared" si="4"/>
        <v>0</v>
      </c>
      <c r="AO55" s="474">
        <f t="shared" si="5"/>
        <v>0</v>
      </c>
      <c r="AP55" s="474">
        <f t="shared" si="6"/>
        <v>0</v>
      </c>
      <c r="AQ55" s="474">
        <f t="shared" si="7"/>
        <v>0</v>
      </c>
      <c r="AR55" s="475">
        <f t="shared" si="8"/>
        <v>0</v>
      </c>
      <c r="AS55" s="618">
        <f t="shared" si="15"/>
        <v>100000</v>
      </c>
      <c r="AT55" s="484">
        <f t="shared" si="9"/>
        <v>0</v>
      </c>
      <c r="AU55" s="487">
        <v>0</v>
      </c>
      <c r="AV55" s="637" t="s">
        <v>1762</v>
      </c>
      <c r="AW55" s="335"/>
      <c r="AX55" s="513">
        <f t="shared" si="10"/>
        <v>0</v>
      </c>
      <c r="AY55" s="513">
        <f t="shared" si="11"/>
        <v>0</v>
      </c>
      <c r="AZ55" s="513">
        <f>$AU55*$P55</f>
        <v>0</v>
      </c>
      <c r="BA55" s="513">
        <f t="shared" si="12"/>
        <v>0</v>
      </c>
      <c r="BB55" s="513">
        <f t="shared" si="13"/>
        <v>0</v>
      </c>
      <c r="BC55" s="513">
        <f t="shared" si="14"/>
        <v>0</v>
      </c>
      <c r="BD55" s="292">
        <f>EXP(VLOOKUP(AV55,Vol_coef,3,FALSE)+G55)*'Data vol'!$J$7</f>
        <v>4.0035048340591801E-2</v>
      </c>
      <c r="BE55" s="291"/>
    </row>
    <row r="56" spans="1:57" ht="15.75">
      <c r="A56" s="272" t="s">
        <v>1585</v>
      </c>
      <c r="B56" s="272" t="s">
        <v>1424</v>
      </c>
      <c r="C56" s="272" t="s">
        <v>1425</v>
      </c>
      <c r="D56" s="288" t="s">
        <v>1741</v>
      </c>
      <c r="E56" s="272" t="s">
        <v>1528</v>
      </c>
      <c r="F56" s="396" t="s">
        <v>1497</v>
      </c>
      <c r="G56" s="274">
        <v>0</v>
      </c>
      <c r="H56" s="294" t="s">
        <v>1497</v>
      </c>
      <c r="I56" s="376"/>
      <c r="J56" s="387"/>
      <c r="K56" s="387"/>
      <c r="L56" s="381"/>
      <c r="M56" s="381"/>
      <c r="N56" s="380">
        <v>0.08</v>
      </c>
      <c r="O56" s="385"/>
      <c r="P56" s="436">
        <f t="shared" si="2"/>
        <v>7.6797196132752654E-2</v>
      </c>
      <c r="Q56" s="388">
        <v>0.03</v>
      </c>
      <c r="R56" s="436">
        <v>0.08</v>
      </c>
      <c r="S56" s="388">
        <v>0.08</v>
      </c>
      <c r="T56" s="436">
        <v>0.1</v>
      </c>
      <c r="U56" s="444"/>
      <c r="V56" s="451"/>
      <c r="W56" s="459">
        <v>0.05</v>
      </c>
      <c r="X56" s="384"/>
      <c r="Y56" s="444"/>
      <c r="Z56" s="458"/>
      <c r="AA56" s="444"/>
      <c r="AB56" s="384"/>
      <c r="AC56" s="382"/>
      <c r="AD56" s="383"/>
      <c r="AE56" s="383"/>
      <c r="AF56" s="297"/>
      <c r="AG56" s="297"/>
      <c r="AH56" s="297"/>
      <c r="AI56" s="468"/>
      <c r="AJ56" s="471"/>
      <c r="AK56" s="472">
        <v>1</v>
      </c>
      <c r="AL56" s="473">
        <v>0</v>
      </c>
      <c r="AM56" s="474">
        <f t="shared" si="3"/>
        <v>0</v>
      </c>
      <c r="AN56" s="474">
        <f t="shared" si="4"/>
        <v>0</v>
      </c>
      <c r="AO56" s="474">
        <f t="shared" si="5"/>
        <v>0</v>
      </c>
      <c r="AP56" s="474">
        <f t="shared" si="6"/>
        <v>0</v>
      </c>
      <c r="AQ56" s="474">
        <f t="shared" si="7"/>
        <v>0</v>
      </c>
      <c r="AR56" s="475">
        <f t="shared" si="8"/>
        <v>0</v>
      </c>
      <c r="AS56" s="618">
        <f t="shared" si="15"/>
        <v>100000</v>
      </c>
      <c r="AT56" s="484">
        <f t="shared" si="9"/>
        <v>0</v>
      </c>
      <c r="AU56" s="487">
        <v>0</v>
      </c>
      <c r="AV56" s="637" t="s">
        <v>1762</v>
      </c>
      <c r="AW56" s="335"/>
      <c r="AX56" s="513">
        <f t="shared" si="10"/>
        <v>0</v>
      </c>
      <c r="AY56" s="513">
        <f t="shared" si="11"/>
        <v>0</v>
      </c>
      <c r="AZ56" s="513">
        <f t="shared" si="16"/>
        <v>0</v>
      </c>
      <c r="BA56" s="513">
        <f t="shared" si="12"/>
        <v>0</v>
      </c>
      <c r="BB56" s="513">
        <f t="shared" si="13"/>
        <v>0</v>
      </c>
      <c r="BC56" s="513">
        <f t="shared" si="14"/>
        <v>0</v>
      </c>
      <c r="BD56" s="292">
        <f>EXP(VLOOKUP(AV56,Vol_coef,3,FALSE)+G56)*'Data vol'!$J$7</f>
        <v>4.0035048340591801E-2</v>
      </c>
      <c r="BE56" s="291"/>
    </row>
    <row r="57" spans="1:57" ht="15.75">
      <c r="A57" s="272" t="s">
        <v>1584</v>
      </c>
      <c r="B57" s="272" t="s">
        <v>1426</v>
      </c>
      <c r="C57" s="272" t="s">
        <v>1427</v>
      </c>
      <c r="D57" s="288" t="s">
        <v>1741</v>
      </c>
      <c r="E57" s="272" t="s">
        <v>1528</v>
      </c>
      <c r="F57" s="396" t="s">
        <v>1497</v>
      </c>
      <c r="G57" s="274">
        <v>0</v>
      </c>
      <c r="H57" s="294">
        <v>242</v>
      </c>
      <c r="I57" s="376"/>
      <c r="J57" s="387"/>
      <c r="K57" s="387"/>
      <c r="L57" s="381"/>
      <c r="M57" s="381"/>
      <c r="N57" s="380">
        <v>0</v>
      </c>
      <c r="O57" s="385"/>
      <c r="P57" s="436">
        <f t="shared" si="2"/>
        <v>0</v>
      </c>
      <c r="Q57" s="388">
        <v>0.08</v>
      </c>
      <c r="R57" s="436">
        <v>0.18</v>
      </c>
      <c r="S57" s="388">
        <v>0</v>
      </c>
      <c r="T57" s="436">
        <v>0</v>
      </c>
      <c r="U57" s="444"/>
      <c r="V57" s="451"/>
      <c r="W57" s="458"/>
      <c r="X57" s="384"/>
      <c r="Y57" s="444"/>
      <c r="Z57" s="458"/>
      <c r="AA57" s="444"/>
      <c r="AB57" s="384"/>
      <c r="AC57" s="382"/>
      <c r="AD57" s="383"/>
      <c r="AE57" s="383"/>
      <c r="AF57" s="297"/>
      <c r="AG57" s="297"/>
      <c r="AH57" s="297"/>
      <c r="AI57" s="468"/>
      <c r="AJ57" s="471"/>
      <c r="AK57" s="472">
        <v>1</v>
      </c>
      <c r="AL57" s="473">
        <v>0</v>
      </c>
      <c r="AM57" s="474">
        <f t="shared" si="3"/>
        <v>0</v>
      </c>
      <c r="AN57" s="474">
        <f t="shared" si="4"/>
        <v>0</v>
      </c>
      <c r="AO57" s="474">
        <f t="shared" si="5"/>
        <v>0</v>
      </c>
      <c r="AP57" s="474">
        <f t="shared" si="6"/>
        <v>0</v>
      </c>
      <c r="AQ57" s="474">
        <f t="shared" si="7"/>
        <v>0</v>
      </c>
      <c r="AR57" s="475">
        <f t="shared" si="8"/>
        <v>0</v>
      </c>
      <c r="AS57" s="618">
        <f t="shared" si="15"/>
        <v>242</v>
      </c>
      <c r="AT57" s="484">
        <f t="shared" si="9"/>
        <v>0</v>
      </c>
      <c r="AU57" s="487">
        <v>0</v>
      </c>
      <c r="AV57" s="637" t="s">
        <v>1762</v>
      </c>
      <c r="AW57" s="335"/>
      <c r="AX57" s="513">
        <f t="shared" si="10"/>
        <v>0</v>
      </c>
      <c r="AY57" s="513">
        <f t="shared" si="11"/>
        <v>0</v>
      </c>
      <c r="AZ57" s="513">
        <f t="shared" si="16"/>
        <v>0</v>
      </c>
      <c r="BA57" s="513">
        <f t="shared" si="12"/>
        <v>0</v>
      </c>
      <c r="BB57" s="513">
        <f t="shared" si="13"/>
        <v>0</v>
      </c>
      <c r="BC57" s="513">
        <f t="shared" si="14"/>
        <v>0</v>
      </c>
      <c r="BD57" s="292">
        <f>EXP(VLOOKUP(AV57,Vol_coef,3,FALSE)+G57)*'Data vol'!$J$7</f>
        <v>4.0035048340591801E-2</v>
      </c>
      <c r="BE57" s="291"/>
    </row>
    <row r="58" spans="1:57" ht="15.75">
      <c r="A58" s="272" t="s">
        <v>1583</v>
      </c>
      <c r="B58" s="272" t="s">
        <v>1428</v>
      </c>
      <c r="C58" s="272" t="s">
        <v>1429</v>
      </c>
      <c r="D58" s="288" t="s">
        <v>1741</v>
      </c>
      <c r="E58" s="272" t="s">
        <v>1528</v>
      </c>
      <c r="F58" s="396" t="s">
        <v>1497</v>
      </c>
      <c r="G58" s="274">
        <v>0</v>
      </c>
      <c r="H58" s="294">
        <v>320</v>
      </c>
      <c r="I58" s="376"/>
      <c r="J58" s="387"/>
      <c r="K58" s="387"/>
      <c r="L58" s="381"/>
      <c r="M58" s="381"/>
      <c r="N58" s="380">
        <v>0</v>
      </c>
      <c r="O58" s="385"/>
      <c r="P58" s="436">
        <f t="shared" si="2"/>
        <v>0</v>
      </c>
      <c r="Q58" s="388">
        <v>0.2</v>
      </c>
      <c r="R58" s="436">
        <v>0.45</v>
      </c>
      <c r="S58" s="388">
        <v>0</v>
      </c>
      <c r="T58" s="436">
        <v>0</v>
      </c>
      <c r="U58" s="444"/>
      <c r="V58" s="451"/>
      <c r="W58" s="458"/>
      <c r="X58" s="384"/>
      <c r="Y58" s="444"/>
      <c r="Z58" s="458"/>
      <c r="AA58" s="444"/>
      <c r="AB58" s="384"/>
      <c r="AC58" s="382"/>
      <c r="AD58" s="383"/>
      <c r="AE58" s="383"/>
      <c r="AF58" s="297"/>
      <c r="AG58" s="297"/>
      <c r="AH58" s="297"/>
      <c r="AI58" s="468"/>
      <c r="AJ58" s="471"/>
      <c r="AK58" s="472">
        <v>1</v>
      </c>
      <c r="AL58" s="473">
        <v>0</v>
      </c>
      <c r="AM58" s="474">
        <f t="shared" si="3"/>
        <v>0</v>
      </c>
      <c r="AN58" s="474">
        <f t="shared" si="4"/>
        <v>0</v>
      </c>
      <c r="AO58" s="474">
        <f t="shared" si="5"/>
        <v>0</v>
      </c>
      <c r="AP58" s="474">
        <f t="shared" si="6"/>
        <v>0</v>
      </c>
      <c r="AQ58" s="474">
        <f t="shared" si="7"/>
        <v>0</v>
      </c>
      <c r="AR58" s="475">
        <f t="shared" si="8"/>
        <v>0</v>
      </c>
      <c r="AS58" s="618">
        <f t="shared" si="15"/>
        <v>320</v>
      </c>
      <c r="AT58" s="484">
        <f t="shared" si="9"/>
        <v>0</v>
      </c>
      <c r="AU58" s="487">
        <v>0</v>
      </c>
      <c r="AV58" s="637" t="s">
        <v>1762</v>
      </c>
      <c r="AW58" s="335"/>
      <c r="AX58" s="513">
        <f t="shared" si="10"/>
        <v>0</v>
      </c>
      <c r="AY58" s="513">
        <f t="shared" si="11"/>
        <v>0</v>
      </c>
      <c r="AZ58" s="513">
        <f t="shared" si="16"/>
        <v>0</v>
      </c>
      <c r="BA58" s="513">
        <f t="shared" si="12"/>
        <v>0</v>
      </c>
      <c r="BB58" s="513">
        <f t="shared" si="13"/>
        <v>0</v>
      </c>
      <c r="BC58" s="513">
        <f t="shared" si="14"/>
        <v>0</v>
      </c>
      <c r="BD58" s="292">
        <f>EXP(VLOOKUP(AV58,Vol_coef,3,FALSE)+G58)*'Data vol'!$J$7</f>
        <v>4.0035048340591801E-2</v>
      </c>
      <c r="BE58" s="291"/>
    </row>
    <row r="59" spans="1:57" ht="15.75">
      <c r="A59" s="272" t="s">
        <v>1582</v>
      </c>
      <c r="B59" s="272" t="s">
        <v>1430</v>
      </c>
      <c r="C59" s="272" t="s">
        <v>1431</v>
      </c>
      <c r="D59" s="288" t="s">
        <v>1741</v>
      </c>
      <c r="E59" s="272" t="s">
        <v>1528</v>
      </c>
      <c r="F59" s="396" t="s">
        <v>1497</v>
      </c>
      <c r="G59" s="274">
        <v>0</v>
      </c>
      <c r="H59" s="294">
        <v>641</v>
      </c>
      <c r="I59" s="376"/>
      <c r="J59" s="387"/>
      <c r="K59" s="387"/>
      <c r="L59" s="381"/>
      <c r="M59" s="381"/>
      <c r="N59" s="381"/>
      <c r="O59" s="419"/>
      <c r="P59" s="436">
        <f t="shared" si="2"/>
        <v>0</v>
      </c>
      <c r="Q59" s="388">
        <v>0.24</v>
      </c>
      <c r="R59" s="436">
        <v>0.54</v>
      </c>
      <c r="S59" s="388">
        <v>0</v>
      </c>
      <c r="T59" s="444"/>
      <c r="U59" s="444"/>
      <c r="V59" s="451"/>
      <c r="W59" s="458"/>
      <c r="X59" s="384"/>
      <c r="Y59" s="444"/>
      <c r="Z59" s="458"/>
      <c r="AA59" s="444"/>
      <c r="AB59" s="384"/>
      <c r="AC59" s="382"/>
      <c r="AD59" s="383"/>
      <c r="AE59" s="383"/>
      <c r="AF59" s="297"/>
      <c r="AG59" s="297"/>
      <c r="AH59" s="297"/>
      <c r="AI59" s="468"/>
      <c r="AJ59" s="471"/>
      <c r="AK59" s="472">
        <v>1</v>
      </c>
      <c r="AL59" s="473">
        <v>0</v>
      </c>
      <c r="AM59" s="474">
        <f t="shared" si="3"/>
        <v>0</v>
      </c>
      <c r="AN59" s="474">
        <f t="shared" si="4"/>
        <v>0</v>
      </c>
      <c r="AO59" s="474">
        <f t="shared" si="5"/>
        <v>0</v>
      </c>
      <c r="AP59" s="474">
        <f t="shared" si="6"/>
        <v>0</v>
      </c>
      <c r="AQ59" s="474">
        <f t="shared" si="7"/>
        <v>0</v>
      </c>
      <c r="AR59" s="475">
        <f t="shared" si="8"/>
        <v>0</v>
      </c>
      <c r="AS59" s="618">
        <f t="shared" si="15"/>
        <v>641</v>
      </c>
      <c r="AT59" s="484">
        <f t="shared" si="9"/>
        <v>0</v>
      </c>
      <c r="AU59" s="487">
        <v>0</v>
      </c>
      <c r="AV59" s="637" t="s">
        <v>1762</v>
      </c>
      <c r="AW59" s="335"/>
      <c r="AX59" s="513">
        <f t="shared" si="10"/>
        <v>0</v>
      </c>
      <c r="AY59" s="513">
        <f t="shared" si="11"/>
        <v>0</v>
      </c>
      <c r="AZ59" s="513">
        <f t="shared" si="16"/>
        <v>0</v>
      </c>
      <c r="BA59" s="513">
        <f t="shared" si="12"/>
        <v>0</v>
      </c>
      <c r="BB59" s="513">
        <f t="shared" si="13"/>
        <v>0</v>
      </c>
      <c r="BC59" s="513">
        <f t="shared" si="14"/>
        <v>0</v>
      </c>
      <c r="BD59" s="292">
        <f>EXP(VLOOKUP(AV59,Vol_coef,3,FALSE)+G59)*'Data vol'!$J$7</f>
        <v>4.0035048340591801E-2</v>
      </c>
      <c r="BE59" s="291"/>
    </row>
    <row r="60" spans="1:57" ht="15.75">
      <c r="A60" s="272" t="s">
        <v>1581</v>
      </c>
      <c r="B60" s="272" t="s">
        <v>1432</v>
      </c>
      <c r="C60" s="272" t="s">
        <v>1433</v>
      </c>
      <c r="D60" s="288" t="s">
        <v>1741</v>
      </c>
      <c r="E60" s="272" t="s">
        <v>1528</v>
      </c>
      <c r="F60" s="396" t="s">
        <v>1332</v>
      </c>
      <c r="G60" s="273">
        <v>0.66600000000000004</v>
      </c>
      <c r="H60" s="294">
        <v>345</v>
      </c>
      <c r="I60" s="376"/>
      <c r="J60" s="387" t="s">
        <v>1579</v>
      </c>
      <c r="K60" s="387"/>
      <c r="L60" s="381"/>
      <c r="M60" s="381"/>
      <c r="N60" s="387" t="s">
        <v>1579</v>
      </c>
      <c r="O60" s="419"/>
      <c r="P60" s="436">
        <f t="shared" si="2"/>
        <v>0.3953345866201694</v>
      </c>
      <c r="Q60" s="388">
        <v>0</v>
      </c>
      <c r="R60" s="440"/>
      <c r="S60" s="379">
        <v>0</v>
      </c>
      <c r="T60" s="444"/>
      <c r="U60" s="444"/>
      <c r="V60" s="451"/>
      <c r="W60" s="458"/>
      <c r="X60" s="384"/>
      <c r="Y60" s="444"/>
      <c r="Z60" s="458"/>
      <c r="AA60" s="444"/>
      <c r="AB60" s="384"/>
      <c r="AC60" s="382"/>
      <c r="AD60" s="383"/>
      <c r="AE60" s="383"/>
      <c r="AF60" s="297"/>
      <c r="AG60" s="297"/>
      <c r="AH60" s="297"/>
      <c r="AI60" s="468"/>
      <c r="AJ60" s="471"/>
      <c r="AK60" s="472">
        <v>1</v>
      </c>
      <c r="AL60" s="473">
        <v>0</v>
      </c>
      <c r="AM60" s="474">
        <f t="shared" si="3"/>
        <v>0</v>
      </c>
      <c r="AN60" s="474">
        <f t="shared" si="4"/>
        <v>0</v>
      </c>
      <c r="AO60" s="474">
        <f t="shared" si="5"/>
        <v>0</v>
      </c>
      <c r="AP60" s="474">
        <f t="shared" si="6"/>
        <v>0</v>
      </c>
      <c r="AQ60" s="474">
        <f t="shared" si="7"/>
        <v>0</v>
      </c>
      <c r="AR60" s="475">
        <f t="shared" si="8"/>
        <v>0</v>
      </c>
      <c r="AS60" s="618">
        <f t="shared" si="15"/>
        <v>345</v>
      </c>
      <c r="AT60" s="484">
        <f t="shared" si="9"/>
        <v>0</v>
      </c>
      <c r="AU60" s="487">
        <v>0</v>
      </c>
      <c r="AV60" s="637" t="s">
        <v>1763</v>
      </c>
      <c r="AW60" s="335"/>
      <c r="AX60" s="513">
        <f t="shared" si="10"/>
        <v>0</v>
      </c>
      <c r="AY60" s="513">
        <f t="shared" si="11"/>
        <v>0</v>
      </c>
      <c r="AZ60" s="513">
        <f t="shared" si="16"/>
        <v>0</v>
      </c>
      <c r="BA60" s="513">
        <f t="shared" si="12"/>
        <v>0</v>
      </c>
      <c r="BB60" s="513">
        <f t="shared" si="13"/>
        <v>0</v>
      </c>
      <c r="BC60" s="513">
        <f t="shared" si="14"/>
        <v>0</v>
      </c>
      <c r="BD60" s="292">
        <f>EXP(VLOOKUP(AV60,Vol_coef,3,FALSE)+G60)*'Data vol'!$J$7</f>
        <v>0.1405769856083274</v>
      </c>
      <c r="BE60" s="291"/>
    </row>
    <row r="61" spans="1:57" ht="15.75">
      <c r="A61" s="272" t="s">
        <v>1580</v>
      </c>
      <c r="B61" s="272" t="s">
        <v>1434</v>
      </c>
      <c r="C61" s="272" t="s">
        <v>1435</v>
      </c>
      <c r="D61" s="288" t="s">
        <v>1741</v>
      </c>
      <c r="E61" s="272" t="s">
        <v>1528</v>
      </c>
      <c r="F61" s="396" t="s">
        <v>1332</v>
      </c>
      <c r="G61" s="273">
        <v>0.66600000000000004</v>
      </c>
      <c r="H61" s="294" t="s">
        <v>1497</v>
      </c>
      <c r="I61" s="376"/>
      <c r="J61" s="387" t="s">
        <v>1579</v>
      </c>
      <c r="K61" s="387"/>
      <c r="L61" s="381"/>
      <c r="M61" s="381"/>
      <c r="N61" s="387" t="s">
        <v>1579</v>
      </c>
      <c r="O61" s="419"/>
      <c r="P61" s="436">
        <f t="shared" si="2"/>
        <v>0.3953345866201694</v>
      </c>
      <c r="Q61" s="388">
        <v>0</v>
      </c>
      <c r="R61" s="440"/>
      <c r="S61" s="379">
        <v>0</v>
      </c>
      <c r="T61" s="444"/>
      <c r="U61" s="444"/>
      <c r="V61" s="451"/>
      <c r="W61" s="458"/>
      <c r="X61" s="384"/>
      <c r="Y61" s="444"/>
      <c r="Z61" s="458"/>
      <c r="AA61" s="444"/>
      <c r="AB61" s="384"/>
      <c r="AC61" s="382"/>
      <c r="AD61" s="383"/>
      <c r="AE61" s="383"/>
      <c r="AF61" s="297"/>
      <c r="AG61" s="297"/>
      <c r="AH61" s="297"/>
      <c r="AI61" s="468"/>
      <c r="AJ61" s="471"/>
      <c r="AK61" s="472">
        <v>1</v>
      </c>
      <c r="AL61" s="473">
        <v>0</v>
      </c>
      <c r="AM61" s="474">
        <f t="shared" si="3"/>
        <v>0</v>
      </c>
      <c r="AN61" s="474">
        <f t="shared" si="4"/>
        <v>0</v>
      </c>
      <c r="AO61" s="474">
        <f t="shared" si="5"/>
        <v>0</v>
      </c>
      <c r="AP61" s="474">
        <f t="shared" si="6"/>
        <v>0</v>
      </c>
      <c r="AQ61" s="474">
        <f t="shared" si="7"/>
        <v>0</v>
      </c>
      <c r="AR61" s="475">
        <f t="shared" si="8"/>
        <v>0</v>
      </c>
      <c r="AS61" s="618">
        <f t="shared" si="15"/>
        <v>100000</v>
      </c>
      <c r="AT61" s="484">
        <f t="shared" si="9"/>
        <v>0</v>
      </c>
      <c r="AU61" s="487">
        <v>0</v>
      </c>
      <c r="AV61" s="637" t="s">
        <v>1763</v>
      </c>
      <c r="AW61" s="335"/>
      <c r="AX61" s="513">
        <f t="shared" si="10"/>
        <v>0</v>
      </c>
      <c r="AY61" s="513">
        <f t="shared" si="11"/>
        <v>0</v>
      </c>
      <c r="AZ61" s="513">
        <f t="shared" si="16"/>
        <v>0</v>
      </c>
      <c r="BA61" s="513">
        <f t="shared" si="12"/>
        <v>0</v>
      </c>
      <c r="BB61" s="513">
        <f t="shared" si="13"/>
        <v>0</v>
      </c>
      <c r="BC61" s="513">
        <f t="shared" si="14"/>
        <v>0</v>
      </c>
      <c r="BD61" s="292">
        <f>EXP(VLOOKUP(AV61,Vol_coef,3,FALSE)+G61)*'Data vol'!$J$7</f>
        <v>0.1405769856083274</v>
      </c>
      <c r="BE61" s="291"/>
    </row>
    <row r="62" spans="1:57" ht="15.75">
      <c r="A62" s="272" t="s">
        <v>1578</v>
      </c>
      <c r="B62" s="272" t="s">
        <v>1436</v>
      </c>
      <c r="C62" s="272" t="s">
        <v>1437</v>
      </c>
      <c r="D62" s="288" t="s">
        <v>1741</v>
      </c>
      <c r="E62" s="272" t="s">
        <v>1528</v>
      </c>
      <c r="F62" s="396" t="s">
        <v>1332</v>
      </c>
      <c r="G62" s="273">
        <v>0.66600000000000004</v>
      </c>
      <c r="H62" s="294">
        <v>280</v>
      </c>
      <c r="I62" s="376"/>
      <c r="J62" s="387" t="s">
        <v>1577</v>
      </c>
      <c r="K62" s="387"/>
      <c r="L62" s="381"/>
      <c r="M62" s="381"/>
      <c r="N62" s="387" t="s">
        <v>1577</v>
      </c>
      <c r="O62" s="419"/>
      <c r="P62" s="436">
        <f t="shared" si="2"/>
        <v>0.34376920575666903</v>
      </c>
      <c r="Q62" s="388">
        <v>0</v>
      </c>
      <c r="R62" s="440"/>
      <c r="S62" s="379">
        <v>0</v>
      </c>
      <c r="T62" s="444"/>
      <c r="U62" s="444"/>
      <c r="V62" s="451"/>
      <c r="W62" s="459">
        <v>0.05</v>
      </c>
      <c r="X62" s="388">
        <v>0.14000000000000001</v>
      </c>
      <c r="Y62" s="444"/>
      <c r="Z62" s="458"/>
      <c r="AA62" s="444"/>
      <c r="AB62" s="384"/>
      <c r="AC62" s="382"/>
      <c r="AD62" s="383"/>
      <c r="AE62" s="383"/>
      <c r="AF62" s="297"/>
      <c r="AG62" s="297"/>
      <c r="AH62" s="297"/>
      <c r="AI62" s="468"/>
      <c r="AJ62" s="471"/>
      <c r="AK62" s="472">
        <v>1</v>
      </c>
      <c r="AL62" s="473">
        <v>0</v>
      </c>
      <c r="AM62" s="474">
        <f t="shared" si="3"/>
        <v>0</v>
      </c>
      <c r="AN62" s="474">
        <f t="shared" si="4"/>
        <v>0</v>
      </c>
      <c r="AO62" s="474">
        <f t="shared" si="5"/>
        <v>0</v>
      </c>
      <c r="AP62" s="474">
        <f t="shared" si="6"/>
        <v>0</v>
      </c>
      <c r="AQ62" s="474">
        <f t="shared" si="7"/>
        <v>0</v>
      </c>
      <c r="AR62" s="475">
        <f t="shared" si="8"/>
        <v>0</v>
      </c>
      <c r="AS62" s="618">
        <f t="shared" si="15"/>
        <v>280</v>
      </c>
      <c r="AT62" s="484">
        <f t="shared" si="9"/>
        <v>0</v>
      </c>
      <c r="AU62" s="487">
        <v>0</v>
      </c>
      <c r="AV62" s="637" t="s">
        <v>1763</v>
      </c>
      <c r="AW62" s="335"/>
      <c r="AX62" s="513">
        <f t="shared" si="10"/>
        <v>0</v>
      </c>
      <c r="AY62" s="513">
        <f t="shared" si="11"/>
        <v>0</v>
      </c>
      <c r="AZ62" s="513">
        <f t="shared" si="16"/>
        <v>0</v>
      </c>
      <c r="BA62" s="513">
        <f t="shared" si="12"/>
        <v>0</v>
      </c>
      <c r="BB62" s="513">
        <f t="shared" si="13"/>
        <v>0</v>
      </c>
      <c r="BC62" s="513">
        <f t="shared" si="14"/>
        <v>0</v>
      </c>
      <c r="BD62" s="292">
        <f>EXP(VLOOKUP(AV62,Vol_coef,3,FALSE)+G62)*'Data vol'!$J$7</f>
        <v>0.1405769856083274</v>
      </c>
      <c r="BE62" s="291"/>
    </row>
    <row r="63" spans="1:57" ht="15.75">
      <c r="A63" s="272" t="s">
        <v>1576</v>
      </c>
      <c r="B63" s="272" t="s">
        <v>1438</v>
      </c>
      <c r="C63" s="272" t="s">
        <v>1439</v>
      </c>
      <c r="D63" s="288" t="s">
        <v>1741</v>
      </c>
      <c r="E63" s="272" t="s">
        <v>1528</v>
      </c>
      <c r="F63" s="396" t="s">
        <v>1527</v>
      </c>
      <c r="G63" s="273">
        <v>0.42899999999999999</v>
      </c>
      <c r="H63" s="294">
        <v>290</v>
      </c>
      <c r="I63" s="376"/>
      <c r="J63" s="387"/>
      <c r="K63" s="387" t="s">
        <v>1575</v>
      </c>
      <c r="L63" s="387" t="s">
        <v>1574</v>
      </c>
      <c r="M63" s="381"/>
      <c r="N63" s="387" t="s">
        <v>1562</v>
      </c>
      <c r="O63" s="419"/>
      <c r="P63" s="436">
        <f t="shared" si="2"/>
        <v>0.23116235559540574</v>
      </c>
      <c r="Q63" s="388">
        <v>0</v>
      </c>
      <c r="R63" s="440"/>
      <c r="S63" s="379">
        <v>0</v>
      </c>
      <c r="T63" s="444"/>
      <c r="U63" s="444"/>
      <c r="V63" s="451"/>
      <c r="W63" s="459">
        <v>0.12</v>
      </c>
      <c r="X63" s="388">
        <v>0.37</v>
      </c>
      <c r="Y63" s="444"/>
      <c r="Z63" s="458"/>
      <c r="AA63" s="444"/>
      <c r="AB63" s="384"/>
      <c r="AC63" s="382"/>
      <c r="AD63" s="383"/>
      <c r="AE63" s="383"/>
      <c r="AF63" s="297"/>
      <c r="AG63" s="297"/>
      <c r="AH63" s="297"/>
      <c r="AI63" s="468"/>
      <c r="AJ63" s="471"/>
      <c r="AK63" s="472">
        <v>1</v>
      </c>
      <c r="AL63" s="473">
        <v>0</v>
      </c>
      <c r="AM63" s="474">
        <f t="shared" si="3"/>
        <v>0</v>
      </c>
      <c r="AN63" s="474">
        <f t="shared" si="4"/>
        <v>0</v>
      </c>
      <c r="AO63" s="474">
        <f t="shared" si="5"/>
        <v>0</v>
      </c>
      <c r="AP63" s="474">
        <f t="shared" si="6"/>
        <v>0</v>
      </c>
      <c r="AQ63" s="474">
        <f t="shared" si="7"/>
        <v>0</v>
      </c>
      <c r="AR63" s="475">
        <f t="shared" si="8"/>
        <v>0</v>
      </c>
      <c r="AS63" s="618">
        <f t="shared" si="15"/>
        <v>290</v>
      </c>
      <c r="AT63" s="484">
        <f t="shared" si="9"/>
        <v>0</v>
      </c>
      <c r="AU63" s="487">
        <v>0</v>
      </c>
      <c r="AV63" s="637" t="s">
        <v>1763</v>
      </c>
      <c r="AW63" s="335"/>
      <c r="AX63" s="513">
        <f t="shared" si="10"/>
        <v>0</v>
      </c>
      <c r="AY63" s="513">
        <f t="shared" si="11"/>
        <v>0</v>
      </c>
      <c r="AZ63" s="513">
        <f t="shared" si="16"/>
        <v>0</v>
      </c>
      <c r="BA63" s="513">
        <f t="shared" si="12"/>
        <v>0</v>
      </c>
      <c r="BB63" s="513">
        <f t="shared" si="13"/>
        <v>0</v>
      </c>
      <c r="BC63" s="513">
        <f t="shared" si="14"/>
        <v>0</v>
      </c>
      <c r="BD63" s="292">
        <f>EXP(VLOOKUP(AV63,Vol_coef,3,FALSE)+G63)*'Data vol'!$J$7</f>
        <v>0.11091401694074723</v>
      </c>
      <c r="BE63" s="291"/>
    </row>
    <row r="64" spans="1:57" ht="15.75">
      <c r="A64" s="272" t="s">
        <v>1573</v>
      </c>
      <c r="B64" s="272" t="s">
        <v>1440</v>
      </c>
      <c r="C64" s="272" t="s">
        <v>1441</v>
      </c>
      <c r="D64" s="288" t="s">
        <v>1741</v>
      </c>
      <c r="E64" s="272" t="s">
        <v>1528</v>
      </c>
      <c r="F64" s="396" t="s">
        <v>1527</v>
      </c>
      <c r="G64" s="273">
        <v>0.42899999999999999</v>
      </c>
      <c r="H64" s="294" t="s">
        <v>1497</v>
      </c>
      <c r="I64" s="376"/>
      <c r="J64" s="387"/>
      <c r="K64" s="387"/>
      <c r="L64" s="387" t="s">
        <v>1526</v>
      </c>
      <c r="M64" s="381"/>
      <c r="N64" s="387" t="s">
        <v>1526</v>
      </c>
      <c r="O64" s="419"/>
      <c r="P64" s="436">
        <f t="shared" si="2"/>
        <v>0.19708864017155009</v>
      </c>
      <c r="Q64" s="388">
        <v>0</v>
      </c>
      <c r="R64" s="440"/>
      <c r="S64" s="379">
        <v>0</v>
      </c>
      <c r="T64" s="444"/>
      <c r="U64" s="444"/>
      <c r="V64" s="451"/>
      <c r="W64" s="458"/>
      <c r="X64" s="384"/>
      <c r="Y64" s="444"/>
      <c r="Z64" s="458"/>
      <c r="AA64" s="444"/>
      <c r="AB64" s="384"/>
      <c r="AC64" s="382"/>
      <c r="AD64" s="383"/>
      <c r="AE64" s="383"/>
      <c r="AF64" s="297"/>
      <c r="AG64" s="297"/>
      <c r="AH64" s="297"/>
      <c r="AI64" s="468"/>
      <c r="AJ64" s="471" t="s">
        <v>1525</v>
      </c>
      <c r="AK64" s="472">
        <v>1</v>
      </c>
      <c r="AL64" s="473">
        <v>0</v>
      </c>
      <c r="AM64" s="474">
        <f t="shared" si="3"/>
        <v>0</v>
      </c>
      <c r="AN64" s="474">
        <f t="shared" si="4"/>
        <v>0</v>
      </c>
      <c r="AO64" s="474">
        <f t="shared" si="5"/>
        <v>0</v>
      </c>
      <c r="AP64" s="474">
        <f t="shared" si="6"/>
        <v>0</v>
      </c>
      <c r="AQ64" s="474">
        <f t="shared" si="7"/>
        <v>0</v>
      </c>
      <c r="AR64" s="475">
        <f t="shared" si="8"/>
        <v>0</v>
      </c>
      <c r="AS64" s="618">
        <f t="shared" si="15"/>
        <v>100000</v>
      </c>
      <c r="AT64" s="484">
        <f t="shared" si="9"/>
        <v>0</v>
      </c>
      <c r="AU64" s="487">
        <v>500</v>
      </c>
      <c r="AV64" s="650" t="s">
        <v>1762</v>
      </c>
      <c r="AW64" s="335"/>
      <c r="AX64" s="513">
        <f t="shared" si="10"/>
        <v>0</v>
      </c>
      <c r="AY64" s="513">
        <f t="shared" si="11"/>
        <v>105</v>
      </c>
      <c r="AZ64" s="513">
        <f t="shared" si="16"/>
        <v>98.544320085775041</v>
      </c>
      <c r="BA64" s="513">
        <f t="shared" si="12"/>
        <v>0</v>
      </c>
      <c r="BB64" s="513">
        <f t="shared" si="13"/>
        <v>0</v>
      </c>
      <c r="BC64" s="513">
        <f t="shared" si="14"/>
        <v>0</v>
      </c>
      <c r="BD64" s="292">
        <f>EXP(VLOOKUP(AV64,Vol_coef,3,FALSE)+G64)*'Data vol'!$J$7</f>
        <v>6.1482665849761524E-2</v>
      </c>
      <c r="BE64" s="291"/>
    </row>
    <row r="65" spans="1:58" ht="15.75">
      <c r="A65" s="272" t="s">
        <v>1572</v>
      </c>
      <c r="B65" s="272" t="s">
        <v>1442</v>
      </c>
      <c r="C65" s="272" t="s">
        <v>1443</v>
      </c>
      <c r="D65" s="288" t="s">
        <v>1741</v>
      </c>
      <c r="E65" s="272" t="s">
        <v>1528</v>
      </c>
      <c r="F65" s="396" t="s">
        <v>1556</v>
      </c>
      <c r="G65" s="273">
        <v>-0.748</v>
      </c>
      <c r="H65" s="294">
        <v>240</v>
      </c>
      <c r="I65" s="376"/>
      <c r="J65" s="387" t="s">
        <v>1571</v>
      </c>
      <c r="K65" s="387" t="s">
        <v>1570</v>
      </c>
      <c r="L65" s="387" t="s">
        <v>1570</v>
      </c>
      <c r="M65" s="381"/>
      <c r="N65" s="387" t="s">
        <v>1569</v>
      </c>
      <c r="O65" s="419"/>
      <c r="P65" s="436">
        <f t="shared" si="2"/>
        <v>0.30906114646505217</v>
      </c>
      <c r="Q65" s="388">
        <v>0</v>
      </c>
      <c r="R65" s="440"/>
      <c r="S65" s="379">
        <v>0</v>
      </c>
      <c r="T65" s="444"/>
      <c r="U65" s="444"/>
      <c r="V65" s="451"/>
      <c r="W65" s="458"/>
      <c r="X65" s="384"/>
      <c r="Y65" s="444"/>
      <c r="Z65" s="458"/>
      <c r="AA65" s="444"/>
      <c r="AB65" s="384"/>
      <c r="AC65" s="382"/>
      <c r="AD65" s="383"/>
      <c r="AE65" s="383"/>
      <c r="AF65" s="297"/>
      <c r="AG65" s="297"/>
      <c r="AH65" s="297"/>
      <c r="AI65" s="468"/>
      <c r="AJ65" s="471" t="s">
        <v>1566</v>
      </c>
      <c r="AK65" s="472">
        <v>1</v>
      </c>
      <c r="AL65" s="473">
        <v>0</v>
      </c>
      <c r="AM65" s="474">
        <f t="shared" si="3"/>
        <v>0</v>
      </c>
      <c r="AN65" s="474">
        <f t="shared" si="4"/>
        <v>0</v>
      </c>
      <c r="AO65" s="474">
        <f t="shared" si="5"/>
        <v>0</v>
      </c>
      <c r="AP65" s="474">
        <f t="shared" si="6"/>
        <v>0</v>
      </c>
      <c r="AQ65" s="474">
        <f t="shared" si="7"/>
        <v>0</v>
      </c>
      <c r="AR65" s="475">
        <f t="shared" si="8"/>
        <v>0</v>
      </c>
      <c r="AS65" s="618">
        <f t="shared" si="15"/>
        <v>240</v>
      </c>
      <c r="AT65" s="484">
        <f t="shared" si="9"/>
        <v>0</v>
      </c>
      <c r="AU65" s="649">
        <v>0</v>
      </c>
      <c r="AV65" s="651" t="s">
        <v>1763</v>
      </c>
      <c r="AW65" s="335"/>
      <c r="AX65" s="513">
        <f t="shared" si="10"/>
        <v>0</v>
      </c>
      <c r="AY65" s="513">
        <f t="shared" si="11"/>
        <v>0</v>
      </c>
      <c r="AZ65" s="513">
        <f t="shared" si="16"/>
        <v>0</v>
      </c>
      <c r="BA65" s="513">
        <f t="shared" si="12"/>
        <v>0</v>
      </c>
      <c r="BB65" s="513">
        <f t="shared" si="13"/>
        <v>0</v>
      </c>
      <c r="BC65" s="513">
        <f t="shared" si="14"/>
        <v>0</v>
      </c>
      <c r="BD65" s="292">
        <f>EXP(VLOOKUP(AV65,Vol_coef,3,FALSE)+G65)*'Data vol'!$J$7</f>
        <v>3.4183917296711941E-2</v>
      </c>
      <c r="BE65" s="291"/>
    </row>
    <row r="66" spans="1:58" ht="15.75">
      <c r="A66" s="272" t="s">
        <v>1568</v>
      </c>
      <c r="B66" s="272" t="s">
        <v>1444</v>
      </c>
      <c r="C66" s="272" t="s">
        <v>1445</v>
      </c>
      <c r="D66" s="288" t="s">
        <v>1741</v>
      </c>
      <c r="E66" s="272" t="s">
        <v>1528</v>
      </c>
      <c r="F66" s="396" t="s">
        <v>1556</v>
      </c>
      <c r="G66" s="273">
        <v>-0.748</v>
      </c>
      <c r="H66" s="294">
        <v>175</v>
      </c>
      <c r="I66" s="376"/>
      <c r="J66" s="387"/>
      <c r="K66" s="387" t="s">
        <v>1533</v>
      </c>
      <c r="L66" s="387" t="s">
        <v>1533</v>
      </c>
      <c r="M66" s="381"/>
      <c r="N66" s="387" t="s">
        <v>1567</v>
      </c>
      <c r="O66" s="419"/>
      <c r="P66" s="436">
        <f t="shared" si="2"/>
        <v>0.1931632165406576</v>
      </c>
      <c r="Q66" s="388">
        <v>0</v>
      </c>
      <c r="R66" s="440"/>
      <c r="S66" s="379">
        <v>0</v>
      </c>
      <c r="T66" s="444"/>
      <c r="U66" s="444"/>
      <c r="V66" s="451"/>
      <c r="W66" s="458"/>
      <c r="X66" s="384"/>
      <c r="Y66" s="444"/>
      <c r="Z66" s="458"/>
      <c r="AA66" s="444"/>
      <c r="AB66" s="384"/>
      <c r="AC66" s="382"/>
      <c r="AD66" s="383"/>
      <c r="AE66" s="383"/>
      <c r="AF66" s="297"/>
      <c r="AG66" s="297"/>
      <c r="AH66" s="297"/>
      <c r="AI66" s="468"/>
      <c r="AJ66" s="471" t="s">
        <v>1566</v>
      </c>
      <c r="AK66" s="472">
        <v>1</v>
      </c>
      <c r="AL66" s="473">
        <v>0</v>
      </c>
      <c r="AM66" s="474">
        <f t="shared" si="3"/>
        <v>0</v>
      </c>
      <c r="AN66" s="474">
        <f t="shared" si="4"/>
        <v>0</v>
      </c>
      <c r="AO66" s="474">
        <f t="shared" si="5"/>
        <v>0</v>
      </c>
      <c r="AP66" s="474">
        <f t="shared" si="6"/>
        <v>0</v>
      </c>
      <c r="AQ66" s="474">
        <f t="shared" si="7"/>
        <v>0</v>
      </c>
      <c r="AR66" s="475">
        <f t="shared" si="8"/>
        <v>0</v>
      </c>
      <c r="AS66" s="618">
        <f t="shared" si="15"/>
        <v>175</v>
      </c>
      <c r="AT66" s="484">
        <f t="shared" si="9"/>
        <v>0</v>
      </c>
      <c r="AU66" s="649">
        <v>0</v>
      </c>
      <c r="AV66" s="651" t="s">
        <v>1763</v>
      </c>
      <c r="AW66" s="335"/>
      <c r="AX66" s="513">
        <f t="shared" si="10"/>
        <v>0</v>
      </c>
      <c r="AY66" s="513">
        <f t="shared" si="11"/>
        <v>0</v>
      </c>
      <c r="AZ66" s="513">
        <f t="shared" si="16"/>
        <v>0</v>
      </c>
      <c r="BA66" s="513">
        <f t="shared" si="12"/>
        <v>0</v>
      </c>
      <c r="BB66" s="513">
        <f t="shared" si="13"/>
        <v>0</v>
      </c>
      <c r="BC66" s="513">
        <f t="shared" si="14"/>
        <v>0</v>
      </c>
      <c r="BD66" s="292">
        <f>EXP(VLOOKUP(AV66,Vol_coef,3,FALSE)+G66)*'Data vol'!$J$7</f>
        <v>3.4183917296711941E-2</v>
      </c>
      <c r="BE66" s="291"/>
    </row>
    <row r="67" spans="1:58" ht="15.75">
      <c r="A67" s="272" t="s">
        <v>1565</v>
      </c>
      <c r="B67" s="272" t="s">
        <v>1446</v>
      </c>
      <c r="C67" s="272" t="s">
        <v>1447</v>
      </c>
      <c r="D67" s="288" t="s">
        <v>1741</v>
      </c>
      <c r="E67" s="272" t="s">
        <v>1528</v>
      </c>
      <c r="F67" s="396" t="s">
        <v>1556</v>
      </c>
      <c r="G67" s="273">
        <v>-0.748</v>
      </c>
      <c r="H67" s="294" t="s">
        <v>1497</v>
      </c>
      <c r="I67" s="376"/>
      <c r="J67" s="387" t="s">
        <v>1564</v>
      </c>
      <c r="K67" s="387" t="s">
        <v>1563</v>
      </c>
      <c r="L67" s="387" t="s">
        <v>1555</v>
      </c>
      <c r="M67" s="381"/>
      <c r="N67" s="387" t="s">
        <v>1562</v>
      </c>
      <c r="O67" s="419"/>
      <c r="P67" s="436">
        <f t="shared" si="2"/>
        <v>0.25111218150285491</v>
      </c>
      <c r="Q67" s="388">
        <v>0</v>
      </c>
      <c r="R67" s="440"/>
      <c r="S67" s="379">
        <v>0</v>
      </c>
      <c r="T67" s="444"/>
      <c r="U67" s="444"/>
      <c r="V67" s="451"/>
      <c r="W67" s="459">
        <v>0.02</v>
      </c>
      <c r="X67" s="384"/>
      <c r="Y67" s="436">
        <v>0.06</v>
      </c>
      <c r="Z67" s="458"/>
      <c r="AA67" s="444"/>
      <c r="AB67" s="384"/>
      <c r="AC67" s="382"/>
      <c r="AD67" s="383"/>
      <c r="AE67" s="383"/>
      <c r="AF67" s="297"/>
      <c r="AG67" s="297"/>
      <c r="AH67" s="297"/>
      <c r="AI67" s="468"/>
      <c r="AJ67" s="471" t="s">
        <v>1561</v>
      </c>
      <c r="AK67" s="472">
        <v>1</v>
      </c>
      <c r="AL67" s="473">
        <v>0</v>
      </c>
      <c r="AM67" s="474">
        <f t="shared" si="3"/>
        <v>0</v>
      </c>
      <c r="AN67" s="474">
        <f t="shared" si="4"/>
        <v>0</v>
      </c>
      <c r="AO67" s="474">
        <f t="shared" si="5"/>
        <v>0</v>
      </c>
      <c r="AP67" s="474">
        <f t="shared" si="6"/>
        <v>0</v>
      </c>
      <c r="AQ67" s="474">
        <f t="shared" si="7"/>
        <v>0</v>
      </c>
      <c r="AR67" s="475">
        <f t="shared" si="8"/>
        <v>0</v>
      </c>
      <c r="AS67" s="618">
        <f t="shared" si="15"/>
        <v>100000</v>
      </c>
      <c r="AT67" s="484">
        <f t="shared" si="9"/>
        <v>0</v>
      </c>
      <c r="AU67" s="649">
        <v>0</v>
      </c>
      <c r="AV67" s="651" t="s">
        <v>1763</v>
      </c>
      <c r="AW67" s="335"/>
      <c r="AX67" s="513">
        <f t="shared" si="10"/>
        <v>0</v>
      </c>
      <c r="AY67" s="513">
        <f t="shared" si="11"/>
        <v>0</v>
      </c>
      <c r="AZ67" s="513">
        <f t="shared" si="16"/>
        <v>0</v>
      </c>
      <c r="BA67" s="513">
        <f t="shared" si="12"/>
        <v>0</v>
      </c>
      <c r="BB67" s="513">
        <f t="shared" si="13"/>
        <v>0</v>
      </c>
      <c r="BC67" s="513">
        <f t="shared" si="14"/>
        <v>0</v>
      </c>
      <c r="BD67" s="292">
        <f>EXP(VLOOKUP(AV67,Vol_coef,3,FALSE)+G67)*'Data vol'!$J$7</f>
        <v>3.4183917296711941E-2</v>
      </c>
      <c r="BE67" s="291"/>
    </row>
    <row r="68" spans="1:58" ht="15.75">
      <c r="A68" s="272" t="s">
        <v>1560</v>
      </c>
      <c r="B68" s="272" t="s">
        <v>1448</v>
      </c>
      <c r="C68" s="272" t="s">
        <v>1449</v>
      </c>
      <c r="D68" s="288" t="s">
        <v>1741</v>
      </c>
      <c r="E68" s="272" t="s">
        <v>1528</v>
      </c>
      <c r="F68" s="396" t="s">
        <v>1556</v>
      </c>
      <c r="G68" s="273">
        <v>-0.748</v>
      </c>
      <c r="H68" s="294">
        <v>920</v>
      </c>
      <c r="I68" s="376"/>
      <c r="J68" s="387"/>
      <c r="K68" s="387" t="s">
        <v>1559</v>
      </c>
      <c r="L68" s="381"/>
      <c r="M68" s="381"/>
      <c r="N68" s="380">
        <v>0.09</v>
      </c>
      <c r="O68" s="385"/>
      <c r="P68" s="436">
        <f t="shared" si="2"/>
        <v>8.6923447443295915E-2</v>
      </c>
      <c r="Q68" s="388">
        <v>0</v>
      </c>
      <c r="R68" s="440"/>
      <c r="S68" s="379">
        <v>0</v>
      </c>
      <c r="T68" s="444"/>
      <c r="U68" s="444"/>
      <c r="V68" s="451"/>
      <c r="W68" s="458"/>
      <c r="X68" s="384"/>
      <c r="Y68" s="444"/>
      <c r="Z68" s="459">
        <v>0.11</v>
      </c>
      <c r="AA68" s="436">
        <v>0.16</v>
      </c>
      <c r="AB68" s="384"/>
      <c r="AC68" s="382"/>
      <c r="AD68" s="383"/>
      <c r="AE68" s="383"/>
      <c r="AF68" s="297"/>
      <c r="AG68" s="297"/>
      <c r="AH68" s="297"/>
      <c r="AI68" s="468"/>
      <c r="AJ68" s="471" t="s">
        <v>1558</v>
      </c>
      <c r="AK68" s="472">
        <v>1</v>
      </c>
      <c r="AL68" s="473">
        <v>0</v>
      </c>
      <c r="AM68" s="474">
        <f t="shared" si="3"/>
        <v>0</v>
      </c>
      <c r="AN68" s="474">
        <f t="shared" si="4"/>
        <v>0</v>
      </c>
      <c r="AO68" s="474">
        <f t="shared" si="5"/>
        <v>0</v>
      </c>
      <c r="AP68" s="474">
        <f t="shared" si="6"/>
        <v>0</v>
      </c>
      <c r="AQ68" s="474">
        <f t="shared" si="7"/>
        <v>0</v>
      </c>
      <c r="AR68" s="475">
        <f t="shared" si="8"/>
        <v>0</v>
      </c>
      <c r="AS68" s="618">
        <f t="shared" si="15"/>
        <v>920</v>
      </c>
      <c r="AT68" s="484">
        <f t="shared" si="9"/>
        <v>0</v>
      </c>
      <c r="AU68" s="649">
        <v>0</v>
      </c>
      <c r="AV68" s="651" t="s">
        <v>1763</v>
      </c>
      <c r="AW68" s="335"/>
      <c r="AX68" s="513">
        <f t="shared" si="10"/>
        <v>0</v>
      </c>
      <c r="AY68" s="513">
        <f t="shared" si="11"/>
        <v>0</v>
      </c>
      <c r="AZ68" s="513">
        <f t="shared" si="16"/>
        <v>0</v>
      </c>
      <c r="BA68" s="513">
        <f t="shared" si="12"/>
        <v>0</v>
      </c>
      <c r="BB68" s="513">
        <f t="shared" si="13"/>
        <v>0</v>
      </c>
      <c r="BC68" s="513">
        <f t="shared" si="14"/>
        <v>0</v>
      </c>
      <c r="BD68" s="292">
        <f>EXP(VLOOKUP(AV68,Vol_coef,3,FALSE)+G68)*'Data vol'!$J$7</f>
        <v>3.4183917296711941E-2</v>
      </c>
      <c r="BE68" s="291"/>
    </row>
    <row r="69" spans="1:58" ht="15.75">
      <c r="A69" s="272" t="s">
        <v>1557</v>
      </c>
      <c r="B69" s="272" t="s">
        <v>1450</v>
      </c>
      <c r="C69" s="272" t="s">
        <v>1451</v>
      </c>
      <c r="D69" s="288" t="s">
        <v>1741</v>
      </c>
      <c r="E69" s="272" t="s">
        <v>1528</v>
      </c>
      <c r="F69" s="396" t="s">
        <v>1556</v>
      </c>
      <c r="G69" s="273">
        <v>-0.748</v>
      </c>
      <c r="H69" s="294" t="s">
        <v>1497</v>
      </c>
      <c r="I69" s="376"/>
      <c r="J69" s="379"/>
      <c r="K69" s="387" t="s">
        <v>1555</v>
      </c>
      <c r="L69" s="381"/>
      <c r="M69" s="381"/>
      <c r="N69" s="380">
        <v>7.0000000000000007E-2</v>
      </c>
      <c r="O69" s="385"/>
      <c r="P69" s="436">
        <f t="shared" si="2"/>
        <v>6.7607125789230171E-2</v>
      </c>
      <c r="Q69" s="388">
        <v>0</v>
      </c>
      <c r="R69" s="440"/>
      <c r="S69" s="379">
        <v>0</v>
      </c>
      <c r="T69" s="444"/>
      <c r="U69" s="444"/>
      <c r="V69" s="451"/>
      <c r="W69" s="458"/>
      <c r="X69" s="384"/>
      <c r="Y69" s="444"/>
      <c r="Z69" s="458"/>
      <c r="AA69" s="444"/>
      <c r="AB69" s="379" t="s">
        <v>1554</v>
      </c>
      <c r="AC69" s="389" t="s">
        <v>1553</v>
      </c>
      <c r="AD69" s="383"/>
      <c r="AE69" s="383"/>
      <c r="AF69" s="297"/>
      <c r="AG69" s="297"/>
      <c r="AH69" s="297"/>
      <c r="AI69" s="468"/>
      <c r="AJ69" s="471" t="s">
        <v>1552</v>
      </c>
      <c r="AK69" s="472">
        <v>1</v>
      </c>
      <c r="AL69" s="473">
        <v>0</v>
      </c>
      <c r="AM69" s="474">
        <f t="shared" si="3"/>
        <v>0</v>
      </c>
      <c r="AN69" s="474">
        <f t="shared" si="4"/>
        <v>0</v>
      </c>
      <c r="AO69" s="474">
        <f t="shared" si="5"/>
        <v>0</v>
      </c>
      <c r="AP69" s="474">
        <f t="shared" si="6"/>
        <v>0</v>
      </c>
      <c r="AQ69" s="474">
        <f t="shared" si="7"/>
        <v>0</v>
      </c>
      <c r="AR69" s="475">
        <f t="shared" si="8"/>
        <v>0</v>
      </c>
      <c r="AS69" s="618">
        <f t="shared" ref="AS69:AS105" si="17">IF(OR(AK69=0,H69="-"),100000,H69)</f>
        <v>100000</v>
      </c>
      <c r="AT69" s="484">
        <f t="shared" si="9"/>
        <v>0</v>
      </c>
      <c r="AU69" s="649">
        <v>0</v>
      </c>
      <c r="AV69" s="651" t="s">
        <v>1763</v>
      </c>
      <c r="AW69" s="335"/>
      <c r="AX69" s="513">
        <f t="shared" si="10"/>
        <v>0</v>
      </c>
      <c r="AY69" s="513">
        <f t="shared" si="11"/>
        <v>0</v>
      </c>
      <c r="AZ69" s="513">
        <f t="shared" ref="AZ69:AZ105" si="18">$AU69*$P69</f>
        <v>0</v>
      </c>
      <c r="BA69" s="513">
        <f t="shared" si="12"/>
        <v>0</v>
      </c>
      <c r="BB69" s="513">
        <f t="shared" si="13"/>
        <v>0</v>
      </c>
      <c r="BC69" s="513">
        <f t="shared" si="14"/>
        <v>0</v>
      </c>
      <c r="BD69" s="292">
        <f>EXP(VLOOKUP(AV69,Vol_coef,3,FALSE)+G69)*'Data vol'!$J$7</f>
        <v>3.4183917296711941E-2</v>
      </c>
      <c r="BE69" s="291"/>
    </row>
    <row r="70" spans="1:58" ht="15.75">
      <c r="A70" s="272" t="s">
        <v>1551</v>
      </c>
      <c r="B70" s="272" t="s">
        <v>1452</v>
      </c>
      <c r="C70" s="272" t="s">
        <v>1453</v>
      </c>
      <c r="D70" s="288" t="s">
        <v>1741</v>
      </c>
      <c r="E70" s="272" t="s">
        <v>1528</v>
      </c>
      <c r="F70" s="396" t="s">
        <v>1332</v>
      </c>
      <c r="G70" s="273">
        <v>0.66600000000000004</v>
      </c>
      <c r="H70" s="294" t="s">
        <v>1497</v>
      </c>
      <c r="I70" s="376"/>
      <c r="J70" s="379" t="s">
        <v>1550</v>
      </c>
      <c r="K70" s="387"/>
      <c r="L70" s="387" t="s">
        <v>1533</v>
      </c>
      <c r="M70" s="381"/>
      <c r="N70" s="380">
        <v>0.33</v>
      </c>
      <c r="O70" s="385"/>
      <c r="P70" s="436">
        <f t="shared" ref="P70:P77" si="19">N70*(1-BD70)</f>
        <v>0.28360959474925196</v>
      </c>
      <c r="Q70" s="388">
        <v>0</v>
      </c>
      <c r="R70" s="440"/>
      <c r="S70" s="379">
        <v>0</v>
      </c>
      <c r="T70" s="444"/>
      <c r="U70" s="436">
        <v>0.05</v>
      </c>
      <c r="V70" s="452"/>
      <c r="W70" s="459">
        <v>0.12</v>
      </c>
      <c r="X70" s="384"/>
      <c r="Y70" s="436">
        <v>0.3</v>
      </c>
      <c r="Z70" s="458"/>
      <c r="AA70" s="444"/>
      <c r="AB70" s="384"/>
      <c r="AC70" s="382"/>
      <c r="AD70" s="383"/>
      <c r="AE70" s="383"/>
      <c r="AF70" s="297"/>
      <c r="AG70" s="297"/>
      <c r="AH70" s="297"/>
      <c r="AI70" s="468"/>
      <c r="AJ70" s="471" t="s">
        <v>1549</v>
      </c>
      <c r="AK70" s="472">
        <v>1</v>
      </c>
      <c r="AL70" s="473">
        <v>0</v>
      </c>
      <c r="AM70" s="474">
        <f t="shared" ref="AM70:AM77" si="20">$AK70*$AL70*$N70</f>
        <v>0</v>
      </c>
      <c r="AN70" s="474">
        <f t="shared" ref="AN70:AN105" si="21">$AK70*$AL70*$J70</f>
        <v>0</v>
      </c>
      <c r="AO70" s="474">
        <f t="shared" ref="AO70:AO105" si="22">$AK70*$AL70*$P70</f>
        <v>0</v>
      </c>
      <c r="AP70" s="474">
        <f t="shared" ref="AP70:AP105" si="23">$AK70*$AL70*$Q70</f>
        <v>0</v>
      </c>
      <c r="AQ70" s="474">
        <f t="shared" ref="AQ70:AQ105" si="24">$AK70*$AL70*$S70</f>
        <v>0</v>
      </c>
      <c r="AR70" s="475">
        <f t="shared" ref="AR70:AR105" si="25">$AK70*$AL70*$W70</f>
        <v>0</v>
      </c>
      <c r="AS70" s="618">
        <f t="shared" si="17"/>
        <v>100000</v>
      </c>
      <c r="AT70" s="484">
        <f t="shared" ref="AT70:AT105" si="26">AL70*AS70/1000</f>
        <v>0</v>
      </c>
      <c r="AU70" s="649">
        <v>0</v>
      </c>
      <c r="AV70" s="651" t="s">
        <v>1763</v>
      </c>
      <c r="AW70" s="335"/>
      <c r="AX70" s="513">
        <f t="shared" ref="AX70:AX105" si="27">$AU70*$J70</f>
        <v>0</v>
      </c>
      <c r="AY70" s="513">
        <f t="shared" ref="AY70:AY77" si="28">$AU70*$N70</f>
        <v>0</v>
      </c>
      <c r="AZ70" s="513">
        <f t="shared" si="18"/>
        <v>0</v>
      </c>
      <c r="BA70" s="513">
        <f t="shared" ref="BA70:BA105" si="29">$AU70*$Q70</f>
        <v>0</v>
      </c>
      <c r="BB70" s="513">
        <f t="shared" ref="BB70:BB105" si="30">$AU70*$S70</f>
        <v>0</v>
      </c>
      <c r="BC70" s="513">
        <f t="shared" ref="BC70:BC105" si="31">$AU70*$W70</f>
        <v>0</v>
      </c>
      <c r="BD70" s="292">
        <f>EXP(VLOOKUP(AV70,Vol_coef,3,FALSE)+G70)*'Data vol'!$J$7</f>
        <v>0.1405769856083274</v>
      </c>
      <c r="BE70" s="291"/>
    </row>
    <row r="71" spans="1:58" ht="15.75">
      <c r="A71" s="272" t="s">
        <v>1548</v>
      </c>
      <c r="B71" s="272" t="s">
        <v>1454</v>
      </c>
      <c r="C71" s="272" t="s">
        <v>1455</v>
      </c>
      <c r="D71" s="288" t="s">
        <v>1741</v>
      </c>
      <c r="E71" s="272" t="s">
        <v>1528</v>
      </c>
      <c r="F71" s="396" t="s">
        <v>1332</v>
      </c>
      <c r="G71" s="273">
        <v>0.66600000000000004</v>
      </c>
      <c r="H71" s="294">
        <v>307</v>
      </c>
      <c r="I71" s="376"/>
      <c r="J71" s="379" t="s">
        <v>1547</v>
      </c>
      <c r="K71" s="387"/>
      <c r="L71" s="387" t="s">
        <v>1546</v>
      </c>
      <c r="M71" s="381"/>
      <c r="N71" s="380">
        <v>0.18</v>
      </c>
      <c r="O71" s="385"/>
      <c r="P71" s="436">
        <f t="shared" si="19"/>
        <v>0.15469614259050105</v>
      </c>
      <c r="Q71" s="388">
        <v>0</v>
      </c>
      <c r="R71" s="440"/>
      <c r="S71" s="379">
        <v>0</v>
      </c>
      <c r="T71" s="444"/>
      <c r="U71" s="436">
        <v>0.12</v>
      </c>
      <c r="V71" s="452"/>
      <c r="W71" s="459">
        <v>0.02</v>
      </c>
      <c r="X71" s="384"/>
      <c r="Y71" s="436">
        <v>0.05</v>
      </c>
      <c r="Z71" s="458"/>
      <c r="AA71" s="444"/>
      <c r="AB71" s="384"/>
      <c r="AC71" s="382"/>
      <c r="AD71" s="383"/>
      <c r="AE71" s="383"/>
      <c r="AF71" s="297"/>
      <c r="AG71" s="297"/>
      <c r="AH71" s="297"/>
      <c r="AI71" s="468"/>
      <c r="AJ71" s="471" t="s">
        <v>1545</v>
      </c>
      <c r="AK71" s="472">
        <v>1</v>
      </c>
      <c r="AL71" s="473">
        <v>0</v>
      </c>
      <c r="AM71" s="474">
        <f t="shared" si="20"/>
        <v>0</v>
      </c>
      <c r="AN71" s="474">
        <f t="shared" si="21"/>
        <v>0</v>
      </c>
      <c r="AO71" s="474">
        <f t="shared" si="22"/>
        <v>0</v>
      </c>
      <c r="AP71" s="474">
        <f t="shared" si="23"/>
        <v>0</v>
      </c>
      <c r="AQ71" s="474">
        <f t="shared" si="24"/>
        <v>0</v>
      </c>
      <c r="AR71" s="475">
        <f t="shared" si="25"/>
        <v>0</v>
      </c>
      <c r="AS71" s="618">
        <f t="shared" si="17"/>
        <v>307</v>
      </c>
      <c r="AT71" s="484">
        <f t="shared" si="26"/>
        <v>0</v>
      </c>
      <c r="AU71" s="649">
        <v>0</v>
      </c>
      <c r="AV71" s="651" t="s">
        <v>1763</v>
      </c>
      <c r="AW71" s="335"/>
      <c r="AX71" s="513">
        <f t="shared" si="27"/>
        <v>0</v>
      </c>
      <c r="AY71" s="513">
        <f t="shared" si="28"/>
        <v>0</v>
      </c>
      <c r="AZ71" s="513">
        <f t="shared" si="18"/>
        <v>0</v>
      </c>
      <c r="BA71" s="513">
        <f t="shared" si="29"/>
        <v>0</v>
      </c>
      <c r="BB71" s="513">
        <f t="shared" si="30"/>
        <v>0</v>
      </c>
      <c r="BC71" s="513">
        <f t="shared" si="31"/>
        <v>0</v>
      </c>
      <c r="BD71" s="292">
        <f>EXP(VLOOKUP(AV71,Vol_coef,3,FALSE)+G71)*'Data vol'!$J$7</f>
        <v>0.1405769856083274</v>
      </c>
      <c r="BE71" s="291"/>
    </row>
    <row r="72" spans="1:58" ht="15.75">
      <c r="A72" s="272" t="s">
        <v>1544</v>
      </c>
      <c r="B72" s="272" t="s">
        <v>1456</v>
      </c>
      <c r="C72" s="272" t="s">
        <v>1457</v>
      </c>
      <c r="D72" s="288" t="s">
        <v>1741</v>
      </c>
      <c r="E72" s="272" t="s">
        <v>1528</v>
      </c>
      <c r="F72" s="396" t="s">
        <v>1534</v>
      </c>
      <c r="G72" s="274">
        <v>-0.35</v>
      </c>
      <c r="H72" s="294">
        <v>443</v>
      </c>
      <c r="I72" s="376"/>
      <c r="J72" s="379"/>
      <c r="K72" s="387" t="s">
        <v>1543</v>
      </c>
      <c r="L72" s="381"/>
      <c r="M72" s="381"/>
      <c r="N72" s="380">
        <v>0.13</v>
      </c>
      <c r="O72" s="385"/>
      <c r="P72" s="436">
        <f t="shared" si="19"/>
        <v>0.12338371224581303</v>
      </c>
      <c r="Q72" s="388">
        <v>0</v>
      </c>
      <c r="R72" s="440"/>
      <c r="S72" s="379">
        <v>0</v>
      </c>
      <c r="T72" s="444"/>
      <c r="U72" s="444"/>
      <c r="V72" s="451"/>
      <c r="W72" s="458"/>
      <c r="X72" s="384"/>
      <c r="Y72" s="444"/>
      <c r="Z72" s="458"/>
      <c r="AA72" s="444"/>
      <c r="AB72" s="384"/>
      <c r="AC72" s="382"/>
      <c r="AD72" s="383"/>
      <c r="AE72" s="383"/>
      <c r="AF72" s="297"/>
      <c r="AG72" s="297"/>
      <c r="AH72" s="297"/>
      <c r="AI72" s="468"/>
      <c r="AJ72" s="471"/>
      <c r="AK72" s="472">
        <v>1</v>
      </c>
      <c r="AL72" s="473">
        <v>0</v>
      </c>
      <c r="AM72" s="474">
        <f t="shared" si="20"/>
        <v>0</v>
      </c>
      <c r="AN72" s="474">
        <f t="shared" si="21"/>
        <v>0</v>
      </c>
      <c r="AO72" s="474">
        <f t="shared" si="22"/>
        <v>0</v>
      </c>
      <c r="AP72" s="474">
        <f t="shared" si="23"/>
        <v>0</v>
      </c>
      <c r="AQ72" s="474">
        <f t="shared" si="24"/>
        <v>0</v>
      </c>
      <c r="AR72" s="475">
        <f t="shared" si="25"/>
        <v>0</v>
      </c>
      <c r="AS72" s="618">
        <f t="shared" si="17"/>
        <v>443</v>
      </c>
      <c r="AT72" s="484">
        <f t="shared" si="26"/>
        <v>0</v>
      </c>
      <c r="AU72" s="649">
        <v>0</v>
      </c>
      <c r="AV72" s="651" t="s">
        <v>1763</v>
      </c>
      <c r="AW72" s="335"/>
      <c r="AX72" s="513">
        <f t="shared" si="27"/>
        <v>0</v>
      </c>
      <c r="AY72" s="513">
        <f t="shared" si="28"/>
        <v>0</v>
      </c>
      <c r="AZ72" s="513">
        <f t="shared" si="18"/>
        <v>0</v>
      </c>
      <c r="BA72" s="513">
        <f t="shared" si="29"/>
        <v>0</v>
      </c>
      <c r="BB72" s="513">
        <f t="shared" si="30"/>
        <v>0</v>
      </c>
      <c r="BC72" s="513">
        <f t="shared" si="31"/>
        <v>0</v>
      </c>
      <c r="BD72" s="292">
        <f>EXP(VLOOKUP(AV72,Vol_coef,3,FALSE)+G72)*'Data vol'!$J$7</f>
        <v>5.0894521186053698E-2</v>
      </c>
      <c r="BE72" s="291"/>
    </row>
    <row r="73" spans="1:58" ht="15.75">
      <c r="A73" s="272" t="s">
        <v>1542</v>
      </c>
      <c r="B73" s="272" t="s">
        <v>1458</v>
      </c>
      <c r="C73" s="272" t="s">
        <v>1459</v>
      </c>
      <c r="D73" s="288" t="s">
        <v>1741</v>
      </c>
      <c r="E73" s="272" t="s">
        <v>1528</v>
      </c>
      <c r="F73" s="396" t="s">
        <v>1534</v>
      </c>
      <c r="G73" s="274">
        <v>-0.35</v>
      </c>
      <c r="H73" s="294">
        <v>450</v>
      </c>
      <c r="I73" s="376"/>
      <c r="J73" s="379"/>
      <c r="K73" s="387" t="s">
        <v>1541</v>
      </c>
      <c r="L73" s="387" t="s">
        <v>1540</v>
      </c>
      <c r="M73" s="381"/>
      <c r="N73" s="387" t="s">
        <v>1539</v>
      </c>
      <c r="O73" s="419"/>
      <c r="P73" s="436">
        <f t="shared" si="19"/>
        <v>0.31605212444504416</v>
      </c>
      <c r="Q73" s="388">
        <v>0</v>
      </c>
      <c r="R73" s="440"/>
      <c r="S73" s="379">
        <v>0</v>
      </c>
      <c r="T73" s="444"/>
      <c r="U73" s="444"/>
      <c r="V73" s="451"/>
      <c r="W73" s="458"/>
      <c r="X73" s="384"/>
      <c r="Y73" s="444"/>
      <c r="Z73" s="458"/>
      <c r="AA73" s="444"/>
      <c r="AB73" s="384"/>
      <c r="AC73" s="382"/>
      <c r="AD73" s="383"/>
      <c r="AE73" s="383"/>
      <c r="AF73" s="297"/>
      <c r="AG73" s="297"/>
      <c r="AH73" s="297"/>
      <c r="AI73" s="468"/>
      <c r="AJ73" s="471"/>
      <c r="AK73" s="472">
        <v>1</v>
      </c>
      <c r="AL73" s="473">
        <v>0</v>
      </c>
      <c r="AM73" s="474">
        <f t="shared" si="20"/>
        <v>0</v>
      </c>
      <c r="AN73" s="474">
        <f t="shared" si="21"/>
        <v>0</v>
      </c>
      <c r="AO73" s="474">
        <f t="shared" si="22"/>
        <v>0</v>
      </c>
      <c r="AP73" s="474">
        <f t="shared" si="23"/>
        <v>0</v>
      </c>
      <c r="AQ73" s="474">
        <f t="shared" si="24"/>
        <v>0</v>
      </c>
      <c r="AR73" s="475">
        <f t="shared" si="25"/>
        <v>0</v>
      </c>
      <c r="AS73" s="618">
        <f t="shared" si="17"/>
        <v>450</v>
      </c>
      <c r="AT73" s="484">
        <f t="shared" si="26"/>
        <v>0</v>
      </c>
      <c r="AU73" s="649">
        <v>0</v>
      </c>
      <c r="AV73" s="651" t="s">
        <v>1763</v>
      </c>
      <c r="AW73" s="335"/>
      <c r="AX73" s="513">
        <f t="shared" si="27"/>
        <v>0</v>
      </c>
      <c r="AY73" s="513">
        <f t="shared" si="28"/>
        <v>0</v>
      </c>
      <c r="AZ73" s="513">
        <f t="shared" si="18"/>
        <v>0</v>
      </c>
      <c r="BA73" s="513">
        <f t="shared" si="29"/>
        <v>0</v>
      </c>
      <c r="BB73" s="513">
        <f t="shared" si="30"/>
        <v>0</v>
      </c>
      <c r="BC73" s="513">
        <f t="shared" si="31"/>
        <v>0</v>
      </c>
      <c r="BD73" s="292">
        <f>EXP(VLOOKUP(AV73,Vol_coef,3,FALSE)+G73)*'Data vol'!$J$7</f>
        <v>5.0894521186053698E-2</v>
      </c>
      <c r="BE73" s="291"/>
    </row>
    <row r="74" spans="1:58" ht="15.75">
      <c r="A74" s="272" t="s">
        <v>1538</v>
      </c>
      <c r="B74" s="272" t="s">
        <v>1460</v>
      </c>
      <c r="C74" s="272" t="s">
        <v>1461</v>
      </c>
      <c r="D74" s="288" t="s">
        <v>1741</v>
      </c>
      <c r="E74" s="272" t="s">
        <v>1528</v>
      </c>
      <c r="F74" s="396" t="s">
        <v>1534</v>
      </c>
      <c r="G74" s="274">
        <v>-0.35</v>
      </c>
      <c r="H74" s="294">
        <v>255</v>
      </c>
      <c r="I74" s="376"/>
      <c r="J74" s="379"/>
      <c r="K74" s="387" t="s">
        <v>1537</v>
      </c>
      <c r="L74" s="387" t="s">
        <v>1537</v>
      </c>
      <c r="M74" s="381"/>
      <c r="N74" s="380">
        <v>0.27</v>
      </c>
      <c r="O74" s="385"/>
      <c r="P74" s="436">
        <f t="shared" si="19"/>
        <v>0.25625847927976553</v>
      </c>
      <c r="Q74" s="388">
        <v>0</v>
      </c>
      <c r="R74" s="440"/>
      <c r="S74" s="379">
        <v>0</v>
      </c>
      <c r="T74" s="444"/>
      <c r="U74" s="444"/>
      <c r="V74" s="451"/>
      <c r="W74" s="458"/>
      <c r="X74" s="384"/>
      <c r="Y74" s="444"/>
      <c r="Z74" s="458"/>
      <c r="AA74" s="444"/>
      <c r="AB74" s="384"/>
      <c r="AC74" s="382"/>
      <c r="AD74" s="383"/>
      <c r="AE74" s="383"/>
      <c r="AF74" s="297"/>
      <c r="AG74" s="297"/>
      <c r="AH74" s="297"/>
      <c r="AI74" s="468"/>
      <c r="AJ74" s="471" t="s">
        <v>1536</v>
      </c>
      <c r="AK74" s="472">
        <v>1</v>
      </c>
      <c r="AL74" s="473">
        <v>0</v>
      </c>
      <c r="AM74" s="474">
        <f t="shared" si="20"/>
        <v>0</v>
      </c>
      <c r="AN74" s="474">
        <f t="shared" si="21"/>
        <v>0</v>
      </c>
      <c r="AO74" s="474">
        <f t="shared" si="22"/>
        <v>0</v>
      </c>
      <c r="AP74" s="474">
        <f t="shared" si="23"/>
        <v>0</v>
      </c>
      <c r="AQ74" s="474">
        <f t="shared" si="24"/>
        <v>0</v>
      </c>
      <c r="AR74" s="475">
        <f t="shared" si="25"/>
        <v>0</v>
      </c>
      <c r="AS74" s="618">
        <f t="shared" si="17"/>
        <v>255</v>
      </c>
      <c r="AT74" s="484">
        <f t="shared" si="26"/>
        <v>0</v>
      </c>
      <c r="AU74" s="649">
        <v>0</v>
      </c>
      <c r="AV74" s="651" t="s">
        <v>1763</v>
      </c>
      <c r="AW74" s="335"/>
      <c r="AX74" s="513">
        <f t="shared" si="27"/>
        <v>0</v>
      </c>
      <c r="AY74" s="513">
        <f t="shared" si="28"/>
        <v>0</v>
      </c>
      <c r="AZ74" s="513">
        <f t="shared" si="18"/>
        <v>0</v>
      </c>
      <c r="BA74" s="513">
        <f t="shared" si="29"/>
        <v>0</v>
      </c>
      <c r="BB74" s="513">
        <f t="shared" si="30"/>
        <v>0</v>
      </c>
      <c r="BC74" s="513">
        <f t="shared" si="31"/>
        <v>0</v>
      </c>
      <c r="BD74" s="292">
        <f>EXP(VLOOKUP(AV74,Vol_coef,3,FALSE)+G74)*'Data vol'!$J$7</f>
        <v>5.0894521186053698E-2</v>
      </c>
      <c r="BE74" s="291"/>
    </row>
    <row r="75" spans="1:58" ht="15.75">
      <c r="A75" s="272" t="s">
        <v>1535</v>
      </c>
      <c r="B75" s="272" t="s">
        <v>1462</v>
      </c>
      <c r="C75" s="272" t="s">
        <v>1463</v>
      </c>
      <c r="D75" s="288" t="s">
        <v>1741</v>
      </c>
      <c r="E75" s="272" t="s">
        <v>1528</v>
      </c>
      <c r="F75" s="396" t="s">
        <v>1534</v>
      </c>
      <c r="G75" s="274">
        <v>-0.35</v>
      </c>
      <c r="H75" s="294" t="s">
        <v>1497</v>
      </c>
      <c r="I75" s="376"/>
      <c r="J75" s="379"/>
      <c r="K75" s="387" t="s">
        <v>1533</v>
      </c>
      <c r="L75" s="387" t="s">
        <v>1533</v>
      </c>
      <c r="M75" s="381"/>
      <c r="N75" s="380">
        <v>0.2</v>
      </c>
      <c r="O75" s="385"/>
      <c r="P75" s="436">
        <f t="shared" si="19"/>
        <v>0.18982109576278927</v>
      </c>
      <c r="Q75" s="388">
        <v>0</v>
      </c>
      <c r="R75" s="440"/>
      <c r="S75" s="379">
        <v>0</v>
      </c>
      <c r="T75" s="444"/>
      <c r="U75" s="444"/>
      <c r="V75" s="451"/>
      <c r="W75" s="458"/>
      <c r="X75" s="384"/>
      <c r="Y75" s="444"/>
      <c r="Z75" s="458"/>
      <c r="AA75" s="444"/>
      <c r="AB75" s="384"/>
      <c r="AC75" s="382"/>
      <c r="AD75" s="383"/>
      <c r="AE75" s="383"/>
      <c r="AF75" s="297"/>
      <c r="AG75" s="297"/>
      <c r="AH75" s="297"/>
      <c r="AI75" s="468"/>
      <c r="AJ75" s="471"/>
      <c r="AK75" s="472">
        <v>1</v>
      </c>
      <c r="AL75" s="473">
        <v>0</v>
      </c>
      <c r="AM75" s="474">
        <f t="shared" si="20"/>
        <v>0</v>
      </c>
      <c r="AN75" s="474">
        <f t="shared" si="21"/>
        <v>0</v>
      </c>
      <c r="AO75" s="474">
        <f t="shared" si="22"/>
        <v>0</v>
      </c>
      <c r="AP75" s="474">
        <f t="shared" si="23"/>
        <v>0</v>
      </c>
      <c r="AQ75" s="474">
        <f t="shared" si="24"/>
        <v>0</v>
      </c>
      <c r="AR75" s="475">
        <f t="shared" si="25"/>
        <v>0</v>
      </c>
      <c r="AS75" s="618">
        <f t="shared" si="17"/>
        <v>100000</v>
      </c>
      <c r="AT75" s="484">
        <f t="shared" si="26"/>
        <v>0</v>
      </c>
      <c r="AU75" s="649">
        <v>0</v>
      </c>
      <c r="AV75" s="651" t="s">
        <v>1763</v>
      </c>
      <c r="AW75" s="335"/>
      <c r="AX75" s="513">
        <f t="shared" si="27"/>
        <v>0</v>
      </c>
      <c r="AY75" s="513">
        <f t="shared" si="28"/>
        <v>0</v>
      </c>
      <c r="AZ75" s="513">
        <f t="shared" si="18"/>
        <v>0</v>
      </c>
      <c r="BA75" s="513">
        <f t="shared" si="29"/>
        <v>0</v>
      </c>
      <c r="BB75" s="513">
        <f t="shared" si="30"/>
        <v>0</v>
      </c>
      <c r="BC75" s="513">
        <f t="shared" si="31"/>
        <v>0</v>
      </c>
      <c r="BD75" s="292">
        <f>EXP(VLOOKUP(AV75,Vol_coef,3,FALSE)+G75)*'Data vol'!$J$7</f>
        <v>5.0894521186053698E-2</v>
      </c>
      <c r="BE75" s="291"/>
    </row>
    <row r="76" spans="1:58" ht="15.75">
      <c r="A76" s="272" t="s">
        <v>1532</v>
      </c>
      <c r="B76" s="272" t="s">
        <v>1464</v>
      </c>
      <c r="C76" s="272" t="s">
        <v>1465</v>
      </c>
      <c r="D76" s="288" t="s">
        <v>1741</v>
      </c>
      <c r="E76" s="272" t="s">
        <v>1528</v>
      </c>
      <c r="F76" s="396" t="s">
        <v>1527</v>
      </c>
      <c r="G76" s="273">
        <v>0.42899999999999999</v>
      </c>
      <c r="H76" s="294">
        <v>320</v>
      </c>
      <c r="I76" s="376"/>
      <c r="J76" s="379"/>
      <c r="K76" s="387"/>
      <c r="L76" s="381"/>
      <c r="M76" s="381"/>
      <c r="N76" s="381"/>
      <c r="O76" s="419"/>
      <c r="P76" s="436">
        <f t="shared" si="19"/>
        <v>0</v>
      </c>
      <c r="Q76" s="388">
        <v>0</v>
      </c>
      <c r="R76" s="440"/>
      <c r="S76" s="379">
        <v>0</v>
      </c>
      <c r="T76" s="444"/>
      <c r="U76" s="444"/>
      <c r="V76" s="451"/>
      <c r="W76" s="459">
        <v>0.13</v>
      </c>
      <c r="X76" s="384"/>
      <c r="Y76" s="436">
        <v>0.32</v>
      </c>
      <c r="Z76" s="458"/>
      <c r="AA76" s="444"/>
      <c r="AB76" s="379" t="s">
        <v>1531</v>
      </c>
      <c r="AC76" s="386">
        <v>0.16</v>
      </c>
      <c r="AD76" s="383"/>
      <c r="AE76" s="383"/>
      <c r="AF76" s="297"/>
      <c r="AG76" s="297"/>
      <c r="AH76" s="297"/>
      <c r="AI76" s="468"/>
      <c r="AJ76" s="471" t="s">
        <v>1530</v>
      </c>
      <c r="AK76" s="472">
        <v>1</v>
      </c>
      <c r="AL76" s="473">
        <v>0</v>
      </c>
      <c r="AM76" s="474">
        <f t="shared" si="20"/>
        <v>0</v>
      </c>
      <c r="AN76" s="474">
        <f t="shared" si="21"/>
        <v>0</v>
      </c>
      <c r="AO76" s="474">
        <f t="shared" si="22"/>
        <v>0</v>
      </c>
      <c r="AP76" s="474">
        <f t="shared" si="23"/>
        <v>0</v>
      </c>
      <c r="AQ76" s="474">
        <f t="shared" si="24"/>
        <v>0</v>
      </c>
      <c r="AR76" s="475">
        <f t="shared" si="25"/>
        <v>0</v>
      </c>
      <c r="AS76" s="618">
        <f t="shared" si="17"/>
        <v>320</v>
      </c>
      <c r="AT76" s="484">
        <f t="shared" si="26"/>
        <v>0</v>
      </c>
      <c r="AU76" s="649">
        <v>0</v>
      </c>
      <c r="AV76" s="651" t="s">
        <v>1763</v>
      </c>
      <c r="AW76" s="335"/>
      <c r="AX76" s="513">
        <f t="shared" si="27"/>
        <v>0</v>
      </c>
      <c r="AY76" s="513">
        <f t="shared" si="28"/>
        <v>0</v>
      </c>
      <c r="AZ76" s="513">
        <f t="shared" si="18"/>
        <v>0</v>
      </c>
      <c r="BA76" s="513">
        <f t="shared" si="29"/>
        <v>0</v>
      </c>
      <c r="BB76" s="513">
        <f t="shared" si="30"/>
        <v>0</v>
      </c>
      <c r="BC76" s="513">
        <f t="shared" si="31"/>
        <v>0</v>
      </c>
      <c r="BD76" s="292">
        <f>EXP(VLOOKUP(AV76,Vol_coef,3,FALSE)+G76)*'Data vol'!$J$7</f>
        <v>0.11091401694074723</v>
      </c>
      <c r="BE76" s="291"/>
    </row>
    <row r="77" spans="1:58" s="319" customFormat="1" ht="15.75">
      <c r="A77" s="314" t="s">
        <v>1529</v>
      </c>
      <c r="B77" s="314" t="s">
        <v>1466</v>
      </c>
      <c r="C77" s="314" t="s">
        <v>1467</v>
      </c>
      <c r="D77" s="287" t="s">
        <v>1741</v>
      </c>
      <c r="E77" s="314" t="s">
        <v>1528</v>
      </c>
      <c r="F77" s="397" t="s">
        <v>1527</v>
      </c>
      <c r="G77" s="315">
        <v>0.42899999999999999</v>
      </c>
      <c r="H77" s="316">
        <v>238</v>
      </c>
      <c r="I77" s="377"/>
      <c r="J77" s="390"/>
      <c r="K77" s="390"/>
      <c r="L77" s="390" t="s">
        <v>1526</v>
      </c>
      <c r="M77" s="391"/>
      <c r="N77" s="392">
        <v>0.21</v>
      </c>
      <c r="O77" s="420"/>
      <c r="P77" s="437">
        <f t="shared" si="19"/>
        <v>0.18670805644244309</v>
      </c>
      <c r="Q77" s="392">
        <v>0</v>
      </c>
      <c r="R77" s="441"/>
      <c r="S77" s="390">
        <v>0</v>
      </c>
      <c r="T77" s="445"/>
      <c r="U77" s="445"/>
      <c r="V77" s="453"/>
      <c r="W77" s="461">
        <v>0.24</v>
      </c>
      <c r="X77" s="391"/>
      <c r="Y77" s="437">
        <v>0.6</v>
      </c>
      <c r="Z77" s="464"/>
      <c r="AA77" s="445"/>
      <c r="AB77" s="391"/>
      <c r="AC77" s="393"/>
      <c r="AD77" s="394"/>
      <c r="AE77" s="394"/>
      <c r="AF77" s="317"/>
      <c r="AG77" s="317"/>
      <c r="AH77" s="317"/>
      <c r="AI77" s="470"/>
      <c r="AJ77" s="471" t="s">
        <v>1525</v>
      </c>
      <c r="AK77" s="476">
        <v>1</v>
      </c>
      <c r="AL77" s="477">
        <v>0</v>
      </c>
      <c r="AM77" s="478">
        <f t="shared" si="20"/>
        <v>0</v>
      </c>
      <c r="AN77" s="478">
        <f t="shared" si="21"/>
        <v>0</v>
      </c>
      <c r="AO77" s="478">
        <f t="shared" si="22"/>
        <v>0</v>
      </c>
      <c r="AP77" s="478">
        <f t="shared" si="23"/>
        <v>0</v>
      </c>
      <c r="AQ77" s="478">
        <f t="shared" si="24"/>
        <v>0</v>
      </c>
      <c r="AR77" s="479">
        <f t="shared" si="25"/>
        <v>0</v>
      </c>
      <c r="AS77" s="619">
        <f t="shared" si="17"/>
        <v>238</v>
      </c>
      <c r="AT77" s="485">
        <f t="shared" si="26"/>
        <v>0</v>
      </c>
      <c r="AU77" s="649">
        <v>0</v>
      </c>
      <c r="AV77" s="651" t="s">
        <v>1763</v>
      </c>
      <c r="AW77" s="335"/>
      <c r="AX77" s="514">
        <f t="shared" si="27"/>
        <v>0</v>
      </c>
      <c r="AY77" s="514">
        <f t="shared" si="28"/>
        <v>0</v>
      </c>
      <c r="AZ77" s="514">
        <f t="shared" si="18"/>
        <v>0</v>
      </c>
      <c r="BA77" s="514">
        <f t="shared" si="29"/>
        <v>0</v>
      </c>
      <c r="BB77" s="514">
        <f t="shared" si="30"/>
        <v>0</v>
      </c>
      <c r="BC77" s="514">
        <f t="shared" si="31"/>
        <v>0</v>
      </c>
      <c r="BD77" s="318">
        <f>EXP(VLOOKUP(AV77,Vol_coef,3,FALSE)+G77)*'Data vol'!$J$7</f>
        <v>0.11091401694074723</v>
      </c>
      <c r="BE77" s="291"/>
    </row>
    <row r="78" spans="1:58" ht="15.75">
      <c r="A78" s="272" t="s">
        <v>1524</v>
      </c>
      <c r="B78" s="272" t="s">
        <v>286</v>
      </c>
      <c r="C78" s="272" t="s">
        <v>287</v>
      </c>
      <c r="D78" s="288" t="s">
        <v>68</v>
      </c>
      <c r="E78" s="272" t="s">
        <v>1523</v>
      </c>
      <c r="F78" s="396" t="s">
        <v>1494</v>
      </c>
      <c r="G78" s="273">
        <v>0.995</v>
      </c>
      <c r="H78" s="294">
        <v>11</v>
      </c>
      <c r="I78" s="376"/>
      <c r="J78" s="411"/>
      <c r="K78" s="411"/>
      <c r="L78" s="411"/>
      <c r="M78" s="411"/>
      <c r="N78" s="412"/>
      <c r="O78" s="421">
        <v>5.0000000000000001E-3</v>
      </c>
      <c r="P78" s="438">
        <f>O78*(1-BD78)</f>
        <v>4.4585811512445088E-3</v>
      </c>
      <c r="Q78" s="431">
        <v>3.5000000000000001E-3</v>
      </c>
      <c r="R78" s="442"/>
      <c r="S78" s="431">
        <v>6.0000000000000001E-3</v>
      </c>
      <c r="T78" s="446"/>
      <c r="U78" s="446"/>
      <c r="V78" s="454">
        <v>0.2</v>
      </c>
      <c r="W78" s="462"/>
      <c r="X78" s="415"/>
      <c r="Y78" s="446"/>
      <c r="Z78" s="462"/>
      <c r="AA78" s="446"/>
      <c r="AB78" s="415"/>
      <c r="AC78" s="413"/>
      <c r="AD78" s="414"/>
      <c r="AE78" s="414"/>
      <c r="AF78" s="297"/>
      <c r="AG78" s="297"/>
      <c r="AH78" s="297"/>
      <c r="AI78" s="468"/>
      <c r="AJ78" s="471" t="s">
        <v>1493</v>
      </c>
      <c r="AK78" s="472">
        <v>0</v>
      </c>
      <c r="AL78" s="473">
        <v>0</v>
      </c>
      <c r="AM78" s="474">
        <f>$AK78*$AL78*$O78</f>
        <v>0</v>
      </c>
      <c r="AN78" s="474">
        <f t="shared" si="21"/>
        <v>0</v>
      </c>
      <c r="AO78" s="474">
        <f t="shared" si="22"/>
        <v>0</v>
      </c>
      <c r="AP78" s="474">
        <f t="shared" si="23"/>
        <v>0</v>
      </c>
      <c r="AQ78" s="474">
        <f t="shared" si="24"/>
        <v>0</v>
      </c>
      <c r="AR78" s="475">
        <f t="shared" si="25"/>
        <v>0</v>
      </c>
      <c r="AS78" s="618">
        <f t="shared" si="17"/>
        <v>100000</v>
      </c>
      <c r="AT78" s="484">
        <f t="shared" si="26"/>
        <v>0</v>
      </c>
      <c r="AU78" s="655">
        <v>0</v>
      </c>
      <c r="AV78" s="651" t="s">
        <v>1762</v>
      </c>
      <c r="AW78" s="489" t="s">
        <v>33</v>
      </c>
      <c r="AX78" s="513">
        <f t="shared" si="27"/>
        <v>0</v>
      </c>
      <c r="AY78" s="515">
        <f>$AU78*$O79</f>
        <v>0</v>
      </c>
      <c r="AZ78" s="515">
        <f t="shared" si="18"/>
        <v>0</v>
      </c>
      <c r="BA78" s="513">
        <f t="shared" si="29"/>
        <v>0</v>
      </c>
      <c r="BB78" s="513">
        <f t="shared" si="30"/>
        <v>0</v>
      </c>
      <c r="BC78" s="513">
        <f t="shared" si="31"/>
        <v>0</v>
      </c>
      <c r="BD78" s="658">
        <f>EXP(VLOOKUP(AV78,Vol_coef,3,FALSE)+G78)*'Data vol'!$J$7</f>
        <v>0.10828376975109819</v>
      </c>
      <c r="BE78" s="659">
        <f>P78*V78*AU78*VLOOKUP(AW78,Mineralization!B11:C12,2,FALSE)</f>
        <v>0</v>
      </c>
      <c r="BF78" s="271" t="e">
        <f>IF(Tilled= no,AU78:AU105,0)</f>
        <v>#NAME?</v>
      </c>
    </row>
    <row r="79" spans="1:58" ht="15.75">
      <c r="A79" s="272" t="s">
        <v>1522</v>
      </c>
      <c r="B79" s="272" t="s">
        <v>288</v>
      </c>
      <c r="C79" s="272" t="s">
        <v>289</v>
      </c>
      <c r="D79" s="248" t="s">
        <v>68</v>
      </c>
      <c r="E79" s="272" t="s">
        <v>1523</v>
      </c>
      <c r="F79" s="396" t="s">
        <v>1494</v>
      </c>
      <c r="G79" s="273">
        <v>0.995</v>
      </c>
      <c r="H79" s="294">
        <v>11</v>
      </c>
      <c r="I79" s="376"/>
      <c r="J79" s="411"/>
      <c r="K79" s="411"/>
      <c r="L79" s="411"/>
      <c r="M79" s="411"/>
      <c r="N79" s="412"/>
      <c r="O79" s="421">
        <v>4.7999999999999996E-3</v>
      </c>
      <c r="P79" s="438">
        <f t="shared" ref="P79:P105" si="32">O79*(1-BD79)</f>
        <v>4.2802379051947283E-3</v>
      </c>
      <c r="Q79" s="431">
        <v>1.1000000000000001E-3</v>
      </c>
      <c r="R79" s="442"/>
      <c r="S79" s="431">
        <v>4.0000000000000001E-3</v>
      </c>
      <c r="T79" s="446"/>
      <c r="U79" s="446"/>
      <c r="V79" s="454">
        <v>0.2</v>
      </c>
      <c r="W79" s="462"/>
      <c r="X79" s="415"/>
      <c r="Y79" s="446"/>
      <c r="Z79" s="462"/>
      <c r="AA79" s="446"/>
      <c r="AB79" s="415"/>
      <c r="AC79" s="413"/>
      <c r="AD79" s="414"/>
      <c r="AE79" s="414"/>
      <c r="AF79" s="297"/>
      <c r="AG79" s="297"/>
      <c r="AH79" s="297"/>
      <c r="AI79" s="468"/>
      <c r="AJ79" s="471" t="s">
        <v>1493</v>
      </c>
      <c r="AK79" s="472">
        <v>0</v>
      </c>
      <c r="AL79" s="473">
        <v>0</v>
      </c>
      <c r="AM79" s="474">
        <f t="shared" ref="AM79:AM105" si="33">$AK79*$AL79*$O79</f>
        <v>0</v>
      </c>
      <c r="AN79" s="474">
        <f t="shared" si="21"/>
        <v>0</v>
      </c>
      <c r="AO79" s="474">
        <f t="shared" si="22"/>
        <v>0</v>
      </c>
      <c r="AP79" s="474">
        <f t="shared" si="23"/>
        <v>0</v>
      </c>
      <c r="AQ79" s="474">
        <f t="shared" si="24"/>
        <v>0</v>
      </c>
      <c r="AR79" s="475">
        <f t="shared" si="25"/>
        <v>0</v>
      </c>
      <c r="AS79" s="618">
        <f t="shared" si="17"/>
        <v>100000</v>
      </c>
      <c r="AT79" s="484">
        <f t="shared" si="26"/>
        <v>0</v>
      </c>
      <c r="AU79" s="656">
        <v>10000</v>
      </c>
      <c r="AV79" s="636" t="s">
        <v>1762</v>
      </c>
      <c r="AW79" s="489" t="s">
        <v>1744</v>
      </c>
      <c r="AX79" s="513">
        <f t="shared" si="27"/>
        <v>0</v>
      </c>
      <c r="AY79" s="515">
        <f t="shared" ref="AY79:AY104" si="34">$AU79*$O80</f>
        <v>53</v>
      </c>
      <c r="AZ79" s="513">
        <f t="shared" si="18"/>
        <v>42.802379051947284</v>
      </c>
      <c r="BA79" s="513">
        <f t="shared" si="29"/>
        <v>11</v>
      </c>
      <c r="BB79" s="513">
        <f t="shared" si="30"/>
        <v>40</v>
      </c>
      <c r="BC79" s="513">
        <f t="shared" si="31"/>
        <v>0</v>
      </c>
      <c r="BD79" s="292">
        <f>EXP(VLOOKUP(AV79,Vol_coef,3,FALSE)+G79)*'Data vol'!$J$7</f>
        <v>0.10828376975109819</v>
      </c>
      <c r="BE79" s="641">
        <f>P79*V79*AU79*(VLOOKUP(AW79,Mineralization!B11:C12,2,FALSE))</f>
        <v>4.2802379051947286</v>
      </c>
    </row>
    <row r="80" spans="1:58" ht="15.75">
      <c r="A80" s="272" t="s">
        <v>1521</v>
      </c>
      <c r="B80" s="272" t="s">
        <v>290</v>
      </c>
      <c r="C80" s="272" t="s">
        <v>291</v>
      </c>
      <c r="D80" s="248" t="s">
        <v>68</v>
      </c>
      <c r="E80" s="272" t="s">
        <v>1523</v>
      </c>
      <c r="F80" s="396" t="s">
        <v>1494</v>
      </c>
      <c r="G80" s="273">
        <v>0.995</v>
      </c>
      <c r="H80" s="294">
        <v>11</v>
      </c>
      <c r="I80" s="376"/>
      <c r="J80" s="411"/>
      <c r="K80" s="411"/>
      <c r="L80" s="411"/>
      <c r="M80" s="411"/>
      <c r="N80" s="412"/>
      <c r="O80" s="421">
        <v>5.3E-3</v>
      </c>
      <c r="P80" s="438">
        <f t="shared" si="32"/>
        <v>4.7260960203191794E-3</v>
      </c>
      <c r="Q80" s="431">
        <v>1.6999999999999999E-3</v>
      </c>
      <c r="R80" s="442"/>
      <c r="S80" s="431">
        <v>5.1000000000000004E-3</v>
      </c>
      <c r="T80" s="446"/>
      <c r="U80" s="446"/>
      <c r="V80" s="454">
        <v>0.2</v>
      </c>
      <c r="W80" s="462"/>
      <c r="X80" s="415"/>
      <c r="Y80" s="446"/>
      <c r="Z80" s="462"/>
      <c r="AA80" s="446"/>
      <c r="AB80" s="415"/>
      <c r="AC80" s="413"/>
      <c r="AD80" s="414"/>
      <c r="AE80" s="414"/>
      <c r="AF80" s="297"/>
      <c r="AG80" s="297"/>
      <c r="AH80" s="297"/>
      <c r="AI80" s="468"/>
      <c r="AJ80" s="471" t="s">
        <v>1493</v>
      </c>
      <c r="AK80" s="472">
        <v>0</v>
      </c>
      <c r="AL80" s="473">
        <v>0</v>
      </c>
      <c r="AM80" s="474">
        <f t="shared" si="33"/>
        <v>0</v>
      </c>
      <c r="AN80" s="474">
        <f t="shared" si="21"/>
        <v>0</v>
      </c>
      <c r="AO80" s="474">
        <f t="shared" si="22"/>
        <v>0</v>
      </c>
      <c r="AP80" s="474">
        <f t="shared" si="23"/>
        <v>0</v>
      </c>
      <c r="AQ80" s="474">
        <f t="shared" si="24"/>
        <v>0</v>
      </c>
      <c r="AR80" s="475">
        <f t="shared" si="25"/>
        <v>0</v>
      </c>
      <c r="AS80" s="618">
        <f t="shared" si="17"/>
        <v>100000</v>
      </c>
      <c r="AT80" s="484">
        <f t="shared" si="26"/>
        <v>0</v>
      </c>
      <c r="AU80" s="656">
        <v>0</v>
      </c>
      <c r="AV80" s="637" t="s">
        <v>1762</v>
      </c>
      <c r="AW80" s="489" t="s">
        <v>33</v>
      </c>
      <c r="AX80" s="513">
        <f t="shared" si="27"/>
        <v>0</v>
      </c>
      <c r="AY80" s="515">
        <f t="shared" si="34"/>
        <v>0</v>
      </c>
      <c r="AZ80" s="513">
        <f t="shared" si="18"/>
        <v>0</v>
      </c>
      <c r="BA80" s="513">
        <f t="shared" si="29"/>
        <v>0</v>
      </c>
      <c r="BB80" s="513">
        <f t="shared" si="30"/>
        <v>0</v>
      </c>
      <c r="BC80" s="513">
        <f t="shared" si="31"/>
        <v>0</v>
      </c>
      <c r="BD80" s="292">
        <f>EXP(VLOOKUP(AV80,Vol_coef,3,FALSE)+G80)*'Data vol'!$J$7</f>
        <v>0.10828376975109819</v>
      </c>
      <c r="BE80" s="642">
        <f>P80*V80*AU80*(VLOOKUP(AW80,Mineralization!B11:C12,2,FALSE))</f>
        <v>0</v>
      </c>
    </row>
    <row r="81" spans="1:57" ht="15.75">
      <c r="A81" s="272" t="s">
        <v>1520</v>
      </c>
      <c r="B81" s="272" t="s">
        <v>292</v>
      </c>
      <c r="C81" s="272" t="s">
        <v>293</v>
      </c>
      <c r="D81" s="248" t="s">
        <v>68</v>
      </c>
      <c r="E81" s="272" t="s">
        <v>1523</v>
      </c>
      <c r="F81" s="396" t="s">
        <v>1494</v>
      </c>
      <c r="G81" s="273">
        <v>0.995</v>
      </c>
      <c r="H81" s="294">
        <v>11</v>
      </c>
      <c r="I81" s="376"/>
      <c r="J81" s="411"/>
      <c r="K81" s="411"/>
      <c r="L81" s="411"/>
      <c r="M81" s="411"/>
      <c r="N81" s="412"/>
      <c r="O81" s="421">
        <v>6.0000000000000001E-3</v>
      </c>
      <c r="P81" s="438">
        <f t="shared" si="32"/>
        <v>5.350297381493411E-3</v>
      </c>
      <c r="Q81" s="431">
        <v>1.6000000000000001E-3</v>
      </c>
      <c r="R81" s="442"/>
      <c r="S81" s="431">
        <v>3.3E-3</v>
      </c>
      <c r="T81" s="446"/>
      <c r="U81" s="446"/>
      <c r="V81" s="454">
        <v>0.25</v>
      </c>
      <c r="W81" s="462"/>
      <c r="X81" s="415"/>
      <c r="Y81" s="446"/>
      <c r="Z81" s="462"/>
      <c r="AA81" s="446"/>
      <c r="AB81" s="415"/>
      <c r="AC81" s="413"/>
      <c r="AD81" s="414"/>
      <c r="AE81" s="414"/>
      <c r="AF81" s="297"/>
      <c r="AG81" s="297"/>
      <c r="AH81" s="297"/>
      <c r="AI81" s="468"/>
      <c r="AJ81" s="471" t="s">
        <v>1493</v>
      </c>
      <c r="AK81" s="472">
        <v>0</v>
      </c>
      <c r="AL81" s="473">
        <v>0</v>
      </c>
      <c r="AM81" s="474">
        <f t="shared" si="33"/>
        <v>0</v>
      </c>
      <c r="AN81" s="474">
        <f t="shared" si="21"/>
        <v>0</v>
      </c>
      <c r="AO81" s="474">
        <f t="shared" si="22"/>
        <v>0</v>
      </c>
      <c r="AP81" s="474">
        <f t="shared" si="23"/>
        <v>0</v>
      </c>
      <c r="AQ81" s="474">
        <f t="shared" si="24"/>
        <v>0</v>
      </c>
      <c r="AR81" s="475">
        <f t="shared" si="25"/>
        <v>0</v>
      </c>
      <c r="AS81" s="618">
        <f t="shared" si="17"/>
        <v>100000</v>
      </c>
      <c r="AT81" s="484">
        <f t="shared" si="26"/>
        <v>0</v>
      </c>
      <c r="AU81" s="656">
        <v>0</v>
      </c>
      <c r="AV81" s="637" t="s">
        <v>1762</v>
      </c>
      <c r="AW81" s="489" t="s">
        <v>1744</v>
      </c>
      <c r="AX81" s="513">
        <f t="shared" si="27"/>
        <v>0</v>
      </c>
      <c r="AY81" s="515">
        <f t="shared" si="34"/>
        <v>0</v>
      </c>
      <c r="AZ81" s="513">
        <f t="shared" si="18"/>
        <v>0</v>
      </c>
      <c r="BA81" s="513">
        <f t="shared" si="29"/>
        <v>0</v>
      </c>
      <c r="BB81" s="513">
        <f t="shared" si="30"/>
        <v>0</v>
      </c>
      <c r="BC81" s="513">
        <f t="shared" si="31"/>
        <v>0</v>
      </c>
      <c r="BD81" s="292">
        <f>EXP(VLOOKUP(AV81,Vol_coef,3,FALSE)+G81)*'Data vol'!$J$7</f>
        <v>0.10828376975109819</v>
      </c>
      <c r="BE81" s="642">
        <f>P81*V81*AU81*(VLOOKUP(AW81,Mineralization!B11:C12,2,FALSE))</f>
        <v>0</v>
      </c>
    </row>
    <row r="82" spans="1:57" ht="15.75">
      <c r="A82" s="272" t="s">
        <v>1519</v>
      </c>
      <c r="B82" s="272" t="s">
        <v>294</v>
      </c>
      <c r="C82" s="272" t="s">
        <v>295</v>
      </c>
      <c r="D82" s="248" t="s">
        <v>68</v>
      </c>
      <c r="E82" s="272" t="s">
        <v>1523</v>
      </c>
      <c r="F82" s="396" t="s">
        <v>1494</v>
      </c>
      <c r="G82" s="273">
        <v>0.995</v>
      </c>
      <c r="H82" s="294">
        <v>11</v>
      </c>
      <c r="I82" s="376"/>
      <c r="J82" s="411"/>
      <c r="K82" s="411"/>
      <c r="L82" s="411"/>
      <c r="M82" s="411"/>
      <c r="N82" s="412"/>
      <c r="O82" s="421">
        <v>5.4999999999999997E-3</v>
      </c>
      <c r="P82" s="438">
        <f t="shared" si="32"/>
        <v>4.9044392663689599E-3</v>
      </c>
      <c r="Q82" s="431">
        <v>1.9E-3</v>
      </c>
      <c r="R82" s="442"/>
      <c r="S82" s="431">
        <v>4.4999999999999997E-3</v>
      </c>
      <c r="T82" s="446"/>
      <c r="U82" s="446"/>
      <c r="V82" s="454">
        <v>0.25</v>
      </c>
      <c r="W82" s="462"/>
      <c r="X82" s="415"/>
      <c r="Y82" s="446"/>
      <c r="Z82" s="462"/>
      <c r="AA82" s="446"/>
      <c r="AB82" s="415"/>
      <c r="AC82" s="413"/>
      <c r="AD82" s="414"/>
      <c r="AE82" s="414"/>
      <c r="AF82" s="297"/>
      <c r="AG82" s="297"/>
      <c r="AH82" s="297"/>
      <c r="AI82" s="468"/>
      <c r="AJ82" s="471" t="s">
        <v>1493</v>
      </c>
      <c r="AK82" s="472">
        <v>0</v>
      </c>
      <c r="AL82" s="473">
        <v>0</v>
      </c>
      <c r="AM82" s="474">
        <f t="shared" si="33"/>
        <v>0</v>
      </c>
      <c r="AN82" s="474">
        <f t="shared" si="21"/>
        <v>0</v>
      </c>
      <c r="AO82" s="474">
        <f t="shared" si="22"/>
        <v>0</v>
      </c>
      <c r="AP82" s="474">
        <f t="shared" si="23"/>
        <v>0</v>
      </c>
      <c r="AQ82" s="474">
        <f t="shared" si="24"/>
        <v>0</v>
      </c>
      <c r="AR82" s="475">
        <f t="shared" si="25"/>
        <v>0</v>
      </c>
      <c r="AS82" s="618">
        <f t="shared" si="17"/>
        <v>100000</v>
      </c>
      <c r="AT82" s="484">
        <f t="shared" si="26"/>
        <v>0</v>
      </c>
      <c r="AU82" s="656">
        <v>0</v>
      </c>
      <c r="AV82" s="637" t="s">
        <v>1762</v>
      </c>
      <c r="AW82" s="489" t="s">
        <v>33</v>
      </c>
      <c r="AX82" s="513">
        <f t="shared" si="27"/>
        <v>0</v>
      </c>
      <c r="AY82" s="515">
        <f t="shared" si="34"/>
        <v>0</v>
      </c>
      <c r="AZ82" s="513">
        <f t="shared" si="18"/>
        <v>0</v>
      </c>
      <c r="BA82" s="513">
        <f t="shared" si="29"/>
        <v>0</v>
      </c>
      <c r="BB82" s="513">
        <f t="shared" si="30"/>
        <v>0</v>
      </c>
      <c r="BC82" s="513">
        <f t="shared" si="31"/>
        <v>0</v>
      </c>
      <c r="BD82" s="292">
        <f>EXP(VLOOKUP(AV82,Vol_coef,3,FALSE)+G82)*'Data vol'!$J$7</f>
        <v>0.10828376975109819</v>
      </c>
      <c r="BE82" s="642">
        <f>P82*V82*AU82*(VLOOKUP(AW82,Mineralization!B11:C12,2,FALSE))</f>
        <v>0</v>
      </c>
    </row>
    <row r="83" spans="1:57" ht="15.75">
      <c r="A83" s="272" t="s">
        <v>1518</v>
      </c>
      <c r="B83" s="272" t="s">
        <v>296</v>
      </c>
      <c r="C83" s="272" t="s">
        <v>297</v>
      </c>
      <c r="D83" s="248" t="s">
        <v>68</v>
      </c>
      <c r="E83" s="272" t="s">
        <v>1523</v>
      </c>
      <c r="F83" s="396" t="s">
        <v>1494</v>
      </c>
      <c r="G83" s="273">
        <v>0.995</v>
      </c>
      <c r="H83" s="294">
        <v>20</v>
      </c>
      <c r="I83" s="376"/>
      <c r="J83" s="411"/>
      <c r="K83" s="411"/>
      <c r="L83" s="411"/>
      <c r="M83" s="411"/>
      <c r="N83" s="412"/>
      <c r="O83" s="421">
        <v>5.1000000000000004E-3</v>
      </c>
      <c r="P83" s="438">
        <f t="shared" si="32"/>
        <v>4.5477527742693999E-3</v>
      </c>
      <c r="Q83" s="431">
        <v>1.4E-3</v>
      </c>
      <c r="R83" s="442"/>
      <c r="S83" s="431">
        <v>4.1000000000000003E-3</v>
      </c>
      <c r="T83" s="446"/>
      <c r="U83" s="446"/>
      <c r="V83" s="454">
        <v>0.25</v>
      </c>
      <c r="W83" s="462"/>
      <c r="X83" s="415"/>
      <c r="Y83" s="446"/>
      <c r="Z83" s="462"/>
      <c r="AA83" s="446"/>
      <c r="AB83" s="415"/>
      <c r="AC83" s="413"/>
      <c r="AD83" s="414"/>
      <c r="AE83" s="414"/>
      <c r="AF83" s="297"/>
      <c r="AG83" s="297"/>
      <c r="AH83" s="297"/>
      <c r="AI83" s="468"/>
      <c r="AJ83" s="471" t="s">
        <v>1493</v>
      </c>
      <c r="AK83" s="472">
        <v>0</v>
      </c>
      <c r="AL83" s="473">
        <v>0</v>
      </c>
      <c r="AM83" s="474">
        <f t="shared" si="33"/>
        <v>0</v>
      </c>
      <c r="AN83" s="474">
        <f t="shared" si="21"/>
        <v>0</v>
      </c>
      <c r="AO83" s="474">
        <f t="shared" si="22"/>
        <v>0</v>
      </c>
      <c r="AP83" s="474">
        <f t="shared" si="23"/>
        <v>0</v>
      </c>
      <c r="AQ83" s="474">
        <f t="shared" si="24"/>
        <v>0</v>
      </c>
      <c r="AR83" s="475">
        <f t="shared" si="25"/>
        <v>0</v>
      </c>
      <c r="AS83" s="618">
        <f t="shared" si="17"/>
        <v>100000</v>
      </c>
      <c r="AT83" s="484">
        <f t="shared" si="26"/>
        <v>0</v>
      </c>
      <c r="AU83" s="656">
        <v>0</v>
      </c>
      <c r="AV83" s="637" t="s">
        <v>1762</v>
      </c>
      <c r="AW83" s="489" t="s">
        <v>33</v>
      </c>
      <c r="AX83" s="513">
        <f t="shared" si="27"/>
        <v>0</v>
      </c>
      <c r="AY83" s="515">
        <f t="shared" si="34"/>
        <v>0</v>
      </c>
      <c r="AZ83" s="513">
        <f t="shared" si="18"/>
        <v>0</v>
      </c>
      <c r="BA83" s="513">
        <f t="shared" si="29"/>
        <v>0</v>
      </c>
      <c r="BB83" s="513">
        <f t="shared" si="30"/>
        <v>0</v>
      </c>
      <c r="BC83" s="513">
        <f t="shared" si="31"/>
        <v>0</v>
      </c>
      <c r="BD83" s="292">
        <f>EXP(VLOOKUP(AV83,Vol_coef,3,FALSE)+G83)*'Data vol'!$J$7</f>
        <v>0.10828376975109819</v>
      </c>
      <c r="BE83" s="642">
        <f>P83*V83*AU83*(VLOOKUP(AW83,Mineralization!B11:C12,2,FALSE))</f>
        <v>0</v>
      </c>
    </row>
    <row r="84" spans="1:57" ht="15.75">
      <c r="A84" s="272" t="s">
        <v>1517</v>
      </c>
      <c r="B84" s="272" t="s">
        <v>298</v>
      </c>
      <c r="C84" s="272" t="s">
        <v>299</v>
      </c>
      <c r="D84" s="248" t="s">
        <v>68</v>
      </c>
      <c r="E84" s="272" t="s">
        <v>1523</v>
      </c>
      <c r="F84" s="396" t="s">
        <v>1494</v>
      </c>
      <c r="G84" s="273">
        <v>0.995</v>
      </c>
      <c r="H84" s="294">
        <v>20</v>
      </c>
      <c r="I84" s="376"/>
      <c r="J84" s="411"/>
      <c r="K84" s="411"/>
      <c r="L84" s="411"/>
      <c r="M84" s="411"/>
      <c r="N84" s="412"/>
      <c r="O84" s="421">
        <v>6.0000000000000001E-3</v>
      </c>
      <c r="P84" s="438">
        <f t="shared" si="32"/>
        <v>5.350297381493411E-3</v>
      </c>
      <c r="Q84" s="431">
        <v>6.0000000000000001E-3</v>
      </c>
      <c r="R84" s="442"/>
      <c r="S84" s="431">
        <v>4.0000000000000001E-3</v>
      </c>
      <c r="T84" s="446"/>
      <c r="U84" s="446"/>
      <c r="V84" s="454">
        <v>4.2000000000000003E-2</v>
      </c>
      <c r="W84" s="462"/>
      <c r="X84" s="415"/>
      <c r="Y84" s="446"/>
      <c r="Z84" s="462"/>
      <c r="AA84" s="446"/>
      <c r="AB84" s="415"/>
      <c r="AC84" s="413"/>
      <c r="AD84" s="414"/>
      <c r="AE84" s="414"/>
      <c r="AF84" s="297"/>
      <c r="AG84" s="297"/>
      <c r="AH84" s="297"/>
      <c r="AI84" s="468"/>
      <c r="AJ84" s="471" t="s">
        <v>1493</v>
      </c>
      <c r="AK84" s="472">
        <v>0</v>
      </c>
      <c r="AL84" s="473">
        <v>0</v>
      </c>
      <c r="AM84" s="474">
        <f t="shared" si="33"/>
        <v>0</v>
      </c>
      <c r="AN84" s="474">
        <f t="shared" si="21"/>
        <v>0</v>
      </c>
      <c r="AO84" s="474">
        <f t="shared" si="22"/>
        <v>0</v>
      </c>
      <c r="AP84" s="474">
        <f t="shared" si="23"/>
        <v>0</v>
      </c>
      <c r="AQ84" s="474">
        <f t="shared" si="24"/>
        <v>0</v>
      </c>
      <c r="AR84" s="475">
        <f t="shared" si="25"/>
        <v>0</v>
      </c>
      <c r="AS84" s="618">
        <f t="shared" si="17"/>
        <v>100000</v>
      </c>
      <c r="AT84" s="484">
        <f t="shared" si="26"/>
        <v>0</v>
      </c>
      <c r="AU84" s="656">
        <v>0</v>
      </c>
      <c r="AV84" s="637" t="s">
        <v>1762</v>
      </c>
      <c r="AW84" s="489" t="s">
        <v>33</v>
      </c>
      <c r="AX84" s="513">
        <f t="shared" si="27"/>
        <v>0</v>
      </c>
      <c r="AY84" s="515">
        <f t="shared" si="34"/>
        <v>0</v>
      </c>
      <c r="AZ84" s="513">
        <f t="shared" si="18"/>
        <v>0</v>
      </c>
      <c r="BA84" s="513">
        <f t="shared" si="29"/>
        <v>0</v>
      </c>
      <c r="BB84" s="513">
        <f t="shared" si="30"/>
        <v>0</v>
      </c>
      <c r="BC84" s="513">
        <f t="shared" si="31"/>
        <v>0</v>
      </c>
      <c r="BD84" s="292">
        <f>EXP(VLOOKUP(AV84,Vol_coef,3,FALSE)+G84)*'Data vol'!$J$7</f>
        <v>0.10828376975109819</v>
      </c>
      <c r="BE84" s="642">
        <f>P84*V84*AU84*(VLOOKUP(AW84,Mineralization!B11:C12,2,FALSE))</f>
        <v>0</v>
      </c>
    </row>
    <row r="85" spans="1:57" ht="15.75">
      <c r="A85" s="272" t="s">
        <v>1516</v>
      </c>
      <c r="B85" s="272" t="s">
        <v>300</v>
      </c>
      <c r="C85" s="272" t="s">
        <v>301</v>
      </c>
      <c r="D85" s="248" t="s">
        <v>68</v>
      </c>
      <c r="E85" s="272" t="s">
        <v>1523</v>
      </c>
      <c r="F85" s="396" t="s">
        <v>1494</v>
      </c>
      <c r="G85" s="273">
        <v>0.995</v>
      </c>
      <c r="H85" s="294">
        <v>20</v>
      </c>
      <c r="I85" s="376"/>
      <c r="J85" s="411"/>
      <c r="K85" s="411"/>
      <c r="L85" s="411"/>
      <c r="M85" s="411"/>
      <c r="N85" s="412"/>
      <c r="O85" s="421">
        <v>7.6E-3</v>
      </c>
      <c r="P85" s="438">
        <f t="shared" si="32"/>
        <v>6.7770433498916538E-3</v>
      </c>
      <c r="Q85" s="431">
        <v>3.0999999999999999E-3</v>
      </c>
      <c r="R85" s="442"/>
      <c r="S85" s="431">
        <v>4.5999999999999999E-3</v>
      </c>
      <c r="T85" s="446"/>
      <c r="U85" s="446"/>
      <c r="V85" s="454">
        <v>4.2000000000000003E-2</v>
      </c>
      <c r="W85" s="462"/>
      <c r="X85" s="415"/>
      <c r="Y85" s="446"/>
      <c r="Z85" s="462"/>
      <c r="AA85" s="446"/>
      <c r="AB85" s="415"/>
      <c r="AC85" s="413"/>
      <c r="AD85" s="414"/>
      <c r="AE85" s="414"/>
      <c r="AF85" s="297"/>
      <c r="AG85" s="297"/>
      <c r="AH85" s="297"/>
      <c r="AI85" s="468"/>
      <c r="AJ85" s="471" t="s">
        <v>1493</v>
      </c>
      <c r="AK85" s="472">
        <v>0</v>
      </c>
      <c r="AL85" s="473">
        <v>0</v>
      </c>
      <c r="AM85" s="474">
        <f t="shared" si="33"/>
        <v>0</v>
      </c>
      <c r="AN85" s="474">
        <f t="shared" si="21"/>
        <v>0</v>
      </c>
      <c r="AO85" s="474">
        <f t="shared" si="22"/>
        <v>0</v>
      </c>
      <c r="AP85" s="474">
        <f t="shared" si="23"/>
        <v>0</v>
      </c>
      <c r="AQ85" s="474">
        <f t="shared" si="24"/>
        <v>0</v>
      </c>
      <c r="AR85" s="475">
        <f t="shared" si="25"/>
        <v>0</v>
      </c>
      <c r="AS85" s="618">
        <f t="shared" si="17"/>
        <v>100000</v>
      </c>
      <c r="AT85" s="484">
        <f t="shared" si="26"/>
        <v>0</v>
      </c>
      <c r="AU85" s="656">
        <v>0</v>
      </c>
      <c r="AV85" s="637" t="s">
        <v>1762</v>
      </c>
      <c r="AW85" s="489" t="s">
        <v>33</v>
      </c>
      <c r="AX85" s="513">
        <f t="shared" si="27"/>
        <v>0</v>
      </c>
      <c r="AY85" s="515">
        <f t="shared" si="34"/>
        <v>0</v>
      </c>
      <c r="AZ85" s="513">
        <f t="shared" si="18"/>
        <v>0</v>
      </c>
      <c r="BA85" s="513">
        <f t="shared" si="29"/>
        <v>0</v>
      </c>
      <c r="BB85" s="513">
        <f t="shared" si="30"/>
        <v>0</v>
      </c>
      <c r="BC85" s="513">
        <f t="shared" si="31"/>
        <v>0</v>
      </c>
      <c r="BD85" s="292">
        <f>EXP(VLOOKUP(AV85,Vol_coef,3,FALSE)+G85)*'Data vol'!$J$7</f>
        <v>0.10828376975109819</v>
      </c>
      <c r="BE85" s="642">
        <f>P85*V85*AU85*(VLOOKUP(AW85,Mineralization!B11:C12,2,FALSE))</f>
        <v>0</v>
      </c>
    </row>
    <row r="86" spans="1:57" ht="15.75">
      <c r="A86" s="272" t="s">
        <v>1515</v>
      </c>
      <c r="B86" s="272" t="s">
        <v>302</v>
      </c>
      <c r="C86" s="272" t="s">
        <v>303</v>
      </c>
      <c r="D86" s="248" t="s">
        <v>68</v>
      </c>
      <c r="E86" s="272" t="s">
        <v>1523</v>
      </c>
      <c r="F86" s="396" t="s">
        <v>1494</v>
      </c>
      <c r="G86" s="273">
        <v>0.995</v>
      </c>
      <c r="H86" s="294">
        <v>20</v>
      </c>
      <c r="I86" s="376"/>
      <c r="J86" s="411"/>
      <c r="K86" s="411"/>
      <c r="L86" s="411"/>
      <c r="M86" s="411"/>
      <c r="N86" s="412"/>
      <c r="O86" s="421">
        <v>5.4999999999999997E-3</v>
      </c>
      <c r="P86" s="438">
        <f t="shared" si="32"/>
        <v>4.9044392663689599E-3</v>
      </c>
      <c r="Q86" s="431">
        <v>1.8E-3</v>
      </c>
      <c r="R86" s="442"/>
      <c r="S86" s="431">
        <v>3.5000000000000001E-3</v>
      </c>
      <c r="T86" s="446"/>
      <c r="U86" s="446"/>
      <c r="V86" s="454">
        <v>4.2000000000000003E-2</v>
      </c>
      <c r="W86" s="462"/>
      <c r="X86" s="415"/>
      <c r="Y86" s="446"/>
      <c r="Z86" s="462"/>
      <c r="AA86" s="446"/>
      <c r="AB86" s="415"/>
      <c r="AC86" s="413"/>
      <c r="AD86" s="414"/>
      <c r="AE86" s="414"/>
      <c r="AF86" s="297"/>
      <c r="AG86" s="297"/>
      <c r="AH86" s="297"/>
      <c r="AI86" s="468"/>
      <c r="AJ86" s="471" t="s">
        <v>1493</v>
      </c>
      <c r="AK86" s="472">
        <v>0</v>
      </c>
      <c r="AL86" s="473">
        <v>0</v>
      </c>
      <c r="AM86" s="474">
        <f t="shared" si="33"/>
        <v>0</v>
      </c>
      <c r="AN86" s="474">
        <f t="shared" si="21"/>
        <v>0</v>
      </c>
      <c r="AO86" s="474">
        <f t="shared" si="22"/>
        <v>0</v>
      </c>
      <c r="AP86" s="474">
        <f t="shared" si="23"/>
        <v>0</v>
      </c>
      <c r="AQ86" s="474">
        <f t="shared" si="24"/>
        <v>0</v>
      </c>
      <c r="AR86" s="475">
        <f t="shared" si="25"/>
        <v>0</v>
      </c>
      <c r="AS86" s="618">
        <f t="shared" si="17"/>
        <v>100000</v>
      </c>
      <c r="AT86" s="484">
        <f t="shared" si="26"/>
        <v>0</v>
      </c>
      <c r="AU86" s="656">
        <v>0</v>
      </c>
      <c r="AV86" s="637" t="s">
        <v>1762</v>
      </c>
      <c r="AW86" s="489" t="s">
        <v>33</v>
      </c>
      <c r="AX86" s="513">
        <f t="shared" si="27"/>
        <v>0</v>
      </c>
      <c r="AY86" s="515">
        <f t="shared" si="34"/>
        <v>0</v>
      </c>
      <c r="AZ86" s="513">
        <f t="shared" si="18"/>
        <v>0</v>
      </c>
      <c r="BA86" s="513">
        <f t="shared" si="29"/>
        <v>0</v>
      </c>
      <c r="BB86" s="513">
        <f t="shared" si="30"/>
        <v>0</v>
      </c>
      <c r="BC86" s="513">
        <f t="shared" si="31"/>
        <v>0</v>
      </c>
      <c r="BD86" s="292">
        <f>EXP(VLOOKUP(AV86,Vol_coef,3,FALSE)+G86)*'Data vol'!$J$7</f>
        <v>0.10828376975109819</v>
      </c>
      <c r="BE86" s="642">
        <f>P86*V86*AU86*(VLOOKUP(AW86,Mineralization!B11:C12,2,FALSE))</f>
        <v>0</v>
      </c>
    </row>
    <row r="87" spans="1:57" ht="15.75">
      <c r="A87" s="272" t="s">
        <v>1514</v>
      </c>
      <c r="B87" s="272" t="s">
        <v>304</v>
      </c>
      <c r="C87" s="272" t="s">
        <v>305</v>
      </c>
      <c r="D87" s="248" t="s">
        <v>68</v>
      </c>
      <c r="E87" s="272" t="s">
        <v>1523</v>
      </c>
      <c r="F87" s="396" t="s">
        <v>1494</v>
      </c>
      <c r="G87" s="273">
        <v>0.995</v>
      </c>
      <c r="H87" s="294">
        <v>20</v>
      </c>
      <c r="I87" s="376"/>
      <c r="J87" s="411"/>
      <c r="K87" s="411"/>
      <c r="L87" s="411"/>
      <c r="M87" s="411"/>
      <c r="N87" s="412"/>
      <c r="O87" s="421">
        <v>5.4999999999999997E-3</v>
      </c>
      <c r="P87" s="438">
        <f t="shared" si="32"/>
        <v>4.9044392663689599E-3</v>
      </c>
      <c r="Q87" s="431">
        <v>2E-3</v>
      </c>
      <c r="R87" s="442"/>
      <c r="S87" s="431">
        <v>3.2000000000000002E-3</v>
      </c>
      <c r="T87" s="446"/>
      <c r="U87" s="446"/>
      <c r="V87" s="454">
        <v>4.2000000000000003E-2</v>
      </c>
      <c r="W87" s="462"/>
      <c r="X87" s="415"/>
      <c r="Y87" s="446"/>
      <c r="Z87" s="462"/>
      <c r="AA87" s="446"/>
      <c r="AB87" s="415"/>
      <c r="AC87" s="413"/>
      <c r="AD87" s="414"/>
      <c r="AE87" s="414"/>
      <c r="AF87" s="297"/>
      <c r="AG87" s="297"/>
      <c r="AH87" s="297"/>
      <c r="AI87" s="468"/>
      <c r="AJ87" s="471" t="s">
        <v>1493</v>
      </c>
      <c r="AK87" s="472">
        <v>0</v>
      </c>
      <c r="AL87" s="473">
        <v>0</v>
      </c>
      <c r="AM87" s="474">
        <f t="shared" si="33"/>
        <v>0</v>
      </c>
      <c r="AN87" s="474">
        <f t="shared" si="21"/>
        <v>0</v>
      </c>
      <c r="AO87" s="474">
        <f t="shared" si="22"/>
        <v>0</v>
      </c>
      <c r="AP87" s="474">
        <f t="shared" si="23"/>
        <v>0</v>
      </c>
      <c r="AQ87" s="474">
        <f t="shared" si="24"/>
        <v>0</v>
      </c>
      <c r="AR87" s="475">
        <f t="shared" si="25"/>
        <v>0</v>
      </c>
      <c r="AS87" s="618">
        <f t="shared" si="17"/>
        <v>100000</v>
      </c>
      <c r="AT87" s="484">
        <f t="shared" si="26"/>
        <v>0</v>
      </c>
      <c r="AU87" s="656">
        <v>0</v>
      </c>
      <c r="AV87" s="637" t="s">
        <v>1762</v>
      </c>
      <c r="AW87" s="489" t="s">
        <v>1744</v>
      </c>
      <c r="AX87" s="513">
        <f t="shared" si="27"/>
        <v>0</v>
      </c>
      <c r="AY87" s="515">
        <f t="shared" si="34"/>
        <v>0</v>
      </c>
      <c r="AZ87" s="513">
        <f t="shared" si="18"/>
        <v>0</v>
      </c>
      <c r="BA87" s="513">
        <f t="shared" si="29"/>
        <v>0</v>
      </c>
      <c r="BB87" s="513">
        <f t="shared" si="30"/>
        <v>0</v>
      </c>
      <c r="BC87" s="513">
        <f t="shared" si="31"/>
        <v>0</v>
      </c>
      <c r="BD87" s="292">
        <f>EXP(VLOOKUP(AV87,Vol_coef,3,FALSE)+G87)*'Data vol'!$J$7</f>
        <v>0.10828376975109819</v>
      </c>
      <c r="BE87" s="642">
        <f>P87*V87*AU87*(VLOOKUP(AW87,Mineralization!B11:C12,2,FALSE))</f>
        <v>0</v>
      </c>
    </row>
    <row r="88" spans="1:57" ht="15.75">
      <c r="A88" s="272" t="s">
        <v>1513</v>
      </c>
      <c r="B88" s="272" t="s">
        <v>306</v>
      </c>
      <c r="C88" s="272" t="s">
        <v>307</v>
      </c>
      <c r="D88" s="248" t="s">
        <v>68</v>
      </c>
      <c r="E88" s="272" t="s">
        <v>1523</v>
      </c>
      <c r="F88" s="396" t="s">
        <v>1494</v>
      </c>
      <c r="G88" s="273">
        <v>0.995</v>
      </c>
      <c r="H88" s="294">
        <v>5</v>
      </c>
      <c r="I88" s="376"/>
      <c r="J88" s="412"/>
      <c r="K88" s="412"/>
      <c r="L88" s="412"/>
      <c r="M88" s="412"/>
      <c r="N88" s="412"/>
      <c r="O88" s="421">
        <v>7.7999999999999996E-3</v>
      </c>
      <c r="P88" s="438">
        <f t="shared" si="32"/>
        <v>6.9553865959414334E-3</v>
      </c>
      <c r="Q88" s="431">
        <v>3.7000000000000002E-3</v>
      </c>
      <c r="R88" s="442"/>
      <c r="S88" s="431">
        <v>4.3E-3</v>
      </c>
      <c r="T88" s="446"/>
      <c r="U88" s="446"/>
      <c r="V88" s="454">
        <v>4.2000000000000003E-2</v>
      </c>
      <c r="W88" s="462"/>
      <c r="X88" s="415"/>
      <c r="Y88" s="446"/>
      <c r="Z88" s="462"/>
      <c r="AA88" s="446"/>
      <c r="AB88" s="415"/>
      <c r="AC88" s="413"/>
      <c r="AD88" s="414"/>
      <c r="AE88" s="414"/>
      <c r="AF88" s="297"/>
      <c r="AG88" s="297"/>
      <c r="AH88" s="297"/>
      <c r="AI88" s="468"/>
      <c r="AJ88" s="471" t="s">
        <v>1493</v>
      </c>
      <c r="AK88" s="472">
        <v>0</v>
      </c>
      <c r="AL88" s="473">
        <v>0</v>
      </c>
      <c r="AM88" s="474">
        <f t="shared" si="33"/>
        <v>0</v>
      </c>
      <c r="AN88" s="474">
        <f t="shared" si="21"/>
        <v>0</v>
      </c>
      <c r="AO88" s="474">
        <f t="shared" si="22"/>
        <v>0</v>
      </c>
      <c r="AP88" s="474">
        <f t="shared" si="23"/>
        <v>0</v>
      </c>
      <c r="AQ88" s="474">
        <f t="shared" si="24"/>
        <v>0</v>
      </c>
      <c r="AR88" s="475">
        <f t="shared" si="25"/>
        <v>0</v>
      </c>
      <c r="AS88" s="618">
        <f t="shared" si="17"/>
        <v>100000</v>
      </c>
      <c r="AT88" s="484">
        <f t="shared" si="26"/>
        <v>0</v>
      </c>
      <c r="AU88" s="656">
        <v>0</v>
      </c>
      <c r="AV88" s="637" t="s">
        <v>1762</v>
      </c>
      <c r="AW88" s="489" t="s">
        <v>33</v>
      </c>
      <c r="AX88" s="513">
        <f t="shared" si="27"/>
        <v>0</v>
      </c>
      <c r="AY88" s="515">
        <f t="shared" si="34"/>
        <v>0</v>
      </c>
      <c r="AZ88" s="513">
        <f t="shared" si="18"/>
        <v>0</v>
      </c>
      <c r="BA88" s="513">
        <f t="shared" si="29"/>
        <v>0</v>
      </c>
      <c r="BB88" s="513">
        <f t="shared" si="30"/>
        <v>0</v>
      </c>
      <c r="BC88" s="513">
        <f t="shared" si="31"/>
        <v>0</v>
      </c>
      <c r="BD88" s="292">
        <f>EXP(VLOOKUP(AV88,Vol_coef,3,FALSE)+G88)*'Data vol'!$J$7</f>
        <v>0.10828376975109819</v>
      </c>
      <c r="BE88" s="642">
        <f>P88*V88*AU88*(VLOOKUP(AW88,Mineralization!B11:C12,2,FALSE))</f>
        <v>0</v>
      </c>
    </row>
    <row r="89" spans="1:57" ht="15.75">
      <c r="A89" s="272" t="s">
        <v>1512</v>
      </c>
      <c r="B89" s="272" t="s">
        <v>308</v>
      </c>
      <c r="C89" s="272" t="s">
        <v>309</v>
      </c>
      <c r="D89" s="248" t="s">
        <v>68</v>
      </c>
      <c r="E89" s="272" t="s">
        <v>1523</v>
      </c>
      <c r="F89" s="396" t="s">
        <v>1494</v>
      </c>
      <c r="G89" s="273">
        <v>0.995</v>
      </c>
      <c r="H89" s="294">
        <v>5</v>
      </c>
      <c r="I89" s="376"/>
      <c r="J89" s="412"/>
      <c r="K89" s="412"/>
      <c r="L89" s="412"/>
      <c r="M89" s="412"/>
      <c r="N89" s="412"/>
      <c r="O89" s="421">
        <v>4.4999999999999997E-3</v>
      </c>
      <c r="P89" s="438">
        <f t="shared" si="32"/>
        <v>4.0127230361200576E-3</v>
      </c>
      <c r="Q89" s="431">
        <v>2E-3</v>
      </c>
      <c r="R89" s="442"/>
      <c r="S89" s="431">
        <v>3.2000000000000002E-3</v>
      </c>
      <c r="T89" s="446"/>
      <c r="U89" s="446"/>
      <c r="V89" s="454">
        <v>4.2000000000000003E-2</v>
      </c>
      <c r="W89" s="462"/>
      <c r="X89" s="415"/>
      <c r="Y89" s="446"/>
      <c r="Z89" s="462"/>
      <c r="AA89" s="446"/>
      <c r="AB89" s="415"/>
      <c r="AC89" s="413"/>
      <c r="AD89" s="414"/>
      <c r="AE89" s="414"/>
      <c r="AF89" s="297"/>
      <c r="AG89" s="297"/>
      <c r="AH89" s="297"/>
      <c r="AI89" s="468"/>
      <c r="AJ89" s="471" t="s">
        <v>1493</v>
      </c>
      <c r="AK89" s="472">
        <v>0</v>
      </c>
      <c r="AL89" s="473">
        <v>0</v>
      </c>
      <c r="AM89" s="474">
        <f t="shared" si="33"/>
        <v>0</v>
      </c>
      <c r="AN89" s="474">
        <f t="shared" si="21"/>
        <v>0</v>
      </c>
      <c r="AO89" s="474">
        <f t="shared" si="22"/>
        <v>0</v>
      </c>
      <c r="AP89" s="474">
        <f t="shared" si="23"/>
        <v>0</v>
      </c>
      <c r="AQ89" s="474">
        <f t="shared" si="24"/>
        <v>0</v>
      </c>
      <c r="AR89" s="475">
        <f t="shared" si="25"/>
        <v>0</v>
      </c>
      <c r="AS89" s="618">
        <f t="shared" si="17"/>
        <v>100000</v>
      </c>
      <c r="AT89" s="484">
        <f t="shared" si="26"/>
        <v>0</v>
      </c>
      <c r="AU89" s="656">
        <v>0</v>
      </c>
      <c r="AV89" s="637" t="s">
        <v>1762</v>
      </c>
      <c r="AW89" s="489" t="s">
        <v>33</v>
      </c>
      <c r="AX89" s="513">
        <f t="shared" si="27"/>
        <v>0</v>
      </c>
      <c r="AY89" s="515">
        <f t="shared" si="34"/>
        <v>0</v>
      </c>
      <c r="AZ89" s="513">
        <f t="shared" si="18"/>
        <v>0</v>
      </c>
      <c r="BA89" s="513">
        <f t="shared" si="29"/>
        <v>0</v>
      </c>
      <c r="BB89" s="513">
        <f t="shared" si="30"/>
        <v>0</v>
      </c>
      <c r="BC89" s="513">
        <f t="shared" si="31"/>
        <v>0</v>
      </c>
      <c r="BD89" s="292">
        <f>EXP(VLOOKUP(AV89,Vol_coef,3,FALSE)+G89)*'Data vol'!$J$7</f>
        <v>0.10828376975109819</v>
      </c>
      <c r="BE89" s="642">
        <f>P89*V89*AU89*(VLOOKUP(AW89,Mineralization!B11:C12,2,FALSE))</f>
        <v>0</v>
      </c>
    </row>
    <row r="90" spans="1:57" ht="15.75">
      <c r="A90" s="272" t="s">
        <v>1511</v>
      </c>
      <c r="B90" s="272" t="s">
        <v>310</v>
      </c>
      <c r="C90" s="272" t="s">
        <v>311</v>
      </c>
      <c r="D90" s="248" t="s">
        <v>68</v>
      </c>
      <c r="E90" s="272" t="s">
        <v>1523</v>
      </c>
      <c r="F90" s="396" t="s">
        <v>1494</v>
      </c>
      <c r="G90" s="273">
        <v>0.995</v>
      </c>
      <c r="H90" s="294">
        <v>5</v>
      </c>
      <c r="I90" s="376"/>
      <c r="J90" s="412"/>
      <c r="K90" s="412"/>
      <c r="L90" s="412"/>
      <c r="M90" s="412"/>
      <c r="N90" s="412"/>
      <c r="O90" s="421">
        <v>2.4E-2</v>
      </c>
      <c r="P90" s="438">
        <f t="shared" si="32"/>
        <v>2.1401189525973644E-2</v>
      </c>
      <c r="Q90" s="431">
        <v>2.5000000000000001E-2</v>
      </c>
      <c r="R90" s="442"/>
      <c r="S90" s="431">
        <v>0.02</v>
      </c>
      <c r="T90" s="446"/>
      <c r="U90" s="446"/>
      <c r="V90" s="454">
        <v>0.65</v>
      </c>
      <c r="W90" s="462"/>
      <c r="X90" s="415"/>
      <c r="Y90" s="446"/>
      <c r="Z90" s="462"/>
      <c r="AA90" s="446"/>
      <c r="AB90" s="415"/>
      <c r="AC90" s="413"/>
      <c r="AD90" s="414"/>
      <c r="AE90" s="414"/>
      <c r="AF90" s="297"/>
      <c r="AG90" s="297"/>
      <c r="AH90" s="297"/>
      <c r="AI90" s="468"/>
      <c r="AJ90" s="471" t="s">
        <v>1493</v>
      </c>
      <c r="AK90" s="472">
        <v>0</v>
      </c>
      <c r="AL90" s="473">
        <v>0</v>
      </c>
      <c r="AM90" s="474">
        <f t="shared" si="33"/>
        <v>0</v>
      </c>
      <c r="AN90" s="474">
        <f t="shared" si="21"/>
        <v>0</v>
      </c>
      <c r="AO90" s="474">
        <f t="shared" si="22"/>
        <v>0</v>
      </c>
      <c r="AP90" s="474">
        <f t="shared" si="23"/>
        <v>0</v>
      </c>
      <c r="AQ90" s="474">
        <f t="shared" si="24"/>
        <v>0</v>
      </c>
      <c r="AR90" s="475">
        <f t="shared" si="25"/>
        <v>0</v>
      </c>
      <c r="AS90" s="618">
        <f t="shared" si="17"/>
        <v>100000</v>
      </c>
      <c r="AT90" s="484">
        <f t="shared" si="26"/>
        <v>0</v>
      </c>
      <c r="AU90" s="656">
        <v>1</v>
      </c>
      <c r="AV90" s="637" t="s">
        <v>1762</v>
      </c>
      <c r="AW90" s="489" t="s">
        <v>33</v>
      </c>
      <c r="AX90" s="513">
        <f t="shared" si="27"/>
        <v>0</v>
      </c>
      <c r="AY90" s="515">
        <f t="shared" si="34"/>
        <v>1.32E-2</v>
      </c>
      <c r="AZ90" s="513">
        <f t="shared" si="18"/>
        <v>2.1401189525973644E-2</v>
      </c>
      <c r="BA90" s="513">
        <f t="shared" si="29"/>
        <v>2.5000000000000001E-2</v>
      </c>
      <c r="BB90" s="513">
        <f t="shared" si="30"/>
        <v>0.02</v>
      </c>
      <c r="BC90" s="513">
        <f t="shared" si="31"/>
        <v>0</v>
      </c>
      <c r="BD90" s="292">
        <f>EXP(VLOOKUP(AV90,Vol_coef,3,FALSE)+G90)*'Data vol'!$J$7</f>
        <v>0.10828376975109819</v>
      </c>
      <c r="BE90" s="642">
        <f>P90*V90*AU90*(VLOOKUP(AW90,Mineralization!B11:C12,2,FALSE))</f>
        <v>1.3910773191882869E-2</v>
      </c>
    </row>
    <row r="91" spans="1:57" ht="15.75">
      <c r="A91" s="272" t="s">
        <v>1510</v>
      </c>
      <c r="B91" s="272" t="s">
        <v>312</v>
      </c>
      <c r="C91" s="272" t="s">
        <v>313</v>
      </c>
      <c r="D91" s="248" t="s">
        <v>68</v>
      </c>
      <c r="E91" s="272" t="s">
        <v>1523</v>
      </c>
      <c r="F91" s="396" t="s">
        <v>1494</v>
      </c>
      <c r="G91" s="273">
        <v>0.995</v>
      </c>
      <c r="H91" s="294">
        <v>5</v>
      </c>
      <c r="I91" s="376"/>
      <c r="J91" s="412"/>
      <c r="K91" s="412"/>
      <c r="L91" s="412"/>
      <c r="M91" s="412"/>
      <c r="N91" s="412"/>
      <c r="O91" s="421">
        <v>1.32E-2</v>
      </c>
      <c r="P91" s="438">
        <f t="shared" si="32"/>
        <v>1.1770654239285503E-2</v>
      </c>
      <c r="Q91" s="431">
        <v>4.7000000000000002E-3</v>
      </c>
      <c r="R91" s="442"/>
      <c r="S91" s="431">
        <v>5.3E-3</v>
      </c>
      <c r="T91" s="446"/>
      <c r="U91" s="446"/>
      <c r="V91" s="454">
        <v>0.65</v>
      </c>
      <c r="W91" s="462"/>
      <c r="X91" s="415"/>
      <c r="Y91" s="446"/>
      <c r="Z91" s="462"/>
      <c r="AA91" s="446"/>
      <c r="AB91" s="415"/>
      <c r="AC91" s="413"/>
      <c r="AD91" s="414"/>
      <c r="AE91" s="414"/>
      <c r="AF91" s="297"/>
      <c r="AG91" s="297"/>
      <c r="AH91" s="297"/>
      <c r="AI91" s="468"/>
      <c r="AJ91" s="471" t="s">
        <v>1493</v>
      </c>
      <c r="AK91" s="472">
        <v>0</v>
      </c>
      <c r="AL91" s="473">
        <v>0</v>
      </c>
      <c r="AM91" s="474">
        <f t="shared" si="33"/>
        <v>0</v>
      </c>
      <c r="AN91" s="474">
        <f t="shared" si="21"/>
        <v>0</v>
      </c>
      <c r="AO91" s="474">
        <f t="shared" si="22"/>
        <v>0</v>
      </c>
      <c r="AP91" s="474">
        <f t="shared" si="23"/>
        <v>0</v>
      </c>
      <c r="AQ91" s="474">
        <f t="shared" si="24"/>
        <v>0</v>
      </c>
      <c r="AR91" s="475">
        <f t="shared" si="25"/>
        <v>0</v>
      </c>
      <c r="AS91" s="618">
        <f t="shared" si="17"/>
        <v>100000</v>
      </c>
      <c r="AT91" s="484">
        <f t="shared" si="26"/>
        <v>0</v>
      </c>
      <c r="AU91" s="656"/>
      <c r="AV91" s="637" t="s">
        <v>1762</v>
      </c>
      <c r="AW91" s="489" t="s">
        <v>33</v>
      </c>
      <c r="AX91" s="513">
        <f t="shared" si="27"/>
        <v>0</v>
      </c>
      <c r="AY91" s="515">
        <f t="shared" si="34"/>
        <v>0</v>
      </c>
      <c r="AZ91" s="513">
        <f t="shared" si="18"/>
        <v>0</v>
      </c>
      <c r="BA91" s="513">
        <f t="shared" si="29"/>
        <v>0</v>
      </c>
      <c r="BB91" s="513">
        <f t="shared" si="30"/>
        <v>0</v>
      </c>
      <c r="BC91" s="513">
        <f t="shared" si="31"/>
        <v>0</v>
      </c>
      <c r="BD91" s="292">
        <f>EXP(VLOOKUP(AV91,Vol_coef,3,FALSE)+G91)*'Data vol'!$J$7</f>
        <v>0.10828376975109819</v>
      </c>
      <c r="BE91" s="642">
        <f>P91*V91*AU91*(VLOOKUP(AW91,Mineralization!B11:C12,2,FALSE))</f>
        <v>0</v>
      </c>
    </row>
    <row r="92" spans="1:57" ht="15.75">
      <c r="A92" s="272" t="s">
        <v>1509</v>
      </c>
      <c r="B92" s="272" t="s">
        <v>314</v>
      </c>
      <c r="C92" s="272" t="s">
        <v>315</v>
      </c>
      <c r="D92" s="248" t="s">
        <v>68</v>
      </c>
      <c r="E92" s="272" t="s">
        <v>1523</v>
      </c>
      <c r="F92" s="396" t="s">
        <v>1494</v>
      </c>
      <c r="G92" s="273">
        <v>0.995</v>
      </c>
      <c r="H92" s="294">
        <v>5</v>
      </c>
      <c r="I92" s="376"/>
      <c r="J92" s="412"/>
      <c r="K92" s="412"/>
      <c r="L92" s="412"/>
      <c r="M92" s="412"/>
      <c r="N92" s="412"/>
      <c r="O92" s="421">
        <v>1.9800000000000002E-2</v>
      </c>
      <c r="P92" s="438">
        <f t="shared" si="32"/>
        <v>1.7655981358928256E-2</v>
      </c>
      <c r="Q92" s="431">
        <v>6.6E-3</v>
      </c>
      <c r="R92" s="442"/>
      <c r="S92" s="431">
        <v>8.6999999999999994E-3</v>
      </c>
      <c r="T92" s="446"/>
      <c r="U92" s="446"/>
      <c r="V92" s="454">
        <v>0.65</v>
      </c>
      <c r="W92" s="462"/>
      <c r="X92" s="415"/>
      <c r="Y92" s="446"/>
      <c r="Z92" s="462"/>
      <c r="AA92" s="446"/>
      <c r="AB92" s="415"/>
      <c r="AC92" s="413"/>
      <c r="AD92" s="414"/>
      <c r="AE92" s="414"/>
      <c r="AF92" s="297"/>
      <c r="AG92" s="297"/>
      <c r="AH92" s="297"/>
      <c r="AI92" s="468"/>
      <c r="AJ92" s="471" t="s">
        <v>1493</v>
      </c>
      <c r="AK92" s="472">
        <v>0</v>
      </c>
      <c r="AL92" s="473">
        <v>0</v>
      </c>
      <c r="AM92" s="474">
        <f t="shared" si="33"/>
        <v>0</v>
      </c>
      <c r="AN92" s="474">
        <f t="shared" si="21"/>
        <v>0</v>
      </c>
      <c r="AO92" s="474">
        <f t="shared" si="22"/>
        <v>0</v>
      </c>
      <c r="AP92" s="474">
        <f t="shared" si="23"/>
        <v>0</v>
      </c>
      <c r="AQ92" s="474">
        <f t="shared" si="24"/>
        <v>0</v>
      </c>
      <c r="AR92" s="475">
        <f t="shared" si="25"/>
        <v>0</v>
      </c>
      <c r="AS92" s="618">
        <f t="shared" si="17"/>
        <v>100000</v>
      </c>
      <c r="AT92" s="484">
        <f t="shared" si="26"/>
        <v>0</v>
      </c>
      <c r="AU92" s="656">
        <v>0</v>
      </c>
      <c r="AV92" s="637" t="s">
        <v>1762</v>
      </c>
      <c r="AW92" s="489" t="s">
        <v>33</v>
      </c>
      <c r="AX92" s="513">
        <f t="shared" si="27"/>
        <v>0</v>
      </c>
      <c r="AY92" s="515">
        <f t="shared" si="34"/>
        <v>0</v>
      </c>
      <c r="AZ92" s="513">
        <f t="shared" si="18"/>
        <v>0</v>
      </c>
      <c r="BA92" s="513">
        <f t="shared" si="29"/>
        <v>0</v>
      </c>
      <c r="BB92" s="513">
        <f t="shared" si="30"/>
        <v>0</v>
      </c>
      <c r="BC92" s="513">
        <f t="shared" si="31"/>
        <v>0</v>
      </c>
      <c r="BD92" s="292">
        <f>EXP(VLOOKUP(AV92,Vol_coef,3,FALSE)+G92)*'Data vol'!$J$7</f>
        <v>0.10828376975109819</v>
      </c>
      <c r="BE92" s="642">
        <f>P92*V92*AU92*(VLOOKUP(AW92,Mineralization!B11:C12,2,FALSE))</f>
        <v>0</v>
      </c>
    </row>
    <row r="93" spans="1:57" ht="15.75">
      <c r="A93" s="272" t="s">
        <v>1508</v>
      </c>
      <c r="B93" s="272" t="s">
        <v>316</v>
      </c>
      <c r="C93" s="272" t="s">
        <v>317</v>
      </c>
      <c r="D93" s="248" t="s">
        <v>68</v>
      </c>
      <c r="E93" s="272" t="s">
        <v>1523</v>
      </c>
      <c r="F93" s="396" t="s">
        <v>1494</v>
      </c>
      <c r="G93" s="273">
        <v>0.995</v>
      </c>
      <c r="H93" s="294">
        <v>11</v>
      </c>
      <c r="I93" s="376"/>
      <c r="J93" s="412"/>
      <c r="K93" s="412"/>
      <c r="L93" s="412"/>
      <c r="M93" s="412"/>
      <c r="N93" s="412"/>
      <c r="O93" s="421">
        <v>1.89E-2</v>
      </c>
      <c r="P93" s="438">
        <f t="shared" si="32"/>
        <v>1.6853436751704243E-2</v>
      </c>
      <c r="Q93" s="431">
        <v>7.7999999999999996E-3</v>
      </c>
      <c r="R93" s="442"/>
      <c r="S93" s="431">
        <v>9.1000000000000004E-3</v>
      </c>
      <c r="T93" s="446"/>
      <c r="U93" s="446"/>
      <c r="V93" s="454">
        <v>0.65</v>
      </c>
      <c r="W93" s="462"/>
      <c r="X93" s="415"/>
      <c r="Y93" s="446"/>
      <c r="Z93" s="462"/>
      <c r="AA93" s="446"/>
      <c r="AB93" s="415"/>
      <c r="AC93" s="413"/>
      <c r="AD93" s="414"/>
      <c r="AE93" s="414"/>
      <c r="AF93" s="297"/>
      <c r="AG93" s="297"/>
      <c r="AH93" s="297"/>
      <c r="AI93" s="468"/>
      <c r="AJ93" s="471" t="s">
        <v>1493</v>
      </c>
      <c r="AK93" s="472">
        <v>0</v>
      </c>
      <c r="AL93" s="473">
        <v>0</v>
      </c>
      <c r="AM93" s="474">
        <f t="shared" si="33"/>
        <v>0</v>
      </c>
      <c r="AN93" s="474">
        <f t="shared" si="21"/>
        <v>0</v>
      </c>
      <c r="AO93" s="474">
        <f t="shared" si="22"/>
        <v>0</v>
      </c>
      <c r="AP93" s="474">
        <f t="shared" si="23"/>
        <v>0</v>
      </c>
      <c r="AQ93" s="474">
        <f t="shared" si="24"/>
        <v>0</v>
      </c>
      <c r="AR93" s="475">
        <f t="shared" si="25"/>
        <v>0</v>
      </c>
      <c r="AS93" s="618">
        <f t="shared" si="17"/>
        <v>100000</v>
      </c>
      <c r="AT93" s="484">
        <f t="shared" si="26"/>
        <v>0</v>
      </c>
      <c r="AU93" s="656">
        <v>0</v>
      </c>
      <c r="AV93" s="637" t="s">
        <v>1762</v>
      </c>
      <c r="AW93" s="489" t="s">
        <v>1744</v>
      </c>
      <c r="AX93" s="513">
        <f t="shared" si="27"/>
        <v>0</v>
      </c>
      <c r="AY93" s="515">
        <f t="shared" si="34"/>
        <v>0</v>
      </c>
      <c r="AZ93" s="513">
        <f t="shared" si="18"/>
        <v>0</v>
      </c>
      <c r="BA93" s="513">
        <f t="shared" si="29"/>
        <v>0</v>
      </c>
      <c r="BB93" s="513">
        <f t="shared" si="30"/>
        <v>0</v>
      </c>
      <c r="BC93" s="513">
        <f t="shared" si="31"/>
        <v>0</v>
      </c>
      <c r="BD93" s="292">
        <f>EXP(VLOOKUP(AV93,Vol_coef,3,FALSE)+G93)*'Data vol'!$J$7</f>
        <v>0.10828376975109819</v>
      </c>
      <c r="BE93" s="642">
        <f>P93*V93*AU93*(VLOOKUP(AW93,Mineralization!B11:C12,2,FALSE))</f>
        <v>0</v>
      </c>
    </row>
    <row r="94" spans="1:57" ht="15.75">
      <c r="A94" s="272" t="s">
        <v>1507</v>
      </c>
      <c r="B94" s="272" t="s">
        <v>318</v>
      </c>
      <c r="C94" s="272" t="s">
        <v>319</v>
      </c>
      <c r="D94" s="248" t="s">
        <v>68</v>
      </c>
      <c r="E94" s="272" t="s">
        <v>1523</v>
      </c>
      <c r="F94" s="396" t="s">
        <v>1494</v>
      </c>
      <c r="G94" s="273">
        <v>0.995</v>
      </c>
      <c r="H94" s="294">
        <v>2</v>
      </c>
      <c r="I94" s="376"/>
      <c r="J94" s="412"/>
      <c r="K94" s="412"/>
      <c r="L94" s="412"/>
      <c r="M94" s="412"/>
      <c r="N94" s="412"/>
      <c r="O94" s="421">
        <v>1.01E-2</v>
      </c>
      <c r="P94" s="438">
        <f t="shared" si="32"/>
        <v>9.0063339255139069E-3</v>
      </c>
      <c r="Q94" s="431">
        <v>4.4999999999999997E-3</v>
      </c>
      <c r="R94" s="442"/>
      <c r="S94" s="431">
        <v>5.5999999999999999E-3</v>
      </c>
      <c r="T94" s="446"/>
      <c r="U94" s="446"/>
      <c r="V94" s="454">
        <v>0.65</v>
      </c>
      <c r="W94" s="462"/>
      <c r="X94" s="415"/>
      <c r="Y94" s="446"/>
      <c r="Z94" s="462"/>
      <c r="AA94" s="446"/>
      <c r="AB94" s="415"/>
      <c r="AC94" s="413"/>
      <c r="AD94" s="414"/>
      <c r="AE94" s="414"/>
      <c r="AF94" s="297"/>
      <c r="AG94" s="297"/>
      <c r="AH94" s="297"/>
      <c r="AI94" s="468"/>
      <c r="AJ94" s="471" t="s">
        <v>1493</v>
      </c>
      <c r="AK94" s="472">
        <v>0</v>
      </c>
      <c r="AL94" s="473">
        <v>0</v>
      </c>
      <c r="AM94" s="474">
        <f t="shared" si="33"/>
        <v>0</v>
      </c>
      <c r="AN94" s="474">
        <f t="shared" si="21"/>
        <v>0</v>
      </c>
      <c r="AO94" s="474">
        <f t="shared" si="22"/>
        <v>0</v>
      </c>
      <c r="AP94" s="474">
        <f t="shared" si="23"/>
        <v>0</v>
      </c>
      <c r="AQ94" s="474">
        <f t="shared" si="24"/>
        <v>0</v>
      </c>
      <c r="AR94" s="475">
        <f t="shared" si="25"/>
        <v>0</v>
      </c>
      <c r="AS94" s="618">
        <f t="shared" si="17"/>
        <v>100000</v>
      </c>
      <c r="AT94" s="484">
        <f t="shared" si="26"/>
        <v>0</v>
      </c>
      <c r="AU94" s="656">
        <v>0</v>
      </c>
      <c r="AV94" s="637" t="s">
        <v>1762</v>
      </c>
      <c r="AW94" s="489" t="s">
        <v>33</v>
      </c>
      <c r="AX94" s="513">
        <f t="shared" si="27"/>
        <v>0</v>
      </c>
      <c r="AY94" s="515">
        <f t="shared" si="34"/>
        <v>0</v>
      </c>
      <c r="AZ94" s="513">
        <f t="shared" si="18"/>
        <v>0</v>
      </c>
      <c r="BA94" s="513">
        <f t="shared" si="29"/>
        <v>0</v>
      </c>
      <c r="BB94" s="513">
        <f t="shared" si="30"/>
        <v>0</v>
      </c>
      <c r="BC94" s="513">
        <f t="shared" si="31"/>
        <v>0</v>
      </c>
      <c r="BD94" s="292">
        <f>EXP(VLOOKUP(AV94,Vol_coef,3,FALSE)+G94)*'Data vol'!$J$7</f>
        <v>0.10828376975109819</v>
      </c>
      <c r="BE94" s="642">
        <f>P94*V94*AU94*(VLOOKUP(AW94,Mineralization!B11:C12,2,FALSE))</f>
        <v>0</v>
      </c>
    </row>
    <row r="95" spans="1:57" ht="15.75">
      <c r="A95" s="272" t="s">
        <v>1506</v>
      </c>
      <c r="B95" s="272" t="s">
        <v>320</v>
      </c>
      <c r="C95" s="272" t="s">
        <v>321</v>
      </c>
      <c r="D95" s="248" t="s">
        <v>68</v>
      </c>
      <c r="E95" s="272" t="s">
        <v>1523</v>
      </c>
      <c r="F95" s="396" t="s">
        <v>1494</v>
      </c>
      <c r="G95" s="273">
        <v>0.995</v>
      </c>
      <c r="H95" s="294">
        <v>2</v>
      </c>
      <c r="I95" s="376"/>
      <c r="J95" s="412"/>
      <c r="K95" s="412"/>
      <c r="L95" s="412"/>
      <c r="M95" s="412"/>
      <c r="N95" s="412"/>
      <c r="O95" s="421">
        <v>1.0999999999999999E-2</v>
      </c>
      <c r="P95" s="438">
        <f t="shared" si="32"/>
        <v>9.8088785327379198E-3</v>
      </c>
      <c r="Q95" s="431">
        <v>2.5999999999999999E-3</v>
      </c>
      <c r="R95" s="442"/>
      <c r="S95" s="431">
        <v>4.1000000000000003E-3</v>
      </c>
      <c r="T95" s="446"/>
      <c r="U95" s="446"/>
      <c r="V95" s="454">
        <v>0.65</v>
      </c>
      <c r="W95" s="462"/>
      <c r="X95" s="415"/>
      <c r="Y95" s="446"/>
      <c r="Z95" s="462"/>
      <c r="AA95" s="446"/>
      <c r="AB95" s="415"/>
      <c r="AC95" s="413"/>
      <c r="AD95" s="414"/>
      <c r="AE95" s="414"/>
      <c r="AF95" s="297"/>
      <c r="AG95" s="297"/>
      <c r="AH95" s="297"/>
      <c r="AI95" s="468"/>
      <c r="AJ95" s="471" t="s">
        <v>1493</v>
      </c>
      <c r="AK95" s="472">
        <v>0</v>
      </c>
      <c r="AL95" s="473">
        <v>0</v>
      </c>
      <c r="AM95" s="474">
        <f t="shared" si="33"/>
        <v>0</v>
      </c>
      <c r="AN95" s="474">
        <f t="shared" si="21"/>
        <v>0</v>
      </c>
      <c r="AO95" s="474">
        <f t="shared" si="22"/>
        <v>0</v>
      </c>
      <c r="AP95" s="474">
        <f t="shared" si="23"/>
        <v>0</v>
      </c>
      <c r="AQ95" s="474">
        <f t="shared" si="24"/>
        <v>0</v>
      </c>
      <c r="AR95" s="475">
        <f t="shared" si="25"/>
        <v>0</v>
      </c>
      <c r="AS95" s="618">
        <f t="shared" si="17"/>
        <v>100000</v>
      </c>
      <c r="AT95" s="484">
        <f t="shared" si="26"/>
        <v>0</v>
      </c>
      <c r="AU95" s="656">
        <v>0</v>
      </c>
      <c r="AV95" s="637" t="s">
        <v>1762</v>
      </c>
      <c r="AW95" s="489" t="s">
        <v>33</v>
      </c>
      <c r="AX95" s="513">
        <f t="shared" si="27"/>
        <v>0</v>
      </c>
      <c r="AY95" s="515">
        <f t="shared" si="34"/>
        <v>0</v>
      </c>
      <c r="AZ95" s="513">
        <f t="shared" si="18"/>
        <v>0</v>
      </c>
      <c r="BA95" s="513">
        <f t="shared" si="29"/>
        <v>0</v>
      </c>
      <c r="BB95" s="513">
        <f t="shared" si="30"/>
        <v>0</v>
      </c>
      <c r="BC95" s="513">
        <f t="shared" si="31"/>
        <v>0</v>
      </c>
      <c r="BD95" s="292">
        <f>EXP(VLOOKUP(AV95,Vol_coef,3,FALSE)+G95)*'Data vol'!$J$7</f>
        <v>0.10828376975109819</v>
      </c>
      <c r="BE95" s="642">
        <f>P95*V95*AU95*(VLOOKUP(AW95,Mineralization!B11:C12,2,FALSE))</f>
        <v>0</v>
      </c>
    </row>
    <row r="96" spans="1:57" ht="15.75">
      <c r="A96" s="272" t="s">
        <v>1505</v>
      </c>
      <c r="B96" s="272" t="s">
        <v>322</v>
      </c>
      <c r="C96" s="272" t="s">
        <v>323</v>
      </c>
      <c r="D96" s="248" t="s">
        <v>68</v>
      </c>
      <c r="E96" s="272" t="s">
        <v>1523</v>
      </c>
      <c r="F96" s="396" t="s">
        <v>1494</v>
      </c>
      <c r="G96" s="273">
        <v>0.995</v>
      </c>
      <c r="H96" s="294" t="s">
        <v>1497</v>
      </c>
      <c r="I96" s="376"/>
      <c r="J96" s="412"/>
      <c r="K96" s="412"/>
      <c r="L96" s="412"/>
      <c r="M96" s="412"/>
      <c r="N96" s="412"/>
      <c r="O96" s="421">
        <v>5.7000000000000002E-3</v>
      </c>
      <c r="P96" s="438">
        <f t="shared" si="32"/>
        <v>5.0827825124187404E-3</v>
      </c>
      <c r="Q96" s="431">
        <v>1.1000000000000001E-3</v>
      </c>
      <c r="R96" s="442"/>
      <c r="S96" s="431">
        <v>4.4999999999999997E-3</v>
      </c>
      <c r="T96" s="446"/>
      <c r="U96" s="446"/>
      <c r="V96" s="454">
        <v>0.2</v>
      </c>
      <c r="W96" s="462"/>
      <c r="X96" s="415"/>
      <c r="Y96" s="446"/>
      <c r="Z96" s="462"/>
      <c r="AA96" s="446"/>
      <c r="AB96" s="415"/>
      <c r="AC96" s="413"/>
      <c r="AD96" s="414"/>
      <c r="AE96" s="414"/>
      <c r="AF96" s="297"/>
      <c r="AG96" s="297"/>
      <c r="AH96" s="297"/>
      <c r="AI96" s="468"/>
      <c r="AJ96" s="471" t="s">
        <v>1493</v>
      </c>
      <c r="AK96" s="472">
        <v>0</v>
      </c>
      <c r="AL96" s="473">
        <v>0</v>
      </c>
      <c r="AM96" s="474">
        <f t="shared" si="33"/>
        <v>0</v>
      </c>
      <c r="AN96" s="474">
        <f t="shared" si="21"/>
        <v>0</v>
      </c>
      <c r="AO96" s="474">
        <f t="shared" si="22"/>
        <v>0</v>
      </c>
      <c r="AP96" s="474">
        <f t="shared" si="23"/>
        <v>0</v>
      </c>
      <c r="AQ96" s="474">
        <f t="shared" si="24"/>
        <v>0</v>
      </c>
      <c r="AR96" s="475">
        <f t="shared" si="25"/>
        <v>0</v>
      </c>
      <c r="AS96" s="618">
        <f t="shared" si="17"/>
        <v>100000</v>
      </c>
      <c r="AT96" s="484">
        <f t="shared" si="26"/>
        <v>0</v>
      </c>
      <c r="AU96" s="656">
        <v>0</v>
      </c>
      <c r="AV96" s="637" t="s">
        <v>1762</v>
      </c>
      <c r="AW96" s="489" t="s">
        <v>33</v>
      </c>
      <c r="AX96" s="513">
        <f t="shared" si="27"/>
        <v>0</v>
      </c>
      <c r="AY96" s="515">
        <f t="shared" si="34"/>
        <v>0</v>
      </c>
      <c r="AZ96" s="513">
        <f t="shared" si="18"/>
        <v>0</v>
      </c>
      <c r="BA96" s="513">
        <f t="shared" si="29"/>
        <v>0</v>
      </c>
      <c r="BB96" s="513">
        <f t="shared" si="30"/>
        <v>0</v>
      </c>
      <c r="BC96" s="513">
        <f t="shared" si="31"/>
        <v>0</v>
      </c>
      <c r="BD96" s="292">
        <f>EXP(VLOOKUP(AV96,Vol_coef,3,FALSE)+G96)*'Data vol'!$J$7</f>
        <v>0.10828376975109819</v>
      </c>
      <c r="BE96" s="642">
        <f>P96*V96*AU96*(VLOOKUP(AW96,Mineralization!B11:C12,2,FALSE))</f>
        <v>0</v>
      </c>
    </row>
    <row r="97" spans="1:62" ht="15.75">
      <c r="A97" s="272" t="s">
        <v>1504</v>
      </c>
      <c r="B97" s="272" t="s">
        <v>324</v>
      </c>
      <c r="C97" s="272" t="s">
        <v>325</v>
      </c>
      <c r="D97" s="248" t="s">
        <v>68</v>
      </c>
      <c r="E97" s="272" t="s">
        <v>1523</v>
      </c>
      <c r="F97" s="396" t="s">
        <v>1494</v>
      </c>
      <c r="G97" s="273">
        <v>0.995</v>
      </c>
      <c r="H97" s="294">
        <v>11</v>
      </c>
      <c r="I97" s="376"/>
      <c r="J97" s="412"/>
      <c r="K97" s="412"/>
      <c r="L97" s="412"/>
      <c r="M97" s="412"/>
      <c r="N97" s="412"/>
      <c r="O97" s="421">
        <v>6.4999999999999997E-3</v>
      </c>
      <c r="P97" s="438">
        <f t="shared" si="32"/>
        <v>5.7961554966178613E-3</v>
      </c>
      <c r="Q97" s="431">
        <v>4.0000000000000001E-3</v>
      </c>
      <c r="R97" s="442"/>
      <c r="S97" s="431">
        <v>0.01</v>
      </c>
      <c r="T97" s="446"/>
      <c r="U97" s="446"/>
      <c r="V97" s="454">
        <v>0.2</v>
      </c>
      <c r="W97" s="462"/>
      <c r="X97" s="415"/>
      <c r="Y97" s="446"/>
      <c r="Z97" s="462"/>
      <c r="AA97" s="446"/>
      <c r="AB97" s="415"/>
      <c r="AC97" s="413"/>
      <c r="AD97" s="414"/>
      <c r="AE97" s="414"/>
      <c r="AF97" s="297"/>
      <c r="AG97" s="297"/>
      <c r="AH97" s="297"/>
      <c r="AI97" s="468"/>
      <c r="AJ97" s="471" t="s">
        <v>1493</v>
      </c>
      <c r="AK97" s="472">
        <v>0</v>
      </c>
      <c r="AL97" s="473">
        <v>0</v>
      </c>
      <c r="AM97" s="474">
        <f t="shared" si="33"/>
        <v>0</v>
      </c>
      <c r="AN97" s="474">
        <f t="shared" si="21"/>
        <v>0</v>
      </c>
      <c r="AO97" s="474">
        <f t="shared" si="22"/>
        <v>0</v>
      </c>
      <c r="AP97" s="474">
        <f t="shared" si="23"/>
        <v>0</v>
      </c>
      <c r="AQ97" s="474">
        <f t="shared" si="24"/>
        <v>0</v>
      </c>
      <c r="AR97" s="475">
        <f t="shared" si="25"/>
        <v>0</v>
      </c>
      <c r="AS97" s="618">
        <f t="shared" si="17"/>
        <v>100000</v>
      </c>
      <c r="AT97" s="484">
        <f t="shared" si="26"/>
        <v>0</v>
      </c>
      <c r="AU97" s="656">
        <v>250</v>
      </c>
      <c r="AV97" s="637" t="s">
        <v>1762</v>
      </c>
      <c r="AW97" s="489" t="s">
        <v>33</v>
      </c>
      <c r="AX97" s="513">
        <f t="shared" si="27"/>
        <v>0</v>
      </c>
      <c r="AY97" s="515">
        <f t="shared" si="34"/>
        <v>2.4750000000000001</v>
      </c>
      <c r="AZ97" s="513">
        <f t="shared" si="18"/>
        <v>1.4490388741544653</v>
      </c>
      <c r="BA97" s="513">
        <f t="shared" si="29"/>
        <v>1</v>
      </c>
      <c r="BB97" s="513">
        <f t="shared" si="30"/>
        <v>2.5</v>
      </c>
      <c r="BC97" s="513">
        <f t="shared" si="31"/>
        <v>0</v>
      </c>
      <c r="BD97" s="292">
        <f>EXP(VLOOKUP(AV97,Vol_coef,3,FALSE)+G97)*'Data vol'!$J$7</f>
        <v>0.10828376975109819</v>
      </c>
      <c r="BE97" s="642">
        <f>P97*V97*AU97*(VLOOKUP(AW97,Mineralization!B11:C12,2,FALSE))</f>
        <v>0.28980777483089309</v>
      </c>
    </row>
    <row r="98" spans="1:62" ht="15.75">
      <c r="A98" s="272" t="s">
        <v>1503</v>
      </c>
      <c r="B98" s="272" t="s">
        <v>326</v>
      </c>
      <c r="C98" s="272" t="s">
        <v>327</v>
      </c>
      <c r="D98" s="248" t="s">
        <v>68</v>
      </c>
      <c r="E98" s="272" t="s">
        <v>1523</v>
      </c>
      <c r="F98" s="396" t="s">
        <v>1494</v>
      </c>
      <c r="G98" s="273">
        <v>0.995</v>
      </c>
      <c r="H98" s="294">
        <v>20</v>
      </c>
      <c r="I98" s="376"/>
      <c r="J98" s="412"/>
      <c r="K98" s="412"/>
      <c r="L98" s="412"/>
      <c r="M98" s="412"/>
      <c r="N98" s="412"/>
      <c r="O98" s="421">
        <v>9.9000000000000008E-3</v>
      </c>
      <c r="P98" s="438">
        <f t="shared" si="32"/>
        <v>8.8279906794641282E-3</v>
      </c>
      <c r="Q98" s="431">
        <v>2.3999999999999998E-3</v>
      </c>
      <c r="R98" s="442"/>
      <c r="S98" s="431">
        <v>8.8999999999999999E-3</v>
      </c>
      <c r="T98" s="446"/>
      <c r="U98" s="446"/>
      <c r="V98" s="454">
        <v>0.2</v>
      </c>
      <c r="W98" s="462"/>
      <c r="X98" s="415"/>
      <c r="Y98" s="446"/>
      <c r="Z98" s="462"/>
      <c r="AA98" s="446"/>
      <c r="AB98" s="415"/>
      <c r="AC98" s="413"/>
      <c r="AD98" s="414"/>
      <c r="AE98" s="414"/>
      <c r="AF98" s="297"/>
      <c r="AG98" s="297"/>
      <c r="AH98" s="297"/>
      <c r="AI98" s="468"/>
      <c r="AJ98" s="471" t="s">
        <v>1493</v>
      </c>
      <c r="AK98" s="472">
        <v>0</v>
      </c>
      <c r="AL98" s="473">
        <v>0</v>
      </c>
      <c r="AM98" s="474">
        <f t="shared" si="33"/>
        <v>0</v>
      </c>
      <c r="AN98" s="474">
        <f t="shared" si="21"/>
        <v>0</v>
      </c>
      <c r="AO98" s="474">
        <f t="shared" si="22"/>
        <v>0</v>
      </c>
      <c r="AP98" s="474">
        <f t="shared" si="23"/>
        <v>0</v>
      </c>
      <c r="AQ98" s="474">
        <f t="shared" si="24"/>
        <v>0</v>
      </c>
      <c r="AR98" s="475">
        <f t="shared" si="25"/>
        <v>0</v>
      </c>
      <c r="AS98" s="618">
        <f t="shared" si="17"/>
        <v>100000</v>
      </c>
      <c r="AT98" s="484">
        <f t="shared" si="26"/>
        <v>0</v>
      </c>
      <c r="AU98" s="656">
        <v>0</v>
      </c>
      <c r="AV98" s="637" t="s">
        <v>1762</v>
      </c>
      <c r="AW98" s="489" t="s">
        <v>33</v>
      </c>
      <c r="AX98" s="513">
        <f t="shared" si="27"/>
        <v>0</v>
      </c>
      <c r="AY98" s="515">
        <f t="shared" si="34"/>
        <v>0</v>
      </c>
      <c r="AZ98" s="513">
        <f t="shared" si="18"/>
        <v>0</v>
      </c>
      <c r="BA98" s="513">
        <f t="shared" si="29"/>
        <v>0</v>
      </c>
      <c r="BB98" s="513">
        <f t="shared" si="30"/>
        <v>0</v>
      </c>
      <c r="BC98" s="513">
        <f t="shared" si="31"/>
        <v>0</v>
      </c>
      <c r="BD98" s="292">
        <f>EXP(VLOOKUP(AV98,Vol_coef,3,FALSE)+G98)*'Data vol'!$J$7</f>
        <v>0.10828376975109819</v>
      </c>
      <c r="BE98" s="642">
        <f>P98*V98*AU98*(VLOOKUP(AW98,Mineralization!B11:C12,2,FALSE))</f>
        <v>0</v>
      </c>
    </row>
    <row r="99" spans="1:62" ht="15.75">
      <c r="A99" s="272" t="s">
        <v>1502</v>
      </c>
      <c r="B99" s="272" t="s">
        <v>328</v>
      </c>
      <c r="C99" s="272" t="s">
        <v>329</v>
      </c>
      <c r="D99" s="248" t="s">
        <v>68</v>
      </c>
      <c r="E99" s="272" t="s">
        <v>1523</v>
      </c>
      <c r="F99" s="396" t="s">
        <v>1494</v>
      </c>
      <c r="G99" s="273">
        <v>0.995</v>
      </c>
      <c r="H99" s="294">
        <v>5</v>
      </c>
      <c r="I99" s="376"/>
      <c r="J99" s="412"/>
      <c r="K99" s="412"/>
      <c r="L99" s="412"/>
      <c r="M99" s="412"/>
      <c r="N99" s="412"/>
      <c r="O99" s="421">
        <v>1.5599999999999999E-2</v>
      </c>
      <c r="P99" s="438">
        <f t="shared" si="32"/>
        <v>1.3910773191882867E-2</v>
      </c>
      <c r="Q99" s="431">
        <v>5.3E-3</v>
      </c>
      <c r="R99" s="442"/>
      <c r="S99" s="431">
        <v>7.1000000000000004E-3</v>
      </c>
      <c r="T99" s="446"/>
      <c r="U99" s="446"/>
      <c r="V99" s="454">
        <v>0.66</v>
      </c>
      <c r="W99" s="462"/>
      <c r="X99" s="415"/>
      <c r="Y99" s="446"/>
      <c r="Z99" s="462"/>
      <c r="AA99" s="446"/>
      <c r="AB99" s="415"/>
      <c r="AC99" s="413"/>
      <c r="AD99" s="414"/>
      <c r="AE99" s="414"/>
      <c r="AF99" s="297"/>
      <c r="AG99" s="297"/>
      <c r="AH99" s="297"/>
      <c r="AI99" s="468"/>
      <c r="AJ99" s="471" t="s">
        <v>1493</v>
      </c>
      <c r="AK99" s="472">
        <v>0</v>
      </c>
      <c r="AL99" s="473">
        <v>0</v>
      </c>
      <c r="AM99" s="474">
        <f t="shared" si="33"/>
        <v>0</v>
      </c>
      <c r="AN99" s="474">
        <f t="shared" si="21"/>
        <v>0</v>
      </c>
      <c r="AO99" s="474">
        <f t="shared" si="22"/>
        <v>0</v>
      </c>
      <c r="AP99" s="474">
        <f t="shared" si="23"/>
        <v>0</v>
      </c>
      <c r="AQ99" s="474">
        <f t="shared" si="24"/>
        <v>0</v>
      </c>
      <c r="AR99" s="475">
        <f t="shared" si="25"/>
        <v>0</v>
      </c>
      <c r="AS99" s="618">
        <f t="shared" si="17"/>
        <v>100000</v>
      </c>
      <c r="AT99" s="484">
        <f t="shared" si="26"/>
        <v>0</v>
      </c>
      <c r="AU99" s="656">
        <v>0</v>
      </c>
      <c r="AV99" s="637" t="s">
        <v>1762</v>
      </c>
      <c r="AW99" s="489" t="s">
        <v>33</v>
      </c>
      <c r="AX99" s="513">
        <f t="shared" si="27"/>
        <v>0</v>
      </c>
      <c r="AY99" s="515">
        <f t="shared" si="34"/>
        <v>0</v>
      </c>
      <c r="AZ99" s="513">
        <f t="shared" si="18"/>
        <v>0</v>
      </c>
      <c r="BA99" s="513">
        <f t="shared" si="29"/>
        <v>0</v>
      </c>
      <c r="BB99" s="513">
        <f t="shared" si="30"/>
        <v>0</v>
      </c>
      <c r="BC99" s="513">
        <f t="shared" si="31"/>
        <v>0</v>
      </c>
      <c r="BD99" s="292">
        <f>EXP(VLOOKUP(AV99,Vol_coef,3,FALSE)+G99)*'Data vol'!$J$7</f>
        <v>0.10828376975109819</v>
      </c>
      <c r="BE99" s="642">
        <f>P99*V99*AU99*(VLOOKUP(AW99,Mineralization!B11:C12,2,FALSE))</f>
        <v>0</v>
      </c>
    </row>
    <row r="100" spans="1:62" ht="15.75">
      <c r="A100" s="272" t="s">
        <v>1501</v>
      </c>
      <c r="B100" s="272" t="s">
        <v>330</v>
      </c>
      <c r="C100" s="272" t="s">
        <v>331</v>
      </c>
      <c r="D100" s="248" t="s">
        <v>68</v>
      </c>
      <c r="E100" s="272" t="s">
        <v>1523</v>
      </c>
      <c r="F100" s="396" t="s">
        <v>1494</v>
      </c>
      <c r="G100" s="273">
        <v>0.995</v>
      </c>
      <c r="H100" s="294">
        <v>10.8</v>
      </c>
      <c r="I100" s="376"/>
      <c r="J100" s="412"/>
      <c r="K100" s="412"/>
      <c r="L100" s="412"/>
      <c r="M100" s="412"/>
      <c r="N100" s="412"/>
      <c r="O100" s="421">
        <v>3.5999999999999999E-3</v>
      </c>
      <c r="P100" s="438">
        <f t="shared" si="32"/>
        <v>3.2101784288960464E-3</v>
      </c>
      <c r="Q100" s="431">
        <v>2.5999999999999999E-3</v>
      </c>
      <c r="R100" s="442"/>
      <c r="S100" s="431">
        <v>6.0000000000000001E-3</v>
      </c>
      <c r="T100" s="446"/>
      <c r="U100" s="446"/>
      <c r="V100" s="454">
        <v>0.5</v>
      </c>
      <c r="W100" s="462"/>
      <c r="X100" s="415"/>
      <c r="Y100" s="446"/>
      <c r="Z100" s="462"/>
      <c r="AA100" s="446"/>
      <c r="AB100" s="415"/>
      <c r="AC100" s="413"/>
      <c r="AD100" s="414"/>
      <c r="AE100" s="414"/>
      <c r="AF100" s="297"/>
      <c r="AG100" s="297"/>
      <c r="AH100" s="297"/>
      <c r="AI100" s="468"/>
      <c r="AJ100" s="471" t="s">
        <v>1493</v>
      </c>
      <c r="AK100" s="472">
        <v>0</v>
      </c>
      <c r="AL100" s="473">
        <v>0</v>
      </c>
      <c r="AM100" s="474">
        <f t="shared" si="33"/>
        <v>0</v>
      </c>
      <c r="AN100" s="474">
        <f t="shared" si="21"/>
        <v>0</v>
      </c>
      <c r="AO100" s="474">
        <f t="shared" si="22"/>
        <v>0</v>
      </c>
      <c r="AP100" s="474">
        <f t="shared" si="23"/>
        <v>0</v>
      </c>
      <c r="AQ100" s="474">
        <f t="shared" si="24"/>
        <v>0</v>
      </c>
      <c r="AR100" s="475">
        <f t="shared" si="25"/>
        <v>0</v>
      </c>
      <c r="AS100" s="618">
        <f t="shared" si="17"/>
        <v>100000</v>
      </c>
      <c r="AT100" s="484">
        <f t="shared" si="26"/>
        <v>0</v>
      </c>
      <c r="AU100" s="656">
        <v>0</v>
      </c>
      <c r="AV100" s="637" t="s">
        <v>1762</v>
      </c>
      <c r="AW100" s="489" t="s">
        <v>33</v>
      </c>
      <c r="AX100" s="513">
        <f t="shared" si="27"/>
        <v>0</v>
      </c>
      <c r="AY100" s="515">
        <f t="shared" si="34"/>
        <v>0</v>
      </c>
      <c r="AZ100" s="513">
        <f t="shared" si="18"/>
        <v>0</v>
      </c>
      <c r="BA100" s="513">
        <f t="shared" si="29"/>
        <v>0</v>
      </c>
      <c r="BB100" s="513">
        <f t="shared" si="30"/>
        <v>0</v>
      </c>
      <c r="BC100" s="513">
        <f t="shared" si="31"/>
        <v>0</v>
      </c>
      <c r="BD100" s="292">
        <f>EXP(VLOOKUP(AV100,Vol_coef,3,FALSE)+G100)*'Data vol'!$J$7</f>
        <v>0.10828376975109819</v>
      </c>
      <c r="BE100" s="642">
        <f>P100*V100*AU100*(VLOOKUP(AW100,Mineralization!B11:C12,2,FALSE))</f>
        <v>0</v>
      </c>
    </row>
    <row r="101" spans="1:62" ht="15.75">
      <c r="A101" s="272" t="s">
        <v>1500</v>
      </c>
      <c r="B101" s="272" t="s">
        <v>332</v>
      </c>
      <c r="C101" s="272" t="s">
        <v>333</v>
      </c>
      <c r="D101" s="248" t="s">
        <v>68</v>
      </c>
      <c r="E101" s="272" t="s">
        <v>1523</v>
      </c>
      <c r="F101" s="396" t="s">
        <v>1494</v>
      </c>
      <c r="G101" s="273">
        <v>0.995</v>
      </c>
      <c r="H101" s="294">
        <v>0.02</v>
      </c>
      <c r="I101" s="376"/>
      <c r="J101" s="412"/>
      <c r="K101" s="412"/>
      <c r="L101" s="412"/>
      <c r="M101" s="412"/>
      <c r="N101" s="412"/>
      <c r="O101" s="421">
        <v>0.01</v>
      </c>
      <c r="P101" s="438">
        <f t="shared" si="32"/>
        <v>8.9171623024890175E-3</v>
      </c>
      <c r="Q101" s="431">
        <v>1.2E-2</v>
      </c>
      <c r="R101" s="442"/>
      <c r="S101" s="431">
        <v>1E-3</v>
      </c>
      <c r="T101" s="446"/>
      <c r="U101" s="446"/>
      <c r="V101" s="454">
        <v>0.5</v>
      </c>
      <c r="W101" s="462"/>
      <c r="X101" s="415"/>
      <c r="Y101" s="446"/>
      <c r="Z101" s="462"/>
      <c r="AA101" s="446"/>
      <c r="AB101" s="415"/>
      <c r="AC101" s="413"/>
      <c r="AD101" s="414"/>
      <c r="AE101" s="414"/>
      <c r="AF101" s="297"/>
      <c r="AG101" s="297"/>
      <c r="AH101" s="297"/>
      <c r="AI101" s="468"/>
      <c r="AJ101" s="471" t="s">
        <v>1493</v>
      </c>
      <c r="AK101" s="472">
        <v>0</v>
      </c>
      <c r="AL101" s="473">
        <v>0</v>
      </c>
      <c r="AM101" s="474">
        <f t="shared" si="33"/>
        <v>0</v>
      </c>
      <c r="AN101" s="474">
        <f t="shared" si="21"/>
        <v>0</v>
      </c>
      <c r="AO101" s="474">
        <f t="shared" si="22"/>
        <v>0</v>
      </c>
      <c r="AP101" s="474">
        <f t="shared" si="23"/>
        <v>0</v>
      </c>
      <c r="AQ101" s="474">
        <f t="shared" si="24"/>
        <v>0</v>
      </c>
      <c r="AR101" s="475">
        <f t="shared" si="25"/>
        <v>0</v>
      </c>
      <c r="AS101" s="618">
        <f t="shared" si="17"/>
        <v>100000</v>
      </c>
      <c r="AT101" s="484">
        <f t="shared" si="26"/>
        <v>0</v>
      </c>
      <c r="AU101" s="656">
        <v>0</v>
      </c>
      <c r="AV101" s="637" t="s">
        <v>1762</v>
      </c>
      <c r="AW101" s="489" t="s">
        <v>33</v>
      </c>
      <c r="AX101" s="513">
        <f t="shared" si="27"/>
        <v>0</v>
      </c>
      <c r="AY101" s="515">
        <f t="shared" si="34"/>
        <v>0</v>
      </c>
      <c r="AZ101" s="513">
        <f t="shared" si="18"/>
        <v>0</v>
      </c>
      <c r="BA101" s="513">
        <f t="shared" si="29"/>
        <v>0</v>
      </c>
      <c r="BB101" s="513">
        <f t="shared" si="30"/>
        <v>0</v>
      </c>
      <c r="BC101" s="513">
        <f t="shared" si="31"/>
        <v>0</v>
      </c>
      <c r="BD101" s="292">
        <f>EXP(VLOOKUP(AV101,Vol_coef,3,FALSE)+G101)*'Data vol'!$J$7</f>
        <v>0.10828376975109819</v>
      </c>
      <c r="BE101" s="642">
        <f>P101*V101*AU101*(VLOOKUP(AW101,Mineralization!B11:C12,2,FALSE))</f>
        <v>0</v>
      </c>
    </row>
    <row r="102" spans="1:62" ht="15.75">
      <c r="A102" s="272" t="s">
        <v>1499</v>
      </c>
      <c r="B102" s="272" t="s">
        <v>334</v>
      </c>
      <c r="C102" s="272" t="s">
        <v>335</v>
      </c>
      <c r="D102" s="248" t="s">
        <v>68</v>
      </c>
      <c r="E102" s="272" t="s">
        <v>1523</v>
      </c>
      <c r="F102" s="396" t="s">
        <v>1494</v>
      </c>
      <c r="G102" s="273">
        <v>0.995</v>
      </c>
      <c r="H102" s="294">
        <v>1</v>
      </c>
      <c r="I102" s="376"/>
      <c r="J102" s="412"/>
      <c r="K102" s="412"/>
      <c r="L102" s="412"/>
      <c r="M102" s="412"/>
      <c r="N102" s="412"/>
      <c r="O102" s="421">
        <v>0.01</v>
      </c>
      <c r="P102" s="438">
        <f t="shared" si="32"/>
        <v>8.9171623024890175E-3</v>
      </c>
      <c r="Q102" s="431">
        <v>0.01</v>
      </c>
      <c r="R102" s="442"/>
      <c r="S102" s="431">
        <v>7.0000000000000001E-3</v>
      </c>
      <c r="T102" s="446"/>
      <c r="U102" s="446"/>
      <c r="V102" s="454">
        <v>0.65</v>
      </c>
      <c r="W102" s="462"/>
      <c r="X102" s="415"/>
      <c r="Y102" s="446"/>
      <c r="Z102" s="462"/>
      <c r="AA102" s="446"/>
      <c r="AB102" s="415"/>
      <c r="AC102" s="413"/>
      <c r="AD102" s="414"/>
      <c r="AE102" s="414"/>
      <c r="AF102" s="297"/>
      <c r="AG102" s="297"/>
      <c r="AH102" s="297"/>
      <c r="AI102" s="468"/>
      <c r="AJ102" s="471" t="s">
        <v>1493</v>
      </c>
      <c r="AK102" s="472">
        <v>0</v>
      </c>
      <c r="AL102" s="473">
        <v>0</v>
      </c>
      <c r="AM102" s="474">
        <f t="shared" si="33"/>
        <v>0</v>
      </c>
      <c r="AN102" s="474">
        <f t="shared" si="21"/>
        <v>0</v>
      </c>
      <c r="AO102" s="474">
        <f t="shared" si="22"/>
        <v>0</v>
      </c>
      <c r="AP102" s="474">
        <f t="shared" si="23"/>
        <v>0</v>
      </c>
      <c r="AQ102" s="474">
        <f t="shared" si="24"/>
        <v>0</v>
      </c>
      <c r="AR102" s="475">
        <f t="shared" si="25"/>
        <v>0</v>
      </c>
      <c r="AS102" s="618">
        <f t="shared" si="17"/>
        <v>100000</v>
      </c>
      <c r="AT102" s="484">
        <f t="shared" si="26"/>
        <v>0</v>
      </c>
      <c r="AU102" s="656">
        <v>0</v>
      </c>
      <c r="AV102" s="637" t="s">
        <v>1762</v>
      </c>
      <c r="AW102" s="489" t="s">
        <v>33</v>
      </c>
      <c r="AX102" s="513">
        <f t="shared" si="27"/>
        <v>0</v>
      </c>
      <c r="AY102" s="515">
        <f t="shared" si="34"/>
        <v>0</v>
      </c>
      <c r="AZ102" s="513">
        <f t="shared" si="18"/>
        <v>0</v>
      </c>
      <c r="BA102" s="513">
        <f t="shared" si="29"/>
        <v>0</v>
      </c>
      <c r="BB102" s="513">
        <f t="shared" si="30"/>
        <v>0</v>
      </c>
      <c r="BC102" s="513">
        <f t="shared" si="31"/>
        <v>0</v>
      </c>
      <c r="BD102" s="292">
        <f>EXP(VLOOKUP(AV102,Vol_coef,3,FALSE)+G102)*'Data vol'!$J$7</f>
        <v>0.10828376975109819</v>
      </c>
      <c r="BE102" s="642">
        <f>P102*V102*AU102*(VLOOKUP(AW102,Mineralization!B11:C12,2,FALSE))</f>
        <v>0</v>
      </c>
    </row>
    <row r="103" spans="1:62" ht="15.75">
      <c r="A103" s="272" t="s">
        <v>1498</v>
      </c>
      <c r="B103" s="272" t="s">
        <v>336</v>
      </c>
      <c r="C103" s="272" t="s">
        <v>337</v>
      </c>
      <c r="D103" s="248" t="s">
        <v>68</v>
      </c>
      <c r="E103" s="272" t="s">
        <v>1523</v>
      </c>
      <c r="F103" s="396" t="s">
        <v>1494</v>
      </c>
      <c r="G103" s="273">
        <v>0.995</v>
      </c>
      <c r="H103" s="294" t="s">
        <v>1497</v>
      </c>
      <c r="I103" s="376"/>
      <c r="J103" s="412"/>
      <c r="K103" s="412"/>
      <c r="L103" s="412"/>
      <c r="M103" s="412"/>
      <c r="N103" s="412"/>
      <c r="O103" s="421">
        <v>8.5000000000000006E-3</v>
      </c>
      <c r="P103" s="438">
        <f t="shared" si="32"/>
        <v>7.5795879571156658E-3</v>
      </c>
      <c r="Q103" s="431">
        <v>1.2999999999999999E-2</v>
      </c>
      <c r="R103" s="442"/>
      <c r="S103" s="431">
        <v>7.4999999999999997E-3</v>
      </c>
      <c r="T103" s="446"/>
      <c r="U103" s="446"/>
      <c r="V103" s="454">
        <v>0.66</v>
      </c>
      <c r="W103" s="462"/>
      <c r="X103" s="415"/>
      <c r="Y103" s="446"/>
      <c r="Z103" s="462"/>
      <c r="AA103" s="446"/>
      <c r="AB103" s="415"/>
      <c r="AC103" s="413"/>
      <c r="AD103" s="414"/>
      <c r="AE103" s="414"/>
      <c r="AF103" s="297"/>
      <c r="AG103" s="297"/>
      <c r="AH103" s="297"/>
      <c r="AI103" s="468"/>
      <c r="AJ103" s="471" t="s">
        <v>1493</v>
      </c>
      <c r="AK103" s="472">
        <v>0</v>
      </c>
      <c r="AL103" s="473">
        <v>0</v>
      </c>
      <c r="AM103" s="474">
        <f t="shared" si="33"/>
        <v>0</v>
      </c>
      <c r="AN103" s="474">
        <f t="shared" si="21"/>
        <v>0</v>
      </c>
      <c r="AO103" s="474">
        <f t="shared" si="22"/>
        <v>0</v>
      </c>
      <c r="AP103" s="474">
        <f t="shared" si="23"/>
        <v>0</v>
      </c>
      <c r="AQ103" s="474">
        <f t="shared" si="24"/>
        <v>0</v>
      </c>
      <c r="AR103" s="475">
        <f t="shared" si="25"/>
        <v>0</v>
      </c>
      <c r="AS103" s="618">
        <f t="shared" si="17"/>
        <v>100000</v>
      </c>
      <c r="AT103" s="484">
        <f t="shared" si="26"/>
        <v>0</v>
      </c>
      <c r="AU103" s="656">
        <v>0</v>
      </c>
      <c r="AV103" s="637" t="s">
        <v>1762</v>
      </c>
      <c r="AW103" s="489" t="s">
        <v>33</v>
      </c>
      <c r="AX103" s="513">
        <f t="shared" si="27"/>
        <v>0</v>
      </c>
      <c r="AY103" s="515">
        <f t="shared" si="34"/>
        <v>0</v>
      </c>
      <c r="AZ103" s="513">
        <f t="shared" si="18"/>
        <v>0</v>
      </c>
      <c r="BA103" s="513">
        <f t="shared" si="29"/>
        <v>0</v>
      </c>
      <c r="BB103" s="513">
        <f t="shared" si="30"/>
        <v>0</v>
      </c>
      <c r="BC103" s="513">
        <f t="shared" si="31"/>
        <v>0</v>
      </c>
      <c r="BD103" s="292">
        <f>EXP(VLOOKUP(AV103,Vol_coef,3,FALSE)+G103)*'Data vol'!$J$7</f>
        <v>0.10828376975109819</v>
      </c>
      <c r="BE103" s="642">
        <f>P103*V103*AU103*(VLOOKUP(AW103,Mineralization!B11:C12,2,FALSE))</f>
        <v>0</v>
      </c>
    </row>
    <row r="104" spans="1:62" ht="15.75">
      <c r="A104" s="272" t="s">
        <v>1496</v>
      </c>
      <c r="B104" s="272" t="s">
        <v>338</v>
      </c>
      <c r="C104" s="272" t="s">
        <v>339</v>
      </c>
      <c r="D104" s="248" t="s">
        <v>68</v>
      </c>
      <c r="E104" s="272" t="s">
        <v>1523</v>
      </c>
      <c r="F104" s="396" t="s">
        <v>1494</v>
      </c>
      <c r="G104" s="273">
        <v>0.995</v>
      </c>
      <c r="H104" s="294">
        <v>2</v>
      </c>
      <c r="I104" s="376"/>
      <c r="J104" s="412"/>
      <c r="K104" s="412"/>
      <c r="L104" s="412"/>
      <c r="M104" s="412"/>
      <c r="N104" s="412"/>
      <c r="O104" s="421">
        <v>6.0000000000000001E-3</v>
      </c>
      <c r="P104" s="438">
        <f t="shared" si="32"/>
        <v>5.350297381493411E-3</v>
      </c>
      <c r="Q104" s="431">
        <v>4.0000000000000001E-3</v>
      </c>
      <c r="R104" s="442"/>
      <c r="S104" s="431">
        <v>3.5000000000000001E-3</v>
      </c>
      <c r="T104" s="446"/>
      <c r="U104" s="446"/>
      <c r="V104" s="454">
        <v>4.2000000000000003E-2</v>
      </c>
      <c r="W104" s="462"/>
      <c r="X104" s="415"/>
      <c r="Y104" s="446"/>
      <c r="Z104" s="462"/>
      <c r="AA104" s="446"/>
      <c r="AB104" s="415"/>
      <c r="AC104" s="413"/>
      <c r="AD104" s="414"/>
      <c r="AE104" s="414"/>
      <c r="AF104" s="297"/>
      <c r="AG104" s="297"/>
      <c r="AH104" s="297"/>
      <c r="AI104" s="468"/>
      <c r="AJ104" s="471" t="s">
        <v>1493</v>
      </c>
      <c r="AK104" s="472">
        <v>0</v>
      </c>
      <c r="AL104" s="473">
        <v>0</v>
      </c>
      <c r="AM104" s="474">
        <f t="shared" si="33"/>
        <v>0</v>
      </c>
      <c r="AN104" s="474">
        <f t="shared" si="21"/>
        <v>0</v>
      </c>
      <c r="AO104" s="474">
        <f t="shared" si="22"/>
        <v>0</v>
      </c>
      <c r="AP104" s="474">
        <f t="shared" si="23"/>
        <v>0</v>
      </c>
      <c r="AQ104" s="474">
        <f t="shared" si="24"/>
        <v>0</v>
      </c>
      <c r="AR104" s="475">
        <f t="shared" si="25"/>
        <v>0</v>
      </c>
      <c r="AS104" s="618">
        <f t="shared" si="17"/>
        <v>100000</v>
      </c>
      <c r="AT104" s="484">
        <f t="shared" si="26"/>
        <v>0</v>
      </c>
      <c r="AU104" s="656">
        <v>0</v>
      </c>
      <c r="AV104" s="637" t="s">
        <v>1762</v>
      </c>
      <c r="AW104" s="489" t="s">
        <v>33</v>
      </c>
      <c r="AX104" s="513">
        <f t="shared" si="27"/>
        <v>0</v>
      </c>
      <c r="AY104" s="515">
        <f t="shared" si="34"/>
        <v>0</v>
      </c>
      <c r="AZ104" s="513">
        <f t="shared" si="18"/>
        <v>0</v>
      </c>
      <c r="BA104" s="513">
        <f t="shared" si="29"/>
        <v>0</v>
      </c>
      <c r="BB104" s="513">
        <f t="shared" si="30"/>
        <v>0</v>
      </c>
      <c r="BC104" s="513">
        <f t="shared" si="31"/>
        <v>0</v>
      </c>
      <c r="BD104" s="292">
        <f>EXP(VLOOKUP(AV104,Vol_coef,3,FALSE)+G104)*'Data vol'!$J$7</f>
        <v>0.10828376975109819</v>
      </c>
      <c r="BE104" s="642">
        <f>P104*V104*AU104*(VLOOKUP(AW104,Mineralization!B11:C12,2,FALSE))</f>
        <v>0</v>
      </c>
    </row>
    <row r="105" spans="1:62" s="512" customFormat="1" ht="16.5" thickBot="1">
      <c r="A105" s="490" t="s">
        <v>1495</v>
      </c>
      <c r="B105" s="490" t="s">
        <v>340</v>
      </c>
      <c r="C105" s="490" t="s">
        <v>341</v>
      </c>
      <c r="D105" s="491" t="s">
        <v>68</v>
      </c>
      <c r="E105" s="490" t="s">
        <v>1523</v>
      </c>
      <c r="F105" s="492" t="s">
        <v>1494</v>
      </c>
      <c r="G105" s="493">
        <v>0.995</v>
      </c>
      <c r="H105" s="494">
        <v>2</v>
      </c>
      <c r="I105" s="495"/>
      <c r="J105" s="496"/>
      <c r="K105" s="496"/>
      <c r="L105" s="496"/>
      <c r="M105" s="496"/>
      <c r="N105" s="496"/>
      <c r="O105" s="497">
        <v>5.0000000000000001E-3</v>
      </c>
      <c r="P105" s="498">
        <f t="shared" si="32"/>
        <v>4.4585811512445088E-3</v>
      </c>
      <c r="Q105" s="499">
        <v>2.5000000000000001E-3</v>
      </c>
      <c r="R105" s="500"/>
      <c r="S105" s="499">
        <v>5.0000000000000001E-3</v>
      </c>
      <c r="T105" s="501"/>
      <c r="U105" s="501"/>
      <c r="V105" s="502">
        <v>0.08</v>
      </c>
      <c r="W105" s="503"/>
      <c r="X105" s="504"/>
      <c r="Y105" s="501"/>
      <c r="Z105" s="503"/>
      <c r="AA105" s="501"/>
      <c r="AB105" s="504"/>
      <c r="AC105" s="505"/>
      <c r="AD105" s="506"/>
      <c r="AE105" s="506"/>
      <c r="AF105" s="507"/>
      <c r="AG105" s="507"/>
      <c r="AH105" s="507"/>
      <c r="AI105" s="508"/>
      <c r="AJ105" s="471" t="s">
        <v>1493</v>
      </c>
      <c r="AK105" s="480">
        <v>0</v>
      </c>
      <c r="AL105" s="481">
        <v>0</v>
      </c>
      <c r="AM105" s="482">
        <f t="shared" si="33"/>
        <v>0</v>
      </c>
      <c r="AN105" s="482">
        <f t="shared" si="21"/>
        <v>0</v>
      </c>
      <c r="AO105" s="482">
        <f t="shared" si="22"/>
        <v>0</v>
      </c>
      <c r="AP105" s="482">
        <f t="shared" si="23"/>
        <v>0</v>
      </c>
      <c r="AQ105" s="482">
        <f t="shared" si="24"/>
        <v>0</v>
      </c>
      <c r="AR105" s="483">
        <f t="shared" si="25"/>
        <v>0</v>
      </c>
      <c r="AS105" s="620">
        <f t="shared" si="17"/>
        <v>100000</v>
      </c>
      <c r="AT105" s="509">
        <f t="shared" si="26"/>
        <v>0</v>
      </c>
      <c r="AU105" s="657">
        <v>0</v>
      </c>
      <c r="AV105" s="638" t="s">
        <v>1762</v>
      </c>
      <c r="AW105" s="510" t="s">
        <v>33</v>
      </c>
      <c r="AX105" s="516">
        <f t="shared" si="27"/>
        <v>0</v>
      </c>
      <c r="AY105" s="517">
        <f>$AU105*$O108</f>
        <v>0</v>
      </c>
      <c r="AZ105" s="516">
        <f t="shared" si="18"/>
        <v>0</v>
      </c>
      <c r="BA105" s="516">
        <f t="shared" si="29"/>
        <v>0</v>
      </c>
      <c r="BB105" s="516">
        <f t="shared" si="30"/>
        <v>0</v>
      </c>
      <c r="BC105" s="516">
        <f t="shared" si="31"/>
        <v>0</v>
      </c>
      <c r="BD105" s="511">
        <f>EXP(VLOOKUP(AV105,Vol_coef,3,FALSE)+G105)*'Data vol'!$J$7</f>
        <v>0.10828376975109819</v>
      </c>
      <c r="BE105" s="643">
        <f>P105*V105*AU105*(VLOOKUP(AW105,Mineralization!B11:C12,2,FALSE))</f>
        <v>0</v>
      </c>
    </row>
    <row r="106" spans="1:62" ht="15.75">
      <c r="A106" s="272"/>
      <c r="B106" s="272"/>
      <c r="C106" s="272"/>
      <c r="D106" s="272"/>
      <c r="E106" s="272"/>
      <c r="F106" s="272"/>
      <c r="G106" s="272"/>
      <c r="H106" s="272"/>
      <c r="I106" s="272"/>
      <c r="J106" s="272"/>
      <c r="K106" s="272"/>
      <c r="L106" s="272"/>
      <c r="M106" s="272"/>
      <c r="N106" s="272"/>
      <c r="O106" s="272"/>
      <c r="P106" s="272"/>
      <c r="Q106" s="272"/>
      <c r="R106" s="272"/>
      <c r="S106" s="272"/>
      <c r="T106" s="272"/>
      <c r="U106" s="272"/>
      <c r="V106" s="272"/>
      <c r="W106" s="272"/>
      <c r="X106" s="272"/>
      <c r="Y106" s="272"/>
      <c r="Z106" s="272"/>
      <c r="AA106" s="272"/>
      <c r="AB106" s="272"/>
      <c r="AC106" s="272"/>
      <c r="AD106" s="272"/>
      <c r="AE106" s="272"/>
      <c r="AF106" s="272"/>
      <c r="AG106" s="272"/>
      <c r="AH106" s="272"/>
      <c r="AI106" s="272"/>
      <c r="AJ106" s="272"/>
      <c r="AK106" s="272"/>
      <c r="AL106" s="272"/>
      <c r="AM106" s="272"/>
      <c r="AN106" s="272"/>
      <c r="AO106" s="272"/>
      <c r="AP106" s="272"/>
      <c r="AQ106" s="272"/>
      <c r="AR106" s="272"/>
      <c r="AS106" s="272"/>
      <c r="AT106" s="272"/>
      <c r="AU106" s="272"/>
      <c r="AV106" s="639"/>
      <c r="AW106" s="272"/>
      <c r="AX106" s="272"/>
      <c r="AY106" s="272"/>
      <c r="AZ106" s="272"/>
      <c r="BA106" s="272"/>
      <c r="BB106" s="272"/>
      <c r="BC106" s="272"/>
      <c r="BD106" s="272"/>
      <c r="BE106" s="644"/>
      <c r="BF106" s="272"/>
      <c r="BG106" s="272"/>
      <c r="BH106" s="272"/>
      <c r="BI106" s="272"/>
      <c r="BJ106" s="272"/>
    </row>
    <row r="107" spans="1:62" ht="15.75">
      <c r="A107" s="272"/>
      <c r="B107" s="272"/>
      <c r="C107" s="272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 s="272"/>
      <c r="AI107"/>
      <c r="AJ107" s="271"/>
      <c r="AL107" s="272"/>
      <c r="AM107" s="518" t="s">
        <v>1754</v>
      </c>
      <c r="AN107" s="518" t="s">
        <v>1772</v>
      </c>
      <c r="AO107" s="518" t="s">
        <v>1773</v>
      </c>
      <c r="AP107" s="518" t="s">
        <v>9</v>
      </c>
      <c r="AQ107" s="518" t="s">
        <v>10</v>
      </c>
      <c r="AR107" s="518" t="s">
        <v>1694</v>
      </c>
      <c r="AS107" s="272"/>
      <c r="AT107" s="518" t="s">
        <v>1774</v>
      </c>
      <c r="AU107"/>
      <c r="AV107" s="639"/>
      <c r="AW107" s="336"/>
      <c r="AX107" s="333" t="s">
        <v>1772</v>
      </c>
      <c r="AY107" s="332" t="s">
        <v>1754</v>
      </c>
      <c r="AZ107" s="332" t="s">
        <v>1773</v>
      </c>
      <c r="BA107" s="332" t="s">
        <v>9</v>
      </c>
      <c r="BB107" s="332" t="s">
        <v>10</v>
      </c>
      <c r="BC107" s="332" t="s">
        <v>1694</v>
      </c>
      <c r="BD107" s="272"/>
      <c r="BE107" s="92" t="s">
        <v>270</v>
      </c>
    </row>
    <row r="108" spans="1:62" ht="15" customHeight="1"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 s="734" t="s">
        <v>1701</v>
      </c>
      <c r="AI108" s="734"/>
      <c r="AJ108" s="271"/>
      <c r="AL108" s="291"/>
      <c r="AM108" s="520">
        <f t="shared" ref="AM108:AR108" si="35">SUM(AM5:AM105)</f>
        <v>3.9790393202565614E-15</v>
      </c>
      <c r="AN108" s="520">
        <f t="shared" si="35"/>
        <v>0</v>
      </c>
      <c r="AO108" s="520">
        <f t="shared" si="35"/>
        <v>3.5377080856817261E-15</v>
      </c>
      <c r="AP108" s="520">
        <f t="shared" si="35"/>
        <v>0</v>
      </c>
      <c r="AQ108" s="520">
        <f t="shared" si="35"/>
        <v>108</v>
      </c>
      <c r="AR108" s="520">
        <f t="shared" si="35"/>
        <v>4.5474735088646413E-15</v>
      </c>
      <c r="AS108"/>
      <c r="AT108" s="523">
        <f t="shared" ref="AT108" si="36">SUM(AT5:AT105)</f>
        <v>78.84</v>
      </c>
      <c r="AU108"/>
      <c r="AX108" s="520">
        <f t="shared" ref="AX108" si="37">SUM(AX5:AX105)</f>
        <v>127.5</v>
      </c>
      <c r="AY108" s="520">
        <f t="shared" ref="AY108:AZ108" si="38">SUM(AY5:AY105)</f>
        <v>364.70820000000003</v>
      </c>
      <c r="AZ108" s="520">
        <f t="shared" si="38"/>
        <v>337.01708775132795</v>
      </c>
      <c r="BA108" s="520">
        <f t="shared" ref="BA108" si="39">SUM(BA5:BA105)</f>
        <v>92.025000000000006</v>
      </c>
      <c r="BB108" s="520">
        <f t="shared" ref="BB108" si="40">SUM(BB5:BB105)</f>
        <v>142.52000000000001</v>
      </c>
      <c r="BC108" s="520">
        <f t="shared" ref="BC108" si="41">SUM(BC5:BC105)</f>
        <v>7.68</v>
      </c>
      <c r="BD108"/>
      <c r="BE108" s="660">
        <f>SUM(BE78:BE105)</f>
        <v>4.583956453217505</v>
      </c>
    </row>
    <row r="109" spans="1:62" ht="15" customHeight="1"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 s="734" t="s">
        <v>1780</v>
      </c>
      <c r="AI109" s="734"/>
      <c r="AJ109" s="271"/>
      <c r="AL109" s="291"/>
      <c r="AM109" s="291"/>
      <c r="AN109" s="337">
        <f>AJ112*AO109</f>
        <v>59.169375000000002</v>
      </c>
      <c r="AO109" s="338">
        <f>'General Balance'!C27</f>
        <v>236.67750000000001</v>
      </c>
      <c r="AP109" s="338" t="e">
        <f>VLOOKUP(PK_strategy,PK_R,3,0)</f>
        <v>#N/A</v>
      </c>
      <c r="AQ109" s="338" t="e">
        <f>VLOOKUP(PK_strategy,PK_R,4,0)</f>
        <v>#N/A</v>
      </c>
      <c r="AR109" s="339">
        <v>0</v>
      </c>
      <c r="AS109"/>
      <c r="AT109" s="486"/>
      <c r="AU109"/>
      <c r="AV109" s="600"/>
      <c r="AW109" s="271"/>
    </row>
    <row r="110" spans="1:62" ht="15" customHeight="1"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 s="734" t="s">
        <v>1760</v>
      </c>
      <c r="AI110" s="734"/>
      <c r="AJ110" s="271"/>
      <c r="AM110" s="291"/>
      <c r="AN110" s="521">
        <f>IF((AN109-AX108)&lt;0,0,AN109-AX108)</f>
        <v>0</v>
      </c>
      <c r="AO110" s="522">
        <f>IF((AO109-AZ108)&lt;0,0,AO109-AZ108)</f>
        <v>0</v>
      </c>
      <c r="AP110" s="522" t="e">
        <f>IF((AP109-BA108)&lt;0,0,AP109-BA108)</f>
        <v>#N/A</v>
      </c>
      <c r="AQ110" s="522" t="e">
        <f>IF((AQ109-BB108)&lt;0,0,AQ109-BB108)</f>
        <v>#N/A</v>
      </c>
      <c r="AR110" s="522">
        <f>IF((AR109-BC108)&lt;0,0,AR109-BC108)</f>
        <v>0</v>
      </c>
      <c r="AS110"/>
      <c r="AT110" s="486"/>
      <c r="AU110" s="271"/>
      <c r="AW110" s="271"/>
    </row>
    <row r="111" spans="1:62" ht="15" customHeight="1"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 s="734" t="s">
        <v>1756</v>
      </c>
      <c r="AI111" s="734"/>
      <c r="AJ111" s="400"/>
      <c r="AL111" s="291"/>
      <c r="AM111" s="291"/>
      <c r="AN111" s="291"/>
      <c r="AO111" s="340">
        <f>IF(AO108&gt;0.001,$AT$108/(AO108),0)</f>
        <v>0</v>
      </c>
      <c r="AP111" s="340">
        <f t="shared" ref="AP111:AR111" si="42">IF(AP108&gt;0.001,$AT$108/(AP108),0)</f>
        <v>0</v>
      </c>
      <c r="AQ111" s="340">
        <f t="shared" si="42"/>
        <v>0.73</v>
      </c>
      <c r="AR111" s="340">
        <f t="shared" si="42"/>
        <v>0</v>
      </c>
      <c r="AS111"/>
      <c r="AT111" s="486"/>
      <c r="AU111" s="271"/>
      <c r="AW111" s="271"/>
    </row>
    <row r="112" spans="1:62" ht="15" customHeight="1"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 s="734" t="s">
        <v>1757</v>
      </c>
      <c r="AI112" s="734"/>
      <c r="AJ112" s="519">
        <v>0.25</v>
      </c>
      <c r="AL112" s="291"/>
      <c r="AU112" s="271"/>
      <c r="AW112" s="271"/>
    </row>
    <row r="113" spans="4:49" ht="15" customHeight="1"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I113" s="290"/>
      <c r="AJ113" s="290"/>
      <c r="AK113" s="290"/>
      <c r="AU113" s="271"/>
      <c r="AW113" s="271"/>
    </row>
    <row r="114" spans="4:49" ht="15" customHeight="1"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I114" s="290"/>
      <c r="AJ114" s="290"/>
      <c r="AK114" s="290"/>
      <c r="AU114"/>
      <c r="AW114" s="271"/>
    </row>
    <row r="115" spans="4:49" ht="15" customHeight="1"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I115" s="290"/>
      <c r="AJ115" s="290"/>
      <c r="AK115" s="290"/>
      <c r="AU115" s="271"/>
      <c r="AW115" s="271"/>
    </row>
    <row r="116" spans="4:49" ht="15" customHeight="1"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I116" s="290"/>
      <c r="AJ116" s="290"/>
      <c r="AK116" s="290"/>
      <c r="AU116" s="271"/>
      <c r="AW116" s="271"/>
    </row>
    <row r="117" spans="4:49" ht="15" customHeight="1"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I117" s="290"/>
      <c r="AJ117" s="290"/>
      <c r="AK117" s="290"/>
      <c r="AU117" s="271"/>
      <c r="AW117" s="271"/>
    </row>
    <row r="118" spans="4:49" ht="15" customHeight="1"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I118" s="290"/>
      <c r="AJ118" s="290"/>
      <c r="AK118" s="290"/>
      <c r="AU118" s="271"/>
      <c r="AW118" s="271"/>
    </row>
    <row r="119" spans="4:49" ht="15" customHeight="1"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I119" s="290"/>
      <c r="AJ119" s="290"/>
      <c r="AK119" s="290"/>
      <c r="AU119" s="271"/>
      <c r="AW119" s="271"/>
    </row>
    <row r="120" spans="4:49" ht="15" customHeight="1"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I120" s="290"/>
      <c r="AJ120" s="290"/>
      <c r="AK120" s="290"/>
      <c r="AU120" s="271"/>
      <c r="AW120" s="271"/>
    </row>
    <row r="121" spans="4:49" ht="15" customHeight="1"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I121" s="290"/>
      <c r="AJ121" s="290"/>
      <c r="AK121" s="290"/>
      <c r="AU121" s="271"/>
      <c r="AW121" s="271"/>
    </row>
    <row r="122" spans="4:49" ht="15" customHeight="1"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I122" s="290"/>
      <c r="AJ122" s="290"/>
      <c r="AK122" s="290"/>
      <c r="AU122" s="271"/>
      <c r="AW122" s="271"/>
    </row>
    <row r="123" spans="4:49" ht="15" customHeight="1"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I123" s="290"/>
      <c r="AJ123" s="290"/>
      <c r="AK123" s="290"/>
      <c r="AU123" s="271"/>
      <c r="AW123" s="271"/>
    </row>
    <row r="124" spans="4:49" ht="15" customHeight="1"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I124" s="290"/>
      <c r="AJ124" s="290"/>
      <c r="AK124" s="290"/>
      <c r="AU124" s="271"/>
      <c r="AW124" s="271"/>
    </row>
    <row r="125" spans="4:49" ht="15" customHeight="1"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I125" s="290"/>
      <c r="AJ125" s="290"/>
      <c r="AK125" s="290"/>
      <c r="AU125" s="271"/>
      <c r="AW125" s="271"/>
    </row>
    <row r="126" spans="4:49" ht="15" customHeight="1"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I126" s="290"/>
      <c r="AJ126" s="290"/>
      <c r="AK126" s="290"/>
      <c r="AU126" s="271"/>
      <c r="AW126" s="271"/>
    </row>
    <row r="127" spans="4:49" ht="15" customHeight="1"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I127" s="290"/>
      <c r="AJ127" s="290"/>
      <c r="AK127" s="290"/>
      <c r="AU127" s="271"/>
      <c r="AW127" s="271"/>
    </row>
    <row r="128" spans="4:49" ht="15" customHeight="1"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I128" s="290"/>
      <c r="AJ128" s="290"/>
      <c r="AK128" s="290"/>
      <c r="AU128" s="271"/>
      <c r="AW128" s="271"/>
    </row>
    <row r="129" spans="3:49" ht="15" customHeight="1"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I129" s="290"/>
      <c r="AJ129" s="290"/>
      <c r="AK129" s="290"/>
      <c r="AU129" s="271"/>
      <c r="AW129" s="271"/>
    </row>
    <row r="130" spans="3:49" ht="15" customHeight="1"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I130" s="290"/>
      <c r="AJ130" s="290"/>
      <c r="AK130" s="290"/>
      <c r="AU130" s="271"/>
      <c r="AW130" s="271"/>
    </row>
    <row r="131" spans="3:49" ht="15" customHeight="1"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I131" s="290"/>
      <c r="AJ131" s="290"/>
      <c r="AK131" s="290"/>
      <c r="AU131" s="271"/>
      <c r="AW131" s="271"/>
    </row>
    <row r="132" spans="3:49" ht="15" customHeight="1"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I132" s="290"/>
      <c r="AJ132" s="290"/>
      <c r="AK132" s="290"/>
      <c r="AU132" s="271"/>
      <c r="AW132" s="271"/>
    </row>
    <row r="133" spans="3:49" ht="15" customHeight="1"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U133" s="271"/>
      <c r="AW133" s="271"/>
    </row>
    <row r="134" spans="3:49" ht="15" customHeight="1"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U134" s="271"/>
      <c r="AW134" s="271"/>
    </row>
    <row r="135" spans="3:49" ht="15" customHeight="1"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U135" s="271"/>
      <c r="AW135" s="271"/>
    </row>
    <row r="136" spans="3:49" ht="15" customHeight="1"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U136" s="271"/>
      <c r="AW136" s="271"/>
    </row>
    <row r="137" spans="3:49" ht="15" customHeight="1"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U137" s="271"/>
      <c r="AW137" s="271"/>
    </row>
    <row r="138" spans="3:49" ht="15" customHeight="1"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U138" s="271"/>
      <c r="AW138" s="271"/>
    </row>
    <row r="139" spans="3:49" ht="15" customHeight="1"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U139" s="271"/>
      <c r="AW139" s="271"/>
    </row>
    <row r="140" spans="3:49" ht="15" customHeight="1"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U140" s="271"/>
      <c r="AW140" s="271"/>
    </row>
    <row r="141" spans="3:49" ht="15" customHeight="1"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U141" s="271"/>
      <c r="AW141" s="271"/>
    </row>
    <row r="142" spans="3:49" ht="15" customHeight="1"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U142" s="271"/>
      <c r="AW142" s="271"/>
    </row>
    <row r="143" spans="3:49" ht="15" customHeight="1"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U143" s="271"/>
      <c r="AW143" s="271"/>
    </row>
    <row r="144" spans="3:49" ht="15" customHeight="1"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U144" s="271"/>
      <c r="AW144" s="271"/>
    </row>
    <row r="145" spans="3:49" ht="15" customHeight="1"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U145" s="271"/>
      <c r="AW145" s="271"/>
    </row>
    <row r="146" spans="3:49" ht="15" customHeight="1"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U146" s="271"/>
      <c r="AW146" s="271"/>
    </row>
    <row r="147" spans="3:49" ht="15" customHeight="1"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U147" s="271"/>
      <c r="AW147" s="271"/>
    </row>
    <row r="148" spans="3:49" ht="15" customHeight="1"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U148" s="271"/>
      <c r="AW148" s="271"/>
    </row>
    <row r="149" spans="3:49" ht="15" customHeight="1"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U149" s="271"/>
      <c r="AW149" s="271"/>
    </row>
    <row r="150" spans="3:49" ht="15" customHeight="1"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U150" s="271"/>
      <c r="AW150" s="271"/>
    </row>
    <row r="151" spans="3:49" ht="15" customHeight="1"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U151" s="271"/>
      <c r="AW151" s="271"/>
    </row>
    <row r="152" spans="3:49" ht="15" customHeight="1"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U152" s="271"/>
      <c r="AW152" s="271"/>
    </row>
    <row r="153" spans="3:49" ht="15" customHeight="1"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U153" s="271"/>
      <c r="AW153" s="271"/>
    </row>
    <row r="154" spans="3:49" ht="15" customHeight="1"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U154" s="271"/>
      <c r="AW154" s="271"/>
    </row>
    <row r="155" spans="3:49" ht="15" customHeight="1"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U155" s="271"/>
      <c r="AW155" s="271"/>
    </row>
    <row r="156" spans="3:49" ht="15" customHeight="1"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U156" s="271"/>
      <c r="AW156" s="271"/>
    </row>
    <row r="157" spans="3:49" ht="15" customHeight="1"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U157" s="271"/>
      <c r="AW157" s="271"/>
    </row>
    <row r="158" spans="3:49" ht="15" customHeight="1"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U158" s="271"/>
      <c r="AW158" s="271"/>
    </row>
    <row r="159" spans="3:49" ht="15" customHeight="1"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U159" s="271"/>
      <c r="AW159" s="271"/>
    </row>
    <row r="160" spans="3:49" ht="15" customHeight="1"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U160" s="271"/>
      <c r="AW160" s="271"/>
    </row>
    <row r="161" spans="3:49" ht="15" customHeight="1"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U161" s="271"/>
      <c r="AW161" s="271"/>
    </row>
    <row r="162" spans="3:49" ht="15" customHeight="1"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U162" s="271"/>
      <c r="AW162" s="271"/>
    </row>
    <row r="163" spans="3:49" ht="15" customHeight="1"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U163" s="271"/>
      <c r="AW163" s="271"/>
    </row>
    <row r="164" spans="3:49" ht="15" customHeight="1"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U164" s="271"/>
      <c r="AW164" s="271"/>
    </row>
    <row r="165" spans="3:49" ht="15" customHeight="1"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U165" s="271"/>
      <c r="AW165" s="271"/>
    </row>
    <row r="166" spans="3:49" ht="15" customHeight="1"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U166" s="271"/>
      <c r="AW166" s="271"/>
    </row>
    <row r="167" spans="3:49" ht="15" customHeight="1"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U167" s="271"/>
      <c r="AW167" s="271"/>
    </row>
    <row r="168" spans="3:49" ht="15" customHeight="1"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U168" s="271"/>
      <c r="AW168" s="271"/>
    </row>
    <row r="169" spans="3:49" ht="15" customHeight="1"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U169" s="271"/>
      <c r="AW169" s="271"/>
    </row>
    <row r="170" spans="3:49" ht="15" customHeight="1"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U170" s="271"/>
      <c r="AW170" s="271"/>
    </row>
    <row r="171" spans="3:49" ht="15" customHeight="1"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U171" s="271"/>
      <c r="AW171" s="271"/>
    </row>
    <row r="172" spans="3:49" ht="15" customHeight="1"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U172" s="271"/>
      <c r="AW172" s="271"/>
    </row>
    <row r="173" spans="3:49" ht="15" customHeight="1"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U173" s="271"/>
      <c r="AW173" s="271"/>
    </row>
    <row r="174" spans="3:49" ht="15" customHeight="1"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U174" s="271"/>
      <c r="AW174" s="271"/>
    </row>
    <row r="175" spans="3:49" ht="15" customHeight="1"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U175" s="271"/>
      <c r="AW175" s="271"/>
    </row>
    <row r="176" spans="3:49" ht="15" customHeight="1"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U176" s="271"/>
      <c r="AW176" s="271"/>
    </row>
    <row r="177" spans="3:49" ht="15" customHeight="1"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U177" s="271"/>
      <c r="AW177" s="271"/>
    </row>
    <row r="178" spans="3:49" ht="15" customHeight="1"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U178" s="271"/>
      <c r="AW178" s="271"/>
    </row>
    <row r="179" spans="3:49" ht="15" customHeight="1"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U179" s="271"/>
      <c r="AW179" s="271"/>
    </row>
    <row r="180" spans="3:49" ht="15" customHeight="1"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U180" s="271"/>
      <c r="AW180" s="271"/>
    </row>
    <row r="181" spans="3:49" ht="15" customHeight="1"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U181" s="271"/>
      <c r="AW181" s="271"/>
    </row>
    <row r="182" spans="3:49" ht="15" customHeight="1"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U182" s="271"/>
      <c r="AW182" s="271"/>
    </row>
    <row r="183" spans="3:49" ht="15" customHeight="1"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U183" s="271"/>
      <c r="AW183" s="271"/>
    </row>
    <row r="184" spans="3:49" ht="15" customHeight="1"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U184" s="271"/>
      <c r="AW184" s="271"/>
    </row>
    <row r="185" spans="3:49" ht="15" customHeight="1"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U185" s="271"/>
      <c r="AW185" s="271"/>
    </row>
    <row r="186" spans="3:49" ht="15" customHeight="1"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U186" s="271"/>
      <c r="AW186" s="271"/>
    </row>
    <row r="187" spans="3:49" ht="15" customHeight="1"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U187" s="271"/>
      <c r="AW187" s="271"/>
    </row>
    <row r="188" spans="3:49" ht="15" customHeight="1"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U188" s="271"/>
      <c r="AW188" s="271"/>
    </row>
    <row r="189" spans="3:49" ht="15" customHeight="1"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U189" s="271"/>
      <c r="AW189" s="271"/>
    </row>
    <row r="190" spans="3:49" ht="15" customHeight="1"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U190" s="271"/>
      <c r="AW190" s="271"/>
    </row>
    <row r="191" spans="3:49" ht="15" customHeight="1"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U191" s="271"/>
      <c r="AW191" s="271"/>
    </row>
    <row r="192" spans="3:49" ht="15" customHeight="1"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U192" s="271"/>
      <c r="AW192" s="271"/>
    </row>
    <row r="193" spans="3:49" ht="15" customHeight="1"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U193" s="271"/>
      <c r="AW193" s="271"/>
    </row>
    <row r="194" spans="3:49" ht="15" customHeight="1"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U194" s="271"/>
      <c r="AW194" s="271"/>
    </row>
    <row r="195" spans="3:49" ht="15" customHeight="1"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U195" s="271"/>
      <c r="AW195" s="271"/>
    </row>
    <row r="196" spans="3:49" ht="15" customHeight="1"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U196" s="271"/>
      <c r="AW196" s="271"/>
    </row>
    <row r="197" spans="3:49" ht="15" customHeight="1"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U197" s="271"/>
      <c r="AW197" s="271"/>
    </row>
    <row r="198" spans="3:49" ht="15" customHeight="1"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U198" s="271"/>
      <c r="AW198" s="271"/>
    </row>
    <row r="199" spans="3:49" ht="15" customHeight="1"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U199" s="271"/>
      <c r="AW199" s="271"/>
    </row>
    <row r="200" spans="3:49" ht="15" customHeight="1"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U200" s="271"/>
      <c r="AW200" s="271"/>
    </row>
    <row r="201" spans="3:49" ht="15" customHeight="1"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U201" s="271"/>
      <c r="AW201" s="271"/>
    </row>
    <row r="202" spans="3:49" ht="15" customHeight="1"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U202" s="271"/>
      <c r="AW202" s="271"/>
    </row>
    <row r="203" spans="3:49" ht="15" customHeight="1"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U203" s="271"/>
      <c r="AW203" s="271"/>
    </row>
    <row r="204" spans="3:49" ht="15" customHeight="1"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U204" s="271"/>
      <c r="AW204" s="271"/>
    </row>
    <row r="205" spans="3:49" ht="15" customHeight="1"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U205" s="271"/>
      <c r="AW205" s="271"/>
    </row>
    <row r="206" spans="3:49" ht="15" customHeight="1"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U206" s="271"/>
      <c r="AW206" s="271"/>
    </row>
    <row r="207" spans="3:49" ht="15" customHeight="1"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U207" s="271"/>
      <c r="AW207" s="271"/>
    </row>
    <row r="208" spans="3:49" ht="15" customHeight="1"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U208" s="271"/>
      <c r="AW208" s="271"/>
    </row>
    <row r="209" spans="3:49" ht="15" customHeight="1"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U209" s="271"/>
      <c r="AW209" s="271"/>
    </row>
    <row r="210" spans="3:49" ht="15" customHeight="1"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U210" s="271"/>
      <c r="AW210" s="271"/>
    </row>
    <row r="211" spans="3:49" ht="15" customHeight="1"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U211" s="271"/>
      <c r="AW211" s="271"/>
    </row>
    <row r="212" spans="3:49" ht="15" customHeight="1"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U212" s="271"/>
      <c r="AW212" s="271"/>
    </row>
    <row r="213" spans="3:49" ht="15" customHeight="1"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U213" s="271"/>
      <c r="AW213" s="271"/>
    </row>
    <row r="214" spans="3:49" ht="15" customHeight="1"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U214" s="271"/>
      <c r="AW214" s="271"/>
    </row>
    <row r="215" spans="3:49" ht="15" customHeight="1"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U215" s="271"/>
      <c r="AW215" s="271"/>
    </row>
    <row r="216" spans="3:49" ht="15" customHeight="1"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U216" s="271"/>
      <c r="AW216" s="271"/>
    </row>
    <row r="217" spans="3:49" ht="15" customHeight="1"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U217" s="271"/>
      <c r="AW217" s="271"/>
    </row>
    <row r="218" spans="3:49" ht="15" customHeight="1"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U218" s="271"/>
      <c r="AW218" s="271"/>
    </row>
    <row r="219" spans="3:49" ht="15" customHeight="1"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U219" s="271"/>
      <c r="AW219" s="271"/>
    </row>
    <row r="220" spans="3:49" ht="15" customHeight="1"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U220" s="271"/>
      <c r="AW220" s="271"/>
    </row>
    <row r="221" spans="3:49" ht="15" customHeight="1"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U221" s="271"/>
      <c r="AW221" s="271"/>
    </row>
    <row r="222" spans="3:49" ht="15" customHeight="1"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U222" s="271"/>
      <c r="AW222" s="271"/>
    </row>
    <row r="223" spans="3:49" ht="15" customHeight="1"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U223" s="271"/>
      <c r="AW223" s="271"/>
    </row>
    <row r="224" spans="3:49" ht="15" customHeight="1"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U224" s="271"/>
      <c r="AW224" s="271"/>
    </row>
    <row r="225" spans="3:49" ht="15" customHeight="1"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U225" s="271"/>
      <c r="AW225" s="271"/>
    </row>
    <row r="226" spans="3:49" ht="15" customHeight="1"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U226" s="271"/>
      <c r="AW226" s="271"/>
    </row>
    <row r="227" spans="3:49" ht="15" customHeight="1"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U227" s="271"/>
      <c r="AW227" s="271"/>
    </row>
    <row r="228" spans="3:49" ht="15" customHeight="1"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U228" s="271"/>
      <c r="AW228" s="271"/>
    </row>
    <row r="229" spans="3:49" ht="15" customHeight="1"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U229" s="271"/>
      <c r="AW229" s="271"/>
    </row>
    <row r="230" spans="3:49" ht="15" customHeight="1"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U230" s="271"/>
      <c r="AW230" s="271"/>
    </row>
    <row r="231" spans="3:49" ht="15" customHeight="1"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U231" s="271"/>
      <c r="AW231" s="271"/>
    </row>
    <row r="232" spans="3:49" ht="15" customHeight="1"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U232" s="271"/>
      <c r="AW232" s="271"/>
    </row>
    <row r="233" spans="3:49" ht="15" customHeight="1"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U233" s="271"/>
      <c r="AW233" s="271"/>
    </row>
    <row r="234" spans="3:49" ht="15" customHeight="1"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U234" s="271"/>
      <c r="AW234" s="271"/>
    </row>
    <row r="235" spans="3:49" ht="15" customHeight="1"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U235" s="271"/>
      <c r="AW235" s="271"/>
    </row>
    <row r="236" spans="3:49" ht="15" customHeight="1"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U236" s="271"/>
      <c r="AW236" s="271"/>
    </row>
    <row r="237" spans="3:49" ht="15" customHeight="1"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U237" s="271"/>
      <c r="AW237" s="271"/>
    </row>
    <row r="238" spans="3:49" ht="15" customHeight="1"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U238" s="271"/>
      <c r="AW238" s="271"/>
    </row>
    <row r="239" spans="3:49" ht="15" customHeight="1"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U239" s="271"/>
      <c r="AW239" s="271"/>
    </row>
    <row r="240" spans="3:49" ht="15" customHeight="1"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U240" s="271"/>
      <c r="AW240" s="271"/>
    </row>
    <row r="241" spans="3:49" ht="15" customHeight="1"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U241" s="271"/>
      <c r="AW241" s="271"/>
    </row>
    <row r="242" spans="3:49" ht="15" customHeight="1"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U242" s="271"/>
      <c r="AW242" s="271"/>
    </row>
    <row r="243" spans="3:49" ht="15" customHeight="1"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U243" s="271"/>
      <c r="AW243" s="271"/>
    </row>
    <row r="244" spans="3:49" ht="15" customHeight="1"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</row>
    <row r="245" spans="3:49" ht="15" customHeight="1"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</row>
    <row r="246" spans="3:49" ht="15" customHeight="1"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</row>
    <row r="247" spans="3:49" ht="15" customHeight="1"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</row>
    <row r="248" spans="3:49" ht="15" customHeight="1"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</row>
    <row r="249" spans="3:49" ht="15" customHeight="1"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</row>
    <row r="250" spans="3:49" ht="15" customHeight="1"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</row>
    <row r="251" spans="3:49" ht="15" customHeight="1"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</row>
    <row r="252" spans="3:49" ht="15" customHeight="1"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</row>
    <row r="253" spans="3:49" ht="15" customHeight="1"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</row>
    <row r="254" spans="3:49" ht="15" customHeight="1"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</row>
    <row r="255" spans="3:49" ht="15" customHeight="1"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</row>
    <row r="256" spans="3:49" ht="15" customHeight="1"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</row>
    <row r="257" spans="3:44" ht="15" customHeight="1"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</row>
    <row r="258" spans="3:44" ht="15" customHeight="1"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</row>
    <row r="259" spans="3:44" ht="15" customHeight="1"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</row>
    <row r="260" spans="3:44" ht="15" customHeight="1"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</row>
    <row r="261" spans="3:44" ht="15" customHeight="1"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</row>
    <row r="262" spans="3:44" ht="15" customHeight="1"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</row>
    <row r="263" spans="3:44" ht="15" customHeight="1"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</row>
    <row r="264" spans="3:44" ht="15" customHeight="1"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</row>
    <row r="265" spans="3:44" ht="15" customHeight="1"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</row>
    <row r="266" spans="3:44" ht="15" customHeight="1"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</row>
    <row r="267" spans="3:44" ht="15" customHeight="1"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</row>
    <row r="268" spans="3:44" ht="15" customHeight="1"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</row>
    <row r="269" spans="3:44" ht="15" customHeight="1"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</row>
    <row r="270" spans="3:44" ht="15" customHeight="1"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</row>
    <row r="271" spans="3:44" ht="15" customHeight="1"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</row>
    <row r="272" spans="3:44" ht="15" customHeight="1"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</row>
    <row r="273" spans="3:44" ht="15" customHeight="1"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</row>
    <row r="274" spans="3:44" ht="15" customHeight="1"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</row>
    <row r="275" spans="3:44" ht="15" customHeight="1"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</row>
    <row r="276" spans="3:44" ht="15" customHeight="1"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</row>
    <row r="277" spans="3:44" ht="15" customHeight="1"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</row>
    <row r="278" spans="3:44" ht="15" customHeight="1"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</row>
    <row r="279" spans="3:44" ht="15" customHeight="1"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</row>
    <row r="280" spans="3:44" ht="15" customHeight="1"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</row>
    <row r="281" spans="3:44" ht="15" customHeight="1"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</row>
    <row r="282" spans="3:44" ht="15" customHeight="1"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</row>
    <row r="283" spans="3:44" ht="15" customHeight="1"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</row>
    <row r="284" spans="3:44" ht="15" customHeight="1"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</row>
    <row r="285" spans="3:44" ht="15" customHeight="1"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</row>
    <row r="286" spans="3:44" ht="15" customHeight="1"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</row>
    <row r="287" spans="3:44" ht="15" customHeight="1"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</row>
    <row r="288" spans="3:44" ht="15" customHeight="1"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</row>
    <row r="289" spans="3:44" ht="15" customHeight="1"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</row>
    <row r="290" spans="3:44" ht="15" customHeight="1"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</row>
    <row r="291" spans="3:44" ht="15" customHeight="1"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</row>
    <row r="292" spans="3:44" ht="15" customHeight="1"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</row>
    <row r="293" spans="3:44" ht="15" customHeight="1"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</row>
    <row r="294" spans="3:44" ht="15" customHeight="1"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</row>
    <row r="295" spans="3:44" ht="15" customHeight="1"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</row>
    <row r="296" spans="3:44" ht="15" customHeight="1"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</row>
    <row r="297" spans="3:44" ht="15" customHeight="1"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</row>
    <row r="298" spans="3:44" ht="15" customHeight="1"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</row>
    <row r="299" spans="3:44" ht="15" customHeight="1"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</row>
    <row r="300" spans="3:44" ht="15" customHeight="1"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</row>
    <row r="301" spans="3:44" ht="15" customHeight="1"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</row>
    <row r="302" spans="3:44" ht="15" customHeight="1"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</row>
    <row r="303" spans="3:44" ht="15" customHeight="1"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</row>
    <row r="304" spans="3:44" ht="15" customHeight="1"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</row>
    <row r="305" spans="3:44" ht="15" customHeight="1"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</row>
    <row r="306" spans="3:44" ht="15" customHeight="1"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</row>
    <row r="307" spans="3:44" ht="15" customHeight="1"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</row>
    <row r="308" spans="3:44" ht="15" customHeight="1"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</row>
    <row r="309" spans="3:44" ht="15" customHeight="1"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</row>
    <row r="310" spans="3:44" ht="15" customHeight="1"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</row>
    <row r="311" spans="3:44" ht="15" customHeight="1"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</row>
    <row r="312" spans="3:44" ht="15" customHeight="1"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</row>
    <row r="313" spans="3:44" ht="15" customHeight="1"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</row>
    <row r="314" spans="3:44" ht="15" customHeight="1"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</row>
    <row r="315" spans="3:44" ht="15" customHeight="1"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</row>
    <row r="316" spans="3:44" ht="15" customHeight="1"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</row>
    <row r="317" spans="3:44" ht="15" customHeight="1"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</row>
    <row r="318" spans="3:44" ht="15" customHeight="1"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</row>
    <row r="319" spans="3:44" ht="15" customHeight="1"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</row>
    <row r="320" spans="3:44" ht="15" customHeight="1"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</row>
    <row r="321" spans="3:44" ht="15" customHeight="1"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</row>
    <row r="322" spans="3:44" ht="15" customHeight="1"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</row>
    <row r="323" spans="3:44" ht="15" customHeight="1"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</row>
    <row r="324" spans="3:44" ht="15" customHeight="1"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</row>
    <row r="325" spans="3:44" ht="15" customHeight="1"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</row>
    <row r="326" spans="3:44" ht="15" customHeight="1"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</row>
    <row r="327" spans="3:44" ht="15" customHeight="1"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</row>
    <row r="328" spans="3:44" ht="15" customHeight="1"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</row>
    <row r="329" spans="3:44" ht="15" customHeight="1"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</row>
    <row r="330" spans="3:44" ht="15" customHeight="1"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</row>
    <row r="331" spans="3:44" ht="15" customHeight="1"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</row>
    <row r="332" spans="3:44" ht="15" customHeight="1"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</row>
    <row r="333" spans="3:44" ht="15" customHeight="1"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</row>
    <row r="334" spans="3:44" ht="15" customHeight="1"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</row>
    <row r="335" spans="3:44" ht="15" customHeight="1"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</row>
    <row r="336" spans="3:44" ht="15" customHeight="1"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</row>
    <row r="337" spans="3:44" ht="15" customHeight="1"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</row>
    <row r="338" spans="3:44" ht="15" customHeight="1"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</row>
    <row r="339" spans="3:44" ht="15" customHeight="1"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</row>
    <row r="340" spans="3:44" ht="15" customHeight="1"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</row>
    <row r="341" spans="3:44" ht="15" customHeight="1"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</row>
    <row r="342" spans="3:44" ht="15" customHeight="1"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</row>
    <row r="343" spans="3:44" ht="15" customHeight="1"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</row>
    <row r="344" spans="3:44" ht="15" customHeight="1"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</row>
    <row r="345" spans="3:44" ht="15" customHeight="1"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</row>
    <row r="346" spans="3:44" ht="15" customHeight="1"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</row>
    <row r="347" spans="3:44" ht="15" customHeight="1"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</row>
    <row r="348" spans="3:44" ht="15" customHeight="1"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</row>
    <row r="349" spans="3:44" ht="15" customHeight="1"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</row>
    <row r="350" spans="3:44" ht="15" customHeight="1"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</row>
    <row r="351" spans="3:44" ht="15" customHeight="1"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</row>
    <row r="352" spans="3:44" ht="15" customHeight="1"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</row>
    <row r="353" spans="3:44" ht="15" customHeight="1"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</row>
    <row r="354" spans="3:44" ht="15" customHeight="1"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</row>
    <row r="355" spans="3:44" ht="15" customHeight="1"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</row>
    <row r="356" spans="3:44" ht="15" customHeight="1"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</row>
    <row r="357" spans="3:44" ht="15" customHeight="1"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</row>
    <row r="358" spans="3:44" ht="15" customHeight="1"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</row>
    <row r="359" spans="3:44" ht="15" customHeight="1"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</row>
    <row r="360" spans="3:44" ht="15" customHeight="1"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</row>
    <row r="361" spans="3:44" ht="15" customHeight="1"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</row>
    <row r="362" spans="3:44" ht="15" customHeight="1"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</row>
    <row r="363" spans="3:44" ht="15" customHeight="1"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</row>
    <row r="364" spans="3:44" ht="15" customHeight="1"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</row>
    <row r="365" spans="3:44" ht="15" customHeight="1"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</row>
    <row r="366" spans="3:44" ht="15" customHeight="1"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</row>
    <row r="367" spans="3:44" ht="15" customHeight="1"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</row>
    <row r="368" spans="3:44" ht="15" customHeight="1"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</row>
    <row r="369" spans="3:44" ht="15" customHeight="1"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</row>
    <row r="370" spans="3:44" ht="15" customHeight="1"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</row>
    <row r="371" spans="3:44" ht="15" customHeight="1"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</row>
    <row r="372" spans="3:44" ht="15" customHeight="1"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</row>
    <row r="373" spans="3:44" ht="15" customHeight="1"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</row>
    <row r="374" spans="3:44" ht="15" customHeight="1"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</row>
    <row r="375" spans="3:44" ht="15" customHeight="1"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</row>
    <row r="376" spans="3:44" ht="15" customHeight="1"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</row>
    <row r="377" spans="3:44" ht="15" customHeight="1"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</row>
    <row r="378" spans="3:44" ht="15" customHeight="1"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</row>
    <row r="379" spans="3:44" ht="15" customHeight="1"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</row>
    <row r="380" spans="3:44" ht="15" customHeight="1"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</row>
    <row r="381" spans="3:44" ht="15" customHeight="1"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</row>
    <row r="382" spans="3:44" ht="15" customHeight="1"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</row>
    <row r="383" spans="3:44" ht="15" customHeight="1"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</row>
    <row r="384" spans="3:44" ht="15" customHeight="1"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</row>
    <row r="385" spans="3:44" ht="15" customHeight="1"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</row>
    <row r="386" spans="3:44" ht="15" customHeight="1"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</row>
    <row r="387" spans="3:44" ht="15" customHeight="1"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</row>
    <row r="388" spans="3:44" ht="15" customHeight="1"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</row>
    <row r="389" spans="3:44" ht="15" customHeight="1"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</row>
    <row r="390" spans="3:44" ht="15" customHeight="1"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</row>
    <row r="391" spans="3:44" ht="15" customHeight="1"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</row>
    <row r="392" spans="3:44" ht="15" customHeight="1"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</row>
    <row r="393" spans="3:44" ht="15" customHeight="1"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</row>
    <row r="394" spans="3:44" ht="15" customHeight="1"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</row>
    <row r="395" spans="3:44" ht="15" customHeight="1"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</row>
    <row r="396" spans="3:44" ht="15" customHeight="1"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</row>
    <row r="397" spans="3:44" ht="15" customHeight="1"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</row>
    <row r="398" spans="3:44" ht="15" customHeight="1"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</row>
    <row r="399" spans="3:44" ht="15" customHeight="1"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</row>
    <row r="400" spans="3:44" ht="15" customHeight="1"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</row>
    <row r="401" spans="3:44" ht="15" customHeight="1"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</row>
    <row r="402" spans="3:44" ht="15" customHeight="1"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</row>
    <row r="403" spans="3:44" ht="15" customHeight="1"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</row>
    <row r="404" spans="3:44" ht="15" customHeight="1"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</row>
    <row r="405" spans="3:44" ht="15" customHeight="1"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</row>
    <row r="406" spans="3:44" ht="15" customHeight="1"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</row>
    <row r="407" spans="3:44" ht="15" customHeight="1"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</row>
    <row r="408" spans="3:44" ht="15" customHeight="1"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</row>
    <row r="409" spans="3:44" ht="15" customHeight="1"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</row>
    <row r="410" spans="3:44" ht="15" customHeight="1"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</row>
    <row r="411" spans="3:44" ht="15" customHeight="1"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</row>
    <row r="412" spans="3:44" ht="15" customHeight="1"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</row>
    <row r="413" spans="3:44" ht="15" customHeight="1"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</row>
    <row r="414" spans="3:44" ht="15" customHeight="1"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</row>
    <row r="415" spans="3:44" ht="15" customHeight="1"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</row>
    <row r="416" spans="3:44" ht="15" customHeight="1"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</row>
    <row r="417" spans="3:44" ht="15" customHeight="1"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</row>
    <row r="418" spans="3:44" ht="15" customHeight="1"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</row>
    <row r="419" spans="3:44" ht="15" customHeight="1"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</row>
    <row r="420" spans="3:44" ht="15" customHeight="1"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</row>
    <row r="421" spans="3:44" ht="15" customHeight="1"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</row>
    <row r="422" spans="3:44" ht="15" customHeight="1"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</row>
    <row r="423" spans="3:44" ht="15" customHeight="1"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</row>
    <row r="424" spans="3:44" ht="15" customHeight="1"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</row>
    <row r="425" spans="3:44" ht="15" customHeight="1"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</row>
    <row r="426" spans="3:44" ht="15" customHeight="1"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</row>
    <row r="427" spans="3:44" ht="15" customHeight="1"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</row>
    <row r="428" spans="3:44" ht="15" customHeight="1"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</row>
    <row r="429" spans="3:44" ht="15" customHeight="1"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</row>
    <row r="430" spans="3:44" ht="15" customHeight="1"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</row>
    <row r="431" spans="3:44" ht="15" customHeight="1"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</row>
    <row r="432" spans="3:44" ht="15" customHeight="1"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</row>
    <row r="433" spans="3:44" ht="15" customHeight="1"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</row>
    <row r="434" spans="3:44" ht="15" customHeight="1"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</row>
    <row r="435" spans="3:44" ht="15" customHeight="1"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</row>
    <row r="436" spans="3:44" ht="15" customHeight="1"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</row>
    <row r="437" spans="3:44" ht="15" customHeight="1"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</row>
    <row r="438" spans="3:44" ht="15" customHeight="1"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</row>
    <row r="439" spans="3:44" ht="15" customHeight="1"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</row>
    <row r="440" spans="3:44" ht="15" customHeight="1"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</row>
    <row r="441" spans="3:44" ht="15" customHeight="1"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</row>
    <row r="442" spans="3:44" ht="15" customHeight="1"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</row>
    <row r="443" spans="3:44" ht="15" customHeight="1"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</row>
    <row r="444" spans="3:44" ht="15" customHeight="1"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</row>
    <row r="445" spans="3:44" ht="15" customHeight="1"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</row>
    <row r="446" spans="3:44" ht="15" customHeight="1"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</row>
    <row r="447" spans="3:44" ht="15" customHeight="1"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</row>
    <row r="448" spans="3:44" ht="15" customHeight="1"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</row>
    <row r="449" spans="3:44" ht="15" customHeight="1"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</row>
    <row r="450" spans="3:44" ht="15" customHeight="1"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</row>
    <row r="451" spans="3:44" ht="15" customHeight="1"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</row>
    <row r="452" spans="3:44" ht="15" customHeight="1"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</row>
    <row r="453" spans="3:44" ht="15" customHeight="1"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</row>
    <row r="454" spans="3:44" ht="15" customHeight="1"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</row>
    <row r="455" spans="3:44" ht="15" customHeight="1"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</row>
    <row r="456" spans="3:44" ht="15" customHeight="1"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</row>
    <row r="457" spans="3:44" ht="15" customHeight="1"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</row>
    <row r="458" spans="3:44" ht="15" customHeight="1"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</row>
    <row r="459" spans="3:44" ht="15" customHeight="1"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</row>
    <row r="460" spans="3:44" ht="15" customHeight="1"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</row>
    <row r="461" spans="3:44" ht="15" customHeight="1"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</row>
    <row r="462" spans="3:44" ht="15" customHeight="1"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</row>
    <row r="463" spans="3:44" ht="15" customHeight="1"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</row>
    <row r="464" spans="3:44" ht="15" customHeight="1"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</row>
    <row r="465" spans="3:44" ht="15" customHeight="1"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</row>
    <row r="466" spans="3:44" ht="15" customHeight="1"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</row>
    <row r="467" spans="3:44" ht="15" customHeight="1"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</row>
    <row r="468" spans="3:44" ht="15" customHeight="1"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</row>
    <row r="469" spans="3:44" ht="15" customHeight="1"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</row>
    <row r="470" spans="3:44" ht="15" customHeight="1"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</row>
    <row r="471" spans="3:44" ht="15" customHeight="1"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</row>
    <row r="472" spans="3:44" ht="15" customHeight="1"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</row>
    <row r="473" spans="3:44" ht="15" customHeight="1"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</row>
    <row r="474" spans="3:44" ht="15" customHeight="1"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</row>
    <row r="475" spans="3:44" ht="15" customHeight="1"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</row>
    <row r="476" spans="3:44" ht="15" customHeight="1"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</row>
    <row r="477" spans="3:44" ht="15" customHeight="1"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</row>
    <row r="478" spans="3:44" ht="15" customHeight="1"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</row>
    <row r="479" spans="3:44" ht="15" customHeight="1"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</row>
    <row r="480" spans="3:44" ht="15" customHeight="1"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</row>
    <row r="481" spans="3:44" ht="15" customHeight="1"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</row>
    <row r="482" spans="3:44" ht="15" customHeight="1"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</row>
    <row r="483" spans="3:44" ht="15" customHeight="1"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</row>
    <row r="484" spans="3:44" ht="15" customHeight="1"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</row>
    <row r="485" spans="3:44" ht="15" customHeight="1"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</row>
    <row r="486" spans="3:44" ht="15" customHeight="1"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</row>
    <row r="487" spans="3:44" ht="15" customHeight="1"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</row>
    <row r="488" spans="3:44" ht="15" customHeight="1"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</row>
    <row r="489" spans="3:44" ht="15" customHeight="1"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</row>
    <row r="490" spans="3:44" ht="15" customHeight="1"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</row>
    <row r="491" spans="3:44" ht="15" customHeight="1"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</row>
    <row r="492" spans="3:44" ht="15" customHeight="1"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</row>
    <row r="493" spans="3:44" ht="15" customHeight="1"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</row>
    <row r="494" spans="3:44" ht="15" customHeight="1"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</row>
    <row r="495" spans="3:44" ht="15" customHeight="1"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</row>
    <row r="496" spans="3:44" ht="15" customHeight="1"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</row>
    <row r="497" spans="3:44" ht="15" customHeight="1"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</row>
    <row r="498" spans="3:44" ht="15" customHeight="1"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</row>
    <row r="499" spans="3:44" ht="15" customHeight="1"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</row>
    <row r="500" spans="3:44" ht="15" customHeight="1"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</row>
    <row r="501" spans="3:44" ht="15" customHeight="1"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</row>
    <row r="502" spans="3:44" ht="15" customHeight="1"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</row>
    <row r="503" spans="3:44" ht="15" customHeight="1"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</row>
    <row r="504" spans="3:44" ht="15" customHeight="1"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</row>
    <row r="505" spans="3:44" ht="15" customHeight="1"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</row>
    <row r="506" spans="3:44" ht="15" customHeight="1"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</row>
    <row r="507" spans="3:44" ht="15" customHeight="1"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</row>
    <row r="508" spans="3:44" ht="15" customHeight="1"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</row>
    <row r="509" spans="3:44" ht="15" customHeight="1"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</row>
    <row r="510" spans="3:44" ht="15" customHeight="1"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</row>
    <row r="511" spans="3:44" ht="15" customHeight="1"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</row>
    <row r="512" spans="3:44" ht="15" customHeight="1"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</row>
    <row r="513" spans="3:44" ht="15" customHeight="1"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</row>
    <row r="514" spans="3:44" ht="15" customHeight="1"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</row>
    <row r="515" spans="3:44" ht="15" customHeight="1"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</row>
    <row r="516" spans="3:44" ht="15" customHeight="1"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</row>
    <row r="517" spans="3:44" ht="15" customHeight="1"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</row>
    <row r="518" spans="3:44" ht="15" customHeight="1"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</row>
    <row r="519" spans="3:44" ht="15" customHeight="1"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</row>
    <row r="520" spans="3:44" ht="15" customHeight="1"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</row>
    <row r="521" spans="3:44" ht="15" customHeight="1"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</row>
    <row r="522" spans="3:44" ht="15" customHeight="1"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</row>
    <row r="523" spans="3:44" ht="15" customHeight="1"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</row>
    <row r="524" spans="3:44" ht="15" customHeight="1"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</row>
    <row r="525" spans="3:44" ht="15" customHeight="1"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</row>
    <row r="526" spans="3:44" ht="15" customHeight="1"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</row>
    <row r="527" spans="3:44" ht="15" customHeight="1"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</row>
    <row r="528" spans="3:44" ht="15" customHeight="1"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</row>
    <row r="529" spans="3:44" ht="15" customHeight="1"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</row>
    <row r="530" spans="3:44" ht="15" customHeight="1"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</row>
    <row r="531" spans="3:44" ht="15" customHeight="1"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</row>
    <row r="532" spans="3:44" ht="15" customHeight="1"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</row>
    <row r="533" spans="3:44" ht="15" customHeight="1"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</row>
    <row r="534" spans="3:44" ht="15" customHeight="1"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</row>
    <row r="535" spans="3:44" ht="15" customHeight="1"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</row>
    <row r="536" spans="3:44" ht="15" customHeight="1"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</row>
    <row r="537" spans="3:44" ht="15" customHeight="1"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</row>
    <row r="538" spans="3:44" ht="15" customHeight="1"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</row>
    <row r="539" spans="3:44" ht="15" customHeight="1"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</row>
    <row r="540" spans="3:44" ht="15" customHeight="1"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</row>
    <row r="541" spans="3:44" ht="15" customHeight="1"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</row>
    <row r="542" spans="3:44" ht="15" customHeight="1"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</row>
    <row r="543" spans="3:44" ht="15" customHeight="1"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</row>
    <row r="544" spans="3:44" ht="15" customHeight="1"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</row>
    <row r="545" spans="3:44" ht="15" customHeight="1"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</row>
    <row r="546" spans="3:44" ht="15" customHeight="1"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</row>
    <row r="547" spans="3:44" ht="15" customHeight="1"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</row>
    <row r="548" spans="3:44" ht="15" customHeight="1"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</row>
    <row r="549" spans="3:44" ht="15" customHeight="1"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</row>
    <row r="550" spans="3:44" ht="15" customHeight="1"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</row>
    <row r="551" spans="3:44" ht="15" customHeight="1"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</row>
    <row r="552" spans="3:44" ht="15" customHeight="1"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</row>
    <row r="553" spans="3:44" ht="15" customHeight="1"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</row>
    <row r="554" spans="3:44" ht="15" customHeight="1"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</row>
    <row r="555" spans="3:44" ht="15" customHeight="1"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</row>
    <row r="556" spans="3:44" ht="15" customHeight="1"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</row>
    <row r="557" spans="3:44" ht="15" customHeight="1"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</row>
    <row r="558" spans="3:44" ht="15" customHeight="1"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</row>
    <row r="559" spans="3:44" ht="15" customHeight="1"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</row>
    <row r="560" spans="3:44" ht="15" customHeight="1"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</row>
    <row r="561" spans="3:44" ht="15" customHeight="1"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</row>
    <row r="562" spans="3:44" ht="15" customHeight="1"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</row>
    <row r="563" spans="3:44" ht="15" customHeight="1"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</row>
    <row r="564" spans="3:44" ht="15" customHeight="1"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</row>
    <row r="565" spans="3:44" ht="15" customHeight="1"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</row>
    <row r="566" spans="3:44" ht="15" customHeight="1"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</row>
    <row r="567" spans="3:44" ht="15" customHeight="1"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</row>
    <row r="568" spans="3:44" ht="15" customHeight="1"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</row>
    <row r="569" spans="3:44" ht="15" customHeight="1"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</row>
    <row r="570" spans="3:44" ht="15" customHeight="1"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</row>
    <row r="571" spans="3:44" ht="15" customHeight="1"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</row>
    <row r="572" spans="3:44" ht="15" customHeight="1"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</row>
    <row r="573" spans="3:44" ht="15" customHeight="1"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</row>
    <row r="574" spans="3:44" ht="15" customHeight="1"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</row>
    <row r="575" spans="3:44" ht="15" customHeight="1"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</row>
    <row r="576" spans="3:44" ht="15" customHeight="1"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</row>
    <row r="577" spans="3:44" ht="15" customHeight="1"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</row>
    <row r="578" spans="3:44" ht="15" customHeight="1"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</row>
    <row r="579" spans="3:44" ht="15" customHeight="1"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</row>
    <row r="580" spans="3:44" ht="15" customHeight="1"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</row>
    <row r="581" spans="3:44" ht="15" customHeight="1"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</row>
    <row r="582" spans="3:44" ht="15" customHeight="1"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</row>
    <row r="583" spans="3:44" ht="15" customHeight="1"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</row>
    <row r="584" spans="3:44" ht="15" customHeight="1"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</row>
    <row r="585" spans="3:44" ht="15" customHeight="1"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</row>
    <row r="586" spans="3:44" ht="15" customHeight="1"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</row>
    <row r="587" spans="3:44" ht="15" customHeight="1"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</row>
    <row r="588" spans="3:44" ht="15" customHeight="1"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</row>
    <row r="589" spans="3:44" ht="15" customHeight="1"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</row>
    <row r="590" spans="3:44" ht="15" customHeight="1"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</row>
    <row r="591" spans="3:44" ht="15" customHeight="1"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</row>
    <row r="592" spans="3:44" ht="15" customHeight="1"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</row>
    <row r="593" spans="3:44" ht="15" customHeight="1"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</row>
    <row r="594" spans="3:44" ht="15" customHeight="1"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</row>
    <row r="595" spans="3:44" ht="15" customHeight="1"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</row>
    <row r="596" spans="3:44" ht="15" customHeight="1"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</row>
    <row r="597" spans="3:44" ht="15" customHeight="1"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</row>
    <row r="598" spans="3:44" ht="15" customHeight="1"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</row>
    <row r="599" spans="3:44" ht="15" customHeight="1"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</row>
    <row r="600" spans="3:44" ht="15" customHeight="1"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</row>
    <row r="601" spans="3:44" ht="15" customHeight="1"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</row>
    <row r="602" spans="3:44" ht="15" customHeight="1"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</row>
    <row r="603" spans="3:44" ht="15" customHeight="1"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</row>
    <row r="604" spans="3:44" ht="15" customHeight="1"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</row>
    <row r="605" spans="3:44" ht="15" customHeight="1"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</row>
    <row r="606" spans="3:44" ht="15" customHeight="1"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</row>
    <row r="607" spans="3:44" ht="15" customHeight="1"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</row>
    <row r="608" spans="3:44" ht="15" customHeight="1"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</row>
    <row r="609" spans="3:44" ht="15" customHeight="1"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</row>
    <row r="610" spans="3:44" ht="15" customHeight="1"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</row>
    <row r="611" spans="3:44" ht="15" customHeight="1"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</row>
    <row r="612" spans="3:44" ht="15" customHeight="1"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</row>
    <row r="613" spans="3:44" ht="15" customHeight="1"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</row>
    <row r="614" spans="3:44" ht="15" customHeight="1"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</row>
    <row r="615" spans="3:44" ht="15" customHeight="1"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</row>
    <row r="616" spans="3:44" ht="15" customHeight="1"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</row>
    <row r="617" spans="3:44" ht="15" customHeight="1"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</row>
    <row r="618" spans="3:44" ht="15" customHeight="1"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</row>
    <row r="619" spans="3:44" ht="15" customHeight="1"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</row>
    <row r="620" spans="3:44" ht="15" customHeight="1"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</row>
    <row r="621" spans="3:44" ht="15" customHeight="1"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</row>
    <row r="622" spans="3:44" ht="15" customHeight="1"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</row>
    <row r="623" spans="3:44" ht="15" customHeight="1"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</row>
    <row r="624" spans="3:44" ht="15" customHeight="1"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</row>
    <row r="625" spans="3:44" ht="15" customHeight="1"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</row>
    <row r="626" spans="3:44" ht="15" customHeight="1"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</row>
    <row r="627" spans="3:44" ht="15" customHeight="1"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</row>
    <row r="628" spans="3:44" ht="15" customHeight="1"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</row>
    <row r="629" spans="3:44" ht="15" customHeight="1"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</row>
    <row r="630" spans="3:44" ht="15" customHeight="1"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</row>
    <row r="631" spans="3:44" ht="15" customHeight="1"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</row>
    <row r="632" spans="3:44" ht="15" customHeight="1"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</row>
    <row r="633" spans="3:44" ht="15" customHeight="1"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</row>
    <row r="634" spans="3:44" ht="15" customHeight="1"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</row>
    <row r="635" spans="3:44" ht="15" customHeight="1"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</row>
    <row r="636" spans="3:44" ht="15" customHeight="1"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</row>
    <row r="637" spans="3:44" ht="15" customHeight="1"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</row>
    <row r="638" spans="3:44" ht="15" customHeight="1"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</row>
    <row r="639" spans="3:44" ht="15" customHeight="1"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</row>
    <row r="640" spans="3:44" ht="15" customHeight="1"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</row>
    <row r="641" spans="3:44" ht="15" customHeight="1"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</row>
    <row r="642" spans="3:44" ht="15" customHeight="1"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</row>
    <row r="643" spans="3:44" ht="15" customHeight="1"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</row>
    <row r="644" spans="3:44" ht="15" customHeight="1"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</row>
    <row r="645" spans="3:44" ht="15" customHeight="1"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</row>
    <row r="646" spans="3:44" ht="15" customHeight="1"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</row>
    <row r="647" spans="3:44" ht="15" customHeight="1"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</row>
    <row r="648" spans="3:44" ht="15" customHeight="1"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</row>
    <row r="649" spans="3:44" ht="15" customHeight="1"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</row>
    <row r="650" spans="3:44" ht="15" customHeight="1"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</row>
    <row r="651" spans="3:44" ht="15" customHeight="1"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</row>
    <row r="652" spans="3:44" ht="15" customHeight="1"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</row>
    <row r="653" spans="3:44" ht="15" customHeight="1"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</row>
    <row r="654" spans="3:44" ht="15" customHeight="1"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</row>
    <row r="655" spans="3:44" ht="15" customHeight="1"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</row>
    <row r="656" spans="3:44" ht="15" customHeight="1"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</row>
    <row r="657" spans="3:44" ht="15" customHeight="1"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</row>
    <row r="658" spans="3:44" ht="15" customHeight="1"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</row>
    <row r="659" spans="3:44" ht="15" customHeight="1"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</row>
    <row r="660" spans="3:44" ht="15" customHeight="1"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</row>
    <row r="661" spans="3:44" ht="15" customHeight="1"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</row>
    <row r="662" spans="3:44" ht="15" customHeight="1"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</row>
    <row r="663" spans="3:44" ht="15" customHeight="1"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</row>
    <row r="664" spans="3:44" ht="15" customHeight="1"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</row>
    <row r="665" spans="3:44" ht="15" customHeight="1"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</row>
    <row r="666" spans="3:44" ht="15" customHeight="1"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</row>
    <row r="667" spans="3:44" ht="15" customHeight="1"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</row>
    <row r="668" spans="3:44" ht="15" customHeight="1"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</row>
    <row r="669" spans="3:44" ht="15" customHeight="1"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</row>
    <row r="670" spans="3:44" ht="15" customHeight="1"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</row>
    <row r="671" spans="3:44" ht="15" customHeight="1"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</row>
    <row r="672" spans="3:44" ht="15" customHeight="1"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</row>
    <row r="673" spans="3:44" ht="15" customHeight="1"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</row>
    <row r="674" spans="3:44" ht="15" customHeight="1"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</row>
    <row r="675" spans="3:44" ht="15" customHeight="1"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</row>
    <row r="676" spans="3:44" ht="15" customHeight="1"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</row>
    <row r="677" spans="3:44" ht="15" customHeight="1"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</row>
    <row r="678" spans="3:44" ht="15" customHeight="1"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</row>
    <row r="679" spans="3:44" ht="15" customHeight="1"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</row>
    <row r="680" spans="3:44" ht="15" customHeight="1"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</row>
    <row r="681" spans="3:44" ht="15" customHeight="1"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</row>
    <row r="682" spans="3:44" ht="15" customHeight="1"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</row>
    <row r="683" spans="3:44" ht="15" customHeight="1"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</row>
    <row r="684" spans="3:44" ht="15" customHeight="1"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</row>
    <row r="685" spans="3:44" ht="15" customHeight="1"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</row>
    <row r="686" spans="3:44" ht="15" customHeight="1"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</row>
    <row r="687" spans="3:44" ht="15" customHeight="1"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</row>
    <row r="688" spans="3:44" ht="15" customHeight="1"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</row>
    <row r="689" spans="3:44" ht="15" customHeight="1"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</row>
    <row r="690" spans="3:44" ht="15" customHeight="1"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</row>
    <row r="691" spans="3:44" ht="15" customHeight="1"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</row>
    <row r="692" spans="3:44" ht="15" customHeight="1"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</row>
    <row r="693" spans="3:44" ht="15" customHeight="1"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</row>
    <row r="694" spans="3:44" ht="15" customHeight="1"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</row>
    <row r="695" spans="3:44" ht="15" customHeight="1"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</row>
    <row r="696" spans="3:44" ht="15" customHeight="1"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</row>
    <row r="697" spans="3:44" ht="15" customHeight="1"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</row>
    <row r="698" spans="3:44" ht="15" customHeight="1"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</row>
    <row r="699" spans="3:44" ht="15" customHeight="1"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</row>
    <row r="700" spans="3:44" ht="15" customHeight="1"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</row>
    <row r="701" spans="3:44" ht="15" customHeight="1"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</row>
    <row r="702" spans="3:44" ht="15" customHeight="1"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</row>
    <row r="703" spans="3:44" ht="15" customHeight="1"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</row>
    <row r="704" spans="3:44" ht="15" customHeight="1"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</row>
    <row r="705" spans="3:44" ht="15" customHeight="1"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</row>
    <row r="706" spans="3:44" ht="15" customHeight="1"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</row>
    <row r="707" spans="3:44" ht="15" customHeight="1"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</row>
    <row r="708" spans="3:44" ht="15" customHeight="1"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</row>
    <row r="709" spans="3:44" ht="15" customHeight="1"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</row>
    <row r="710" spans="3:44" ht="15" customHeight="1"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</row>
    <row r="711" spans="3:44" ht="15" customHeight="1"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</row>
    <row r="712" spans="3:44" ht="15" customHeight="1"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</row>
    <row r="713" spans="3:44" ht="15" customHeight="1"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</row>
    <row r="714" spans="3:44" ht="15" customHeight="1"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</row>
    <row r="715" spans="3:44" ht="15" customHeight="1"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</row>
    <row r="716" spans="3:44" ht="15" customHeight="1"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</row>
    <row r="717" spans="3:44" ht="15" customHeight="1"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</row>
    <row r="718" spans="3:44" ht="15" customHeight="1"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</row>
    <row r="719" spans="3:44" ht="15" customHeight="1"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</row>
    <row r="720" spans="3:44" ht="15" customHeight="1"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</row>
    <row r="721" spans="3:44" ht="15" customHeight="1"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</row>
    <row r="722" spans="3:44" ht="15" customHeight="1"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</row>
    <row r="723" spans="3:44" ht="15" customHeight="1"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</row>
    <row r="724" spans="3:44" ht="15" customHeight="1"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</row>
    <row r="725" spans="3:44" ht="15" customHeight="1"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</row>
    <row r="726" spans="3:44" ht="15" customHeight="1"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</row>
    <row r="727" spans="3:44" ht="15" customHeight="1"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</row>
    <row r="728" spans="3:44" ht="15" customHeight="1"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</row>
    <row r="729" spans="3:44" ht="15" customHeight="1"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</row>
    <row r="730" spans="3:44" ht="15" customHeight="1"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</row>
    <row r="731" spans="3:44" ht="15" customHeight="1"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</row>
    <row r="732" spans="3:44" ht="15" customHeight="1"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</row>
    <row r="733" spans="3:44" ht="15" customHeight="1"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</row>
    <row r="734" spans="3:44" ht="15" customHeight="1"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</row>
    <row r="735" spans="3:44" ht="15" customHeight="1"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</row>
    <row r="736" spans="3:44" ht="15" customHeight="1"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</row>
    <row r="737" spans="3:44" ht="15" customHeight="1"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</row>
    <row r="738" spans="3:44" ht="15" customHeight="1"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</row>
    <row r="739" spans="3:44" ht="15" customHeight="1"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</row>
    <row r="740" spans="3:44" ht="15" customHeight="1"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</row>
    <row r="741" spans="3:44" ht="15" customHeight="1"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</row>
    <row r="742" spans="3:44" ht="15" customHeight="1"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</row>
    <row r="743" spans="3:44" ht="15" customHeight="1"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</row>
    <row r="744" spans="3:44" ht="15" customHeight="1"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</row>
    <row r="745" spans="3:44" ht="15" customHeight="1"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</row>
    <row r="746" spans="3:44" ht="15" customHeight="1"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</row>
    <row r="747" spans="3:44" ht="15" customHeight="1"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</row>
    <row r="748" spans="3:44" ht="15" customHeight="1"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</row>
    <row r="749" spans="3:44" ht="15" customHeight="1"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</row>
    <row r="750" spans="3:44" ht="15" customHeight="1"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</row>
    <row r="751" spans="3:44" ht="15" customHeight="1"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</row>
    <row r="752" spans="3:44" ht="15" customHeight="1"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</row>
    <row r="753" spans="3:44" ht="15" customHeight="1"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</row>
    <row r="754" spans="3:44" ht="15" customHeight="1"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</row>
    <row r="755" spans="3:44" ht="15" customHeight="1"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</row>
    <row r="756" spans="3:44" ht="15" customHeight="1"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</row>
    <row r="757" spans="3:44" ht="15" customHeight="1"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</row>
    <row r="758" spans="3:44" ht="15" customHeight="1"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</row>
    <row r="759" spans="3:44" ht="15" customHeight="1"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</row>
    <row r="760" spans="3:44" ht="15" customHeight="1"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</row>
    <row r="761" spans="3:44" ht="15" customHeight="1"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</row>
    <row r="762" spans="3:44" ht="15" customHeight="1"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</row>
    <row r="763" spans="3:44" ht="15" customHeight="1"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</row>
    <row r="764" spans="3:44" ht="15" customHeight="1"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</row>
    <row r="765" spans="3:44" ht="15" customHeight="1"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</row>
    <row r="766" spans="3:44" ht="15" customHeight="1"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</row>
    <row r="767" spans="3:44" ht="15" customHeight="1"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</row>
    <row r="768" spans="3:44" ht="15" customHeight="1"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</row>
    <row r="769" spans="3:44" ht="15" customHeight="1"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</row>
    <row r="770" spans="3:44" ht="15" customHeight="1"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</row>
    <row r="771" spans="3:44" ht="15" customHeight="1"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</row>
    <row r="772" spans="3:44" ht="15" customHeight="1"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</row>
    <row r="773" spans="3:44" ht="15" customHeight="1"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</row>
    <row r="774" spans="3:44" ht="15" customHeight="1"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</row>
    <row r="775" spans="3:44" ht="15" customHeight="1"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</row>
    <row r="776" spans="3:44" ht="15" customHeight="1"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</row>
    <row r="777" spans="3:44" ht="15" customHeight="1"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</row>
    <row r="778" spans="3:44" ht="15" customHeight="1"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</row>
    <row r="779" spans="3:44" ht="15" customHeight="1"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</row>
    <row r="780" spans="3:44" ht="15" customHeight="1"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</row>
    <row r="781" spans="3:44" ht="15" customHeight="1"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</row>
    <row r="782" spans="3:44" ht="15" customHeight="1"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</row>
    <row r="783" spans="3:44" ht="15" customHeight="1"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</row>
    <row r="784" spans="3:44" ht="15" customHeight="1"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</row>
    <row r="785" spans="3:44" ht="15" customHeight="1"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</row>
    <row r="786" spans="3:44" ht="15" customHeight="1"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</row>
    <row r="787" spans="3:44" ht="15" customHeight="1"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</row>
    <row r="788" spans="3:44" ht="15" customHeight="1"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</row>
    <row r="789" spans="3:44" ht="15" customHeight="1"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</row>
    <row r="790" spans="3:44" ht="15" customHeight="1"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</row>
    <row r="791" spans="3:44" ht="15" customHeight="1"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</row>
    <row r="792" spans="3:44" ht="15" customHeight="1"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</row>
    <row r="793" spans="3:44" ht="15" customHeight="1"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</row>
    <row r="794" spans="3:44" ht="15" customHeight="1"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</row>
    <row r="795" spans="3:44" ht="15" customHeight="1"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</row>
    <row r="796" spans="3:44" ht="15" customHeight="1"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</row>
    <row r="797" spans="3:44" ht="15" customHeight="1"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</row>
    <row r="798" spans="3:44" ht="15" customHeight="1"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</row>
    <row r="799" spans="3:44" ht="15" customHeight="1"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</row>
    <row r="800" spans="3:44" ht="15" customHeight="1"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</row>
    <row r="801" spans="3:44" ht="15" customHeight="1"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</row>
    <row r="802" spans="3:44" ht="15" customHeight="1"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</row>
    <row r="803" spans="3:44" ht="15" customHeight="1"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</row>
    <row r="804" spans="3:44" ht="15" customHeight="1"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</row>
    <row r="805" spans="3:44" ht="15" customHeight="1"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</row>
    <row r="806" spans="3:44" ht="15" customHeight="1"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</row>
    <row r="807" spans="3:44" ht="15" customHeight="1"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</row>
    <row r="808" spans="3:44" ht="15" customHeight="1"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</row>
    <row r="809" spans="3:44" ht="15" customHeight="1"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</row>
    <row r="810" spans="3:44" ht="15" customHeight="1"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</row>
    <row r="811" spans="3:44" ht="15" customHeight="1"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</row>
    <row r="812" spans="3:44" ht="15" customHeight="1"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</row>
    <row r="813" spans="3:44" ht="15" customHeight="1"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</row>
    <row r="814" spans="3:44" ht="15" customHeight="1"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</row>
    <row r="815" spans="3:44" ht="15" customHeight="1"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</row>
    <row r="816" spans="3:44" ht="15" customHeight="1"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</row>
    <row r="817" spans="3:44" ht="15" customHeight="1"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</row>
    <row r="818" spans="3:44" ht="15" customHeight="1"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</row>
    <row r="819" spans="3:44" ht="15" customHeight="1"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</row>
    <row r="820" spans="3:44" ht="15" customHeight="1"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</row>
    <row r="821" spans="3:44" ht="15" customHeight="1"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</row>
    <row r="822" spans="3:44" ht="15" customHeight="1"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</row>
    <row r="823" spans="3:44" ht="15" customHeight="1"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</row>
    <row r="824" spans="3:44" ht="15" customHeight="1"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</row>
    <row r="825" spans="3:44" ht="15" customHeight="1"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</row>
    <row r="826" spans="3:44" ht="15" customHeight="1"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</row>
    <row r="827" spans="3:44" ht="15" customHeight="1"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</row>
    <row r="828" spans="3:44" ht="15" customHeight="1"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</row>
    <row r="829" spans="3:44" ht="15" customHeight="1"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</row>
    <row r="830" spans="3:44" ht="15" customHeight="1"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</row>
    <row r="831" spans="3:44" ht="15" customHeight="1"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</row>
    <row r="832" spans="3:44" ht="15" customHeight="1"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</row>
    <row r="833" spans="3:44" ht="15" customHeight="1"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</row>
    <row r="834" spans="3:44" ht="15" customHeight="1"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</row>
    <row r="835" spans="3:44" ht="15" customHeight="1"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</row>
    <row r="836" spans="3:44" ht="15" customHeight="1"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</row>
    <row r="837" spans="3:44" ht="15" customHeight="1"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</row>
    <row r="838" spans="3:44" ht="15" customHeight="1"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</row>
    <row r="839" spans="3:44" ht="15" customHeight="1"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</row>
    <row r="840" spans="3:44" ht="15" customHeight="1"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</row>
    <row r="841" spans="3:44" ht="15" customHeight="1"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</row>
    <row r="842" spans="3:44" ht="15" customHeight="1"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</row>
    <row r="843" spans="3:44" ht="15" customHeight="1"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</row>
    <row r="844" spans="3:44" ht="15" customHeight="1"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</row>
    <row r="845" spans="3:44" ht="15" customHeight="1"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</row>
    <row r="846" spans="3:44" ht="15" customHeight="1"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</row>
    <row r="847" spans="3:44" ht="15" customHeight="1"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</row>
    <row r="848" spans="3:44" ht="15" customHeight="1"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</row>
    <row r="849" spans="3:44" ht="15" customHeight="1"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</row>
    <row r="850" spans="3:44" ht="15" customHeight="1"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</row>
    <row r="851" spans="3:44" ht="15" customHeight="1"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</row>
    <row r="852" spans="3:44" ht="15" customHeight="1"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</row>
    <row r="853" spans="3:44" ht="15" customHeight="1"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</row>
    <row r="854" spans="3:44" ht="15" customHeight="1"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</row>
    <row r="855" spans="3:44" ht="15" customHeight="1"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</row>
    <row r="856" spans="3:44" ht="15" customHeight="1"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</row>
    <row r="857" spans="3:44" ht="15" customHeight="1"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</row>
    <row r="858" spans="3:44" ht="15" customHeight="1"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</row>
    <row r="859" spans="3:44" ht="15" customHeight="1"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</row>
    <row r="860" spans="3:44" ht="15" customHeight="1"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</row>
    <row r="861" spans="3:44" ht="15" customHeight="1"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</row>
    <row r="862" spans="3:44" ht="15" customHeight="1"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</row>
    <row r="863" spans="3:44" ht="15" customHeight="1"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</row>
    <row r="864" spans="3:44" ht="15" customHeight="1"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</row>
    <row r="865" spans="3:44" ht="15" customHeight="1"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</row>
    <row r="866" spans="3:44" ht="15" customHeight="1"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</row>
    <row r="867" spans="3:44" ht="15" customHeight="1"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</row>
    <row r="868" spans="3:44" ht="15" customHeight="1"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</row>
    <row r="869" spans="3:44" ht="15" customHeight="1"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</row>
    <row r="870" spans="3:44" ht="15" customHeight="1"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</row>
    <row r="871" spans="3:44" ht="15" customHeight="1"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</row>
    <row r="872" spans="3:44" ht="15" customHeight="1"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</row>
    <row r="873" spans="3:44" ht="15" customHeight="1"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</row>
    <row r="874" spans="3:44" ht="15" customHeight="1"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</row>
    <row r="875" spans="3:44" ht="15" customHeight="1"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</row>
    <row r="876" spans="3:44" ht="15" customHeight="1"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</row>
    <row r="877" spans="3:44" ht="15" customHeight="1"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</row>
    <row r="878" spans="3:44" ht="15" customHeight="1"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</row>
    <row r="879" spans="3:44" ht="15" customHeight="1"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</row>
    <row r="880" spans="3:44" ht="15" customHeight="1"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</row>
    <row r="881" spans="3:44" ht="15" customHeight="1"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</row>
    <row r="882" spans="3:44" ht="15" customHeight="1"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</row>
    <row r="883" spans="3:44" ht="15" customHeight="1"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</row>
    <row r="884" spans="3:44" ht="15" customHeight="1"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</row>
    <row r="885" spans="3:44" ht="15" customHeight="1"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</row>
    <row r="886" spans="3:44" ht="15" customHeight="1"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</row>
    <row r="887" spans="3:44" ht="15" customHeight="1"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</row>
    <row r="888" spans="3:44" ht="15" customHeight="1"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</row>
    <row r="889" spans="3:44" ht="15" customHeight="1"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</row>
    <row r="890" spans="3:44" ht="15" customHeight="1"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</row>
    <row r="891" spans="3:44" ht="15" customHeight="1"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</row>
    <row r="892" spans="3:44" ht="15" customHeight="1"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</row>
    <row r="893" spans="3:44" ht="15" customHeight="1"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</row>
    <row r="894" spans="3:44" ht="15" customHeight="1"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</row>
    <row r="895" spans="3:44" ht="15" customHeight="1"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</row>
    <row r="896" spans="3:44" ht="15" customHeight="1"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</row>
    <row r="897" spans="3:44" ht="15" customHeight="1"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</row>
    <row r="898" spans="3:44" ht="15" customHeight="1"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</row>
    <row r="899" spans="3:44" ht="15" customHeight="1"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</row>
    <row r="900" spans="3:44" ht="15" customHeight="1"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</row>
    <row r="901" spans="3:44" ht="15" customHeight="1"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</row>
    <row r="902" spans="3:44" ht="15" customHeight="1"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</row>
    <row r="903" spans="3:44" ht="15" customHeight="1"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</row>
    <row r="904" spans="3:44" ht="15" customHeight="1"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</row>
    <row r="905" spans="3:44" ht="15" customHeight="1"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</row>
    <row r="906" spans="3:44" ht="15" customHeight="1"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</row>
    <row r="907" spans="3:44" ht="15" customHeight="1"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</row>
    <row r="908" spans="3:44" ht="15" customHeight="1"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</row>
    <row r="909" spans="3:44" ht="15" customHeight="1"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</row>
    <row r="910" spans="3:44" ht="15" customHeight="1"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</row>
    <row r="911" spans="3:44" ht="15" customHeight="1"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</row>
    <row r="912" spans="3:44" ht="15" customHeight="1"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</row>
    <row r="913" spans="3:44" ht="15" customHeight="1"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</row>
    <row r="914" spans="3:44" ht="15" customHeight="1"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</row>
    <row r="915" spans="3:44" ht="15" customHeight="1"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</row>
    <row r="916" spans="3:44" ht="15" customHeight="1"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</row>
    <row r="917" spans="3:44" ht="15" customHeight="1"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</row>
    <row r="918" spans="3:44" ht="15" customHeight="1"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</row>
    <row r="919" spans="3:44" ht="15" customHeight="1"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</row>
    <row r="920" spans="3:44" ht="15" customHeight="1"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</row>
    <row r="921" spans="3:44" ht="15" customHeight="1"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</row>
    <row r="922" spans="3:44" ht="15" customHeight="1"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</row>
    <row r="923" spans="3:44" ht="15" customHeight="1"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</row>
    <row r="924" spans="3:44" ht="15" customHeight="1"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</row>
    <row r="925" spans="3:44" ht="15" customHeight="1"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</row>
    <row r="926" spans="3:44" ht="15" customHeight="1"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</row>
    <row r="927" spans="3:44" ht="15" customHeight="1"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</row>
    <row r="928" spans="3:44" ht="15" customHeight="1"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</row>
    <row r="929" spans="3:44" ht="15" customHeight="1"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</row>
    <row r="930" spans="3:44" ht="15" customHeight="1"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</row>
    <row r="931" spans="3:44" ht="15" customHeight="1"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</row>
    <row r="932" spans="3:44" ht="15" customHeight="1"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</row>
    <row r="933" spans="3:44" ht="15" customHeight="1"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</row>
    <row r="934" spans="3:44" ht="15" customHeight="1"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</row>
    <row r="935" spans="3:44" ht="15" customHeight="1"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</row>
    <row r="936" spans="3:44" ht="15" customHeight="1"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</row>
    <row r="937" spans="3:44" ht="15" customHeight="1"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</row>
    <row r="938" spans="3:44" ht="15" customHeight="1"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</row>
    <row r="939" spans="3:44" ht="15" customHeight="1"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</row>
    <row r="940" spans="3:44" ht="15" customHeight="1"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</row>
    <row r="941" spans="3:44" ht="15" customHeight="1"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</row>
    <row r="942" spans="3:44" ht="15" customHeight="1"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</row>
    <row r="943" spans="3:44" ht="15" customHeight="1"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</row>
    <row r="944" spans="3:44" ht="15" customHeight="1"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</row>
    <row r="945" spans="3:44" ht="15" customHeight="1"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</row>
    <row r="946" spans="3:44" ht="15" customHeight="1"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</row>
    <row r="947" spans="3:44" ht="15" customHeight="1"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</row>
    <row r="948" spans="3:44" ht="15" customHeight="1"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</row>
    <row r="949" spans="3:44" ht="15" customHeight="1"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</row>
    <row r="950" spans="3:44" ht="15" customHeight="1"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</row>
    <row r="951" spans="3:44" ht="15" customHeight="1"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</row>
    <row r="952" spans="3:44" ht="15" customHeight="1"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</row>
    <row r="953" spans="3:44" ht="15" customHeight="1"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</row>
    <row r="954" spans="3:44" ht="15" customHeight="1"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</row>
    <row r="955" spans="3:44" ht="15" customHeight="1"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</row>
    <row r="956" spans="3:44" ht="15" customHeight="1"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</row>
    <row r="957" spans="3:44" ht="15" customHeight="1"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</row>
    <row r="958" spans="3:44" ht="15" customHeight="1"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</row>
    <row r="959" spans="3:44" ht="15" customHeight="1"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</row>
    <row r="960" spans="3:44" ht="15" customHeight="1"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</row>
    <row r="961" spans="3:44" ht="15" customHeight="1"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</row>
    <row r="962" spans="3:44" ht="15" customHeight="1"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</row>
    <row r="963" spans="3:44" ht="15" customHeight="1"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</row>
    <row r="964" spans="3:44" ht="15" customHeight="1"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</row>
    <row r="965" spans="3:44" ht="15" customHeight="1"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</row>
    <row r="966" spans="3:44" ht="15" customHeight="1"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</row>
    <row r="967" spans="3:44" ht="15" customHeight="1"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</row>
    <row r="968" spans="3:44" ht="15" customHeight="1"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</row>
    <row r="969" spans="3:44" ht="15" customHeight="1"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</row>
    <row r="970" spans="3:44" ht="15" customHeight="1"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</row>
    <row r="971" spans="3:44" ht="15" customHeight="1"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</row>
    <row r="972" spans="3:44" ht="15" customHeight="1"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</row>
    <row r="973" spans="3:44" ht="15" customHeight="1"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</row>
    <row r="974" spans="3:44" ht="15" customHeight="1"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</row>
    <row r="975" spans="3:44" ht="15" customHeight="1"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</row>
    <row r="976" spans="3:44" ht="15" customHeight="1"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</row>
    <row r="977" spans="3:44" ht="15" customHeight="1"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</row>
    <row r="978" spans="3:44" ht="15" customHeight="1"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</row>
    <row r="979" spans="3:44" ht="15" customHeight="1"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</row>
    <row r="980" spans="3:44" ht="15" customHeight="1"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</row>
    <row r="981" spans="3:44" ht="15" customHeight="1"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</row>
    <row r="982" spans="3:44" ht="15" customHeight="1"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</row>
    <row r="983" spans="3:44" ht="15" customHeight="1"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</row>
    <row r="984" spans="3:44" ht="15" customHeight="1"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</row>
    <row r="985" spans="3:44" ht="15" customHeight="1"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</row>
    <row r="986" spans="3:44" ht="15" customHeight="1"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</row>
    <row r="987" spans="3:44" ht="15" customHeight="1"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</row>
    <row r="988" spans="3:44" ht="15" customHeight="1"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</row>
    <row r="989" spans="3:44" ht="15" customHeight="1"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</row>
    <row r="990" spans="3:44" ht="15" customHeight="1"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</row>
    <row r="991" spans="3:44" ht="15" customHeight="1"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</row>
    <row r="992" spans="3:44" ht="15" customHeight="1"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</row>
    <row r="993" spans="3:44" ht="15" customHeight="1"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</row>
    <row r="994" spans="3:44" ht="15" customHeight="1"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</row>
    <row r="995" spans="3:44" ht="15" customHeight="1"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</row>
    <row r="996" spans="3:44" ht="15" customHeight="1"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</row>
    <row r="997" spans="3:44" ht="15" customHeight="1"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</row>
    <row r="998" spans="3:44" ht="15" customHeight="1"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</row>
    <row r="999" spans="3:44" ht="15" customHeight="1"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</row>
    <row r="1000" spans="3:44" ht="15" customHeight="1"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</row>
    <row r="1001" spans="3:44" ht="15" customHeight="1"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</row>
    <row r="1002" spans="3:44" ht="15" customHeight="1"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</row>
    <row r="1003" spans="3:44" ht="15" customHeight="1"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</row>
    <row r="1004" spans="3:44" ht="15" customHeight="1"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</row>
    <row r="1005" spans="3:44" ht="15" customHeight="1"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</row>
    <row r="1006" spans="3:44" ht="15" customHeight="1"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</row>
    <row r="1007" spans="3:44" ht="15" customHeight="1"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</row>
    <row r="1008" spans="3:44" ht="15" customHeight="1"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</row>
    <row r="1009" spans="3:44" ht="15" customHeight="1"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</row>
    <row r="1010" spans="3:44" ht="15" customHeight="1"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</row>
    <row r="1011" spans="3:44" ht="15" customHeight="1"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</row>
    <row r="1012" spans="3:44" ht="15" customHeight="1"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</row>
    <row r="1013" spans="3:44" ht="15" customHeight="1"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</row>
    <row r="1014" spans="3:44" ht="15" customHeight="1"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</row>
    <row r="1015" spans="3:44" ht="15" customHeight="1"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</row>
    <row r="1016" spans="3:44" ht="15" customHeight="1"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</row>
    <row r="1017" spans="3:44" ht="15" customHeight="1"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</row>
    <row r="1018" spans="3:44" ht="15" customHeight="1"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</row>
    <row r="1019" spans="3:44" ht="15" customHeight="1"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</row>
    <row r="1020" spans="3:44" ht="15" customHeight="1"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</row>
    <row r="1021" spans="3:44" ht="15" customHeight="1"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</row>
    <row r="1022" spans="3:44" ht="15" customHeight="1"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</row>
    <row r="1023" spans="3:44" ht="15" customHeight="1"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</row>
    <row r="1024" spans="3:44" ht="15" customHeight="1"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</row>
    <row r="1025" spans="3:44" ht="15" customHeight="1"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</row>
    <row r="1026" spans="3:44" ht="15" customHeight="1"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</row>
    <row r="1027" spans="3:44" ht="15" customHeight="1"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</row>
    <row r="1028" spans="3:44" ht="15" customHeight="1"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</row>
    <row r="1029" spans="3:44" ht="15" customHeight="1"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</row>
    <row r="1030" spans="3:44" ht="15" customHeight="1"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</row>
    <row r="1031" spans="3:44" ht="15" customHeight="1"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</row>
    <row r="1032" spans="3:44" ht="15" customHeight="1"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</row>
    <row r="1033" spans="3:44" ht="15" customHeight="1"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</row>
    <row r="1034" spans="3:44" ht="15" customHeight="1"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</row>
    <row r="1035" spans="3:44" ht="15" customHeight="1"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</row>
    <row r="1036" spans="3:44" ht="15" customHeight="1"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</row>
    <row r="1037" spans="3:44" ht="15" customHeight="1"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</row>
    <row r="1038" spans="3:44" ht="15" customHeight="1"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</row>
    <row r="1039" spans="3:44" ht="15" customHeight="1"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</row>
    <row r="1040" spans="3:44" ht="15" customHeight="1"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</row>
    <row r="1041" spans="3:44" ht="15" customHeight="1"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</row>
    <row r="1042" spans="3:44" ht="15" customHeight="1"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</row>
    <row r="1043" spans="3:44" ht="15" customHeight="1"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</row>
    <row r="1044" spans="3:44" ht="15" customHeight="1"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</row>
    <row r="1045" spans="3:44" ht="15" customHeight="1"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</row>
    <row r="1046" spans="3:44" ht="15" customHeight="1"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</row>
    <row r="1047" spans="3:44" ht="15" customHeight="1"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</row>
    <row r="1048" spans="3:44" ht="15" customHeight="1"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</row>
    <row r="1049" spans="3:44" ht="15" customHeight="1"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</row>
    <row r="1050" spans="3:44" ht="15" customHeight="1"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</row>
    <row r="1051" spans="3:44" ht="15" customHeight="1"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</row>
    <row r="1052" spans="3:44" ht="15" customHeight="1"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</row>
    <row r="1053" spans="3:44" ht="15" customHeight="1"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</row>
    <row r="1054" spans="3:44" ht="15" customHeight="1"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</row>
    <row r="1055" spans="3:44" ht="15" customHeight="1"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</row>
    <row r="1056" spans="3:44" ht="15" customHeight="1"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  <c r="AF1056"/>
      <c r="AG1056"/>
      <c r="AH1056"/>
      <c r="AI1056"/>
      <c r="AJ1056"/>
      <c r="AK1056"/>
      <c r="AL1056"/>
      <c r="AM1056"/>
      <c r="AN1056"/>
      <c r="AO1056"/>
      <c r="AP1056"/>
      <c r="AQ1056"/>
      <c r="AR1056"/>
    </row>
    <row r="1057" spans="3:44" ht="15" customHeight="1"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/>
      <c r="AF1057"/>
      <c r="AG1057"/>
      <c r="AH1057"/>
      <c r="AI1057"/>
      <c r="AJ1057"/>
      <c r="AK1057"/>
      <c r="AL1057"/>
      <c r="AM1057"/>
      <c r="AN1057"/>
      <c r="AO1057"/>
      <c r="AP1057"/>
      <c r="AQ1057"/>
      <c r="AR1057"/>
    </row>
    <row r="1058" spans="3:44" ht="15" customHeight="1"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/>
      <c r="AF1058"/>
      <c r="AG1058"/>
      <c r="AH1058"/>
      <c r="AI1058"/>
      <c r="AJ1058"/>
      <c r="AK1058"/>
      <c r="AL1058"/>
      <c r="AM1058"/>
      <c r="AN1058"/>
      <c r="AO1058"/>
      <c r="AP1058"/>
      <c r="AQ1058"/>
      <c r="AR1058"/>
    </row>
    <row r="1059" spans="3:44" ht="15" customHeight="1"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/>
      <c r="AF1059"/>
      <c r="AG1059"/>
      <c r="AH1059"/>
      <c r="AI1059"/>
      <c r="AJ1059"/>
      <c r="AK1059"/>
      <c r="AL1059"/>
      <c r="AM1059"/>
      <c r="AN1059"/>
      <c r="AO1059"/>
      <c r="AP1059"/>
      <c r="AQ1059"/>
      <c r="AR1059"/>
    </row>
    <row r="1060" spans="3:44" ht="15" customHeight="1"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/>
      <c r="AF1060"/>
      <c r="AG1060"/>
      <c r="AH1060"/>
      <c r="AI1060"/>
      <c r="AJ1060"/>
      <c r="AK1060"/>
      <c r="AL1060"/>
      <c r="AM1060"/>
      <c r="AN1060"/>
      <c r="AO1060"/>
      <c r="AP1060"/>
      <c r="AQ1060"/>
      <c r="AR1060"/>
    </row>
    <row r="1061" spans="3:44" ht="15" customHeight="1"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/>
      <c r="AF1061"/>
      <c r="AG1061"/>
      <c r="AH1061"/>
      <c r="AI1061"/>
      <c r="AJ1061"/>
      <c r="AK1061"/>
      <c r="AL1061"/>
      <c r="AM1061"/>
      <c r="AN1061"/>
      <c r="AO1061"/>
      <c r="AP1061"/>
      <c r="AQ1061"/>
      <c r="AR1061"/>
    </row>
    <row r="1062" spans="3:44" ht="15" customHeight="1"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/>
      <c r="AF1062"/>
      <c r="AG1062"/>
      <c r="AH1062"/>
      <c r="AI1062"/>
      <c r="AJ1062"/>
      <c r="AK1062"/>
      <c r="AL1062"/>
      <c r="AM1062"/>
      <c r="AN1062"/>
      <c r="AO1062"/>
      <c r="AP1062"/>
      <c r="AQ1062"/>
      <c r="AR1062"/>
    </row>
    <row r="1063" spans="3:44" ht="15" customHeight="1"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/>
      <c r="AF1063"/>
      <c r="AG1063"/>
      <c r="AH1063"/>
      <c r="AI1063"/>
      <c r="AJ1063"/>
      <c r="AK1063"/>
      <c r="AL1063"/>
      <c r="AM1063"/>
      <c r="AN1063"/>
      <c r="AO1063"/>
      <c r="AP1063"/>
      <c r="AQ1063"/>
      <c r="AR1063"/>
    </row>
    <row r="1064" spans="3:44" ht="15" customHeight="1"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/>
      <c r="AF1064"/>
      <c r="AG1064"/>
      <c r="AH1064"/>
      <c r="AI1064"/>
      <c r="AJ1064"/>
      <c r="AK1064"/>
      <c r="AL1064"/>
      <c r="AM1064"/>
      <c r="AN1064"/>
      <c r="AO1064"/>
      <c r="AP1064"/>
      <c r="AQ1064"/>
      <c r="AR1064"/>
    </row>
    <row r="1065" spans="3:44" ht="15" customHeight="1"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/>
      <c r="AF1065"/>
      <c r="AG1065"/>
      <c r="AH1065"/>
      <c r="AI1065"/>
      <c r="AJ1065"/>
      <c r="AK1065"/>
      <c r="AL1065"/>
      <c r="AM1065"/>
      <c r="AN1065"/>
      <c r="AO1065"/>
      <c r="AP1065"/>
      <c r="AQ1065"/>
      <c r="AR1065"/>
    </row>
    <row r="1066" spans="3:44" ht="15" customHeight="1"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/>
      <c r="AF1066"/>
      <c r="AG1066"/>
      <c r="AH1066"/>
      <c r="AI1066"/>
      <c r="AJ1066"/>
      <c r="AK1066"/>
      <c r="AL1066"/>
      <c r="AM1066"/>
      <c r="AN1066"/>
      <c r="AO1066"/>
      <c r="AP1066"/>
      <c r="AQ1066"/>
      <c r="AR1066"/>
    </row>
    <row r="1067" spans="3:44" ht="15" customHeight="1"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/>
      <c r="AF1067"/>
      <c r="AG1067"/>
      <c r="AH1067"/>
      <c r="AI1067"/>
      <c r="AJ1067"/>
      <c r="AK1067"/>
      <c r="AL1067"/>
      <c r="AM1067"/>
      <c r="AN1067"/>
      <c r="AO1067"/>
      <c r="AP1067"/>
      <c r="AQ1067"/>
      <c r="AR1067"/>
    </row>
    <row r="1068" spans="3:44" ht="15" customHeight="1"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/>
      <c r="AF1068"/>
      <c r="AG1068"/>
      <c r="AH1068"/>
      <c r="AI1068"/>
      <c r="AJ1068"/>
      <c r="AK1068"/>
      <c r="AL1068"/>
      <c r="AM1068"/>
      <c r="AN1068"/>
      <c r="AO1068"/>
      <c r="AP1068"/>
      <c r="AQ1068"/>
      <c r="AR1068"/>
    </row>
    <row r="1069" spans="3:44" ht="15" customHeight="1"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/>
      <c r="AF1069"/>
      <c r="AG1069"/>
      <c r="AH1069"/>
      <c r="AI1069"/>
      <c r="AJ1069"/>
      <c r="AK1069"/>
      <c r="AL1069"/>
      <c r="AM1069"/>
      <c r="AN1069"/>
      <c r="AO1069"/>
      <c r="AP1069"/>
      <c r="AQ1069"/>
      <c r="AR1069"/>
    </row>
    <row r="1070" spans="3:44" ht="15" customHeight="1"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/>
      <c r="AF1070"/>
      <c r="AG1070"/>
      <c r="AH1070"/>
      <c r="AI1070"/>
      <c r="AJ1070"/>
      <c r="AK1070"/>
      <c r="AL1070"/>
      <c r="AM1070"/>
      <c r="AN1070"/>
      <c r="AO1070"/>
      <c r="AP1070"/>
      <c r="AQ1070"/>
      <c r="AR1070"/>
    </row>
    <row r="1071" spans="3:44" ht="15" customHeight="1"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/>
      <c r="AF1071"/>
      <c r="AG1071"/>
      <c r="AH1071"/>
      <c r="AI1071"/>
      <c r="AJ1071"/>
      <c r="AK1071"/>
      <c r="AL1071"/>
      <c r="AM1071"/>
      <c r="AN1071"/>
      <c r="AO1071"/>
      <c r="AP1071"/>
      <c r="AQ1071"/>
      <c r="AR1071"/>
    </row>
    <row r="1072" spans="3:44" ht="15" customHeight="1"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/>
      <c r="AF1072"/>
      <c r="AG1072"/>
      <c r="AH1072"/>
      <c r="AI1072"/>
      <c r="AJ1072"/>
      <c r="AK1072"/>
      <c r="AL1072"/>
      <c r="AM1072"/>
      <c r="AN1072"/>
      <c r="AO1072"/>
      <c r="AP1072"/>
      <c r="AQ1072"/>
      <c r="AR1072"/>
    </row>
    <row r="1073" spans="3:44" ht="15" customHeight="1"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/>
      <c r="AF1073"/>
      <c r="AG1073"/>
      <c r="AH1073"/>
      <c r="AI1073"/>
      <c r="AJ1073"/>
      <c r="AK1073"/>
      <c r="AL1073"/>
      <c r="AM1073"/>
      <c r="AN1073"/>
      <c r="AO1073"/>
      <c r="AP1073"/>
      <c r="AQ1073"/>
      <c r="AR1073"/>
    </row>
    <row r="1074" spans="3:44" ht="15" customHeight="1"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/>
      <c r="AF1074"/>
      <c r="AG1074"/>
      <c r="AH1074"/>
      <c r="AI1074"/>
      <c r="AJ1074"/>
      <c r="AK1074"/>
      <c r="AL1074"/>
      <c r="AM1074"/>
      <c r="AN1074"/>
      <c r="AO1074"/>
      <c r="AP1074"/>
      <c r="AQ1074"/>
      <c r="AR1074"/>
    </row>
    <row r="1075" spans="3:44" ht="15" customHeight="1"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/>
      <c r="AF1075"/>
      <c r="AG1075"/>
      <c r="AH1075"/>
      <c r="AI1075"/>
      <c r="AJ1075"/>
      <c r="AK1075"/>
      <c r="AL1075"/>
      <c r="AM1075"/>
      <c r="AN1075"/>
      <c r="AO1075"/>
      <c r="AP1075"/>
      <c r="AQ1075"/>
      <c r="AR1075"/>
    </row>
    <row r="1076" spans="3:44" ht="15" customHeight="1"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/>
      <c r="AF1076"/>
      <c r="AG1076"/>
      <c r="AH1076"/>
      <c r="AI1076"/>
      <c r="AJ1076"/>
      <c r="AK1076"/>
      <c r="AL1076"/>
      <c r="AM1076"/>
      <c r="AN1076"/>
      <c r="AO1076"/>
      <c r="AP1076"/>
      <c r="AQ1076"/>
      <c r="AR1076"/>
    </row>
    <row r="1077" spans="3:44" ht="15" customHeight="1"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/>
      <c r="AF1077"/>
      <c r="AG1077"/>
      <c r="AH1077"/>
      <c r="AI1077"/>
      <c r="AJ1077"/>
      <c r="AK1077"/>
      <c r="AL1077"/>
      <c r="AM1077"/>
      <c r="AN1077"/>
      <c r="AO1077"/>
      <c r="AP1077"/>
      <c r="AQ1077"/>
      <c r="AR1077"/>
    </row>
    <row r="1078" spans="3:44" ht="15" customHeight="1"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/>
      <c r="AF1078"/>
      <c r="AG1078"/>
      <c r="AH1078"/>
      <c r="AI1078"/>
      <c r="AJ1078"/>
      <c r="AK1078"/>
      <c r="AL1078"/>
      <c r="AM1078"/>
      <c r="AN1078"/>
      <c r="AO1078"/>
      <c r="AP1078"/>
      <c r="AQ1078"/>
      <c r="AR1078"/>
    </row>
    <row r="1079" spans="3:44" ht="15" customHeight="1"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/>
      <c r="AF1079"/>
      <c r="AG1079"/>
      <c r="AH1079"/>
      <c r="AI1079"/>
      <c r="AJ1079"/>
      <c r="AK1079"/>
      <c r="AL1079"/>
      <c r="AM1079"/>
      <c r="AN1079"/>
      <c r="AO1079"/>
      <c r="AP1079"/>
      <c r="AQ1079"/>
      <c r="AR1079"/>
    </row>
    <row r="1080" spans="3:44" ht="15" customHeight="1"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/>
      <c r="AF1080"/>
      <c r="AG1080"/>
      <c r="AH1080"/>
      <c r="AI1080"/>
      <c r="AJ1080"/>
      <c r="AK1080"/>
      <c r="AL1080"/>
      <c r="AM1080"/>
      <c r="AN1080"/>
      <c r="AO1080"/>
      <c r="AP1080"/>
      <c r="AQ1080"/>
      <c r="AR1080"/>
    </row>
    <row r="1081" spans="3:44" ht="15" customHeight="1"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/>
      <c r="AF1081"/>
      <c r="AG1081"/>
      <c r="AH1081"/>
      <c r="AI1081"/>
      <c r="AJ1081"/>
      <c r="AK1081"/>
      <c r="AL1081"/>
      <c r="AM1081"/>
      <c r="AN1081"/>
      <c r="AO1081"/>
      <c r="AP1081"/>
      <c r="AQ1081"/>
      <c r="AR1081"/>
    </row>
    <row r="1082" spans="3:44" ht="15" customHeight="1"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/>
      <c r="AF1082"/>
      <c r="AG1082"/>
      <c r="AH1082"/>
      <c r="AI1082"/>
      <c r="AJ1082"/>
      <c r="AK1082"/>
      <c r="AL1082"/>
      <c r="AM1082"/>
      <c r="AN1082"/>
      <c r="AO1082"/>
      <c r="AP1082"/>
      <c r="AQ1082"/>
      <c r="AR1082"/>
    </row>
    <row r="1083" spans="3:44" ht="15" customHeight="1"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/>
      <c r="AF1083"/>
      <c r="AG1083"/>
      <c r="AH1083"/>
      <c r="AI1083"/>
      <c r="AJ1083"/>
      <c r="AK1083"/>
      <c r="AL1083"/>
      <c r="AM1083"/>
      <c r="AN1083"/>
      <c r="AO1083"/>
      <c r="AP1083"/>
      <c r="AQ1083"/>
      <c r="AR1083"/>
    </row>
    <row r="1084" spans="3:44" ht="15" customHeight="1"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/>
      <c r="AF1084"/>
      <c r="AG1084"/>
      <c r="AH1084"/>
      <c r="AI1084"/>
      <c r="AJ1084"/>
      <c r="AK1084"/>
      <c r="AL1084"/>
      <c r="AM1084"/>
      <c r="AN1084"/>
      <c r="AO1084"/>
      <c r="AP1084"/>
      <c r="AQ1084"/>
      <c r="AR1084"/>
    </row>
    <row r="1085" spans="3:44" ht="15" customHeight="1"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/>
      <c r="AF1085"/>
      <c r="AG1085"/>
      <c r="AH1085"/>
      <c r="AI1085"/>
      <c r="AJ1085"/>
      <c r="AK1085"/>
      <c r="AL1085"/>
      <c r="AM1085"/>
      <c r="AN1085"/>
      <c r="AO1085"/>
      <c r="AP1085"/>
      <c r="AQ1085"/>
      <c r="AR1085"/>
    </row>
    <row r="1086" spans="3:44" ht="15" customHeight="1"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/>
      <c r="AF1086"/>
      <c r="AG1086"/>
      <c r="AH1086"/>
      <c r="AI1086"/>
      <c r="AJ1086"/>
      <c r="AK1086"/>
      <c r="AL1086"/>
      <c r="AM1086"/>
      <c r="AN1086"/>
      <c r="AO1086"/>
      <c r="AP1086"/>
      <c r="AQ1086"/>
      <c r="AR1086"/>
    </row>
    <row r="1087" spans="3:44" ht="15" customHeight="1"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/>
      <c r="AF1087"/>
      <c r="AG1087"/>
      <c r="AH1087"/>
      <c r="AI1087"/>
      <c r="AJ1087"/>
      <c r="AK1087"/>
      <c r="AL1087"/>
      <c r="AM1087"/>
      <c r="AN1087"/>
      <c r="AO1087"/>
      <c r="AP1087"/>
      <c r="AQ1087"/>
      <c r="AR1087"/>
    </row>
    <row r="1088" spans="3:44" ht="15" customHeight="1"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/>
      <c r="AF1088"/>
      <c r="AG1088"/>
      <c r="AH1088"/>
      <c r="AI1088"/>
      <c r="AJ1088"/>
      <c r="AK1088"/>
      <c r="AL1088"/>
      <c r="AM1088"/>
      <c r="AN1088"/>
      <c r="AO1088"/>
      <c r="AP1088"/>
      <c r="AQ1088"/>
      <c r="AR1088"/>
    </row>
    <row r="1089" spans="3:44" ht="15" customHeight="1"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/>
      <c r="AF1089"/>
      <c r="AG1089"/>
      <c r="AH1089"/>
      <c r="AI1089"/>
      <c r="AJ1089"/>
      <c r="AK1089"/>
      <c r="AL1089"/>
      <c r="AM1089"/>
      <c r="AN1089"/>
      <c r="AO1089"/>
      <c r="AP1089"/>
      <c r="AQ1089"/>
      <c r="AR1089"/>
    </row>
    <row r="1090" spans="3:44" ht="15" customHeight="1"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/>
      <c r="AF1090"/>
      <c r="AG1090"/>
      <c r="AH1090"/>
      <c r="AI1090"/>
      <c r="AJ1090"/>
      <c r="AK1090"/>
      <c r="AL1090"/>
      <c r="AM1090"/>
      <c r="AN1090"/>
      <c r="AO1090"/>
      <c r="AP1090"/>
      <c r="AQ1090"/>
      <c r="AR1090"/>
    </row>
    <row r="1091" spans="3:44" ht="15" customHeight="1"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/>
      <c r="AF1091"/>
      <c r="AG1091"/>
      <c r="AH1091"/>
      <c r="AI1091"/>
      <c r="AJ1091"/>
      <c r="AK1091"/>
      <c r="AL1091"/>
      <c r="AM1091"/>
      <c r="AN1091"/>
      <c r="AO1091"/>
      <c r="AP1091"/>
      <c r="AQ1091"/>
      <c r="AR1091"/>
    </row>
    <row r="1092" spans="3:44" ht="15" customHeight="1"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/>
      <c r="AF1092"/>
      <c r="AG1092"/>
      <c r="AH1092"/>
      <c r="AI1092"/>
      <c r="AJ1092"/>
      <c r="AK1092"/>
      <c r="AL1092"/>
      <c r="AM1092"/>
      <c r="AN1092"/>
      <c r="AO1092"/>
      <c r="AP1092"/>
      <c r="AQ1092"/>
      <c r="AR1092"/>
    </row>
    <row r="1093" spans="3:44" ht="15" customHeight="1"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/>
      <c r="AF1093"/>
      <c r="AG1093"/>
      <c r="AH1093"/>
      <c r="AI1093"/>
      <c r="AJ1093"/>
      <c r="AK1093"/>
      <c r="AL1093"/>
      <c r="AM1093"/>
      <c r="AN1093"/>
      <c r="AO1093"/>
      <c r="AP1093"/>
      <c r="AQ1093"/>
      <c r="AR1093"/>
    </row>
    <row r="1094" spans="3:44" ht="15" customHeight="1"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/>
      <c r="AF1094"/>
      <c r="AG1094"/>
      <c r="AH1094"/>
      <c r="AI1094"/>
      <c r="AJ1094"/>
      <c r="AK1094"/>
      <c r="AL1094"/>
      <c r="AM1094"/>
      <c r="AN1094"/>
      <c r="AO1094"/>
      <c r="AP1094"/>
      <c r="AQ1094"/>
      <c r="AR1094"/>
    </row>
    <row r="1095" spans="3:44" ht="15" customHeight="1"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/>
      <c r="AF1095"/>
      <c r="AG1095"/>
      <c r="AH1095"/>
      <c r="AI1095"/>
      <c r="AJ1095"/>
      <c r="AK1095"/>
      <c r="AL1095"/>
      <c r="AM1095"/>
      <c r="AN1095"/>
      <c r="AO1095"/>
      <c r="AP1095"/>
      <c r="AQ1095"/>
      <c r="AR1095"/>
    </row>
    <row r="1096" spans="3:44" ht="15" customHeight="1"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/>
      <c r="AF1096"/>
      <c r="AG1096"/>
      <c r="AH1096"/>
      <c r="AI1096"/>
      <c r="AJ1096"/>
      <c r="AK1096"/>
      <c r="AL1096"/>
      <c r="AM1096"/>
      <c r="AN1096"/>
      <c r="AO1096"/>
      <c r="AP1096"/>
      <c r="AQ1096"/>
      <c r="AR1096"/>
    </row>
    <row r="1097" spans="3:44" ht="15" customHeight="1"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/>
      <c r="AF1097"/>
      <c r="AG1097"/>
      <c r="AH1097"/>
      <c r="AI1097"/>
      <c r="AJ1097"/>
      <c r="AK1097"/>
      <c r="AL1097"/>
      <c r="AM1097"/>
      <c r="AN1097"/>
      <c r="AO1097"/>
      <c r="AP1097"/>
      <c r="AQ1097"/>
      <c r="AR1097"/>
    </row>
    <row r="1098" spans="3:44" ht="15" customHeight="1"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/>
      <c r="AF1098"/>
      <c r="AG1098"/>
      <c r="AH1098"/>
      <c r="AI1098"/>
      <c r="AJ1098"/>
      <c r="AK1098"/>
      <c r="AL1098"/>
      <c r="AM1098"/>
      <c r="AN1098"/>
      <c r="AO1098"/>
      <c r="AP1098"/>
      <c r="AQ1098"/>
      <c r="AR1098"/>
    </row>
    <row r="1099" spans="3:44" ht="15" customHeight="1"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/>
      <c r="AF1099"/>
      <c r="AG1099"/>
      <c r="AH1099"/>
      <c r="AI1099"/>
      <c r="AJ1099"/>
      <c r="AK1099"/>
      <c r="AL1099"/>
      <c r="AM1099"/>
      <c r="AN1099"/>
      <c r="AO1099"/>
      <c r="AP1099"/>
      <c r="AQ1099"/>
      <c r="AR1099"/>
    </row>
    <row r="1100" spans="3:44" ht="15" customHeight="1"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/>
      <c r="AF1100"/>
      <c r="AG1100"/>
      <c r="AH1100"/>
      <c r="AI1100"/>
      <c r="AJ1100"/>
      <c r="AK1100"/>
      <c r="AL1100"/>
      <c r="AM1100"/>
      <c r="AN1100"/>
      <c r="AO1100"/>
      <c r="AP1100"/>
      <c r="AQ1100"/>
      <c r="AR1100"/>
    </row>
    <row r="1101" spans="3:44" ht="15" customHeight="1"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/>
      <c r="AF1101"/>
      <c r="AG1101"/>
      <c r="AH1101"/>
      <c r="AI1101"/>
      <c r="AJ1101"/>
      <c r="AK1101"/>
      <c r="AL1101"/>
      <c r="AM1101"/>
      <c r="AN1101"/>
      <c r="AO1101"/>
      <c r="AP1101"/>
      <c r="AQ1101"/>
      <c r="AR1101"/>
    </row>
    <row r="1102" spans="3:44" ht="15" customHeight="1"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/>
      <c r="AF1102"/>
      <c r="AG1102"/>
      <c r="AH1102"/>
      <c r="AI1102"/>
      <c r="AJ1102"/>
      <c r="AK1102"/>
      <c r="AL1102"/>
      <c r="AM1102"/>
      <c r="AN1102"/>
      <c r="AO1102"/>
      <c r="AP1102"/>
      <c r="AQ1102"/>
      <c r="AR1102"/>
    </row>
    <row r="1103" spans="3:44" ht="15" customHeight="1"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/>
      <c r="AF1103"/>
      <c r="AG1103"/>
      <c r="AH1103"/>
      <c r="AI1103"/>
      <c r="AJ1103"/>
      <c r="AK1103"/>
      <c r="AL1103"/>
      <c r="AM1103"/>
      <c r="AN1103"/>
      <c r="AO1103"/>
      <c r="AP1103"/>
      <c r="AQ1103"/>
      <c r="AR1103"/>
    </row>
    <row r="1104" spans="3:44" ht="15" customHeight="1"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/>
      <c r="AF1104"/>
      <c r="AG1104"/>
      <c r="AH1104"/>
      <c r="AI1104"/>
      <c r="AJ1104"/>
      <c r="AK1104"/>
      <c r="AL1104"/>
      <c r="AM1104"/>
      <c r="AN1104"/>
      <c r="AO1104"/>
      <c r="AP1104"/>
      <c r="AQ1104"/>
      <c r="AR1104"/>
    </row>
    <row r="1105" spans="3:44" ht="15" customHeight="1"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/>
      <c r="AF1105"/>
      <c r="AG1105"/>
      <c r="AH1105"/>
      <c r="AI1105"/>
      <c r="AJ1105"/>
      <c r="AK1105"/>
      <c r="AL1105"/>
      <c r="AM1105"/>
      <c r="AN1105"/>
      <c r="AO1105"/>
      <c r="AP1105"/>
      <c r="AQ1105"/>
      <c r="AR1105"/>
    </row>
    <row r="1106" spans="3:44" ht="15" customHeight="1"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/>
      <c r="AF1106"/>
      <c r="AG1106"/>
      <c r="AH1106"/>
      <c r="AI1106"/>
      <c r="AJ1106"/>
      <c r="AK1106"/>
      <c r="AL1106"/>
      <c r="AM1106"/>
      <c r="AN1106"/>
      <c r="AO1106"/>
      <c r="AP1106"/>
      <c r="AQ1106"/>
      <c r="AR1106"/>
    </row>
    <row r="1107" spans="3:44" ht="15" customHeight="1"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/>
      <c r="AF1107"/>
      <c r="AG1107"/>
      <c r="AH1107"/>
      <c r="AI1107"/>
      <c r="AJ1107"/>
      <c r="AK1107"/>
      <c r="AL1107"/>
      <c r="AM1107"/>
      <c r="AN1107"/>
      <c r="AO1107"/>
      <c r="AP1107"/>
      <c r="AQ1107"/>
      <c r="AR1107"/>
    </row>
    <row r="1108" spans="3:44" ht="15" customHeight="1"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/>
      <c r="AF1108"/>
      <c r="AG1108"/>
      <c r="AH1108"/>
      <c r="AI1108"/>
      <c r="AJ1108"/>
      <c r="AK1108"/>
      <c r="AL1108"/>
      <c r="AM1108"/>
      <c r="AN1108"/>
      <c r="AO1108"/>
      <c r="AP1108"/>
      <c r="AQ1108"/>
      <c r="AR1108"/>
    </row>
    <row r="1109" spans="3:44" ht="15" customHeight="1"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/>
      <c r="AF1109"/>
      <c r="AG1109"/>
      <c r="AH1109"/>
      <c r="AI1109"/>
      <c r="AJ1109"/>
      <c r="AK1109"/>
      <c r="AL1109"/>
      <c r="AM1109"/>
      <c r="AN1109"/>
      <c r="AO1109"/>
      <c r="AP1109"/>
      <c r="AQ1109"/>
      <c r="AR1109"/>
    </row>
    <row r="1110" spans="3:44" ht="15" customHeight="1"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/>
      <c r="AF1110"/>
      <c r="AG1110"/>
      <c r="AH1110"/>
      <c r="AI1110"/>
      <c r="AJ1110"/>
      <c r="AK1110"/>
      <c r="AL1110"/>
      <c r="AM1110"/>
      <c r="AN1110"/>
      <c r="AO1110"/>
      <c r="AP1110"/>
      <c r="AQ1110"/>
      <c r="AR1110"/>
    </row>
    <row r="1111" spans="3:44" ht="15" customHeight="1"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/>
      <c r="AF1111"/>
      <c r="AG1111"/>
      <c r="AH1111"/>
      <c r="AI1111"/>
      <c r="AJ1111"/>
      <c r="AK1111"/>
      <c r="AL1111"/>
      <c r="AM1111"/>
      <c r="AN1111"/>
      <c r="AO1111"/>
      <c r="AP1111"/>
      <c r="AQ1111"/>
      <c r="AR1111"/>
    </row>
    <row r="1112" spans="3:44" ht="15" customHeight="1"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/>
      <c r="AF1112"/>
      <c r="AG1112"/>
      <c r="AH1112"/>
      <c r="AI1112"/>
      <c r="AJ1112"/>
      <c r="AK1112"/>
      <c r="AL1112"/>
      <c r="AM1112"/>
      <c r="AN1112"/>
      <c r="AO1112"/>
      <c r="AP1112"/>
      <c r="AQ1112"/>
      <c r="AR1112"/>
    </row>
    <row r="1113" spans="3:44" ht="15" customHeight="1"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/>
      <c r="AF1113"/>
      <c r="AG1113"/>
      <c r="AH1113"/>
      <c r="AI1113"/>
      <c r="AJ1113"/>
      <c r="AK1113"/>
      <c r="AL1113"/>
      <c r="AM1113"/>
      <c r="AN1113"/>
      <c r="AO1113"/>
      <c r="AP1113"/>
      <c r="AQ1113"/>
      <c r="AR1113"/>
    </row>
    <row r="1114" spans="3:44" ht="15" customHeight="1"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/>
      <c r="AF1114"/>
      <c r="AG1114"/>
      <c r="AH1114"/>
      <c r="AI1114"/>
      <c r="AJ1114"/>
      <c r="AK1114"/>
      <c r="AL1114"/>
      <c r="AM1114"/>
      <c r="AN1114"/>
      <c r="AO1114"/>
      <c r="AP1114"/>
      <c r="AQ1114"/>
      <c r="AR1114"/>
    </row>
    <row r="1115" spans="3:44" ht="15" customHeight="1"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/>
      <c r="AF1115"/>
      <c r="AG1115"/>
      <c r="AH1115"/>
      <c r="AI1115"/>
      <c r="AJ1115"/>
      <c r="AK1115"/>
      <c r="AL1115"/>
      <c r="AM1115"/>
      <c r="AN1115"/>
      <c r="AO1115"/>
      <c r="AP1115"/>
      <c r="AQ1115"/>
      <c r="AR1115"/>
    </row>
    <row r="1116" spans="3:44" ht="15" customHeight="1"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/>
      <c r="AF1116"/>
      <c r="AG1116"/>
      <c r="AH1116"/>
      <c r="AI1116"/>
      <c r="AJ1116"/>
      <c r="AK1116"/>
      <c r="AL1116"/>
      <c r="AM1116"/>
      <c r="AN1116"/>
      <c r="AO1116"/>
      <c r="AP1116"/>
      <c r="AQ1116"/>
      <c r="AR1116"/>
    </row>
    <row r="1117" spans="3:44" ht="15" customHeight="1"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/>
      <c r="AF1117"/>
      <c r="AG1117"/>
      <c r="AH1117"/>
      <c r="AI1117"/>
      <c r="AJ1117"/>
      <c r="AK1117"/>
      <c r="AL1117"/>
      <c r="AM1117"/>
      <c r="AN1117"/>
      <c r="AO1117"/>
      <c r="AP1117"/>
      <c r="AQ1117"/>
      <c r="AR1117"/>
    </row>
    <row r="1118" spans="3:44" ht="15" customHeight="1"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  <c r="AF1118"/>
      <c r="AG1118"/>
      <c r="AH1118"/>
      <c r="AI1118"/>
      <c r="AJ1118"/>
      <c r="AK1118"/>
      <c r="AL1118"/>
      <c r="AM1118"/>
      <c r="AN1118"/>
      <c r="AO1118"/>
      <c r="AP1118"/>
      <c r="AQ1118"/>
      <c r="AR1118"/>
    </row>
    <row r="1119" spans="3:44" ht="15" customHeight="1"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  <c r="AF1119"/>
      <c r="AG1119"/>
      <c r="AH1119"/>
      <c r="AI1119"/>
      <c r="AJ1119"/>
      <c r="AK1119"/>
      <c r="AL1119"/>
      <c r="AM1119"/>
      <c r="AN1119"/>
      <c r="AO1119"/>
      <c r="AP1119"/>
      <c r="AQ1119"/>
      <c r="AR1119"/>
    </row>
    <row r="1120" spans="3:44" ht="15" customHeight="1"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  <c r="AF1120"/>
      <c r="AG1120"/>
      <c r="AH1120"/>
      <c r="AI1120"/>
      <c r="AJ1120"/>
      <c r="AK1120"/>
      <c r="AL1120"/>
      <c r="AM1120"/>
      <c r="AN1120"/>
      <c r="AO1120"/>
      <c r="AP1120"/>
      <c r="AQ1120"/>
      <c r="AR1120"/>
    </row>
    <row r="1121" spans="3:44" ht="15" customHeight="1"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  <c r="AF1121"/>
      <c r="AG1121"/>
      <c r="AH1121"/>
      <c r="AI1121"/>
      <c r="AJ1121"/>
      <c r="AK1121"/>
      <c r="AL1121"/>
      <c r="AM1121"/>
      <c r="AN1121"/>
      <c r="AO1121"/>
      <c r="AP1121"/>
      <c r="AQ1121"/>
      <c r="AR1121"/>
    </row>
    <row r="1122" spans="3:44" ht="15" customHeight="1"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  <c r="AF1122"/>
      <c r="AG1122"/>
      <c r="AH1122"/>
      <c r="AI1122"/>
      <c r="AJ1122"/>
      <c r="AK1122"/>
      <c r="AL1122"/>
      <c r="AM1122"/>
      <c r="AN1122"/>
      <c r="AO1122"/>
      <c r="AP1122"/>
      <c r="AQ1122"/>
      <c r="AR1122"/>
    </row>
    <row r="1123" spans="3:44" ht="15" customHeight="1"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  <c r="AF1123"/>
      <c r="AG1123"/>
      <c r="AH1123"/>
      <c r="AI1123"/>
      <c r="AJ1123"/>
      <c r="AK1123"/>
      <c r="AL1123"/>
      <c r="AM1123"/>
      <c r="AN1123"/>
      <c r="AO1123"/>
      <c r="AP1123"/>
      <c r="AQ1123"/>
      <c r="AR1123"/>
    </row>
    <row r="1124" spans="3:44" ht="15" customHeight="1"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  <c r="AF1124"/>
      <c r="AG1124"/>
      <c r="AH1124"/>
      <c r="AI1124"/>
      <c r="AJ1124"/>
      <c r="AK1124"/>
      <c r="AL1124"/>
      <c r="AM1124"/>
      <c r="AN1124"/>
      <c r="AO1124"/>
      <c r="AP1124"/>
      <c r="AQ1124"/>
      <c r="AR1124"/>
    </row>
    <row r="1125" spans="3:44" ht="15" customHeight="1"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  <c r="AF1125"/>
      <c r="AG1125"/>
      <c r="AH1125"/>
      <c r="AI1125"/>
      <c r="AJ1125"/>
      <c r="AK1125"/>
      <c r="AL1125"/>
      <c r="AM1125"/>
      <c r="AN1125"/>
      <c r="AO1125"/>
      <c r="AP1125"/>
      <c r="AQ1125"/>
      <c r="AR1125"/>
    </row>
    <row r="1126" spans="3:44" ht="15" customHeight="1"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  <c r="AF1126"/>
      <c r="AG1126"/>
      <c r="AH1126"/>
      <c r="AI1126"/>
      <c r="AJ1126"/>
      <c r="AK1126"/>
      <c r="AL1126"/>
      <c r="AM1126"/>
      <c r="AN1126"/>
      <c r="AO1126"/>
      <c r="AP1126"/>
      <c r="AQ1126"/>
      <c r="AR1126"/>
    </row>
    <row r="1127" spans="3:44" ht="15" customHeight="1"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  <c r="AF1127"/>
      <c r="AG1127"/>
      <c r="AH1127"/>
      <c r="AI1127"/>
      <c r="AJ1127"/>
      <c r="AK1127"/>
      <c r="AL1127"/>
      <c r="AM1127"/>
      <c r="AN1127"/>
      <c r="AO1127"/>
      <c r="AP1127"/>
      <c r="AQ1127"/>
      <c r="AR1127"/>
    </row>
    <row r="1128" spans="3:44" ht="15" customHeight="1"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  <c r="AF1128"/>
      <c r="AG1128"/>
      <c r="AH1128"/>
      <c r="AI1128"/>
      <c r="AJ1128"/>
      <c r="AK1128"/>
      <c r="AL1128"/>
      <c r="AM1128"/>
      <c r="AN1128"/>
      <c r="AO1128"/>
      <c r="AP1128"/>
      <c r="AQ1128"/>
      <c r="AR1128"/>
    </row>
    <row r="1129" spans="3:44" ht="15" customHeight="1"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  <c r="AF1129"/>
      <c r="AG1129"/>
      <c r="AH1129"/>
      <c r="AI1129"/>
      <c r="AJ1129"/>
      <c r="AK1129"/>
      <c r="AL1129"/>
      <c r="AM1129"/>
      <c r="AN1129"/>
      <c r="AO1129"/>
      <c r="AP1129"/>
      <c r="AQ1129"/>
      <c r="AR1129"/>
    </row>
    <row r="1130" spans="3:44" ht="15" customHeight="1"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/>
      <c r="AF1130"/>
      <c r="AG1130"/>
      <c r="AH1130"/>
      <c r="AI1130"/>
      <c r="AJ1130"/>
      <c r="AK1130"/>
      <c r="AL1130"/>
      <c r="AM1130"/>
      <c r="AN1130"/>
      <c r="AO1130"/>
      <c r="AP1130"/>
      <c r="AQ1130"/>
      <c r="AR1130"/>
    </row>
    <row r="1131" spans="3:44" ht="15" customHeight="1"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/>
      <c r="AF1131"/>
      <c r="AG1131"/>
      <c r="AH1131"/>
      <c r="AI1131"/>
      <c r="AJ1131"/>
      <c r="AK1131"/>
      <c r="AL1131"/>
      <c r="AM1131"/>
      <c r="AN1131"/>
      <c r="AO1131"/>
      <c r="AP1131"/>
      <c r="AQ1131"/>
      <c r="AR1131"/>
    </row>
    <row r="1132" spans="3:44" ht="15" customHeight="1"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/>
      <c r="AF1132"/>
      <c r="AG1132"/>
      <c r="AH1132"/>
      <c r="AI1132"/>
      <c r="AJ1132"/>
      <c r="AK1132"/>
      <c r="AL1132"/>
      <c r="AM1132"/>
      <c r="AN1132"/>
      <c r="AO1132"/>
      <c r="AP1132"/>
      <c r="AQ1132"/>
      <c r="AR1132"/>
    </row>
    <row r="1133" spans="3:44" ht="15" customHeight="1"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/>
      <c r="AF1133"/>
      <c r="AG1133"/>
      <c r="AH1133"/>
      <c r="AI1133"/>
      <c r="AJ1133"/>
      <c r="AK1133"/>
      <c r="AL1133"/>
      <c r="AM1133"/>
      <c r="AN1133"/>
      <c r="AO1133"/>
      <c r="AP1133"/>
      <c r="AQ1133"/>
      <c r="AR1133"/>
    </row>
    <row r="1134" spans="3:44" ht="15" customHeight="1"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/>
      <c r="AF1134"/>
      <c r="AG1134"/>
      <c r="AH1134"/>
      <c r="AI1134"/>
      <c r="AJ1134"/>
      <c r="AK1134"/>
      <c r="AL1134"/>
      <c r="AM1134"/>
      <c r="AN1134"/>
      <c r="AO1134"/>
      <c r="AP1134"/>
      <c r="AQ1134"/>
      <c r="AR1134"/>
    </row>
    <row r="1135" spans="3:44" ht="15" customHeight="1"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/>
      <c r="AF1135"/>
      <c r="AG1135"/>
      <c r="AH1135"/>
      <c r="AI1135"/>
      <c r="AJ1135"/>
      <c r="AK1135"/>
      <c r="AL1135"/>
      <c r="AM1135"/>
      <c r="AN1135"/>
      <c r="AO1135"/>
      <c r="AP1135"/>
      <c r="AQ1135"/>
      <c r="AR1135"/>
    </row>
    <row r="1136" spans="3:44" ht="15" customHeight="1"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/>
      <c r="AF1136"/>
      <c r="AG1136"/>
      <c r="AH1136"/>
      <c r="AI1136"/>
      <c r="AJ1136"/>
      <c r="AK1136"/>
      <c r="AL1136"/>
      <c r="AM1136"/>
      <c r="AN1136"/>
      <c r="AO1136"/>
      <c r="AP1136"/>
      <c r="AQ1136"/>
      <c r="AR1136"/>
    </row>
    <row r="1137" spans="3:44" ht="15" customHeight="1"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/>
      <c r="AF1137"/>
      <c r="AG1137"/>
      <c r="AH1137"/>
      <c r="AI1137"/>
      <c r="AJ1137"/>
      <c r="AK1137"/>
      <c r="AL1137"/>
      <c r="AM1137"/>
      <c r="AN1137"/>
      <c r="AO1137"/>
      <c r="AP1137"/>
      <c r="AQ1137"/>
      <c r="AR1137"/>
    </row>
    <row r="1138" spans="3:44" ht="15" customHeight="1"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/>
      <c r="AF1138"/>
      <c r="AG1138"/>
      <c r="AH1138"/>
      <c r="AI1138"/>
      <c r="AJ1138"/>
      <c r="AK1138"/>
      <c r="AL1138"/>
      <c r="AM1138"/>
      <c r="AN1138"/>
      <c r="AO1138"/>
      <c r="AP1138"/>
      <c r="AQ1138"/>
      <c r="AR1138"/>
    </row>
    <row r="1139" spans="3:44" ht="15" customHeight="1"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/>
      <c r="AF1139"/>
      <c r="AG1139"/>
      <c r="AH1139"/>
      <c r="AI1139"/>
      <c r="AJ1139"/>
      <c r="AK1139"/>
      <c r="AL1139"/>
      <c r="AM1139"/>
      <c r="AN1139"/>
      <c r="AO1139"/>
      <c r="AP1139"/>
      <c r="AQ1139"/>
      <c r="AR1139"/>
    </row>
    <row r="1140" spans="3:44" ht="15" customHeight="1"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/>
      <c r="AF1140"/>
      <c r="AG1140"/>
      <c r="AH1140"/>
      <c r="AI1140"/>
      <c r="AJ1140"/>
      <c r="AK1140"/>
      <c r="AL1140"/>
      <c r="AM1140"/>
      <c r="AN1140"/>
      <c r="AO1140"/>
      <c r="AP1140"/>
      <c r="AQ1140"/>
      <c r="AR1140"/>
    </row>
    <row r="1141" spans="3:44" ht="15" customHeight="1"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/>
      <c r="AF1141"/>
      <c r="AG1141"/>
      <c r="AH1141"/>
      <c r="AI1141"/>
      <c r="AJ1141"/>
      <c r="AK1141"/>
      <c r="AL1141"/>
      <c r="AM1141"/>
      <c r="AN1141"/>
      <c r="AO1141"/>
      <c r="AP1141"/>
      <c r="AQ1141"/>
      <c r="AR1141"/>
    </row>
    <row r="1142" spans="3:44" ht="15" customHeight="1"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/>
      <c r="AF1142"/>
      <c r="AG1142"/>
      <c r="AH1142"/>
      <c r="AI1142"/>
      <c r="AJ1142"/>
      <c r="AK1142"/>
      <c r="AL1142"/>
      <c r="AM1142"/>
      <c r="AN1142"/>
      <c r="AO1142"/>
      <c r="AP1142"/>
      <c r="AQ1142"/>
      <c r="AR1142"/>
    </row>
    <row r="1143" spans="3:44" ht="15" customHeight="1"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/>
      <c r="AF1143"/>
      <c r="AG1143"/>
      <c r="AH1143"/>
      <c r="AI1143"/>
      <c r="AJ1143"/>
      <c r="AK1143"/>
      <c r="AL1143"/>
      <c r="AM1143"/>
      <c r="AN1143"/>
      <c r="AO1143"/>
      <c r="AP1143"/>
      <c r="AQ1143"/>
      <c r="AR1143"/>
    </row>
    <row r="1144" spans="3:44" ht="15" customHeight="1"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/>
      <c r="AF1144"/>
      <c r="AG1144"/>
      <c r="AH1144"/>
      <c r="AI1144"/>
      <c r="AJ1144"/>
      <c r="AK1144"/>
      <c r="AL1144"/>
      <c r="AM1144"/>
      <c r="AN1144"/>
      <c r="AO1144"/>
      <c r="AP1144"/>
      <c r="AQ1144"/>
      <c r="AR1144"/>
    </row>
    <row r="1145" spans="3:44" ht="15" customHeight="1"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/>
      <c r="AF1145"/>
      <c r="AG1145"/>
      <c r="AH1145"/>
      <c r="AI1145"/>
      <c r="AJ1145"/>
      <c r="AK1145"/>
      <c r="AL1145"/>
      <c r="AM1145"/>
      <c r="AN1145"/>
      <c r="AO1145"/>
      <c r="AP1145"/>
      <c r="AQ1145"/>
      <c r="AR1145"/>
    </row>
    <row r="1146" spans="3:44" ht="15" customHeight="1"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/>
      <c r="AF1146"/>
      <c r="AG1146"/>
      <c r="AH1146"/>
      <c r="AI1146"/>
      <c r="AJ1146"/>
      <c r="AK1146"/>
      <c r="AL1146"/>
      <c r="AM1146"/>
      <c r="AN1146"/>
      <c r="AO1146"/>
      <c r="AP1146"/>
      <c r="AQ1146"/>
      <c r="AR1146"/>
    </row>
    <row r="1147" spans="3:44" ht="15" customHeight="1"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/>
      <c r="AF1147"/>
      <c r="AG1147"/>
      <c r="AH1147"/>
      <c r="AI1147"/>
      <c r="AJ1147"/>
      <c r="AK1147"/>
      <c r="AL1147"/>
      <c r="AM1147"/>
      <c r="AN1147"/>
      <c r="AO1147"/>
      <c r="AP1147"/>
      <c r="AQ1147"/>
      <c r="AR1147"/>
    </row>
    <row r="1148" spans="3:44" ht="15" customHeight="1"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/>
      <c r="AF1148"/>
      <c r="AG1148"/>
      <c r="AH1148"/>
      <c r="AI1148"/>
      <c r="AJ1148"/>
      <c r="AK1148"/>
      <c r="AL1148"/>
      <c r="AM1148"/>
      <c r="AN1148"/>
      <c r="AO1148"/>
      <c r="AP1148"/>
      <c r="AQ1148"/>
      <c r="AR1148"/>
    </row>
    <row r="1149" spans="3:44" ht="15" customHeight="1"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/>
      <c r="AF1149"/>
      <c r="AG1149"/>
      <c r="AH1149"/>
      <c r="AI1149"/>
      <c r="AJ1149"/>
      <c r="AK1149"/>
      <c r="AL1149"/>
      <c r="AM1149"/>
      <c r="AN1149"/>
      <c r="AO1149"/>
      <c r="AP1149"/>
      <c r="AQ1149"/>
      <c r="AR1149"/>
    </row>
    <row r="1150" spans="3:44" ht="15" customHeight="1"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/>
      <c r="AF1150"/>
      <c r="AG1150"/>
      <c r="AH1150"/>
      <c r="AI1150"/>
      <c r="AJ1150"/>
      <c r="AK1150"/>
      <c r="AL1150"/>
      <c r="AM1150"/>
      <c r="AN1150"/>
      <c r="AO1150"/>
      <c r="AP1150"/>
      <c r="AQ1150"/>
      <c r="AR1150"/>
    </row>
    <row r="1151" spans="3:44" ht="15" customHeight="1"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/>
      <c r="AF1151"/>
      <c r="AG1151"/>
      <c r="AH1151"/>
      <c r="AI1151"/>
      <c r="AJ1151"/>
      <c r="AK1151"/>
      <c r="AL1151"/>
      <c r="AM1151"/>
      <c r="AN1151"/>
      <c r="AO1151"/>
      <c r="AP1151"/>
      <c r="AQ1151"/>
      <c r="AR1151"/>
    </row>
    <row r="1152" spans="3:44" ht="15" customHeight="1"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/>
      <c r="AF1152"/>
      <c r="AG1152"/>
      <c r="AH1152"/>
      <c r="AI1152"/>
      <c r="AJ1152"/>
      <c r="AK1152"/>
      <c r="AL1152"/>
      <c r="AM1152"/>
      <c r="AN1152"/>
      <c r="AO1152"/>
      <c r="AP1152"/>
      <c r="AQ1152"/>
      <c r="AR1152"/>
    </row>
    <row r="1153" spans="3:44" ht="15" customHeight="1"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/>
      <c r="AF1153"/>
      <c r="AG1153"/>
      <c r="AH1153"/>
      <c r="AI1153"/>
      <c r="AJ1153"/>
      <c r="AK1153"/>
      <c r="AL1153"/>
      <c r="AM1153"/>
      <c r="AN1153"/>
      <c r="AO1153"/>
      <c r="AP1153"/>
      <c r="AQ1153"/>
      <c r="AR1153"/>
    </row>
    <row r="1154" spans="3:44" ht="15" customHeight="1"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/>
      <c r="AF1154"/>
      <c r="AG1154"/>
      <c r="AH1154"/>
      <c r="AI1154"/>
      <c r="AJ1154"/>
      <c r="AK1154"/>
      <c r="AL1154"/>
      <c r="AM1154"/>
      <c r="AN1154"/>
      <c r="AO1154"/>
      <c r="AP1154"/>
      <c r="AQ1154"/>
      <c r="AR1154"/>
    </row>
    <row r="1155" spans="3:44" ht="15" customHeight="1"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  <c r="AF1155"/>
      <c r="AG1155"/>
      <c r="AH1155"/>
      <c r="AI1155"/>
      <c r="AJ1155"/>
      <c r="AK1155"/>
      <c r="AL1155"/>
      <c r="AM1155"/>
      <c r="AN1155"/>
      <c r="AO1155"/>
      <c r="AP1155"/>
      <c r="AQ1155"/>
      <c r="AR1155"/>
    </row>
    <row r="1156" spans="3:44" ht="15" customHeight="1"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/>
      <c r="AF1156"/>
      <c r="AG1156"/>
      <c r="AH1156"/>
      <c r="AI1156"/>
      <c r="AJ1156"/>
      <c r="AK1156"/>
      <c r="AL1156"/>
      <c r="AM1156"/>
      <c r="AN1156"/>
      <c r="AO1156"/>
      <c r="AP1156"/>
      <c r="AQ1156"/>
      <c r="AR1156"/>
    </row>
    <row r="1157" spans="3:44" ht="15" customHeight="1"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/>
      <c r="AF1157"/>
      <c r="AG1157"/>
      <c r="AH1157"/>
      <c r="AI1157"/>
      <c r="AJ1157"/>
      <c r="AK1157"/>
      <c r="AL1157"/>
      <c r="AM1157"/>
      <c r="AN1157"/>
      <c r="AO1157"/>
      <c r="AP1157"/>
      <c r="AQ1157"/>
      <c r="AR1157"/>
    </row>
    <row r="1158" spans="3:44" ht="15" customHeight="1"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  <c r="AF1158"/>
      <c r="AG1158"/>
      <c r="AH1158"/>
      <c r="AI1158"/>
      <c r="AJ1158"/>
      <c r="AK1158"/>
      <c r="AL1158"/>
      <c r="AM1158"/>
      <c r="AN1158"/>
      <c r="AO1158"/>
      <c r="AP1158"/>
      <c r="AQ1158"/>
      <c r="AR1158"/>
    </row>
    <row r="1159" spans="3:44" ht="15" customHeight="1"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  <c r="AF1159"/>
      <c r="AG1159"/>
      <c r="AH1159"/>
      <c r="AI1159"/>
      <c r="AJ1159"/>
      <c r="AK1159"/>
      <c r="AL1159"/>
      <c r="AM1159"/>
      <c r="AN1159"/>
      <c r="AO1159"/>
      <c r="AP1159"/>
      <c r="AQ1159"/>
      <c r="AR1159"/>
    </row>
    <row r="1160" spans="3:44" ht="15" customHeight="1"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/>
      <c r="AF1160"/>
      <c r="AG1160"/>
      <c r="AH1160"/>
      <c r="AI1160"/>
      <c r="AJ1160"/>
      <c r="AK1160"/>
      <c r="AL1160"/>
      <c r="AM1160"/>
      <c r="AN1160"/>
      <c r="AO1160"/>
      <c r="AP1160"/>
      <c r="AQ1160"/>
      <c r="AR1160"/>
    </row>
    <row r="1161" spans="3:44" ht="15" customHeight="1"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/>
      <c r="AF1161"/>
      <c r="AG1161"/>
      <c r="AH1161"/>
      <c r="AI1161"/>
      <c r="AJ1161"/>
      <c r="AK1161"/>
      <c r="AL1161"/>
      <c r="AM1161"/>
      <c r="AN1161"/>
      <c r="AO1161"/>
      <c r="AP1161"/>
      <c r="AQ1161"/>
      <c r="AR1161"/>
    </row>
    <row r="1162" spans="3:44" ht="15" customHeight="1"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/>
      <c r="AF1162"/>
      <c r="AG1162"/>
      <c r="AH1162"/>
      <c r="AI1162"/>
      <c r="AJ1162"/>
      <c r="AK1162"/>
      <c r="AL1162"/>
      <c r="AM1162"/>
      <c r="AN1162"/>
      <c r="AO1162"/>
      <c r="AP1162"/>
      <c r="AQ1162"/>
      <c r="AR1162"/>
    </row>
    <row r="1163" spans="3:44" ht="15" customHeight="1"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/>
      <c r="AF1163"/>
      <c r="AG1163"/>
      <c r="AH1163"/>
      <c r="AI1163"/>
      <c r="AJ1163"/>
      <c r="AK1163"/>
      <c r="AL1163"/>
      <c r="AM1163"/>
      <c r="AN1163"/>
      <c r="AO1163"/>
      <c r="AP1163"/>
      <c r="AQ1163"/>
      <c r="AR1163"/>
    </row>
    <row r="1164" spans="3:44" ht="15" customHeight="1"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  <c r="AF1164"/>
      <c r="AG1164"/>
      <c r="AH1164"/>
      <c r="AI1164"/>
      <c r="AJ1164"/>
      <c r="AK1164"/>
      <c r="AL1164"/>
      <c r="AM1164"/>
      <c r="AN1164"/>
      <c r="AO1164"/>
      <c r="AP1164"/>
      <c r="AQ1164"/>
      <c r="AR1164"/>
    </row>
    <row r="1165" spans="3:44" ht="15" customHeight="1"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  <c r="AF1165"/>
      <c r="AG1165"/>
      <c r="AH1165"/>
      <c r="AI1165"/>
      <c r="AJ1165"/>
      <c r="AK1165"/>
      <c r="AL1165"/>
      <c r="AM1165"/>
      <c r="AN1165"/>
      <c r="AO1165"/>
      <c r="AP1165"/>
      <c r="AQ1165"/>
      <c r="AR1165"/>
    </row>
    <row r="1166" spans="3:44" ht="15" customHeight="1"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/>
      <c r="AF1166"/>
      <c r="AG1166"/>
      <c r="AH1166"/>
      <c r="AI1166"/>
      <c r="AJ1166"/>
      <c r="AK1166"/>
      <c r="AL1166"/>
      <c r="AM1166"/>
      <c r="AN1166"/>
      <c r="AO1166"/>
      <c r="AP1166"/>
      <c r="AQ1166"/>
      <c r="AR1166"/>
    </row>
    <row r="1167" spans="3:44" ht="15" customHeight="1"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/>
      <c r="AF1167"/>
      <c r="AG1167"/>
      <c r="AH1167"/>
      <c r="AI1167"/>
      <c r="AJ1167"/>
      <c r="AK1167"/>
      <c r="AL1167"/>
      <c r="AM1167"/>
      <c r="AN1167"/>
      <c r="AO1167"/>
      <c r="AP1167"/>
      <c r="AQ1167"/>
      <c r="AR1167"/>
    </row>
    <row r="1168" spans="3:44" ht="15" customHeight="1"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  <c r="AF1168"/>
      <c r="AG1168"/>
      <c r="AH1168"/>
      <c r="AI1168"/>
      <c r="AJ1168"/>
      <c r="AK1168"/>
      <c r="AL1168"/>
      <c r="AM1168"/>
      <c r="AN1168"/>
      <c r="AO1168"/>
      <c r="AP1168"/>
      <c r="AQ1168"/>
      <c r="AR1168"/>
    </row>
    <row r="1169" spans="3:44" ht="15" customHeight="1"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  <c r="AF1169"/>
      <c r="AG1169"/>
      <c r="AH1169"/>
      <c r="AI1169"/>
      <c r="AJ1169"/>
      <c r="AK1169"/>
      <c r="AL1169"/>
      <c r="AM1169"/>
      <c r="AN1169"/>
      <c r="AO1169"/>
      <c r="AP1169"/>
      <c r="AQ1169"/>
      <c r="AR1169"/>
    </row>
    <row r="1170" spans="3:44" ht="15" customHeight="1"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/>
      <c r="AF1170"/>
      <c r="AG1170"/>
      <c r="AH1170"/>
      <c r="AI1170"/>
      <c r="AJ1170"/>
      <c r="AK1170"/>
      <c r="AL1170"/>
      <c r="AM1170"/>
      <c r="AN1170"/>
      <c r="AO1170"/>
      <c r="AP1170"/>
      <c r="AQ1170"/>
      <c r="AR1170"/>
    </row>
    <row r="1171" spans="3:44" ht="15" customHeight="1"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/>
      <c r="AF1171"/>
      <c r="AG1171"/>
      <c r="AH1171"/>
      <c r="AI1171"/>
      <c r="AJ1171"/>
      <c r="AK1171"/>
      <c r="AL1171"/>
      <c r="AM1171"/>
      <c r="AN1171"/>
      <c r="AO1171"/>
      <c r="AP1171"/>
      <c r="AQ1171"/>
      <c r="AR1171"/>
    </row>
    <row r="1172" spans="3:44" ht="15" customHeight="1"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  <c r="AF1172"/>
      <c r="AG1172"/>
      <c r="AH1172"/>
      <c r="AI1172"/>
      <c r="AJ1172"/>
      <c r="AK1172"/>
      <c r="AL1172"/>
      <c r="AM1172"/>
      <c r="AN1172"/>
      <c r="AO1172"/>
      <c r="AP1172"/>
      <c r="AQ1172"/>
      <c r="AR1172"/>
    </row>
    <row r="1173" spans="3:44" ht="15" customHeight="1"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/>
      <c r="AF1173"/>
      <c r="AG1173"/>
      <c r="AH1173"/>
      <c r="AI1173"/>
      <c r="AJ1173"/>
      <c r="AK1173"/>
      <c r="AL1173"/>
      <c r="AM1173"/>
      <c r="AN1173"/>
      <c r="AO1173"/>
      <c r="AP1173"/>
      <c r="AQ1173"/>
      <c r="AR1173"/>
    </row>
    <row r="1174" spans="3:44" ht="15" customHeight="1"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/>
      <c r="AF1174"/>
      <c r="AG1174"/>
      <c r="AH1174"/>
      <c r="AI1174"/>
      <c r="AJ1174"/>
      <c r="AK1174"/>
      <c r="AL1174"/>
      <c r="AM1174"/>
      <c r="AN1174"/>
      <c r="AO1174"/>
      <c r="AP1174"/>
      <c r="AQ1174"/>
      <c r="AR1174"/>
    </row>
    <row r="1175" spans="3:44" ht="15" customHeight="1"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/>
      <c r="AF1175"/>
      <c r="AG1175"/>
      <c r="AH1175"/>
      <c r="AI1175"/>
      <c r="AJ1175"/>
      <c r="AK1175"/>
      <c r="AL1175"/>
      <c r="AM1175"/>
      <c r="AN1175"/>
      <c r="AO1175"/>
      <c r="AP1175"/>
      <c r="AQ1175"/>
      <c r="AR1175"/>
    </row>
    <row r="1176" spans="3:44" ht="15" customHeight="1"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/>
      <c r="AF1176"/>
      <c r="AG1176"/>
      <c r="AH1176"/>
      <c r="AI1176"/>
      <c r="AJ1176"/>
      <c r="AK1176"/>
      <c r="AL1176"/>
      <c r="AM1176"/>
      <c r="AN1176"/>
      <c r="AO1176"/>
      <c r="AP1176"/>
      <c r="AQ1176"/>
      <c r="AR1176"/>
    </row>
    <row r="1177" spans="3:44" ht="15" customHeight="1"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/>
      <c r="AF1177"/>
      <c r="AG1177"/>
      <c r="AH1177"/>
      <c r="AI1177"/>
      <c r="AJ1177"/>
      <c r="AK1177"/>
      <c r="AL1177"/>
      <c r="AM1177"/>
      <c r="AN1177"/>
      <c r="AO1177"/>
      <c r="AP1177"/>
      <c r="AQ1177"/>
      <c r="AR1177"/>
    </row>
    <row r="1178" spans="3:44" ht="15" customHeight="1"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/>
      <c r="AF1178"/>
      <c r="AG1178"/>
      <c r="AH1178"/>
      <c r="AI1178"/>
      <c r="AJ1178"/>
      <c r="AK1178"/>
      <c r="AL1178"/>
      <c r="AM1178"/>
      <c r="AN1178"/>
      <c r="AO1178"/>
      <c r="AP1178"/>
      <c r="AQ1178"/>
      <c r="AR1178"/>
    </row>
    <row r="1179" spans="3:44" ht="15" customHeight="1"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/>
      <c r="AF1179"/>
      <c r="AG1179"/>
      <c r="AH1179"/>
      <c r="AI1179"/>
      <c r="AJ1179"/>
      <c r="AK1179"/>
      <c r="AL1179"/>
      <c r="AM1179"/>
      <c r="AN1179"/>
      <c r="AO1179"/>
      <c r="AP1179"/>
      <c r="AQ1179"/>
      <c r="AR1179"/>
    </row>
    <row r="1180" spans="3:44" ht="15" customHeight="1"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/>
      <c r="AF1180"/>
      <c r="AG1180"/>
      <c r="AH1180"/>
      <c r="AI1180"/>
      <c r="AJ1180"/>
      <c r="AK1180"/>
      <c r="AL1180"/>
      <c r="AM1180"/>
      <c r="AN1180"/>
      <c r="AO1180"/>
      <c r="AP1180"/>
      <c r="AQ1180"/>
      <c r="AR1180"/>
    </row>
    <row r="1181" spans="3:44" ht="15" customHeight="1"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/>
      <c r="AF1181"/>
      <c r="AG1181"/>
      <c r="AH1181"/>
      <c r="AI1181"/>
      <c r="AJ1181"/>
      <c r="AK1181"/>
      <c r="AL1181"/>
      <c r="AM1181"/>
      <c r="AN1181"/>
      <c r="AO1181"/>
      <c r="AP1181"/>
      <c r="AQ1181"/>
      <c r="AR1181"/>
    </row>
    <row r="1182" spans="3:44" ht="15" customHeight="1"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/>
      <c r="AF1182"/>
      <c r="AG1182"/>
      <c r="AH1182"/>
      <c r="AI1182"/>
      <c r="AJ1182"/>
      <c r="AK1182"/>
      <c r="AL1182"/>
      <c r="AM1182"/>
      <c r="AN1182"/>
      <c r="AO1182"/>
      <c r="AP1182"/>
      <c r="AQ1182"/>
      <c r="AR1182"/>
    </row>
    <row r="1183" spans="3:44" ht="15" customHeight="1"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/>
      <c r="AF1183"/>
      <c r="AG1183"/>
      <c r="AH1183"/>
      <c r="AI1183"/>
      <c r="AJ1183"/>
      <c r="AK1183"/>
      <c r="AL1183"/>
      <c r="AM1183"/>
      <c r="AN1183"/>
      <c r="AO1183"/>
      <c r="AP1183"/>
      <c r="AQ1183"/>
      <c r="AR1183"/>
    </row>
    <row r="1184" spans="3:44" ht="15" customHeight="1"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  <c r="AF1184"/>
      <c r="AG1184"/>
      <c r="AH1184"/>
      <c r="AI1184"/>
      <c r="AJ1184"/>
      <c r="AK1184"/>
      <c r="AL1184"/>
      <c r="AM1184"/>
      <c r="AN1184"/>
      <c r="AO1184"/>
      <c r="AP1184"/>
      <c r="AQ1184"/>
      <c r="AR1184"/>
    </row>
    <row r="1185" spans="3:44" ht="15" customHeight="1"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  <c r="AF1185"/>
      <c r="AG1185"/>
      <c r="AH1185"/>
      <c r="AI1185"/>
      <c r="AJ1185"/>
      <c r="AK1185"/>
      <c r="AL1185"/>
      <c r="AM1185"/>
      <c r="AN1185"/>
      <c r="AO1185"/>
      <c r="AP1185"/>
      <c r="AQ1185"/>
      <c r="AR1185"/>
    </row>
    <row r="1186" spans="3:44" ht="15" customHeight="1"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  <c r="AF1186"/>
      <c r="AG1186"/>
      <c r="AH1186"/>
      <c r="AI1186"/>
      <c r="AJ1186"/>
      <c r="AK1186"/>
      <c r="AL1186"/>
      <c r="AM1186"/>
      <c r="AN1186"/>
      <c r="AO1186"/>
      <c r="AP1186"/>
      <c r="AQ1186"/>
      <c r="AR1186"/>
    </row>
    <row r="1187" spans="3:44" ht="15" customHeight="1"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  <c r="AF1187"/>
      <c r="AG1187"/>
      <c r="AH1187"/>
      <c r="AI1187"/>
      <c r="AJ1187"/>
      <c r="AK1187"/>
      <c r="AL1187"/>
      <c r="AM1187"/>
      <c r="AN1187"/>
      <c r="AO1187"/>
      <c r="AP1187"/>
      <c r="AQ1187"/>
      <c r="AR1187"/>
    </row>
    <row r="1188" spans="3:44" ht="15" customHeight="1"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  <c r="AF1188"/>
      <c r="AG1188"/>
      <c r="AH1188"/>
      <c r="AI1188"/>
      <c r="AJ1188"/>
      <c r="AK1188"/>
      <c r="AL1188"/>
      <c r="AM1188"/>
      <c r="AN1188"/>
      <c r="AO1188"/>
      <c r="AP1188"/>
      <c r="AQ1188"/>
      <c r="AR1188"/>
    </row>
    <row r="1189" spans="3:44" ht="15" customHeight="1"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  <c r="AF1189"/>
      <c r="AG1189"/>
      <c r="AH1189"/>
      <c r="AI1189"/>
      <c r="AJ1189"/>
      <c r="AK1189"/>
      <c r="AL1189"/>
      <c r="AM1189"/>
      <c r="AN1189"/>
      <c r="AO1189"/>
      <c r="AP1189"/>
      <c r="AQ1189"/>
      <c r="AR1189"/>
    </row>
    <row r="1190" spans="3:44" ht="15" customHeight="1"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  <c r="AF1190"/>
      <c r="AG1190"/>
      <c r="AH1190"/>
      <c r="AI1190"/>
      <c r="AJ1190"/>
      <c r="AK1190"/>
      <c r="AL1190"/>
      <c r="AM1190"/>
      <c r="AN1190"/>
      <c r="AO1190"/>
      <c r="AP1190"/>
      <c r="AQ1190"/>
      <c r="AR1190"/>
    </row>
    <row r="1191" spans="3:44" ht="15" customHeight="1"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  <c r="AF1191"/>
      <c r="AG1191"/>
      <c r="AH1191"/>
      <c r="AI1191"/>
      <c r="AJ1191"/>
      <c r="AK1191"/>
      <c r="AL1191"/>
      <c r="AM1191"/>
      <c r="AN1191"/>
      <c r="AO1191"/>
      <c r="AP1191"/>
      <c r="AQ1191"/>
      <c r="AR1191"/>
    </row>
    <row r="1192" spans="3:44" ht="15" customHeight="1"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  <c r="AF1192"/>
      <c r="AG1192"/>
      <c r="AH1192"/>
      <c r="AI1192"/>
      <c r="AJ1192"/>
      <c r="AK1192"/>
      <c r="AL1192"/>
      <c r="AM1192"/>
      <c r="AN1192"/>
      <c r="AO1192"/>
      <c r="AP1192"/>
      <c r="AQ1192"/>
      <c r="AR1192"/>
    </row>
    <row r="1193" spans="3:44" ht="15" customHeight="1"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  <c r="AF1193"/>
      <c r="AG1193"/>
      <c r="AH1193"/>
      <c r="AI1193"/>
      <c r="AJ1193"/>
      <c r="AK1193"/>
      <c r="AL1193"/>
      <c r="AM1193"/>
      <c r="AN1193"/>
      <c r="AO1193"/>
      <c r="AP1193"/>
      <c r="AQ1193"/>
      <c r="AR1193"/>
    </row>
    <row r="1194" spans="3:44" ht="15" customHeight="1"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  <c r="AF1194"/>
      <c r="AG1194"/>
      <c r="AH1194"/>
      <c r="AI1194"/>
      <c r="AJ1194"/>
      <c r="AK1194"/>
      <c r="AL1194"/>
      <c r="AM1194"/>
      <c r="AN1194"/>
      <c r="AO1194"/>
      <c r="AP1194"/>
      <c r="AQ1194"/>
      <c r="AR1194"/>
    </row>
    <row r="1195" spans="3:44" ht="15" customHeight="1"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  <c r="AF1195"/>
      <c r="AG1195"/>
      <c r="AH1195"/>
      <c r="AI1195"/>
      <c r="AJ1195"/>
      <c r="AK1195"/>
      <c r="AL1195"/>
      <c r="AM1195"/>
      <c r="AN1195"/>
      <c r="AO1195"/>
      <c r="AP1195"/>
      <c r="AQ1195"/>
      <c r="AR1195"/>
    </row>
    <row r="1196" spans="3:44" ht="15" customHeight="1"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  <c r="AF1196"/>
      <c r="AG1196"/>
      <c r="AH1196"/>
      <c r="AI1196"/>
      <c r="AJ1196"/>
      <c r="AK1196"/>
      <c r="AL1196"/>
      <c r="AM1196"/>
      <c r="AN1196"/>
      <c r="AO1196"/>
      <c r="AP1196"/>
      <c r="AQ1196"/>
      <c r="AR1196"/>
    </row>
    <row r="1197" spans="3:44" ht="15" customHeight="1"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  <c r="AF1197"/>
      <c r="AG1197"/>
      <c r="AH1197"/>
      <c r="AI1197"/>
      <c r="AJ1197"/>
      <c r="AK1197"/>
      <c r="AL1197"/>
      <c r="AM1197"/>
      <c r="AN1197"/>
      <c r="AO1197"/>
      <c r="AP1197"/>
      <c r="AQ1197"/>
      <c r="AR1197"/>
    </row>
    <row r="1198" spans="3:44" ht="15" customHeight="1"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  <c r="AF1198"/>
      <c r="AG1198"/>
      <c r="AH1198"/>
      <c r="AI1198"/>
      <c r="AJ1198"/>
      <c r="AK1198"/>
      <c r="AL1198"/>
      <c r="AM1198"/>
      <c r="AN1198"/>
      <c r="AO1198"/>
      <c r="AP1198"/>
      <c r="AQ1198"/>
      <c r="AR1198"/>
    </row>
    <row r="1199" spans="3:44" ht="15" customHeight="1"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  <c r="AF1199"/>
      <c r="AG1199"/>
      <c r="AH1199"/>
      <c r="AI1199"/>
      <c r="AJ1199"/>
      <c r="AK1199"/>
      <c r="AL1199"/>
      <c r="AM1199"/>
      <c r="AN1199"/>
      <c r="AO1199"/>
      <c r="AP1199"/>
      <c r="AQ1199"/>
      <c r="AR1199"/>
    </row>
    <row r="1200" spans="3:44" ht="15" customHeight="1"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  <c r="AF1200"/>
      <c r="AG1200"/>
      <c r="AH1200"/>
      <c r="AI1200"/>
      <c r="AJ1200"/>
      <c r="AK1200"/>
      <c r="AL1200"/>
      <c r="AM1200"/>
      <c r="AN1200"/>
      <c r="AO1200"/>
      <c r="AP1200"/>
      <c r="AQ1200"/>
      <c r="AR1200"/>
    </row>
    <row r="1201" spans="3:44" ht="15" customHeight="1"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  <c r="AF1201"/>
      <c r="AG1201"/>
      <c r="AH1201"/>
      <c r="AI1201"/>
      <c r="AJ1201"/>
      <c r="AK1201"/>
      <c r="AL1201"/>
      <c r="AM1201"/>
      <c r="AN1201"/>
      <c r="AO1201"/>
      <c r="AP1201"/>
      <c r="AQ1201"/>
      <c r="AR1201"/>
    </row>
    <row r="1202" spans="3:44" ht="15" customHeight="1"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  <c r="AF1202"/>
      <c r="AG1202"/>
      <c r="AH1202"/>
      <c r="AI1202"/>
      <c r="AJ1202"/>
      <c r="AK1202"/>
      <c r="AL1202"/>
      <c r="AM1202"/>
      <c r="AN1202"/>
      <c r="AO1202"/>
      <c r="AP1202"/>
      <c r="AQ1202"/>
      <c r="AR1202"/>
    </row>
    <row r="1203" spans="3:44" ht="15" customHeight="1"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  <c r="AF1203"/>
      <c r="AG1203"/>
      <c r="AH1203"/>
      <c r="AI1203"/>
      <c r="AJ1203"/>
      <c r="AK1203"/>
      <c r="AL1203"/>
      <c r="AM1203"/>
      <c r="AN1203"/>
      <c r="AO1203"/>
      <c r="AP1203"/>
      <c r="AQ1203"/>
      <c r="AR1203"/>
    </row>
    <row r="1204" spans="3:44" ht="15" customHeight="1"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  <c r="AF1204"/>
      <c r="AG1204"/>
      <c r="AH1204"/>
      <c r="AI1204"/>
      <c r="AJ1204"/>
      <c r="AK1204"/>
      <c r="AL1204"/>
      <c r="AM1204"/>
      <c r="AN1204"/>
      <c r="AO1204"/>
      <c r="AP1204"/>
      <c r="AQ1204"/>
      <c r="AR1204"/>
    </row>
    <row r="1205" spans="3:44" ht="15" customHeight="1"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  <c r="AF1205"/>
      <c r="AG1205"/>
      <c r="AH1205"/>
      <c r="AI1205"/>
      <c r="AJ1205"/>
      <c r="AK1205"/>
      <c r="AL1205"/>
      <c r="AM1205"/>
      <c r="AN1205"/>
      <c r="AO1205"/>
      <c r="AP1205"/>
      <c r="AQ1205"/>
      <c r="AR1205"/>
    </row>
    <row r="1206" spans="3:44" ht="15" customHeight="1"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  <c r="AF1206"/>
      <c r="AG1206"/>
      <c r="AH1206"/>
      <c r="AI1206"/>
      <c r="AJ1206"/>
      <c r="AK1206"/>
      <c r="AL1206"/>
      <c r="AM1206"/>
      <c r="AN1206"/>
      <c r="AO1206"/>
      <c r="AP1206"/>
      <c r="AQ1206"/>
      <c r="AR1206"/>
    </row>
    <row r="1207" spans="3:44" ht="15" customHeight="1"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  <c r="AF1207"/>
      <c r="AG1207"/>
      <c r="AH1207"/>
      <c r="AI1207"/>
      <c r="AJ1207"/>
      <c r="AK1207"/>
      <c r="AL1207"/>
      <c r="AM1207"/>
      <c r="AN1207"/>
      <c r="AO1207"/>
      <c r="AP1207"/>
      <c r="AQ1207"/>
      <c r="AR1207"/>
    </row>
    <row r="1208" spans="3:44" ht="15" customHeight="1"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  <c r="AF1208"/>
      <c r="AG1208"/>
      <c r="AH1208"/>
      <c r="AI1208"/>
      <c r="AJ1208"/>
      <c r="AK1208"/>
      <c r="AL1208"/>
      <c r="AM1208"/>
      <c r="AN1208"/>
      <c r="AO1208"/>
      <c r="AP1208"/>
      <c r="AQ1208"/>
      <c r="AR1208"/>
    </row>
    <row r="1209" spans="3:44" ht="15" customHeight="1"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  <c r="AF1209"/>
      <c r="AG1209"/>
      <c r="AH1209"/>
      <c r="AI1209"/>
      <c r="AJ1209"/>
      <c r="AK1209"/>
      <c r="AL1209"/>
      <c r="AM1209"/>
      <c r="AN1209"/>
      <c r="AO1209"/>
      <c r="AP1209"/>
      <c r="AQ1209"/>
      <c r="AR1209"/>
    </row>
    <row r="1210" spans="3:44" ht="15" customHeight="1"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  <c r="AF1210"/>
      <c r="AG1210"/>
      <c r="AH1210"/>
      <c r="AI1210"/>
      <c r="AJ1210"/>
      <c r="AK1210"/>
      <c r="AL1210"/>
      <c r="AM1210"/>
      <c r="AN1210"/>
      <c r="AO1210"/>
      <c r="AP1210"/>
      <c r="AQ1210"/>
      <c r="AR1210"/>
    </row>
    <row r="1211" spans="3:44" ht="15" customHeight="1"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  <c r="AF1211"/>
      <c r="AG1211"/>
      <c r="AH1211"/>
      <c r="AI1211"/>
      <c r="AJ1211"/>
      <c r="AK1211"/>
      <c r="AL1211"/>
      <c r="AM1211"/>
      <c r="AN1211"/>
      <c r="AO1211"/>
      <c r="AP1211"/>
      <c r="AQ1211"/>
      <c r="AR1211"/>
    </row>
    <row r="1212" spans="3:44" ht="15" customHeight="1"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  <c r="AF1212"/>
      <c r="AG1212"/>
      <c r="AH1212"/>
      <c r="AI1212"/>
      <c r="AJ1212"/>
      <c r="AK1212"/>
      <c r="AL1212"/>
      <c r="AM1212"/>
      <c r="AN1212"/>
      <c r="AO1212"/>
      <c r="AP1212"/>
      <c r="AQ1212"/>
      <c r="AR1212"/>
    </row>
    <row r="1213" spans="3:44" ht="15" customHeight="1"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  <c r="AF1213"/>
      <c r="AG1213"/>
      <c r="AH1213"/>
      <c r="AI1213"/>
      <c r="AJ1213"/>
      <c r="AK1213"/>
      <c r="AL1213"/>
      <c r="AM1213"/>
      <c r="AN1213"/>
      <c r="AO1213"/>
      <c r="AP1213"/>
      <c r="AQ1213"/>
      <c r="AR1213"/>
    </row>
    <row r="1214" spans="3:44" ht="15" customHeight="1"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  <c r="AF1214"/>
      <c r="AG1214"/>
      <c r="AH1214"/>
      <c r="AI1214"/>
      <c r="AJ1214"/>
      <c r="AK1214"/>
      <c r="AL1214"/>
      <c r="AM1214"/>
      <c r="AN1214"/>
      <c r="AO1214"/>
      <c r="AP1214"/>
      <c r="AQ1214"/>
      <c r="AR1214"/>
    </row>
    <row r="1215" spans="3:44" ht="15" customHeight="1"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  <c r="AF1215"/>
      <c r="AG1215"/>
      <c r="AH1215"/>
      <c r="AI1215"/>
      <c r="AJ1215"/>
      <c r="AK1215"/>
      <c r="AL1215"/>
      <c r="AM1215"/>
      <c r="AN1215"/>
      <c r="AO1215"/>
      <c r="AP1215"/>
      <c r="AQ1215"/>
      <c r="AR1215"/>
    </row>
    <row r="1216" spans="3:44" ht="15" customHeight="1"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  <c r="AF1216"/>
      <c r="AG1216"/>
      <c r="AH1216"/>
      <c r="AI1216"/>
      <c r="AJ1216"/>
      <c r="AK1216"/>
      <c r="AL1216"/>
      <c r="AM1216"/>
      <c r="AN1216"/>
      <c r="AO1216"/>
      <c r="AP1216"/>
      <c r="AQ1216"/>
      <c r="AR1216"/>
    </row>
    <row r="1217" spans="3:44" ht="15" customHeight="1"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  <c r="AF1217"/>
      <c r="AG1217"/>
      <c r="AH1217"/>
      <c r="AI1217"/>
      <c r="AJ1217"/>
      <c r="AK1217"/>
      <c r="AL1217"/>
      <c r="AM1217"/>
      <c r="AN1217"/>
      <c r="AO1217"/>
      <c r="AP1217"/>
      <c r="AQ1217"/>
      <c r="AR1217"/>
    </row>
    <row r="1218" spans="3:44" ht="15" customHeight="1"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  <c r="AF1218"/>
      <c r="AG1218"/>
      <c r="AH1218"/>
      <c r="AI1218"/>
      <c r="AJ1218"/>
      <c r="AK1218"/>
      <c r="AL1218"/>
      <c r="AM1218"/>
      <c r="AN1218"/>
      <c r="AO1218"/>
      <c r="AP1218"/>
      <c r="AQ1218"/>
      <c r="AR1218"/>
    </row>
    <row r="1219" spans="3:44" ht="15" customHeight="1"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  <c r="AF1219"/>
      <c r="AG1219"/>
      <c r="AH1219"/>
      <c r="AI1219"/>
      <c r="AJ1219"/>
      <c r="AK1219"/>
      <c r="AL1219"/>
      <c r="AM1219"/>
      <c r="AN1219"/>
      <c r="AO1219"/>
      <c r="AP1219"/>
      <c r="AQ1219"/>
      <c r="AR1219"/>
    </row>
    <row r="1220" spans="3:44" ht="15" customHeight="1"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  <c r="AF1220"/>
      <c r="AG1220"/>
      <c r="AH1220"/>
      <c r="AI1220"/>
      <c r="AJ1220"/>
      <c r="AK1220"/>
      <c r="AL1220"/>
      <c r="AM1220"/>
      <c r="AN1220"/>
      <c r="AO1220"/>
      <c r="AP1220"/>
      <c r="AQ1220"/>
      <c r="AR1220"/>
    </row>
    <row r="1221" spans="3:44" ht="15" customHeight="1"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  <c r="AF1221"/>
      <c r="AG1221"/>
      <c r="AH1221"/>
      <c r="AI1221"/>
      <c r="AJ1221"/>
      <c r="AK1221"/>
      <c r="AL1221"/>
      <c r="AM1221"/>
      <c r="AN1221"/>
      <c r="AO1221"/>
      <c r="AP1221"/>
      <c r="AQ1221"/>
      <c r="AR1221"/>
    </row>
    <row r="1222" spans="3:44" ht="15" customHeight="1"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  <c r="AF1222"/>
      <c r="AG1222"/>
      <c r="AH1222"/>
      <c r="AI1222"/>
      <c r="AJ1222"/>
      <c r="AK1222"/>
      <c r="AL1222"/>
      <c r="AM1222"/>
      <c r="AN1222"/>
      <c r="AO1222"/>
      <c r="AP1222"/>
      <c r="AQ1222"/>
      <c r="AR1222"/>
    </row>
    <row r="1223" spans="3:44" ht="15" customHeight="1"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  <c r="AF1223"/>
      <c r="AG1223"/>
      <c r="AH1223"/>
      <c r="AI1223"/>
      <c r="AJ1223"/>
      <c r="AK1223"/>
      <c r="AL1223"/>
      <c r="AM1223"/>
      <c r="AN1223"/>
      <c r="AO1223"/>
      <c r="AP1223"/>
      <c r="AQ1223"/>
      <c r="AR1223"/>
    </row>
    <row r="1224" spans="3:44" ht="15" customHeight="1"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  <c r="AF1224"/>
      <c r="AG1224"/>
      <c r="AH1224"/>
      <c r="AI1224"/>
      <c r="AJ1224"/>
      <c r="AK1224"/>
      <c r="AL1224"/>
      <c r="AM1224"/>
      <c r="AN1224"/>
      <c r="AO1224"/>
      <c r="AP1224"/>
      <c r="AQ1224"/>
      <c r="AR1224"/>
    </row>
    <row r="1225" spans="3:44" ht="15" customHeight="1"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  <c r="AF1225"/>
      <c r="AG1225"/>
      <c r="AH1225"/>
      <c r="AI1225"/>
      <c r="AJ1225"/>
      <c r="AK1225"/>
      <c r="AL1225"/>
      <c r="AM1225"/>
      <c r="AN1225"/>
      <c r="AO1225"/>
      <c r="AP1225"/>
      <c r="AQ1225"/>
      <c r="AR1225"/>
    </row>
    <row r="1226" spans="3:44" ht="15" customHeight="1"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  <c r="AF1226"/>
      <c r="AG1226"/>
      <c r="AH1226"/>
      <c r="AI1226"/>
      <c r="AJ1226"/>
      <c r="AK1226"/>
      <c r="AL1226"/>
      <c r="AM1226"/>
      <c r="AN1226"/>
      <c r="AO1226"/>
      <c r="AP1226"/>
      <c r="AQ1226"/>
      <c r="AR1226"/>
    </row>
    <row r="1227" spans="3:44" ht="15" customHeight="1"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  <c r="AF1227"/>
      <c r="AG1227"/>
      <c r="AH1227"/>
      <c r="AI1227"/>
      <c r="AJ1227"/>
      <c r="AK1227"/>
      <c r="AL1227"/>
      <c r="AM1227"/>
      <c r="AN1227"/>
      <c r="AO1227"/>
      <c r="AP1227"/>
      <c r="AQ1227"/>
      <c r="AR1227"/>
    </row>
    <row r="1228" spans="3:44" ht="15" customHeight="1"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  <c r="AF1228"/>
      <c r="AG1228"/>
      <c r="AH1228"/>
      <c r="AI1228"/>
      <c r="AJ1228"/>
      <c r="AK1228"/>
      <c r="AL1228"/>
      <c r="AM1228"/>
      <c r="AN1228"/>
      <c r="AO1228"/>
      <c r="AP1228"/>
      <c r="AQ1228"/>
      <c r="AR1228"/>
    </row>
    <row r="1229" spans="3:44" ht="15" customHeight="1"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  <c r="AF1229"/>
      <c r="AG1229"/>
      <c r="AH1229"/>
      <c r="AI1229"/>
      <c r="AJ1229"/>
      <c r="AK1229"/>
      <c r="AL1229"/>
      <c r="AM1229"/>
      <c r="AN1229"/>
      <c r="AO1229"/>
      <c r="AP1229"/>
      <c r="AQ1229"/>
      <c r="AR1229"/>
    </row>
    <row r="1230" spans="3:44" ht="15" customHeight="1"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  <c r="AF1230"/>
      <c r="AG1230"/>
      <c r="AH1230"/>
      <c r="AI1230"/>
      <c r="AJ1230"/>
      <c r="AK1230"/>
      <c r="AL1230"/>
      <c r="AM1230"/>
      <c r="AN1230"/>
      <c r="AO1230"/>
      <c r="AP1230"/>
      <c r="AQ1230"/>
      <c r="AR1230"/>
    </row>
    <row r="1231" spans="3:44" ht="15" customHeight="1"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  <c r="AF1231"/>
      <c r="AG1231"/>
      <c r="AH1231"/>
      <c r="AI1231"/>
      <c r="AJ1231"/>
      <c r="AK1231"/>
      <c r="AL1231"/>
      <c r="AM1231"/>
      <c r="AN1231"/>
      <c r="AO1231"/>
      <c r="AP1231"/>
      <c r="AQ1231"/>
      <c r="AR1231"/>
    </row>
    <row r="1232" spans="3:44" ht="15" customHeight="1"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  <c r="AF1232"/>
      <c r="AG1232"/>
      <c r="AH1232"/>
      <c r="AI1232"/>
      <c r="AJ1232"/>
      <c r="AK1232"/>
      <c r="AL1232"/>
      <c r="AM1232"/>
      <c r="AN1232"/>
      <c r="AO1232"/>
      <c r="AP1232"/>
      <c r="AQ1232"/>
      <c r="AR1232"/>
    </row>
    <row r="1233" spans="3:44" ht="15" customHeight="1"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  <c r="AF1233"/>
      <c r="AG1233"/>
      <c r="AH1233"/>
      <c r="AI1233"/>
      <c r="AJ1233"/>
      <c r="AK1233"/>
      <c r="AL1233"/>
      <c r="AM1233"/>
      <c r="AN1233"/>
      <c r="AO1233"/>
      <c r="AP1233"/>
      <c r="AQ1233"/>
      <c r="AR1233"/>
    </row>
    <row r="1234" spans="3:44" ht="15" customHeight="1"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  <c r="AF1234"/>
      <c r="AG1234"/>
      <c r="AH1234"/>
      <c r="AI1234"/>
      <c r="AJ1234"/>
      <c r="AK1234"/>
      <c r="AL1234"/>
      <c r="AM1234"/>
      <c r="AN1234"/>
      <c r="AO1234"/>
      <c r="AP1234"/>
      <c r="AQ1234"/>
      <c r="AR1234"/>
    </row>
    <row r="1235" spans="3:44" ht="15" customHeight="1"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  <c r="AF1235"/>
      <c r="AG1235"/>
      <c r="AH1235"/>
      <c r="AI1235"/>
      <c r="AJ1235"/>
      <c r="AK1235"/>
      <c r="AL1235"/>
      <c r="AM1235"/>
      <c r="AN1235"/>
      <c r="AO1235"/>
      <c r="AP1235"/>
      <c r="AQ1235"/>
      <c r="AR1235"/>
    </row>
    <row r="1236" spans="3:44" ht="15" customHeight="1"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  <c r="AF1236"/>
      <c r="AG1236"/>
      <c r="AH1236"/>
      <c r="AI1236"/>
      <c r="AJ1236"/>
      <c r="AK1236"/>
      <c r="AL1236"/>
      <c r="AM1236"/>
      <c r="AN1236"/>
      <c r="AO1236"/>
      <c r="AP1236"/>
      <c r="AQ1236"/>
      <c r="AR1236"/>
    </row>
    <row r="1237" spans="3:44" ht="15" customHeight="1"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  <c r="AF1237"/>
      <c r="AG1237"/>
      <c r="AH1237"/>
      <c r="AI1237"/>
      <c r="AJ1237"/>
      <c r="AK1237"/>
      <c r="AL1237"/>
      <c r="AM1237"/>
      <c r="AN1237"/>
      <c r="AO1237"/>
      <c r="AP1237"/>
      <c r="AQ1237"/>
      <c r="AR1237"/>
    </row>
    <row r="1238" spans="3:44" ht="15" customHeight="1"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  <c r="AF1238"/>
      <c r="AG1238"/>
      <c r="AH1238"/>
      <c r="AI1238"/>
      <c r="AJ1238"/>
      <c r="AK1238"/>
      <c r="AL1238"/>
      <c r="AM1238"/>
      <c r="AN1238"/>
      <c r="AO1238"/>
      <c r="AP1238"/>
      <c r="AQ1238"/>
      <c r="AR1238"/>
    </row>
    <row r="1239" spans="3:44" ht="15" customHeight="1"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  <c r="AF1239"/>
      <c r="AG1239"/>
      <c r="AH1239"/>
      <c r="AI1239"/>
      <c r="AJ1239"/>
      <c r="AK1239"/>
      <c r="AL1239"/>
      <c r="AM1239"/>
      <c r="AN1239"/>
      <c r="AO1239"/>
      <c r="AP1239"/>
      <c r="AQ1239"/>
      <c r="AR1239"/>
    </row>
    <row r="1240" spans="3:44" ht="15" customHeight="1"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  <c r="AF1240"/>
      <c r="AG1240"/>
      <c r="AH1240"/>
      <c r="AI1240"/>
      <c r="AJ1240"/>
      <c r="AK1240"/>
      <c r="AL1240"/>
      <c r="AM1240"/>
      <c r="AN1240"/>
      <c r="AO1240"/>
      <c r="AP1240"/>
      <c r="AQ1240"/>
      <c r="AR1240"/>
    </row>
    <row r="1241" spans="3:44" ht="15" customHeight="1"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  <c r="AF1241"/>
      <c r="AG1241"/>
      <c r="AH1241"/>
      <c r="AI1241"/>
      <c r="AJ1241"/>
      <c r="AK1241"/>
      <c r="AL1241"/>
      <c r="AM1241"/>
      <c r="AN1241"/>
      <c r="AO1241"/>
      <c r="AP1241"/>
      <c r="AQ1241"/>
      <c r="AR1241"/>
    </row>
    <row r="1242" spans="3:44" ht="15" customHeight="1"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  <c r="AF1242"/>
      <c r="AG1242"/>
      <c r="AH1242"/>
      <c r="AI1242"/>
      <c r="AJ1242"/>
      <c r="AK1242"/>
      <c r="AL1242"/>
      <c r="AM1242"/>
      <c r="AN1242"/>
      <c r="AO1242"/>
      <c r="AP1242"/>
      <c r="AQ1242"/>
      <c r="AR1242"/>
    </row>
    <row r="1243" spans="3:44" ht="15" customHeight="1"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  <c r="AF1243"/>
      <c r="AG1243"/>
      <c r="AH1243"/>
      <c r="AI1243"/>
      <c r="AJ1243"/>
      <c r="AK1243"/>
      <c r="AL1243"/>
      <c r="AM1243"/>
      <c r="AN1243"/>
      <c r="AO1243"/>
      <c r="AP1243"/>
      <c r="AQ1243"/>
      <c r="AR1243"/>
    </row>
    <row r="1244" spans="3:44" ht="15" customHeight="1"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  <c r="AF1244"/>
      <c r="AG1244"/>
      <c r="AH1244"/>
      <c r="AI1244"/>
      <c r="AJ1244"/>
      <c r="AK1244"/>
      <c r="AL1244"/>
      <c r="AM1244"/>
      <c r="AN1244"/>
      <c r="AO1244"/>
      <c r="AP1244"/>
      <c r="AQ1244"/>
      <c r="AR1244"/>
    </row>
    <row r="1245" spans="3:44" ht="15" customHeight="1"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  <c r="AF1245"/>
      <c r="AG1245"/>
      <c r="AH1245"/>
      <c r="AI1245"/>
      <c r="AJ1245"/>
      <c r="AK1245"/>
      <c r="AL1245"/>
      <c r="AM1245"/>
      <c r="AN1245"/>
      <c r="AO1245"/>
      <c r="AP1245"/>
      <c r="AQ1245"/>
      <c r="AR1245"/>
    </row>
    <row r="1246" spans="3:44" ht="15" customHeight="1"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  <c r="AF1246"/>
      <c r="AG1246"/>
      <c r="AH1246"/>
      <c r="AI1246"/>
      <c r="AJ1246"/>
      <c r="AK1246"/>
      <c r="AL1246"/>
      <c r="AM1246"/>
      <c r="AN1246"/>
      <c r="AO1246"/>
      <c r="AP1246"/>
      <c r="AQ1246"/>
      <c r="AR1246"/>
    </row>
    <row r="1247" spans="3:44" ht="15" customHeight="1"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  <c r="AF1247"/>
      <c r="AG1247"/>
      <c r="AH1247"/>
      <c r="AI1247"/>
      <c r="AJ1247"/>
      <c r="AK1247"/>
      <c r="AL1247"/>
      <c r="AM1247"/>
      <c r="AN1247"/>
      <c r="AO1247"/>
      <c r="AP1247"/>
      <c r="AQ1247"/>
      <c r="AR1247"/>
    </row>
    <row r="1248" spans="3:44" ht="15" customHeight="1"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  <c r="AF1248"/>
      <c r="AG1248"/>
      <c r="AH1248"/>
      <c r="AI1248"/>
      <c r="AJ1248"/>
      <c r="AK1248"/>
      <c r="AL1248"/>
      <c r="AM1248"/>
      <c r="AN1248"/>
      <c r="AO1248"/>
      <c r="AP1248"/>
      <c r="AQ1248"/>
      <c r="AR1248"/>
    </row>
    <row r="1249" spans="3:44" ht="15" customHeight="1"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  <c r="AF1249"/>
      <c r="AG1249"/>
      <c r="AH1249"/>
      <c r="AI1249"/>
      <c r="AJ1249"/>
      <c r="AK1249"/>
      <c r="AL1249"/>
      <c r="AM1249"/>
      <c r="AN1249"/>
      <c r="AO1249"/>
      <c r="AP1249"/>
      <c r="AQ1249"/>
      <c r="AR1249"/>
    </row>
    <row r="1250" spans="3:44" ht="15" customHeight="1"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  <c r="AF1250"/>
      <c r="AG1250"/>
      <c r="AH1250"/>
      <c r="AI1250"/>
      <c r="AJ1250"/>
      <c r="AK1250"/>
      <c r="AL1250"/>
      <c r="AM1250"/>
      <c r="AN1250"/>
      <c r="AO1250"/>
      <c r="AP1250"/>
      <c r="AQ1250"/>
      <c r="AR1250"/>
    </row>
    <row r="1251" spans="3:44" ht="15" customHeight="1"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  <c r="AF1251"/>
      <c r="AG1251"/>
      <c r="AH1251"/>
      <c r="AI1251"/>
      <c r="AJ1251"/>
      <c r="AK1251"/>
      <c r="AL1251"/>
      <c r="AM1251"/>
      <c r="AN1251"/>
      <c r="AO1251"/>
      <c r="AP1251"/>
      <c r="AQ1251"/>
      <c r="AR1251"/>
    </row>
    <row r="1252" spans="3:44" ht="15" customHeight="1"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  <c r="AF1252"/>
      <c r="AG1252"/>
      <c r="AH1252"/>
      <c r="AI1252"/>
      <c r="AJ1252"/>
      <c r="AK1252"/>
      <c r="AL1252"/>
      <c r="AM1252"/>
      <c r="AN1252"/>
      <c r="AO1252"/>
      <c r="AP1252"/>
      <c r="AQ1252"/>
      <c r="AR1252"/>
    </row>
    <row r="1253" spans="3:44" ht="15" customHeight="1"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  <c r="AF1253"/>
      <c r="AG1253"/>
      <c r="AH1253"/>
      <c r="AI1253"/>
      <c r="AJ1253"/>
      <c r="AK1253"/>
      <c r="AL1253"/>
      <c r="AM1253"/>
      <c r="AN1253"/>
      <c r="AO1253"/>
      <c r="AP1253"/>
      <c r="AQ1253"/>
      <c r="AR1253"/>
    </row>
    <row r="1254" spans="3:44" ht="15" customHeight="1"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  <c r="AF1254"/>
      <c r="AG1254"/>
      <c r="AH1254"/>
      <c r="AI1254"/>
      <c r="AJ1254"/>
      <c r="AK1254"/>
      <c r="AL1254"/>
      <c r="AM1254"/>
      <c r="AN1254"/>
      <c r="AO1254"/>
      <c r="AP1254"/>
      <c r="AQ1254"/>
      <c r="AR1254"/>
    </row>
    <row r="1255" spans="3:44" ht="15" customHeight="1"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  <c r="AF1255"/>
      <c r="AG1255"/>
      <c r="AH1255"/>
      <c r="AI1255"/>
      <c r="AJ1255"/>
      <c r="AK1255"/>
      <c r="AL1255"/>
      <c r="AM1255"/>
      <c r="AN1255"/>
      <c r="AO1255"/>
      <c r="AP1255"/>
      <c r="AQ1255"/>
      <c r="AR1255"/>
    </row>
    <row r="1256" spans="3:44" ht="15" customHeight="1"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  <c r="AF1256"/>
      <c r="AG1256"/>
      <c r="AH1256"/>
      <c r="AI1256"/>
      <c r="AJ1256"/>
      <c r="AK1256"/>
      <c r="AL1256"/>
      <c r="AM1256"/>
      <c r="AN1256"/>
      <c r="AO1256"/>
      <c r="AP1256"/>
      <c r="AQ1256"/>
      <c r="AR1256"/>
    </row>
    <row r="1257" spans="3:44" ht="15" customHeight="1"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  <c r="AF1257"/>
      <c r="AG1257"/>
      <c r="AH1257"/>
      <c r="AI1257"/>
      <c r="AJ1257"/>
      <c r="AK1257"/>
      <c r="AL1257"/>
      <c r="AM1257"/>
      <c r="AN1257"/>
      <c r="AO1257"/>
      <c r="AP1257"/>
      <c r="AQ1257"/>
      <c r="AR1257"/>
    </row>
    <row r="1258" spans="3:44" ht="15" customHeight="1"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  <c r="AF1258"/>
      <c r="AG1258"/>
      <c r="AH1258"/>
      <c r="AI1258"/>
      <c r="AJ1258"/>
      <c r="AK1258"/>
      <c r="AL1258"/>
      <c r="AM1258"/>
      <c r="AN1258"/>
      <c r="AO1258"/>
      <c r="AP1258"/>
      <c r="AQ1258"/>
      <c r="AR1258"/>
    </row>
    <row r="1259" spans="3:44" ht="15" customHeight="1"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  <c r="AF1259"/>
      <c r="AG1259"/>
      <c r="AH1259"/>
      <c r="AI1259"/>
      <c r="AJ1259"/>
      <c r="AK1259"/>
      <c r="AL1259"/>
      <c r="AM1259"/>
      <c r="AN1259"/>
      <c r="AO1259"/>
      <c r="AP1259"/>
      <c r="AQ1259"/>
      <c r="AR1259"/>
    </row>
    <row r="1260" spans="3:44" ht="15" customHeight="1"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  <c r="AF1260"/>
      <c r="AG1260"/>
      <c r="AH1260"/>
      <c r="AI1260"/>
      <c r="AJ1260"/>
      <c r="AK1260"/>
      <c r="AL1260"/>
      <c r="AM1260"/>
      <c r="AN1260"/>
      <c r="AO1260"/>
      <c r="AP1260"/>
      <c r="AQ1260"/>
      <c r="AR1260"/>
    </row>
    <row r="1261" spans="3:44" ht="15" customHeight="1"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  <c r="AF1261"/>
      <c r="AG1261"/>
      <c r="AH1261"/>
      <c r="AI1261"/>
      <c r="AJ1261"/>
      <c r="AK1261"/>
      <c r="AL1261"/>
      <c r="AM1261"/>
      <c r="AN1261"/>
      <c r="AO1261"/>
      <c r="AP1261"/>
      <c r="AQ1261"/>
      <c r="AR1261"/>
    </row>
    <row r="1262" spans="3:44" ht="15" customHeight="1"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  <c r="AF1262"/>
      <c r="AG1262"/>
      <c r="AH1262"/>
      <c r="AI1262"/>
      <c r="AJ1262"/>
      <c r="AK1262"/>
      <c r="AL1262"/>
      <c r="AM1262"/>
      <c r="AN1262"/>
      <c r="AO1262"/>
      <c r="AP1262"/>
      <c r="AQ1262"/>
      <c r="AR1262"/>
    </row>
    <row r="1263" spans="3:44" ht="15" customHeight="1"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  <c r="AF1263"/>
      <c r="AG1263"/>
      <c r="AH1263"/>
      <c r="AI1263"/>
      <c r="AJ1263"/>
      <c r="AK1263"/>
      <c r="AL1263"/>
      <c r="AM1263"/>
      <c r="AN1263"/>
      <c r="AO1263"/>
      <c r="AP1263"/>
      <c r="AQ1263"/>
      <c r="AR1263"/>
    </row>
    <row r="1264" spans="3:44" ht="15" customHeight="1"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  <c r="AF1264"/>
      <c r="AG1264"/>
      <c r="AH1264"/>
      <c r="AI1264"/>
      <c r="AJ1264"/>
      <c r="AK1264"/>
      <c r="AL1264"/>
      <c r="AM1264"/>
      <c r="AN1264"/>
      <c r="AO1264"/>
      <c r="AP1264"/>
      <c r="AQ1264"/>
      <c r="AR1264"/>
    </row>
    <row r="1265" spans="3:44" ht="15" customHeight="1"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  <c r="AF1265"/>
      <c r="AG1265"/>
      <c r="AH1265"/>
      <c r="AI1265"/>
      <c r="AJ1265"/>
      <c r="AK1265"/>
      <c r="AL1265"/>
      <c r="AM1265"/>
      <c r="AN1265"/>
      <c r="AO1265"/>
      <c r="AP1265"/>
      <c r="AQ1265"/>
      <c r="AR1265"/>
    </row>
    <row r="1266" spans="3:44" ht="15" customHeight="1"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  <c r="AF1266"/>
      <c r="AG1266"/>
      <c r="AH1266"/>
      <c r="AI1266"/>
      <c r="AJ1266"/>
      <c r="AK1266"/>
      <c r="AL1266"/>
      <c r="AM1266"/>
      <c r="AN1266"/>
      <c r="AO1266"/>
      <c r="AP1266"/>
      <c r="AQ1266"/>
      <c r="AR1266"/>
    </row>
    <row r="1267" spans="3:44" ht="15" customHeight="1"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  <c r="AF1267"/>
      <c r="AG1267"/>
      <c r="AH1267"/>
      <c r="AI1267"/>
      <c r="AJ1267"/>
      <c r="AK1267"/>
      <c r="AL1267"/>
      <c r="AM1267"/>
      <c r="AN1267"/>
      <c r="AO1267"/>
      <c r="AP1267"/>
      <c r="AQ1267"/>
      <c r="AR1267"/>
    </row>
    <row r="1268" spans="3:44" ht="15" customHeight="1"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  <c r="AF1268"/>
      <c r="AG1268"/>
      <c r="AH1268"/>
      <c r="AI1268"/>
      <c r="AJ1268"/>
      <c r="AK1268"/>
      <c r="AL1268"/>
      <c r="AM1268"/>
      <c r="AN1268"/>
      <c r="AO1268"/>
      <c r="AP1268"/>
      <c r="AQ1268"/>
      <c r="AR1268"/>
    </row>
    <row r="1269" spans="3:44" ht="15" customHeight="1"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  <c r="AF1269"/>
      <c r="AG1269"/>
      <c r="AH1269"/>
      <c r="AI1269"/>
      <c r="AJ1269"/>
      <c r="AK1269"/>
      <c r="AL1269"/>
      <c r="AM1269"/>
      <c r="AN1269"/>
      <c r="AO1269"/>
      <c r="AP1269"/>
      <c r="AQ1269"/>
      <c r="AR1269"/>
    </row>
    <row r="1270" spans="3:44" ht="15" customHeight="1"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  <c r="AF1270"/>
      <c r="AG1270"/>
      <c r="AH1270"/>
      <c r="AI1270"/>
      <c r="AJ1270"/>
      <c r="AK1270"/>
      <c r="AL1270"/>
      <c r="AM1270"/>
      <c r="AN1270"/>
      <c r="AO1270"/>
      <c r="AP1270"/>
      <c r="AQ1270"/>
      <c r="AR1270"/>
    </row>
    <row r="1271" spans="3:44" ht="15" customHeight="1"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  <c r="AF1271"/>
      <c r="AG1271"/>
      <c r="AH1271"/>
      <c r="AI1271"/>
      <c r="AJ1271"/>
      <c r="AK1271"/>
      <c r="AL1271"/>
      <c r="AM1271"/>
      <c r="AN1271"/>
      <c r="AO1271"/>
      <c r="AP1271"/>
      <c r="AQ1271"/>
      <c r="AR1271"/>
    </row>
    <row r="1272" spans="3:44" ht="15" customHeight="1"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  <c r="AF1272"/>
      <c r="AG1272"/>
      <c r="AH1272"/>
      <c r="AI1272"/>
      <c r="AJ1272"/>
      <c r="AK1272"/>
      <c r="AL1272"/>
      <c r="AM1272"/>
      <c r="AN1272"/>
      <c r="AO1272"/>
      <c r="AP1272"/>
      <c r="AQ1272"/>
      <c r="AR1272"/>
    </row>
    <row r="1273" spans="3:44" ht="15" customHeight="1"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  <c r="AF1273"/>
      <c r="AG1273"/>
      <c r="AH1273"/>
      <c r="AI1273"/>
      <c r="AJ1273"/>
      <c r="AK1273"/>
      <c r="AL1273"/>
      <c r="AM1273"/>
      <c r="AN1273"/>
      <c r="AO1273"/>
      <c r="AP1273"/>
      <c r="AQ1273"/>
      <c r="AR1273"/>
    </row>
    <row r="1274" spans="3:44" ht="15" customHeight="1"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  <c r="AF1274"/>
      <c r="AG1274"/>
      <c r="AH1274"/>
      <c r="AI1274"/>
      <c r="AJ1274"/>
      <c r="AK1274"/>
      <c r="AL1274"/>
      <c r="AM1274"/>
      <c r="AN1274"/>
      <c r="AO1274"/>
      <c r="AP1274"/>
      <c r="AQ1274"/>
      <c r="AR1274"/>
    </row>
    <row r="1275" spans="3:44" ht="15" customHeight="1"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  <c r="AF1275"/>
      <c r="AG1275"/>
      <c r="AH1275"/>
      <c r="AI1275"/>
      <c r="AJ1275"/>
      <c r="AK1275"/>
      <c r="AL1275"/>
      <c r="AM1275"/>
      <c r="AN1275"/>
      <c r="AO1275"/>
      <c r="AP1275"/>
      <c r="AQ1275"/>
      <c r="AR1275"/>
    </row>
    <row r="1276" spans="3:44" ht="15" customHeight="1"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  <c r="AF1276"/>
      <c r="AG1276"/>
      <c r="AH1276"/>
      <c r="AI1276"/>
      <c r="AJ1276"/>
      <c r="AK1276"/>
      <c r="AL1276"/>
      <c r="AM1276"/>
      <c r="AN1276"/>
      <c r="AO1276"/>
      <c r="AP1276"/>
      <c r="AQ1276"/>
      <c r="AR1276"/>
    </row>
    <row r="1277" spans="3:44" ht="15" customHeight="1"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  <c r="AF1277"/>
      <c r="AG1277"/>
      <c r="AH1277"/>
      <c r="AI1277"/>
      <c r="AJ1277"/>
      <c r="AK1277"/>
      <c r="AL1277"/>
      <c r="AM1277"/>
      <c r="AN1277"/>
      <c r="AO1277"/>
      <c r="AP1277"/>
      <c r="AQ1277"/>
      <c r="AR1277"/>
    </row>
    <row r="1278" spans="3:44" ht="15" customHeight="1"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  <c r="AF1278"/>
      <c r="AG1278"/>
      <c r="AH1278"/>
      <c r="AI1278"/>
      <c r="AJ1278"/>
      <c r="AK1278"/>
      <c r="AL1278"/>
      <c r="AM1278"/>
      <c r="AN1278"/>
      <c r="AO1278"/>
      <c r="AP1278"/>
      <c r="AQ1278"/>
      <c r="AR1278"/>
    </row>
    <row r="1279" spans="3:44" ht="15" customHeight="1"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  <c r="AF1279"/>
      <c r="AG1279"/>
      <c r="AH1279"/>
      <c r="AI1279"/>
      <c r="AJ1279"/>
      <c r="AK1279"/>
      <c r="AL1279"/>
      <c r="AM1279"/>
      <c r="AN1279"/>
      <c r="AO1279"/>
      <c r="AP1279"/>
      <c r="AQ1279"/>
      <c r="AR1279"/>
    </row>
    <row r="1280" spans="3:44" ht="15" customHeight="1"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  <c r="AF1280"/>
      <c r="AG1280"/>
      <c r="AH1280"/>
      <c r="AI1280"/>
      <c r="AJ1280"/>
      <c r="AK1280"/>
      <c r="AL1280"/>
      <c r="AM1280"/>
      <c r="AN1280"/>
      <c r="AO1280"/>
      <c r="AP1280"/>
      <c r="AQ1280"/>
      <c r="AR1280"/>
    </row>
    <row r="1281" spans="3:44" ht="15" customHeight="1"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  <c r="AF1281"/>
      <c r="AG1281"/>
      <c r="AH1281"/>
      <c r="AI1281"/>
      <c r="AJ1281"/>
      <c r="AK1281"/>
      <c r="AL1281"/>
      <c r="AM1281"/>
      <c r="AN1281"/>
      <c r="AO1281"/>
      <c r="AP1281"/>
      <c r="AQ1281"/>
      <c r="AR1281"/>
    </row>
    <row r="1282" spans="3:44" ht="15" customHeight="1"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  <c r="AF1282"/>
      <c r="AG1282"/>
      <c r="AH1282"/>
      <c r="AI1282"/>
      <c r="AJ1282"/>
      <c r="AK1282"/>
      <c r="AL1282"/>
      <c r="AM1282"/>
      <c r="AN1282"/>
      <c r="AO1282"/>
      <c r="AP1282"/>
      <c r="AQ1282"/>
      <c r="AR1282"/>
    </row>
    <row r="1283" spans="3:44" ht="15" customHeight="1"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  <c r="AF1283"/>
      <c r="AG1283"/>
      <c r="AH1283"/>
      <c r="AI1283"/>
      <c r="AJ1283"/>
      <c r="AK1283"/>
      <c r="AL1283"/>
      <c r="AM1283"/>
      <c r="AN1283"/>
      <c r="AO1283"/>
      <c r="AP1283"/>
      <c r="AQ1283"/>
      <c r="AR1283"/>
    </row>
    <row r="1284" spans="3:44" ht="15" customHeight="1"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/>
      <c r="AF1284"/>
      <c r="AG1284"/>
      <c r="AH1284"/>
      <c r="AI1284"/>
      <c r="AJ1284"/>
      <c r="AK1284"/>
      <c r="AL1284"/>
      <c r="AM1284"/>
      <c r="AN1284"/>
      <c r="AO1284"/>
      <c r="AP1284"/>
      <c r="AQ1284"/>
      <c r="AR1284"/>
    </row>
    <row r="1285" spans="3:44" ht="15" customHeight="1"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/>
      <c r="AF1285"/>
      <c r="AG1285"/>
      <c r="AH1285"/>
      <c r="AI1285"/>
      <c r="AJ1285"/>
      <c r="AK1285"/>
      <c r="AL1285"/>
      <c r="AM1285"/>
      <c r="AN1285"/>
      <c r="AO1285"/>
      <c r="AP1285"/>
      <c r="AQ1285"/>
      <c r="AR1285"/>
    </row>
    <row r="1286" spans="3:44" ht="15" customHeight="1"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/>
      <c r="AF1286"/>
      <c r="AG1286"/>
      <c r="AH1286"/>
      <c r="AI1286"/>
      <c r="AJ1286"/>
      <c r="AK1286"/>
      <c r="AL1286"/>
      <c r="AM1286"/>
      <c r="AN1286"/>
      <c r="AO1286"/>
      <c r="AP1286"/>
      <c r="AQ1286"/>
      <c r="AR1286"/>
    </row>
    <row r="1287" spans="3:44" ht="15" customHeight="1"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  <c r="AF1287"/>
      <c r="AG1287"/>
      <c r="AH1287"/>
      <c r="AI1287"/>
      <c r="AJ1287"/>
      <c r="AK1287"/>
      <c r="AL1287"/>
      <c r="AM1287"/>
      <c r="AN1287"/>
      <c r="AO1287"/>
      <c r="AP1287"/>
      <c r="AQ1287"/>
      <c r="AR1287"/>
    </row>
    <row r="1288" spans="3:44" ht="15" customHeight="1"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/>
      <c r="AF1288"/>
      <c r="AG1288"/>
      <c r="AH1288"/>
      <c r="AI1288"/>
      <c r="AJ1288"/>
      <c r="AK1288"/>
      <c r="AL1288"/>
      <c r="AM1288"/>
      <c r="AN1288"/>
      <c r="AO1288"/>
      <c r="AP1288"/>
      <c r="AQ1288"/>
      <c r="AR1288"/>
    </row>
    <row r="1289" spans="3:44" ht="15" customHeight="1"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  <c r="AE1289"/>
      <c r="AF1289"/>
      <c r="AG1289"/>
      <c r="AH1289"/>
      <c r="AI1289"/>
      <c r="AJ1289"/>
      <c r="AK1289"/>
      <c r="AL1289"/>
      <c r="AM1289"/>
      <c r="AN1289"/>
      <c r="AO1289"/>
      <c r="AP1289"/>
      <c r="AQ1289"/>
      <c r="AR1289"/>
    </row>
    <row r="1290" spans="3:44" ht="15" customHeight="1"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  <c r="AE1290"/>
      <c r="AF1290"/>
      <c r="AG1290"/>
      <c r="AH1290"/>
      <c r="AI1290"/>
      <c r="AJ1290"/>
      <c r="AK1290"/>
      <c r="AL1290"/>
      <c r="AM1290"/>
      <c r="AN1290"/>
      <c r="AO1290"/>
      <c r="AP1290"/>
      <c r="AQ1290"/>
      <c r="AR1290"/>
    </row>
    <row r="1291" spans="3:44" ht="15" customHeight="1"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  <c r="AE1291"/>
      <c r="AF1291"/>
      <c r="AG1291"/>
      <c r="AH1291"/>
      <c r="AI1291"/>
      <c r="AJ1291"/>
      <c r="AK1291"/>
      <c r="AL1291"/>
      <c r="AM1291"/>
      <c r="AN1291"/>
      <c r="AO1291"/>
      <c r="AP1291"/>
      <c r="AQ1291"/>
      <c r="AR1291"/>
    </row>
    <row r="1292" spans="3:44" ht="15" customHeight="1"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  <c r="AE1292"/>
      <c r="AF1292"/>
      <c r="AG1292"/>
      <c r="AH1292"/>
      <c r="AI1292"/>
      <c r="AJ1292"/>
      <c r="AK1292"/>
      <c r="AL1292"/>
      <c r="AM1292"/>
      <c r="AN1292"/>
      <c r="AO1292"/>
      <c r="AP1292"/>
      <c r="AQ1292"/>
      <c r="AR1292"/>
    </row>
    <row r="1293" spans="3:44" ht="15" customHeight="1"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  <c r="AE1293"/>
      <c r="AF1293"/>
      <c r="AG1293"/>
      <c r="AH1293"/>
      <c r="AI1293"/>
      <c r="AJ1293"/>
      <c r="AK1293"/>
      <c r="AL1293"/>
      <c r="AM1293"/>
      <c r="AN1293"/>
      <c r="AO1293"/>
      <c r="AP1293"/>
      <c r="AQ1293"/>
      <c r="AR1293"/>
    </row>
    <row r="1294" spans="3:44" ht="15" customHeight="1"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  <c r="AF1294"/>
      <c r="AG1294"/>
      <c r="AH1294"/>
      <c r="AI1294"/>
      <c r="AJ1294"/>
      <c r="AK1294"/>
      <c r="AL1294"/>
      <c r="AM1294"/>
      <c r="AN1294"/>
      <c r="AO1294"/>
      <c r="AP1294"/>
      <c r="AQ1294"/>
      <c r="AR1294"/>
    </row>
    <row r="1295" spans="3:44" ht="15" customHeight="1"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  <c r="AE1295"/>
      <c r="AF1295"/>
      <c r="AG1295"/>
      <c r="AH1295"/>
      <c r="AI1295"/>
      <c r="AJ1295"/>
      <c r="AK1295"/>
      <c r="AL1295"/>
      <c r="AM1295"/>
      <c r="AN1295"/>
      <c r="AO1295"/>
      <c r="AP1295"/>
      <c r="AQ1295"/>
      <c r="AR1295"/>
    </row>
    <row r="1296" spans="3:44" ht="15" customHeight="1"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  <c r="AE1296"/>
      <c r="AF1296"/>
      <c r="AG1296"/>
      <c r="AH1296"/>
      <c r="AI1296"/>
      <c r="AJ1296"/>
      <c r="AK1296"/>
      <c r="AL1296"/>
      <c r="AM1296"/>
      <c r="AN1296"/>
      <c r="AO1296"/>
      <c r="AP1296"/>
      <c r="AQ1296"/>
      <c r="AR1296"/>
    </row>
    <row r="1297" spans="3:44" ht="15" customHeight="1"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  <c r="AF1297"/>
      <c r="AG1297"/>
      <c r="AH1297"/>
      <c r="AI1297"/>
      <c r="AJ1297"/>
      <c r="AK1297"/>
      <c r="AL1297"/>
      <c r="AM1297"/>
      <c r="AN1297"/>
      <c r="AO1297"/>
      <c r="AP1297"/>
      <c r="AQ1297"/>
      <c r="AR1297"/>
    </row>
    <row r="1298" spans="3:44" ht="15" customHeight="1"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  <c r="AF1298"/>
      <c r="AG1298"/>
      <c r="AH1298"/>
      <c r="AI1298"/>
      <c r="AJ1298"/>
      <c r="AK1298"/>
      <c r="AL1298"/>
      <c r="AM1298"/>
      <c r="AN1298"/>
      <c r="AO1298"/>
      <c r="AP1298"/>
      <c r="AQ1298"/>
      <c r="AR1298"/>
    </row>
    <row r="1299" spans="3:44" ht="15" customHeight="1"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  <c r="AF1299"/>
      <c r="AG1299"/>
      <c r="AH1299"/>
      <c r="AI1299"/>
      <c r="AJ1299"/>
      <c r="AK1299"/>
      <c r="AL1299"/>
      <c r="AM1299"/>
      <c r="AN1299"/>
      <c r="AO1299"/>
      <c r="AP1299"/>
      <c r="AQ1299"/>
      <c r="AR1299"/>
    </row>
    <row r="1300" spans="3:44" ht="15" customHeight="1"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  <c r="AF1300"/>
      <c r="AG1300"/>
      <c r="AH1300"/>
      <c r="AI1300"/>
      <c r="AJ1300"/>
      <c r="AK1300"/>
      <c r="AL1300"/>
      <c r="AM1300"/>
      <c r="AN1300"/>
      <c r="AO1300"/>
      <c r="AP1300"/>
      <c r="AQ1300"/>
      <c r="AR1300"/>
    </row>
    <row r="1301" spans="3:44" ht="15" customHeight="1"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  <c r="AF1301"/>
      <c r="AG1301"/>
      <c r="AH1301"/>
      <c r="AI1301"/>
      <c r="AJ1301"/>
      <c r="AK1301"/>
      <c r="AL1301"/>
      <c r="AM1301"/>
      <c r="AN1301"/>
      <c r="AO1301"/>
      <c r="AP1301"/>
      <c r="AQ1301"/>
      <c r="AR1301"/>
    </row>
    <row r="1302" spans="3:44" ht="15" customHeight="1"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  <c r="AF1302"/>
      <c r="AG1302"/>
      <c r="AH1302"/>
      <c r="AI1302"/>
      <c r="AJ1302"/>
      <c r="AK1302"/>
      <c r="AL1302"/>
      <c r="AM1302"/>
      <c r="AN1302"/>
      <c r="AO1302"/>
      <c r="AP1302"/>
      <c r="AQ1302"/>
      <c r="AR1302"/>
    </row>
    <row r="1303" spans="3:44" ht="15" customHeight="1"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  <c r="AF1303"/>
      <c r="AG1303"/>
      <c r="AH1303"/>
      <c r="AI1303"/>
      <c r="AJ1303"/>
      <c r="AK1303"/>
      <c r="AL1303"/>
      <c r="AM1303"/>
      <c r="AN1303"/>
      <c r="AO1303"/>
      <c r="AP1303"/>
      <c r="AQ1303"/>
      <c r="AR1303"/>
    </row>
    <row r="1304" spans="3:44" ht="15" customHeight="1"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  <c r="AF1304"/>
      <c r="AG1304"/>
      <c r="AH1304"/>
      <c r="AI1304"/>
      <c r="AJ1304"/>
      <c r="AK1304"/>
      <c r="AL1304"/>
      <c r="AM1304"/>
      <c r="AN1304"/>
      <c r="AO1304"/>
      <c r="AP1304"/>
      <c r="AQ1304"/>
      <c r="AR1304"/>
    </row>
    <row r="1305" spans="3:44" ht="15" customHeight="1"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  <c r="AF1305"/>
      <c r="AG1305"/>
      <c r="AH1305"/>
      <c r="AI1305"/>
      <c r="AJ1305"/>
      <c r="AK1305"/>
      <c r="AL1305"/>
      <c r="AM1305"/>
      <c r="AN1305"/>
      <c r="AO1305"/>
      <c r="AP1305"/>
      <c r="AQ1305"/>
      <c r="AR1305"/>
    </row>
    <row r="1306" spans="3:44" ht="15" customHeight="1"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  <c r="AF1306"/>
      <c r="AG1306"/>
      <c r="AH1306"/>
      <c r="AI1306"/>
      <c r="AJ1306"/>
      <c r="AK1306"/>
      <c r="AL1306"/>
      <c r="AM1306"/>
      <c r="AN1306"/>
      <c r="AO1306"/>
      <c r="AP1306"/>
      <c r="AQ1306"/>
      <c r="AR1306"/>
    </row>
    <row r="1307" spans="3:44" ht="15" customHeight="1"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  <c r="AF1307"/>
      <c r="AG1307"/>
      <c r="AH1307"/>
      <c r="AI1307"/>
      <c r="AJ1307"/>
      <c r="AK1307"/>
      <c r="AL1307"/>
      <c r="AM1307"/>
      <c r="AN1307"/>
      <c r="AO1307"/>
      <c r="AP1307"/>
      <c r="AQ1307"/>
      <c r="AR1307"/>
    </row>
    <row r="1308" spans="3:44" ht="15" customHeight="1"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  <c r="AF1308"/>
      <c r="AG1308"/>
      <c r="AH1308"/>
      <c r="AI1308"/>
      <c r="AJ1308"/>
      <c r="AK1308"/>
      <c r="AL1308"/>
      <c r="AM1308"/>
      <c r="AN1308"/>
      <c r="AO1308"/>
      <c r="AP1308"/>
      <c r="AQ1308"/>
      <c r="AR1308"/>
    </row>
    <row r="1309" spans="3:44" ht="15" customHeight="1"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  <c r="AF1309"/>
      <c r="AG1309"/>
      <c r="AH1309"/>
      <c r="AI1309"/>
      <c r="AJ1309"/>
      <c r="AK1309"/>
      <c r="AL1309"/>
      <c r="AM1309"/>
      <c r="AN1309"/>
      <c r="AO1309"/>
      <c r="AP1309"/>
      <c r="AQ1309"/>
      <c r="AR1309"/>
    </row>
    <row r="1310" spans="3:44" ht="15" customHeight="1"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  <c r="AE1310"/>
      <c r="AF1310"/>
      <c r="AG1310"/>
      <c r="AH1310"/>
      <c r="AI1310"/>
      <c r="AJ1310"/>
      <c r="AK1310"/>
      <c r="AL1310"/>
      <c r="AM1310"/>
      <c r="AN1310"/>
      <c r="AO1310"/>
      <c r="AP1310"/>
      <c r="AQ1310"/>
      <c r="AR1310"/>
    </row>
    <row r="1311" spans="3:44" ht="15" customHeight="1"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  <c r="AF1311"/>
      <c r="AG1311"/>
      <c r="AH1311"/>
      <c r="AI1311"/>
      <c r="AJ1311"/>
      <c r="AK1311"/>
      <c r="AL1311"/>
      <c r="AM1311"/>
      <c r="AN1311"/>
      <c r="AO1311"/>
      <c r="AP1311"/>
      <c r="AQ1311"/>
      <c r="AR1311"/>
    </row>
    <row r="1312" spans="3:44" ht="15" customHeight="1"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  <c r="AF1312"/>
      <c r="AG1312"/>
      <c r="AH1312"/>
      <c r="AI1312"/>
      <c r="AJ1312"/>
      <c r="AK1312"/>
      <c r="AL1312"/>
      <c r="AM1312"/>
      <c r="AN1312"/>
      <c r="AO1312"/>
      <c r="AP1312"/>
      <c r="AQ1312"/>
      <c r="AR1312"/>
    </row>
    <row r="1313" spans="3:44" ht="15" customHeight="1"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  <c r="AF1313"/>
      <c r="AG1313"/>
      <c r="AH1313"/>
      <c r="AI1313"/>
      <c r="AJ1313"/>
      <c r="AK1313"/>
      <c r="AL1313"/>
      <c r="AM1313"/>
      <c r="AN1313"/>
      <c r="AO1313"/>
      <c r="AP1313"/>
      <c r="AQ1313"/>
      <c r="AR1313"/>
    </row>
    <row r="1314" spans="3:44" ht="15" customHeight="1"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  <c r="AF1314"/>
      <c r="AG1314"/>
      <c r="AH1314"/>
      <c r="AI1314"/>
      <c r="AJ1314"/>
      <c r="AK1314"/>
      <c r="AL1314"/>
      <c r="AM1314"/>
      <c r="AN1314"/>
      <c r="AO1314"/>
      <c r="AP1314"/>
      <c r="AQ1314"/>
      <c r="AR1314"/>
    </row>
    <row r="1315" spans="3:44" ht="15" customHeight="1"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  <c r="AF1315"/>
      <c r="AG1315"/>
      <c r="AH1315"/>
      <c r="AI1315"/>
      <c r="AJ1315"/>
      <c r="AK1315"/>
      <c r="AL1315"/>
      <c r="AM1315"/>
      <c r="AN1315"/>
      <c r="AO1315"/>
      <c r="AP1315"/>
      <c r="AQ1315"/>
      <c r="AR1315"/>
    </row>
    <row r="1316" spans="3:44" ht="15" customHeight="1"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/>
      <c r="AF1316"/>
      <c r="AG1316"/>
      <c r="AH1316"/>
      <c r="AI1316"/>
      <c r="AJ1316"/>
      <c r="AK1316"/>
      <c r="AL1316"/>
      <c r="AM1316"/>
      <c r="AN1316"/>
      <c r="AO1316"/>
      <c r="AP1316"/>
      <c r="AQ1316"/>
      <c r="AR1316"/>
    </row>
    <row r="1317" spans="3:44" ht="15" customHeight="1"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  <c r="AF1317"/>
      <c r="AG1317"/>
      <c r="AH1317"/>
      <c r="AI1317"/>
      <c r="AJ1317"/>
      <c r="AK1317"/>
      <c r="AL1317"/>
      <c r="AM1317"/>
      <c r="AN1317"/>
      <c r="AO1317"/>
      <c r="AP1317"/>
      <c r="AQ1317"/>
      <c r="AR1317"/>
    </row>
    <row r="1318" spans="3:44" ht="15" customHeight="1"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  <c r="AF1318"/>
      <c r="AG1318"/>
      <c r="AH1318"/>
      <c r="AI1318"/>
      <c r="AJ1318"/>
      <c r="AK1318"/>
      <c r="AL1318"/>
      <c r="AM1318"/>
      <c r="AN1318"/>
      <c r="AO1318"/>
      <c r="AP1318"/>
      <c r="AQ1318"/>
      <c r="AR1318"/>
    </row>
    <row r="1319" spans="3:44" ht="15" customHeight="1"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/>
      <c r="AE1319"/>
      <c r="AF1319"/>
      <c r="AG1319"/>
      <c r="AH1319"/>
      <c r="AI1319"/>
      <c r="AJ1319"/>
      <c r="AK1319"/>
      <c r="AL1319"/>
      <c r="AM1319"/>
      <c r="AN1319"/>
      <c r="AO1319"/>
      <c r="AP1319"/>
      <c r="AQ1319"/>
      <c r="AR1319"/>
    </row>
    <row r="1320" spans="3:44" ht="15" customHeight="1"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/>
      <c r="AF1320"/>
      <c r="AG1320"/>
      <c r="AH1320"/>
      <c r="AI1320"/>
      <c r="AJ1320"/>
      <c r="AK1320"/>
      <c r="AL1320"/>
      <c r="AM1320"/>
      <c r="AN1320"/>
      <c r="AO1320"/>
      <c r="AP1320"/>
      <c r="AQ1320"/>
      <c r="AR1320"/>
    </row>
    <row r="1321" spans="3:44" ht="15" customHeight="1"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/>
      <c r="AF1321"/>
      <c r="AG1321"/>
      <c r="AH1321"/>
      <c r="AI1321"/>
      <c r="AJ1321"/>
      <c r="AK1321"/>
      <c r="AL1321"/>
      <c r="AM1321"/>
      <c r="AN1321"/>
      <c r="AO1321"/>
      <c r="AP1321"/>
      <c r="AQ1321"/>
      <c r="AR1321"/>
    </row>
    <row r="1322" spans="3:44" ht="15" customHeight="1"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/>
      <c r="AF1322"/>
      <c r="AG1322"/>
      <c r="AH1322"/>
      <c r="AI1322"/>
      <c r="AJ1322"/>
      <c r="AK1322"/>
      <c r="AL1322"/>
      <c r="AM1322"/>
      <c r="AN1322"/>
      <c r="AO1322"/>
      <c r="AP1322"/>
      <c r="AQ1322"/>
      <c r="AR1322"/>
    </row>
    <row r="1323" spans="3:44" ht="15" customHeight="1"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/>
      <c r="AF1323"/>
      <c r="AG1323"/>
      <c r="AH1323"/>
      <c r="AI1323"/>
      <c r="AJ1323"/>
      <c r="AK1323"/>
      <c r="AL1323"/>
      <c r="AM1323"/>
      <c r="AN1323"/>
      <c r="AO1323"/>
      <c r="AP1323"/>
      <c r="AQ1323"/>
      <c r="AR1323"/>
    </row>
    <row r="1324" spans="3:44" ht="15" customHeight="1"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/>
      <c r="AF1324"/>
      <c r="AG1324"/>
      <c r="AH1324"/>
      <c r="AI1324"/>
      <c r="AJ1324"/>
      <c r="AK1324"/>
      <c r="AL1324"/>
      <c r="AM1324"/>
      <c r="AN1324"/>
      <c r="AO1324"/>
      <c r="AP1324"/>
      <c r="AQ1324"/>
      <c r="AR1324"/>
    </row>
    <row r="1325" spans="3:44" ht="15" customHeight="1"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/>
      <c r="AF1325"/>
      <c r="AG1325"/>
      <c r="AH1325"/>
      <c r="AI1325"/>
      <c r="AJ1325"/>
      <c r="AK1325"/>
      <c r="AL1325"/>
      <c r="AM1325"/>
      <c r="AN1325"/>
      <c r="AO1325"/>
      <c r="AP1325"/>
      <c r="AQ1325"/>
      <c r="AR1325"/>
    </row>
    <row r="1326" spans="3:44" ht="15" customHeight="1"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/>
      <c r="AF1326"/>
      <c r="AG1326"/>
      <c r="AH1326"/>
      <c r="AI1326"/>
      <c r="AJ1326"/>
      <c r="AK1326"/>
      <c r="AL1326"/>
      <c r="AM1326"/>
      <c r="AN1326"/>
      <c r="AO1326"/>
      <c r="AP1326"/>
      <c r="AQ1326"/>
      <c r="AR1326"/>
    </row>
    <row r="1327" spans="3:44" ht="15" customHeight="1"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/>
      <c r="AF1327"/>
      <c r="AG1327"/>
      <c r="AH1327"/>
      <c r="AI1327"/>
      <c r="AJ1327"/>
      <c r="AK1327"/>
      <c r="AL1327"/>
      <c r="AM1327"/>
      <c r="AN1327"/>
      <c r="AO1327"/>
      <c r="AP1327"/>
      <c r="AQ1327"/>
      <c r="AR1327"/>
    </row>
    <row r="1328" spans="3:44" ht="15" customHeight="1"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/>
      <c r="AF1328"/>
      <c r="AG1328"/>
      <c r="AH1328"/>
      <c r="AI1328"/>
      <c r="AJ1328"/>
      <c r="AK1328"/>
      <c r="AL1328"/>
      <c r="AM1328"/>
      <c r="AN1328"/>
      <c r="AO1328"/>
      <c r="AP1328"/>
      <c r="AQ1328"/>
      <c r="AR1328"/>
    </row>
    <row r="1329" spans="3:44" ht="15" customHeight="1"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/>
      <c r="AF1329"/>
      <c r="AG1329"/>
      <c r="AH1329"/>
      <c r="AI1329"/>
      <c r="AJ1329"/>
      <c r="AK1329"/>
      <c r="AL1329"/>
      <c r="AM1329"/>
      <c r="AN1329"/>
      <c r="AO1329"/>
      <c r="AP1329"/>
      <c r="AQ1329"/>
      <c r="AR1329"/>
    </row>
    <row r="1330" spans="3:44" ht="15" customHeight="1"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/>
      <c r="AF1330"/>
      <c r="AG1330"/>
      <c r="AH1330"/>
      <c r="AI1330"/>
      <c r="AJ1330"/>
      <c r="AK1330"/>
      <c r="AL1330"/>
      <c r="AM1330"/>
      <c r="AN1330"/>
      <c r="AO1330"/>
      <c r="AP1330"/>
      <c r="AQ1330"/>
      <c r="AR1330"/>
    </row>
    <row r="1331" spans="3:44" ht="15" customHeight="1"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/>
      <c r="AF1331"/>
      <c r="AG1331"/>
      <c r="AH1331"/>
      <c r="AI1331"/>
      <c r="AJ1331"/>
      <c r="AK1331"/>
      <c r="AL1331"/>
      <c r="AM1331"/>
      <c r="AN1331"/>
      <c r="AO1331"/>
      <c r="AP1331"/>
      <c r="AQ1331"/>
      <c r="AR1331"/>
    </row>
    <row r="1332" spans="3:44" ht="15" customHeight="1"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/>
      <c r="AF1332"/>
      <c r="AG1332"/>
      <c r="AH1332"/>
      <c r="AI1332"/>
      <c r="AJ1332"/>
      <c r="AK1332"/>
      <c r="AL1332"/>
      <c r="AM1332"/>
      <c r="AN1332"/>
      <c r="AO1332"/>
      <c r="AP1332"/>
      <c r="AQ1332"/>
      <c r="AR1332"/>
    </row>
    <row r="1333" spans="3:44" ht="15" customHeight="1"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  <c r="AF1333"/>
      <c r="AG1333"/>
      <c r="AH1333"/>
      <c r="AI1333"/>
      <c r="AJ1333"/>
      <c r="AK1333"/>
      <c r="AL1333"/>
      <c r="AM1333"/>
      <c r="AN1333"/>
      <c r="AO1333"/>
      <c r="AP1333"/>
      <c r="AQ1333"/>
      <c r="AR1333"/>
    </row>
    <row r="1334" spans="3:44" ht="15" customHeight="1"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  <c r="AF1334"/>
      <c r="AG1334"/>
      <c r="AH1334"/>
      <c r="AI1334"/>
      <c r="AJ1334"/>
      <c r="AK1334"/>
      <c r="AL1334"/>
      <c r="AM1334"/>
      <c r="AN1334"/>
      <c r="AO1334"/>
      <c r="AP1334"/>
      <c r="AQ1334"/>
      <c r="AR1334"/>
    </row>
    <row r="1335" spans="3:44" ht="15" customHeight="1"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/>
      <c r="AF1335"/>
      <c r="AG1335"/>
      <c r="AH1335"/>
      <c r="AI1335"/>
      <c r="AJ1335"/>
      <c r="AK1335"/>
      <c r="AL1335"/>
      <c r="AM1335"/>
      <c r="AN1335"/>
      <c r="AO1335"/>
      <c r="AP1335"/>
      <c r="AQ1335"/>
      <c r="AR1335"/>
    </row>
    <row r="1336" spans="3:44" ht="15" customHeight="1"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/>
      <c r="AF1336"/>
      <c r="AG1336"/>
      <c r="AH1336"/>
      <c r="AI1336"/>
      <c r="AJ1336"/>
      <c r="AK1336"/>
      <c r="AL1336"/>
      <c r="AM1336"/>
      <c r="AN1336"/>
      <c r="AO1336"/>
      <c r="AP1336"/>
      <c r="AQ1336"/>
      <c r="AR1336"/>
    </row>
    <row r="1337" spans="3:44" ht="15" customHeight="1"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/>
      <c r="AF1337"/>
      <c r="AG1337"/>
      <c r="AH1337"/>
      <c r="AI1337"/>
      <c r="AJ1337"/>
      <c r="AK1337"/>
      <c r="AL1337"/>
      <c r="AM1337"/>
      <c r="AN1337"/>
      <c r="AO1337"/>
      <c r="AP1337"/>
      <c r="AQ1337"/>
      <c r="AR1337"/>
    </row>
    <row r="1338" spans="3:44" ht="15" customHeight="1"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/>
      <c r="AF1338"/>
      <c r="AG1338"/>
      <c r="AH1338"/>
      <c r="AI1338"/>
      <c r="AJ1338"/>
      <c r="AK1338"/>
      <c r="AL1338"/>
      <c r="AM1338"/>
      <c r="AN1338"/>
      <c r="AO1338"/>
      <c r="AP1338"/>
      <c r="AQ1338"/>
      <c r="AR1338"/>
    </row>
    <row r="1339" spans="3:44" ht="15" customHeight="1"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  <c r="AF1339"/>
      <c r="AG1339"/>
      <c r="AH1339"/>
      <c r="AI1339"/>
      <c r="AJ1339"/>
      <c r="AK1339"/>
      <c r="AL1339"/>
      <c r="AM1339"/>
      <c r="AN1339"/>
      <c r="AO1339"/>
      <c r="AP1339"/>
      <c r="AQ1339"/>
      <c r="AR1339"/>
    </row>
    <row r="1340" spans="3:44" ht="15" customHeight="1"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  <c r="AF1340"/>
      <c r="AG1340"/>
      <c r="AH1340"/>
      <c r="AI1340"/>
      <c r="AJ1340"/>
      <c r="AK1340"/>
      <c r="AL1340"/>
      <c r="AM1340"/>
      <c r="AN1340"/>
      <c r="AO1340"/>
      <c r="AP1340"/>
      <c r="AQ1340"/>
      <c r="AR1340"/>
    </row>
    <row r="1341" spans="3:44" ht="15" customHeight="1"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  <c r="AF1341"/>
      <c r="AG1341"/>
      <c r="AH1341"/>
      <c r="AI1341"/>
      <c r="AJ1341"/>
      <c r="AK1341"/>
      <c r="AL1341"/>
      <c r="AM1341"/>
      <c r="AN1341"/>
      <c r="AO1341"/>
      <c r="AP1341"/>
      <c r="AQ1341"/>
      <c r="AR1341"/>
    </row>
    <row r="1342" spans="3:44" ht="15" customHeight="1"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  <c r="AF1342"/>
      <c r="AG1342"/>
      <c r="AH1342"/>
      <c r="AI1342"/>
      <c r="AJ1342"/>
      <c r="AK1342"/>
      <c r="AL1342"/>
      <c r="AM1342"/>
      <c r="AN1342"/>
      <c r="AO1342"/>
      <c r="AP1342"/>
      <c r="AQ1342"/>
      <c r="AR1342"/>
    </row>
    <row r="1343" spans="3:44" ht="15" customHeight="1"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/>
      <c r="AF1343"/>
      <c r="AG1343"/>
      <c r="AH1343"/>
      <c r="AI1343"/>
      <c r="AJ1343"/>
      <c r="AK1343"/>
      <c r="AL1343"/>
      <c r="AM1343"/>
      <c r="AN1343"/>
      <c r="AO1343"/>
      <c r="AP1343"/>
      <c r="AQ1343"/>
      <c r="AR1343"/>
    </row>
    <row r="1344" spans="3:44" ht="15" customHeight="1"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/>
      <c r="AF1344"/>
      <c r="AG1344"/>
      <c r="AH1344"/>
      <c r="AI1344"/>
      <c r="AJ1344"/>
      <c r="AK1344"/>
      <c r="AL1344"/>
      <c r="AM1344"/>
      <c r="AN1344"/>
      <c r="AO1344"/>
      <c r="AP1344"/>
      <c r="AQ1344"/>
      <c r="AR1344"/>
    </row>
    <row r="1345" spans="3:44" ht="15" customHeight="1"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/>
      <c r="AF1345"/>
      <c r="AG1345"/>
      <c r="AH1345"/>
      <c r="AI1345"/>
      <c r="AJ1345"/>
      <c r="AK1345"/>
      <c r="AL1345"/>
      <c r="AM1345"/>
      <c r="AN1345"/>
      <c r="AO1345"/>
      <c r="AP1345"/>
      <c r="AQ1345"/>
      <c r="AR1345"/>
    </row>
    <row r="1346" spans="3:44" ht="15" customHeight="1"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  <c r="AF1346"/>
      <c r="AG1346"/>
      <c r="AH1346"/>
      <c r="AI1346"/>
      <c r="AJ1346"/>
      <c r="AK1346"/>
      <c r="AL1346"/>
      <c r="AM1346"/>
      <c r="AN1346"/>
      <c r="AO1346"/>
      <c r="AP1346"/>
      <c r="AQ1346"/>
      <c r="AR1346"/>
    </row>
    <row r="1347" spans="3:44" ht="15" customHeight="1"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/>
      <c r="AF1347"/>
      <c r="AG1347"/>
      <c r="AH1347"/>
      <c r="AI1347"/>
      <c r="AJ1347"/>
      <c r="AK1347"/>
      <c r="AL1347"/>
      <c r="AM1347"/>
      <c r="AN1347"/>
      <c r="AO1347"/>
      <c r="AP1347"/>
      <c r="AQ1347"/>
      <c r="AR1347"/>
    </row>
    <row r="1348" spans="3:44" ht="15" customHeight="1"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/>
      <c r="AF1348"/>
      <c r="AG1348"/>
      <c r="AH1348"/>
      <c r="AI1348"/>
      <c r="AJ1348"/>
      <c r="AK1348"/>
      <c r="AL1348"/>
      <c r="AM1348"/>
      <c r="AN1348"/>
      <c r="AO1348"/>
      <c r="AP1348"/>
      <c r="AQ1348"/>
      <c r="AR1348"/>
    </row>
    <row r="1349" spans="3:44" ht="15" customHeight="1"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  <c r="AF1349"/>
      <c r="AG1349"/>
      <c r="AH1349"/>
      <c r="AI1349"/>
      <c r="AJ1349"/>
      <c r="AK1349"/>
      <c r="AL1349"/>
      <c r="AM1349"/>
      <c r="AN1349"/>
      <c r="AO1349"/>
      <c r="AP1349"/>
      <c r="AQ1349"/>
      <c r="AR1349"/>
    </row>
    <row r="1350" spans="3:44" ht="15" customHeight="1"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  <c r="AF1350"/>
      <c r="AG1350"/>
      <c r="AH1350"/>
      <c r="AI1350"/>
      <c r="AJ1350"/>
      <c r="AK1350"/>
      <c r="AL1350"/>
      <c r="AM1350"/>
      <c r="AN1350"/>
      <c r="AO1350"/>
      <c r="AP1350"/>
      <c r="AQ1350"/>
      <c r="AR1350"/>
    </row>
    <row r="1351" spans="3:44" ht="15" customHeight="1"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  <c r="AF1351"/>
      <c r="AG1351"/>
      <c r="AH1351"/>
      <c r="AI1351"/>
      <c r="AJ1351"/>
      <c r="AK1351"/>
      <c r="AL1351"/>
      <c r="AM1351"/>
      <c r="AN1351"/>
      <c r="AO1351"/>
      <c r="AP1351"/>
      <c r="AQ1351"/>
      <c r="AR1351"/>
    </row>
    <row r="1352" spans="3:44" ht="15" customHeight="1"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/>
      <c r="AF1352"/>
      <c r="AG1352"/>
      <c r="AH1352"/>
      <c r="AI1352"/>
      <c r="AJ1352"/>
      <c r="AK1352"/>
      <c r="AL1352"/>
      <c r="AM1352"/>
      <c r="AN1352"/>
      <c r="AO1352"/>
      <c r="AP1352"/>
      <c r="AQ1352"/>
      <c r="AR1352"/>
    </row>
    <row r="1353" spans="3:44" ht="15" customHeight="1"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  <c r="AF1353"/>
      <c r="AG1353"/>
      <c r="AH1353"/>
      <c r="AI1353"/>
      <c r="AJ1353"/>
      <c r="AK1353"/>
      <c r="AL1353"/>
      <c r="AM1353"/>
      <c r="AN1353"/>
      <c r="AO1353"/>
      <c r="AP1353"/>
      <c r="AQ1353"/>
      <c r="AR1353"/>
    </row>
    <row r="1354" spans="3:44" ht="15" customHeight="1"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/>
      <c r="AF1354"/>
      <c r="AG1354"/>
      <c r="AH1354"/>
      <c r="AI1354"/>
      <c r="AJ1354"/>
      <c r="AK1354"/>
      <c r="AL1354"/>
      <c r="AM1354"/>
      <c r="AN1354"/>
      <c r="AO1354"/>
      <c r="AP1354"/>
      <c r="AQ1354"/>
      <c r="AR1354"/>
    </row>
    <row r="1355" spans="3:44" ht="15" customHeight="1"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/>
      <c r="AF1355"/>
      <c r="AG1355"/>
      <c r="AH1355"/>
      <c r="AI1355"/>
      <c r="AJ1355"/>
      <c r="AK1355"/>
      <c r="AL1355"/>
      <c r="AM1355"/>
      <c r="AN1355"/>
      <c r="AO1355"/>
      <c r="AP1355"/>
      <c r="AQ1355"/>
      <c r="AR1355"/>
    </row>
    <row r="1356" spans="3:44" ht="15" customHeight="1"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/>
      <c r="AF1356"/>
      <c r="AG1356"/>
      <c r="AH1356"/>
      <c r="AI1356"/>
      <c r="AJ1356"/>
      <c r="AK1356"/>
      <c r="AL1356"/>
      <c r="AM1356"/>
      <c r="AN1356"/>
      <c r="AO1356"/>
      <c r="AP1356"/>
      <c r="AQ1356"/>
      <c r="AR1356"/>
    </row>
    <row r="1357" spans="3:44" ht="15" customHeight="1"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  <c r="AF1357"/>
      <c r="AG1357"/>
      <c r="AH1357"/>
      <c r="AI1357"/>
      <c r="AJ1357"/>
      <c r="AK1357"/>
      <c r="AL1357"/>
      <c r="AM1357"/>
      <c r="AN1357"/>
      <c r="AO1357"/>
      <c r="AP1357"/>
      <c r="AQ1357"/>
      <c r="AR1357"/>
    </row>
    <row r="1358" spans="3:44" ht="15" customHeight="1"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/>
      <c r="AF1358"/>
      <c r="AG1358"/>
      <c r="AH1358"/>
      <c r="AI1358"/>
      <c r="AJ1358"/>
      <c r="AK1358"/>
      <c r="AL1358"/>
      <c r="AM1358"/>
      <c r="AN1358"/>
      <c r="AO1358"/>
      <c r="AP1358"/>
      <c r="AQ1358"/>
      <c r="AR1358"/>
    </row>
    <row r="1359" spans="3:44" ht="15" customHeight="1"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/>
      <c r="AF1359"/>
      <c r="AG1359"/>
      <c r="AH1359"/>
      <c r="AI1359"/>
      <c r="AJ1359"/>
      <c r="AK1359"/>
      <c r="AL1359"/>
      <c r="AM1359"/>
      <c r="AN1359"/>
      <c r="AO1359"/>
      <c r="AP1359"/>
      <c r="AQ1359"/>
      <c r="AR1359"/>
    </row>
    <row r="1360" spans="3:44" ht="15" customHeight="1"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/>
      <c r="AE1360"/>
      <c r="AF1360"/>
      <c r="AG1360"/>
      <c r="AH1360"/>
      <c r="AI1360"/>
      <c r="AJ1360"/>
      <c r="AK1360"/>
      <c r="AL1360"/>
      <c r="AM1360"/>
      <c r="AN1360"/>
      <c r="AO1360"/>
      <c r="AP1360"/>
      <c r="AQ1360"/>
      <c r="AR1360"/>
    </row>
    <row r="1361" spans="3:44" ht="15" customHeight="1"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/>
      <c r="AF1361"/>
      <c r="AG1361"/>
      <c r="AH1361"/>
      <c r="AI1361"/>
      <c r="AJ1361"/>
      <c r="AK1361"/>
      <c r="AL1361"/>
      <c r="AM1361"/>
      <c r="AN1361"/>
      <c r="AO1361"/>
      <c r="AP1361"/>
      <c r="AQ1361"/>
      <c r="AR1361"/>
    </row>
    <row r="1362" spans="3:44" ht="15" customHeight="1"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/>
      <c r="AE1362"/>
      <c r="AF1362"/>
      <c r="AG1362"/>
      <c r="AH1362"/>
      <c r="AI1362"/>
      <c r="AJ1362"/>
      <c r="AK1362"/>
      <c r="AL1362"/>
      <c r="AM1362"/>
      <c r="AN1362"/>
      <c r="AO1362"/>
      <c r="AP1362"/>
      <c r="AQ1362"/>
      <c r="AR1362"/>
    </row>
    <row r="1363" spans="3:44" ht="15" customHeight="1"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  <c r="AE1363"/>
      <c r="AF1363"/>
      <c r="AG1363"/>
      <c r="AH1363"/>
      <c r="AI1363"/>
      <c r="AJ1363"/>
      <c r="AK1363"/>
      <c r="AL1363"/>
      <c r="AM1363"/>
      <c r="AN1363"/>
      <c r="AO1363"/>
      <c r="AP1363"/>
      <c r="AQ1363"/>
      <c r="AR1363"/>
    </row>
    <row r="1364" spans="3:44" ht="15" customHeight="1"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  <c r="AE1364"/>
      <c r="AF1364"/>
      <c r="AG1364"/>
      <c r="AH1364"/>
      <c r="AI1364"/>
      <c r="AJ1364"/>
      <c r="AK1364"/>
      <c r="AL1364"/>
      <c r="AM1364"/>
      <c r="AN1364"/>
      <c r="AO1364"/>
      <c r="AP1364"/>
      <c r="AQ1364"/>
      <c r="AR1364"/>
    </row>
    <row r="1365" spans="3:44" ht="15" customHeight="1"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/>
      <c r="AE1365"/>
      <c r="AF1365"/>
      <c r="AG1365"/>
      <c r="AH1365"/>
      <c r="AI1365"/>
      <c r="AJ1365"/>
      <c r="AK1365"/>
      <c r="AL1365"/>
      <c r="AM1365"/>
      <c r="AN1365"/>
      <c r="AO1365"/>
      <c r="AP1365"/>
      <c r="AQ1365"/>
      <c r="AR1365"/>
    </row>
    <row r="1366" spans="3:44" ht="15" customHeight="1">
      <c r="C1366"/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  <c r="AE1366"/>
      <c r="AF1366"/>
      <c r="AG1366"/>
      <c r="AH1366"/>
      <c r="AI1366"/>
      <c r="AJ1366"/>
      <c r="AK1366"/>
      <c r="AL1366"/>
      <c r="AM1366"/>
      <c r="AN1366"/>
      <c r="AO1366"/>
      <c r="AP1366"/>
      <c r="AQ1366"/>
      <c r="AR1366"/>
    </row>
    <row r="1367" spans="3:44" ht="15" customHeight="1">
      <c r="C1367"/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  <c r="AE1367"/>
      <c r="AF1367"/>
      <c r="AG1367"/>
      <c r="AH1367"/>
      <c r="AI1367"/>
      <c r="AJ1367"/>
      <c r="AK1367"/>
      <c r="AL1367"/>
      <c r="AM1367"/>
      <c r="AN1367"/>
      <c r="AO1367"/>
      <c r="AP1367"/>
      <c r="AQ1367"/>
      <c r="AR1367"/>
    </row>
    <row r="1368" spans="3:44" ht="15" customHeight="1">
      <c r="C1368"/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  <c r="AE1368"/>
      <c r="AF1368"/>
      <c r="AG1368"/>
      <c r="AH1368"/>
      <c r="AI1368"/>
      <c r="AJ1368"/>
      <c r="AK1368"/>
      <c r="AL1368"/>
      <c r="AM1368"/>
      <c r="AN1368"/>
      <c r="AO1368"/>
      <c r="AP1368"/>
      <c r="AQ1368"/>
      <c r="AR1368"/>
    </row>
    <row r="1369" spans="3:44" ht="15" customHeight="1"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  <c r="AE1369"/>
      <c r="AF1369"/>
      <c r="AG1369"/>
      <c r="AH1369"/>
      <c r="AI1369"/>
      <c r="AJ1369"/>
      <c r="AK1369"/>
      <c r="AL1369"/>
      <c r="AM1369"/>
      <c r="AN1369"/>
      <c r="AO1369"/>
      <c r="AP1369"/>
      <c r="AQ1369"/>
      <c r="AR1369"/>
    </row>
    <row r="1370" spans="3:44" ht="15" customHeight="1">
      <c r="C1370"/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  <c r="AE1370"/>
      <c r="AF1370"/>
      <c r="AG1370"/>
      <c r="AH1370"/>
      <c r="AI1370"/>
      <c r="AJ1370"/>
      <c r="AK1370"/>
      <c r="AL1370"/>
      <c r="AM1370"/>
      <c r="AN1370"/>
      <c r="AO1370"/>
      <c r="AP1370"/>
      <c r="AQ1370"/>
      <c r="AR1370"/>
    </row>
    <row r="1371" spans="3:44" ht="15" customHeight="1">
      <c r="C1371"/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  <c r="AF1371"/>
      <c r="AG1371"/>
      <c r="AH1371"/>
      <c r="AI1371"/>
      <c r="AJ1371"/>
      <c r="AK1371"/>
      <c r="AL1371"/>
      <c r="AM1371"/>
      <c r="AN1371"/>
      <c r="AO1371"/>
      <c r="AP1371"/>
      <c r="AQ1371"/>
      <c r="AR1371"/>
    </row>
    <row r="1372" spans="3:44" ht="15" customHeight="1">
      <c r="C1372"/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/>
      <c r="AE1372"/>
      <c r="AF1372"/>
      <c r="AG1372"/>
      <c r="AH1372"/>
      <c r="AI1372"/>
      <c r="AJ1372"/>
      <c r="AK1372"/>
      <c r="AL1372"/>
      <c r="AM1372"/>
      <c r="AN1372"/>
      <c r="AO1372"/>
      <c r="AP1372"/>
      <c r="AQ1372"/>
      <c r="AR1372"/>
    </row>
    <row r="1373" spans="3:44" ht="15" customHeight="1">
      <c r="C1373"/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  <c r="AF1373"/>
      <c r="AG1373"/>
      <c r="AH1373"/>
      <c r="AI1373"/>
      <c r="AJ1373"/>
      <c r="AK1373"/>
      <c r="AL1373"/>
      <c r="AM1373"/>
      <c r="AN1373"/>
      <c r="AO1373"/>
      <c r="AP1373"/>
      <c r="AQ1373"/>
      <c r="AR1373"/>
    </row>
    <row r="1374" spans="3:44" ht="15" customHeight="1">
      <c r="C1374"/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  <c r="AE1374"/>
      <c r="AF1374"/>
      <c r="AG1374"/>
      <c r="AH1374"/>
      <c r="AI1374"/>
      <c r="AJ1374"/>
      <c r="AK1374"/>
      <c r="AL1374"/>
      <c r="AM1374"/>
      <c r="AN1374"/>
      <c r="AO1374"/>
      <c r="AP1374"/>
      <c r="AQ1374"/>
      <c r="AR1374"/>
    </row>
    <row r="1375" spans="3:44" ht="15" customHeight="1">
      <c r="C1375"/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  <c r="AE1375"/>
      <c r="AF1375"/>
      <c r="AG1375"/>
      <c r="AH1375"/>
      <c r="AI1375"/>
      <c r="AJ1375"/>
      <c r="AK1375"/>
      <c r="AL1375"/>
      <c r="AM1375"/>
      <c r="AN1375"/>
      <c r="AO1375"/>
      <c r="AP1375"/>
      <c r="AQ1375"/>
      <c r="AR1375"/>
    </row>
    <row r="1376" spans="3:44" ht="15" customHeight="1">
      <c r="C1376"/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/>
      <c r="AE1376"/>
      <c r="AF1376"/>
      <c r="AG1376"/>
      <c r="AH1376"/>
      <c r="AI1376"/>
      <c r="AJ1376"/>
      <c r="AK1376"/>
      <c r="AL1376"/>
      <c r="AM1376"/>
      <c r="AN1376"/>
      <c r="AO1376"/>
      <c r="AP1376"/>
      <c r="AQ1376"/>
      <c r="AR1376"/>
    </row>
    <row r="1377" spans="3:44" ht="15" customHeight="1">
      <c r="C1377"/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/>
      <c r="AE1377"/>
      <c r="AF1377"/>
      <c r="AG1377"/>
      <c r="AH1377"/>
      <c r="AI1377"/>
      <c r="AJ1377"/>
      <c r="AK1377"/>
      <c r="AL1377"/>
      <c r="AM1377"/>
      <c r="AN1377"/>
      <c r="AO1377"/>
      <c r="AP1377"/>
      <c r="AQ1377"/>
      <c r="AR1377"/>
    </row>
    <row r="1378" spans="3:44" ht="15" customHeight="1"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  <c r="AE1378"/>
      <c r="AF1378"/>
      <c r="AG1378"/>
      <c r="AH1378"/>
      <c r="AI1378"/>
      <c r="AJ1378"/>
      <c r="AK1378"/>
      <c r="AL1378"/>
      <c r="AM1378"/>
      <c r="AN1378"/>
      <c r="AO1378"/>
      <c r="AP1378"/>
      <c r="AQ1378"/>
      <c r="AR1378"/>
    </row>
    <row r="1379" spans="3:44" ht="15" customHeight="1"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  <c r="AE1379"/>
      <c r="AF1379"/>
      <c r="AG1379"/>
      <c r="AH1379"/>
      <c r="AI1379"/>
      <c r="AJ1379"/>
      <c r="AK1379"/>
      <c r="AL1379"/>
      <c r="AM1379"/>
      <c r="AN1379"/>
      <c r="AO1379"/>
      <c r="AP1379"/>
      <c r="AQ1379"/>
      <c r="AR1379"/>
    </row>
    <row r="1380" spans="3:44" ht="15" customHeight="1"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/>
      <c r="AE1380"/>
      <c r="AF1380"/>
      <c r="AG1380"/>
      <c r="AH1380"/>
      <c r="AI1380"/>
      <c r="AJ1380"/>
      <c r="AK1380"/>
      <c r="AL1380"/>
      <c r="AM1380"/>
      <c r="AN1380"/>
      <c r="AO1380"/>
      <c r="AP1380"/>
      <c r="AQ1380"/>
      <c r="AR1380"/>
    </row>
    <row r="1381" spans="3:44" ht="15" customHeight="1"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  <c r="AE1381"/>
      <c r="AF1381"/>
      <c r="AG1381"/>
      <c r="AH1381"/>
      <c r="AI1381"/>
      <c r="AJ1381"/>
      <c r="AK1381"/>
      <c r="AL1381"/>
      <c r="AM1381"/>
      <c r="AN1381"/>
      <c r="AO1381"/>
      <c r="AP1381"/>
      <c r="AQ1381"/>
      <c r="AR1381"/>
    </row>
    <row r="1382" spans="3:44" ht="15" customHeight="1"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/>
      <c r="AE1382"/>
      <c r="AF1382"/>
      <c r="AG1382"/>
      <c r="AH1382"/>
      <c r="AI1382"/>
      <c r="AJ1382"/>
      <c r="AK1382"/>
      <c r="AL1382"/>
      <c r="AM1382"/>
      <c r="AN1382"/>
      <c r="AO1382"/>
      <c r="AP1382"/>
      <c r="AQ1382"/>
      <c r="AR1382"/>
    </row>
    <row r="1383" spans="3:44" ht="15" customHeight="1"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/>
      <c r="AE1383"/>
      <c r="AF1383"/>
      <c r="AG1383"/>
      <c r="AH1383"/>
      <c r="AI1383"/>
      <c r="AJ1383"/>
      <c r="AK1383"/>
      <c r="AL1383"/>
      <c r="AM1383"/>
      <c r="AN1383"/>
      <c r="AO1383"/>
      <c r="AP1383"/>
      <c r="AQ1383"/>
      <c r="AR1383"/>
    </row>
    <row r="1384" spans="3:44" ht="15" customHeight="1"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/>
      <c r="AE1384"/>
      <c r="AF1384"/>
      <c r="AG1384"/>
      <c r="AH1384"/>
      <c r="AI1384"/>
      <c r="AJ1384"/>
      <c r="AK1384"/>
      <c r="AL1384"/>
      <c r="AM1384"/>
      <c r="AN1384"/>
      <c r="AO1384"/>
      <c r="AP1384"/>
      <c r="AQ1384"/>
      <c r="AR1384"/>
    </row>
    <row r="1385" spans="3:44" ht="15" customHeight="1">
      <c r="C1385"/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/>
      <c r="AE1385"/>
      <c r="AF1385"/>
      <c r="AG1385"/>
      <c r="AH1385"/>
      <c r="AI1385"/>
      <c r="AJ1385"/>
      <c r="AK1385"/>
      <c r="AL1385"/>
      <c r="AM1385"/>
      <c r="AN1385"/>
      <c r="AO1385"/>
      <c r="AP1385"/>
      <c r="AQ1385"/>
      <c r="AR1385"/>
    </row>
    <row r="1386" spans="3:44" ht="15" customHeight="1"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/>
      <c r="AE1386"/>
      <c r="AF1386"/>
      <c r="AG1386"/>
      <c r="AH1386"/>
      <c r="AI1386"/>
      <c r="AJ1386"/>
      <c r="AK1386"/>
      <c r="AL1386"/>
      <c r="AM1386"/>
      <c r="AN1386"/>
      <c r="AO1386"/>
      <c r="AP1386"/>
      <c r="AQ1386"/>
      <c r="AR1386"/>
    </row>
    <row r="1387" spans="3:44" ht="15" customHeight="1"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/>
      <c r="AE1387"/>
      <c r="AF1387"/>
      <c r="AG1387"/>
      <c r="AH1387"/>
      <c r="AI1387"/>
      <c r="AJ1387"/>
      <c r="AK1387"/>
      <c r="AL1387"/>
      <c r="AM1387"/>
      <c r="AN1387"/>
      <c r="AO1387"/>
      <c r="AP1387"/>
      <c r="AQ1387"/>
      <c r="AR1387"/>
    </row>
    <row r="1388" spans="3:44" ht="15" customHeight="1">
      <c r="C1388"/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  <c r="AE1388"/>
      <c r="AF1388"/>
      <c r="AG1388"/>
      <c r="AH1388"/>
      <c r="AI1388"/>
      <c r="AJ1388"/>
      <c r="AK1388"/>
      <c r="AL1388"/>
      <c r="AM1388"/>
      <c r="AN1388"/>
      <c r="AO1388"/>
      <c r="AP1388"/>
      <c r="AQ1388"/>
      <c r="AR1388"/>
    </row>
    <row r="1389" spans="3:44" ht="15" customHeight="1">
      <c r="C1389"/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  <c r="AE1389"/>
      <c r="AF1389"/>
      <c r="AG1389"/>
      <c r="AH1389"/>
      <c r="AI1389"/>
      <c r="AJ1389"/>
      <c r="AK1389"/>
      <c r="AL1389"/>
      <c r="AM1389"/>
      <c r="AN1389"/>
      <c r="AO1389"/>
      <c r="AP1389"/>
      <c r="AQ1389"/>
      <c r="AR1389"/>
    </row>
    <row r="1390" spans="3:44" ht="15" customHeight="1">
      <c r="C1390"/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  <c r="AE1390"/>
      <c r="AF1390"/>
      <c r="AG1390"/>
      <c r="AH1390"/>
      <c r="AI1390"/>
      <c r="AJ1390"/>
      <c r="AK1390"/>
      <c r="AL1390"/>
      <c r="AM1390"/>
      <c r="AN1390"/>
      <c r="AO1390"/>
      <c r="AP1390"/>
      <c r="AQ1390"/>
      <c r="AR1390"/>
    </row>
    <row r="1391" spans="3:44" ht="15" customHeight="1">
      <c r="C1391"/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/>
      <c r="AE1391"/>
      <c r="AF1391"/>
      <c r="AG1391"/>
      <c r="AH1391"/>
      <c r="AI1391"/>
      <c r="AJ1391"/>
      <c r="AK1391"/>
      <c r="AL1391"/>
      <c r="AM1391"/>
      <c r="AN1391"/>
      <c r="AO1391"/>
      <c r="AP1391"/>
      <c r="AQ1391"/>
      <c r="AR1391"/>
    </row>
    <row r="1392" spans="3:44" ht="15" customHeight="1">
      <c r="C1392"/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/>
      <c r="AE1392"/>
      <c r="AF1392"/>
      <c r="AG1392"/>
      <c r="AH1392"/>
      <c r="AI1392"/>
      <c r="AJ1392"/>
      <c r="AK1392"/>
      <c r="AL1392"/>
      <c r="AM1392"/>
      <c r="AN1392"/>
      <c r="AO1392"/>
      <c r="AP1392"/>
      <c r="AQ1392"/>
      <c r="AR1392"/>
    </row>
    <row r="1393" spans="3:44" ht="15" customHeight="1">
      <c r="C1393"/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/>
      <c r="AE1393"/>
      <c r="AF1393"/>
      <c r="AG1393"/>
      <c r="AH1393"/>
      <c r="AI1393"/>
      <c r="AJ1393"/>
      <c r="AK1393"/>
      <c r="AL1393"/>
      <c r="AM1393"/>
      <c r="AN1393"/>
      <c r="AO1393"/>
      <c r="AP1393"/>
      <c r="AQ1393"/>
      <c r="AR1393"/>
    </row>
    <row r="1394" spans="3:44" ht="15" customHeight="1">
      <c r="C1394"/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/>
      <c r="AE1394"/>
      <c r="AF1394"/>
      <c r="AG1394"/>
      <c r="AH1394"/>
      <c r="AI1394"/>
      <c r="AJ1394"/>
      <c r="AK1394"/>
      <c r="AL1394"/>
      <c r="AM1394"/>
      <c r="AN1394"/>
      <c r="AO1394"/>
      <c r="AP1394"/>
      <c r="AQ1394"/>
      <c r="AR1394"/>
    </row>
    <row r="1395" spans="3:44" ht="15" customHeight="1">
      <c r="C1395"/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  <c r="AE1395"/>
      <c r="AF1395"/>
      <c r="AG1395"/>
      <c r="AH1395"/>
      <c r="AI1395"/>
      <c r="AJ1395"/>
      <c r="AK1395"/>
      <c r="AL1395"/>
      <c r="AM1395"/>
      <c r="AN1395"/>
      <c r="AO1395"/>
      <c r="AP1395"/>
      <c r="AQ1395"/>
      <c r="AR1395"/>
    </row>
    <row r="1396" spans="3:44" ht="15" customHeight="1">
      <c r="C1396"/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/>
      <c r="AE1396"/>
      <c r="AF1396"/>
      <c r="AG1396"/>
      <c r="AH1396"/>
      <c r="AI1396"/>
      <c r="AJ1396"/>
      <c r="AK1396"/>
      <c r="AL1396"/>
      <c r="AM1396"/>
      <c r="AN1396"/>
      <c r="AO1396"/>
      <c r="AP1396"/>
      <c r="AQ1396"/>
      <c r="AR1396"/>
    </row>
    <row r="1397" spans="3:44" ht="15" customHeight="1"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/>
      <c r="AE1397"/>
      <c r="AF1397"/>
      <c r="AG1397"/>
      <c r="AH1397"/>
      <c r="AI1397"/>
      <c r="AJ1397"/>
      <c r="AK1397"/>
      <c r="AL1397"/>
      <c r="AM1397"/>
      <c r="AN1397"/>
      <c r="AO1397"/>
      <c r="AP1397"/>
      <c r="AQ1397"/>
      <c r="AR1397"/>
    </row>
    <row r="1398" spans="3:44" ht="15" customHeight="1"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  <c r="AE1398"/>
      <c r="AF1398"/>
      <c r="AG1398"/>
      <c r="AH1398"/>
      <c r="AI1398"/>
      <c r="AJ1398"/>
      <c r="AK1398"/>
      <c r="AL1398"/>
      <c r="AM1398"/>
      <c r="AN1398"/>
      <c r="AO1398"/>
      <c r="AP1398"/>
      <c r="AQ1398"/>
      <c r="AR1398"/>
    </row>
    <row r="1399" spans="3:44" ht="15" customHeight="1"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  <c r="AE1399"/>
      <c r="AF1399"/>
      <c r="AG1399"/>
      <c r="AH1399"/>
      <c r="AI1399"/>
      <c r="AJ1399"/>
      <c r="AK1399"/>
      <c r="AL1399"/>
      <c r="AM1399"/>
      <c r="AN1399"/>
      <c r="AO1399"/>
      <c r="AP1399"/>
      <c r="AQ1399"/>
      <c r="AR1399"/>
    </row>
    <row r="1400" spans="3:44" ht="15" customHeight="1"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  <c r="AE1400"/>
      <c r="AF1400"/>
      <c r="AG1400"/>
      <c r="AH1400"/>
      <c r="AI1400"/>
      <c r="AJ1400"/>
      <c r="AK1400"/>
      <c r="AL1400"/>
      <c r="AM1400"/>
      <c r="AN1400"/>
      <c r="AO1400"/>
      <c r="AP1400"/>
      <c r="AQ1400"/>
      <c r="AR1400"/>
    </row>
    <row r="1401" spans="3:44" ht="15" customHeight="1"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/>
      <c r="AE1401"/>
      <c r="AF1401"/>
      <c r="AG1401"/>
      <c r="AH1401"/>
      <c r="AI1401"/>
      <c r="AJ1401"/>
      <c r="AK1401"/>
      <c r="AL1401"/>
      <c r="AM1401"/>
      <c r="AN1401"/>
      <c r="AO1401"/>
      <c r="AP1401"/>
      <c r="AQ1401"/>
      <c r="AR1401"/>
    </row>
    <row r="1402" spans="3:44" ht="15" customHeight="1">
      <c r="C1402"/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/>
      <c r="AE1402"/>
      <c r="AF1402"/>
      <c r="AG1402"/>
      <c r="AH1402"/>
      <c r="AI1402"/>
      <c r="AJ1402"/>
      <c r="AK1402"/>
      <c r="AL1402"/>
      <c r="AM1402"/>
      <c r="AN1402"/>
      <c r="AO1402"/>
      <c r="AP1402"/>
      <c r="AQ1402"/>
      <c r="AR1402"/>
    </row>
    <row r="1403" spans="3:44" ht="15" customHeight="1"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  <c r="AE1403"/>
      <c r="AF1403"/>
      <c r="AG1403"/>
      <c r="AH1403"/>
      <c r="AI1403"/>
      <c r="AJ1403"/>
      <c r="AK1403"/>
      <c r="AL1403"/>
      <c r="AM1403"/>
      <c r="AN1403"/>
      <c r="AO1403"/>
      <c r="AP1403"/>
      <c r="AQ1403"/>
      <c r="AR1403"/>
    </row>
    <row r="1404" spans="3:44" ht="15" customHeight="1">
      <c r="C1404"/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  <c r="AE1404"/>
      <c r="AF1404"/>
      <c r="AG1404"/>
      <c r="AH1404"/>
      <c r="AI1404"/>
      <c r="AJ1404"/>
      <c r="AK1404"/>
      <c r="AL1404"/>
      <c r="AM1404"/>
      <c r="AN1404"/>
      <c r="AO1404"/>
      <c r="AP1404"/>
      <c r="AQ1404"/>
      <c r="AR1404"/>
    </row>
    <row r="1405" spans="3:44" ht="15" customHeight="1">
      <c r="C1405"/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  <c r="AE1405"/>
      <c r="AF1405"/>
      <c r="AG1405"/>
      <c r="AH1405"/>
      <c r="AI1405"/>
      <c r="AJ1405"/>
      <c r="AK1405"/>
      <c r="AL1405"/>
      <c r="AM1405"/>
      <c r="AN1405"/>
      <c r="AO1405"/>
      <c r="AP1405"/>
      <c r="AQ1405"/>
      <c r="AR1405"/>
    </row>
    <row r="1406" spans="3:44" ht="15" customHeight="1">
      <c r="C1406"/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/>
      <c r="AE1406"/>
      <c r="AF1406"/>
      <c r="AG1406"/>
      <c r="AH1406"/>
      <c r="AI1406"/>
      <c r="AJ1406"/>
      <c r="AK1406"/>
      <c r="AL1406"/>
      <c r="AM1406"/>
      <c r="AN1406"/>
      <c r="AO1406"/>
      <c r="AP1406"/>
      <c r="AQ1406"/>
      <c r="AR1406"/>
    </row>
    <row r="1407" spans="3:44" ht="15" customHeight="1">
      <c r="C1407"/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/>
      <c r="AE1407"/>
      <c r="AF1407"/>
      <c r="AG1407"/>
      <c r="AH1407"/>
      <c r="AI1407"/>
      <c r="AJ1407"/>
      <c r="AK1407"/>
      <c r="AL1407"/>
      <c r="AM1407"/>
      <c r="AN1407"/>
      <c r="AO1407"/>
      <c r="AP1407"/>
      <c r="AQ1407"/>
      <c r="AR1407"/>
    </row>
    <row r="1408" spans="3:44" ht="15" customHeight="1">
      <c r="C1408"/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/>
      <c r="AE1408"/>
      <c r="AF1408"/>
      <c r="AG1408"/>
      <c r="AH1408"/>
      <c r="AI1408"/>
      <c r="AJ1408"/>
      <c r="AK1408"/>
      <c r="AL1408"/>
      <c r="AM1408"/>
      <c r="AN1408"/>
      <c r="AO1408"/>
      <c r="AP1408"/>
      <c r="AQ1408"/>
      <c r="AR1408"/>
    </row>
    <row r="1409" spans="3:44" ht="15" customHeight="1"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  <c r="AF1409"/>
      <c r="AG1409"/>
      <c r="AH1409"/>
      <c r="AI1409"/>
      <c r="AJ1409"/>
      <c r="AK1409"/>
      <c r="AL1409"/>
      <c r="AM1409"/>
      <c r="AN1409"/>
      <c r="AO1409"/>
      <c r="AP1409"/>
      <c r="AQ1409"/>
      <c r="AR1409"/>
    </row>
    <row r="1410" spans="3:44" ht="15" customHeight="1">
      <c r="C1410"/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  <c r="AF1410"/>
      <c r="AG1410"/>
      <c r="AH1410"/>
      <c r="AI1410"/>
      <c r="AJ1410"/>
      <c r="AK1410"/>
      <c r="AL1410"/>
      <c r="AM1410"/>
      <c r="AN1410"/>
      <c r="AO1410"/>
      <c r="AP1410"/>
      <c r="AQ1410"/>
      <c r="AR1410"/>
    </row>
    <row r="1411" spans="3:44" ht="15" customHeight="1">
      <c r="C1411"/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/>
      <c r="AE1411"/>
      <c r="AF1411"/>
      <c r="AG1411"/>
      <c r="AH1411"/>
      <c r="AI1411"/>
      <c r="AJ1411"/>
      <c r="AK1411"/>
      <c r="AL1411"/>
      <c r="AM1411"/>
      <c r="AN1411"/>
      <c r="AO1411"/>
      <c r="AP1411"/>
      <c r="AQ1411"/>
      <c r="AR1411"/>
    </row>
    <row r="1412" spans="3:44" ht="15" customHeight="1">
      <c r="C1412"/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  <c r="AF1412"/>
      <c r="AG1412"/>
      <c r="AH1412"/>
      <c r="AI1412"/>
      <c r="AJ1412"/>
      <c r="AK1412"/>
      <c r="AL1412"/>
      <c r="AM1412"/>
      <c r="AN1412"/>
      <c r="AO1412"/>
      <c r="AP1412"/>
      <c r="AQ1412"/>
      <c r="AR1412"/>
    </row>
    <row r="1413" spans="3:44" ht="15" customHeight="1">
      <c r="C1413"/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  <c r="AF1413"/>
      <c r="AG1413"/>
      <c r="AH1413"/>
      <c r="AI1413"/>
      <c r="AJ1413"/>
      <c r="AK1413"/>
      <c r="AL1413"/>
      <c r="AM1413"/>
      <c r="AN1413"/>
      <c r="AO1413"/>
      <c r="AP1413"/>
      <c r="AQ1413"/>
      <c r="AR1413"/>
    </row>
    <row r="1414" spans="3:44" ht="15" customHeight="1"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  <c r="AF1414"/>
      <c r="AG1414"/>
      <c r="AH1414"/>
      <c r="AI1414"/>
      <c r="AJ1414"/>
      <c r="AK1414"/>
      <c r="AL1414"/>
      <c r="AM1414"/>
      <c r="AN1414"/>
      <c r="AO1414"/>
      <c r="AP1414"/>
      <c r="AQ1414"/>
      <c r="AR1414"/>
    </row>
    <row r="1415" spans="3:44" ht="15" customHeight="1"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  <c r="AE1415"/>
      <c r="AF1415"/>
      <c r="AG1415"/>
      <c r="AH1415"/>
      <c r="AI1415"/>
      <c r="AJ1415"/>
      <c r="AK1415"/>
      <c r="AL1415"/>
      <c r="AM1415"/>
      <c r="AN1415"/>
      <c r="AO1415"/>
      <c r="AP1415"/>
      <c r="AQ1415"/>
      <c r="AR1415"/>
    </row>
    <row r="1416" spans="3:44" ht="15" customHeight="1">
      <c r="C1416"/>
      <c r="D1416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  <c r="AE1416"/>
      <c r="AF1416"/>
      <c r="AG1416"/>
      <c r="AH1416"/>
      <c r="AI1416"/>
      <c r="AJ1416"/>
      <c r="AK1416"/>
      <c r="AL1416"/>
      <c r="AM1416"/>
      <c r="AN1416"/>
      <c r="AO1416"/>
      <c r="AP1416"/>
      <c r="AQ1416"/>
      <c r="AR1416"/>
    </row>
    <row r="1417" spans="3:44" ht="15" customHeight="1">
      <c r="C1417"/>
      <c r="D1417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/>
      <c r="AE1417"/>
      <c r="AF1417"/>
      <c r="AG1417"/>
      <c r="AH1417"/>
      <c r="AI1417"/>
      <c r="AJ1417"/>
      <c r="AK1417"/>
      <c r="AL1417"/>
      <c r="AM1417"/>
      <c r="AN1417"/>
      <c r="AO1417"/>
      <c r="AP1417"/>
      <c r="AQ1417"/>
      <c r="AR1417"/>
    </row>
    <row r="1418" spans="3:44" ht="15" customHeight="1"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/>
      <c r="AE1418"/>
      <c r="AF1418"/>
      <c r="AG1418"/>
      <c r="AH1418"/>
      <c r="AI1418"/>
      <c r="AJ1418"/>
      <c r="AK1418"/>
      <c r="AL1418"/>
      <c r="AM1418"/>
      <c r="AN1418"/>
      <c r="AO1418"/>
      <c r="AP1418"/>
      <c r="AQ1418"/>
      <c r="AR1418"/>
    </row>
    <row r="1419" spans="3:44" ht="15" customHeight="1"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  <c r="AF1419"/>
      <c r="AG1419"/>
      <c r="AH1419"/>
      <c r="AI1419"/>
      <c r="AJ1419"/>
      <c r="AK1419"/>
      <c r="AL1419"/>
      <c r="AM1419"/>
      <c r="AN1419"/>
      <c r="AO1419"/>
      <c r="AP1419"/>
      <c r="AQ1419"/>
      <c r="AR1419"/>
    </row>
    <row r="1420" spans="3:44" ht="15" customHeight="1"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Y1420"/>
      <c r="Z1420"/>
      <c r="AA1420"/>
      <c r="AB1420"/>
      <c r="AC1420"/>
      <c r="AD1420"/>
      <c r="AE1420"/>
      <c r="AF1420"/>
      <c r="AG1420"/>
      <c r="AH1420"/>
      <c r="AI1420"/>
      <c r="AJ1420"/>
      <c r="AK1420"/>
      <c r="AL1420"/>
      <c r="AM1420"/>
      <c r="AN1420"/>
      <c r="AO1420"/>
      <c r="AP1420"/>
      <c r="AQ1420"/>
      <c r="AR1420"/>
    </row>
    <row r="1421" spans="3:44" ht="15" customHeight="1"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Y1421"/>
      <c r="Z1421"/>
      <c r="AA1421"/>
      <c r="AB1421"/>
      <c r="AC1421"/>
      <c r="AD1421"/>
      <c r="AE1421"/>
      <c r="AF1421"/>
      <c r="AG1421"/>
      <c r="AH1421"/>
      <c r="AI1421"/>
      <c r="AJ1421"/>
      <c r="AK1421"/>
      <c r="AL1421"/>
      <c r="AM1421"/>
      <c r="AN1421"/>
      <c r="AO1421"/>
      <c r="AP1421"/>
      <c r="AQ1421"/>
      <c r="AR1421"/>
    </row>
    <row r="1422" spans="3:44" ht="15" customHeight="1"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Y1422"/>
      <c r="Z1422"/>
      <c r="AA1422"/>
      <c r="AB1422"/>
      <c r="AC1422"/>
      <c r="AD1422"/>
      <c r="AE1422"/>
      <c r="AF1422"/>
      <c r="AG1422"/>
      <c r="AH1422"/>
      <c r="AI1422"/>
      <c r="AJ1422"/>
      <c r="AK1422"/>
      <c r="AL1422"/>
      <c r="AM1422"/>
      <c r="AN1422"/>
      <c r="AO1422"/>
      <c r="AP1422"/>
      <c r="AQ1422"/>
      <c r="AR1422"/>
    </row>
    <row r="1423" spans="3:44" ht="15" customHeight="1"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Y1423"/>
      <c r="Z1423"/>
      <c r="AA1423"/>
      <c r="AB1423"/>
      <c r="AC1423"/>
      <c r="AD1423"/>
      <c r="AE1423"/>
      <c r="AF1423"/>
      <c r="AG1423"/>
      <c r="AH1423"/>
      <c r="AI1423"/>
      <c r="AJ1423"/>
      <c r="AK1423"/>
      <c r="AL1423"/>
      <c r="AM1423"/>
      <c r="AN1423"/>
      <c r="AO1423"/>
      <c r="AP1423"/>
      <c r="AQ1423"/>
      <c r="AR1423"/>
    </row>
    <row r="1424" spans="3:44" ht="15" customHeight="1">
      <c r="C1424"/>
      <c r="D1424"/>
      <c r="E1424"/>
      <c r="F1424"/>
      <c r="G1424"/>
      <c r="H1424"/>
      <c r="I1424"/>
      <c r="J1424"/>
      <c r="K1424"/>
      <c r="L1424"/>
      <c r="M1424"/>
      <c r="N1424"/>
      <c r="O1424"/>
      <c r="P1424"/>
      <c r="Q1424"/>
      <c r="R1424"/>
      <c r="S1424"/>
      <c r="T1424"/>
      <c r="U1424"/>
      <c r="V1424"/>
      <c r="W1424"/>
      <c r="X1424"/>
      <c r="Y1424"/>
      <c r="Z1424"/>
      <c r="AA1424"/>
      <c r="AB1424"/>
      <c r="AC1424"/>
      <c r="AD1424"/>
      <c r="AE1424"/>
      <c r="AF1424"/>
      <c r="AG1424"/>
      <c r="AH1424"/>
      <c r="AI1424"/>
      <c r="AJ1424"/>
      <c r="AK1424"/>
      <c r="AL1424"/>
      <c r="AM1424"/>
      <c r="AN1424"/>
      <c r="AO1424"/>
      <c r="AP1424"/>
      <c r="AQ1424"/>
      <c r="AR1424"/>
    </row>
    <row r="1425" spans="3:44" ht="15" customHeight="1">
      <c r="C1425"/>
      <c r="D1425"/>
      <c r="E1425"/>
      <c r="F1425"/>
      <c r="G1425"/>
      <c r="H1425"/>
      <c r="I1425"/>
      <c r="J1425"/>
      <c r="K1425"/>
      <c r="L1425"/>
      <c r="M1425"/>
      <c r="N1425"/>
      <c r="O1425"/>
      <c r="P1425"/>
      <c r="Q1425"/>
      <c r="R1425"/>
      <c r="S1425"/>
      <c r="T1425"/>
      <c r="U1425"/>
      <c r="V1425"/>
      <c r="W1425"/>
      <c r="X1425"/>
      <c r="Y1425"/>
      <c r="Z1425"/>
      <c r="AA1425"/>
      <c r="AB1425"/>
      <c r="AC1425"/>
      <c r="AD1425"/>
      <c r="AE1425"/>
      <c r="AF1425"/>
      <c r="AG1425"/>
      <c r="AH1425"/>
      <c r="AI1425"/>
      <c r="AJ1425"/>
      <c r="AK1425"/>
      <c r="AL1425"/>
      <c r="AM1425"/>
      <c r="AN1425"/>
      <c r="AO1425"/>
      <c r="AP1425"/>
      <c r="AQ1425"/>
      <c r="AR1425"/>
    </row>
    <row r="1426" spans="3:44" ht="15" customHeight="1">
      <c r="C1426"/>
      <c r="D1426"/>
      <c r="E1426"/>
      <c r="F1426"/>
      <c r="G1426"/>
      <c r="H1426"/>
      <c r="I1426"/>
      <c r="J1426"/>
      <c r="K1426"/>
      <c r="L1426"/>
      <c r="M1426"/>
      <c r="N1426"/>
      <c r="O1426"/>
      <c r="P1426"/>
      <c r="Q1426"/>
      <c r="R1426"/>
      <c r="S1426"/>
      <c r="T1426"/>
      <c r="U1426"/>
      <c r="V1426"/>
      <c r="W1426"/>
      <c r="X1426"/>
      <c r="Y1426"/>
      <c r="Z1426"/>
      <c r="AA1426"/>
      <c r="AB1426"/>
      <c r="AC1426"/>
      <c r="AD1426"/>
      <c r="AE1426"/>
      <c r="AF1426"/>
      <c r="AG1426"/>
      <c r="AH1426"/>
      <c r="AI1426"/>
      <c r="AJ1426"/>
      <c r="AK1426"/>
      <c r="AL1426"/>
      <c r="AM1426"/>
      <c r="AN1426"/>
      <c r="AO1426"/>
      <c r="AP1426"/>
      <c r="AQ1426"/>
      <c r="AR1426"/>
    </row>
    <row r="1427" spans="3:44" ht="15" customHeight="1">
      <c r="C1427"/>
      <c r="D1427"/>
      <c r="E1427"/>
      <c r="F1427"/>
      <c r="G1427"/>
      <c r="H1427"/>
      <c r="I1427"/>
      <c r="J1427"/>
      <c r="K1427"/>
      <c r="L1427"/>
      <c r="M1427"/>
      <c r="N1427"/>
      <c r="O1427"/>
      <c r="P1427"/>
      <c r="Q1427"/>
      <c r="R1427"/>
      <c r="S1427"/>
      <c r="T1427"/>
      <c r="U1427"/>
      <c r="V1427"/>
      <c r="W1427"/>
      <c r="X1427"/>
      <c r="Y1427"/>
      <c r="Z1427"/>
      <c r="AA1427"/>
      <c r="AB1427"/>
      <c r="AC1427"/>
      <c r="AD1427"/>
      <c r="AE1427"/>
      <c r="AF1427"/>
      <c r="AG1427"/>
      <c r="AH1427"/>
      <c r="AI1427"/>
      <c r="AJ1427"/>
      <c r="AK1427"/>
      <c r="AL1427"/>
      <c r="AM1427"/>
      <c r="AN1427"/>
      <c r="AO1427"/>
      <c r="AP1427"/>
      <c r="AQ1427"/>
      <c r="AR1427"/>
    </row>
    <row r="1428" spans="3:44" ht="15" customHeight="1">
      <c r="C1428"/>
      <c r="D1428"/>
      <c r="E1428"/>
      <c r="F1428"/>
      <c r="G1428"/>
      <c r="H1428"/>
      <c r="I1428"/>
      <c r="J1428"/>
      <c r="K1428"/>
      <c r="L1428"/>
      <c r="M1428"/>
      <c r="N1428"/>
      <c r="O1428"/>
      <c r="P1428"/>
      <c r="Q1428"/>
      <c r="R1428"/>
      <c r="S1428"/>
      <c r="T1428"/>
      <c r="U1428"/>
      <c r="V1428"/>
      <c r="W1428"/>
      <c r="X1428"/>
      <c r="Y1428"/>
      <c r="Z1428"/>
      <c r="AA1428"/>
      <c r="AB1428"/>
      <c r="AC1428"/>
      <c r="AD1428"/>
      <c r="AE1428"/>
      <c r="AF1428"/>
      <c r="AG1428"/>
      <c r="AH1428"/>
      <c r="AI1428"/>
      <c r="AJ1428"/>
      <c r="AK1428"/>
      <c r="AL1428"/>
      <c r="AM1428"/>
      <c r="AN1428"/>
      <c r="AO1428"/>
      <c r="AP1428"/>
      <c r="AQ1428"/>
      <c r="AR1428"/>
    </row>
    <row r="1429" spans="3:44" ht="15" customHeight="1">
      <c r="C1429"/>
      <c r="D1429"/>
      <c r="E1429"/>
      <c r="F1429"/>
      <c r="G1429"/>
      <c r="H1429"/>
      <c r="I1429"/>
      <c r="J1429"/>
      <c r="K1429"/>
      <c r="L1429"/>
      <c r="M1429"/>
      <c r="N1429"/>
      <c r="O1429"/>
      <c r="P1429"/>
      <c r="Q1429"/>
      <c r="R1429"/>
      <c r="S1429"/>
      <c r="T1429"/>
      <c r="U1429"/>
      <c r="V1429"/>
      <c r="W1429"/>
      <c r="X1429"/>
      <c r="Y1429"/>
      <c r="Z1429"/>
      <c r="AA1429"/>
      <c r="AB1429"/>
      <c r="AC1429"/>
      <c r="AD1429"/>
      <c r="AE1429"/>
      <c r="AF1429"/>
      <c r="AG1429"/>
      <c r="AH1429"/>
      <c r="AI1429"/>
      <c r="AJ1429"/>
      <c r="AK1429"/>
      <c r="AL1429"/>
      <c r="AM1429"/>
      <c r="AN1429"/>
      <c r="AO1429"/>
      <c r="AP1429"/>
      <c r="AQ1429"/>
      <c r="AR1429"/>
    </row>
    <row r="1430" spans="3:44" ht="15" customHeight="1">
      <c r="C1430"/>
      <c r="D1430"/>
      <c r="E1430"/>
      <c r="F1430"/>
      <c r="G1430"/>
      <c r="H1430"/>
      <c r="I1430"/>
      <c r="J1430"/>
      <c r="K1430"/>
      <c r="L1430"/>
      <c r="M1430"/>
      <c r="N1430"/>
      <c r="O1430"/>
      <c r="P1430"/>
      <c r="Q1430"/>
      <c r="R1430"/>
      <c r="S1430"/>
      <c r="T1430"/>
      <c r="U1430"/>
      <c r="V1430"/>
      <c r="W1430"/>
      <c r="X1430"/>
      <c r="Y1430"/>
      <c r="Z1430"/>
      <c r="AA1430"/>
      <c r="AB1430"/>
      <c r="AC1430"/>
      <c r="AD1430"/>
      <c r="AE1430"/>
      <c r="AF1430"/>
      <c r="AG1430"/>
      <c r="AH1430"/>
      <c r="AI1430"/>
      <c r="AJ1430"/>
      <c r="AK1430"/>
      <c r="AL1430"/>
      <c r="AM1430"/>
      <c r="AN1430"/>
      <c r="AO1430"/>
      <c r="AP1430"/>
      <c r="AQ1430"/>
      <c r="AR1430"/>
    </row>
    <row r="1431" spans="3:44" ht="15" customHeight="1">
      <c r="C1431"/>
      <c r="D1431"/>
      <c r="E1431"/>
      <c r="F1431"/>
      <c r="G1431"/>
      <c r="H1431"/>
      <c r="I1431"/>
      <c r="J1431"/>
      <c r="K1431"/>
      <c r="L1431"/>
      <c r="M1431"/>
      <c r="N1431"/>
      <c r="O1431"/>
      <c r="P1431"/>
      <c r="Q1431"/>
      <c r="R1431"/>
      <c r="S1431"/>
      <c r="T1431"/>
      <c r="U1431"/>
      <c r="V1431"/>
      <c r="W1431"/>
      <c r="X1431"/>
      <c r="Y1431"/>
      <c r="Z1431"/>
      <c r="AA1431"/>
      <c r="AB1431"/>
      <c r="AC1431"/>
      <c r="AD1431"/>
      <c r="AE1431"/>
      <c r="AF1431"/>
      <c r="AG1431"/>
      <c r="AH1431"/>
      <c r="AI1431"/>
      <c r="AJ1431"/>
      <c r="AK1431"/>
      <c r="AL1431"/>
      <c r="AM1431"/>
      <c r="AN1431"/>
      <c r="AO1431"/>
      <c r="AP1431"/>
      <c r="AQ1431"/>
      <c r="AR1431"/>
    </row>
    <row r="1432" spans="3:44" ht="15" customHeight="1">
      <c r="C1432"/>
      <c r="D1432"/>
      <c r="E1432"/>
      <c r="F1432"/>
      <c r="G1432"/>
      <c r="H1432"/>
      <c r="I1432"/>
      <c r="J1432"/>
      <c r="K1432"/>
      <c r="L1432"/>
      <c r="M1432"/>
      <c r="N1432"/>
      <c r="O1432"/>
      <c r="P1432"/>
      <c r="Q1432"/>
      <c r="R1432"/>
      <c r="S1432"/>
      <c r="T1432"/>
      <c r="U1432"/>
      <c r="V1432"/>
      <c r="W1432"/>
      <c r="X1432"/>
      <c r="Y1432"/>
      <c r="Z1432"/>
      <c r="AA1432"/>
      <c r="AB1432"/>
      <c r="AC1432"/>
      <c r="AD1432"/>
      <c r="AE1432"/>
      <c r="AF1432"/>
      <c r="AG1432"/>
      <c r="AH1432"/>
      <c r="AI1432"/>
      <c r="AJ1432"/>
      <c r="AK1432"/>
      <c r="AL1432"/>
      <c r="AM1432"/>
      <c r="AN1432"/>
      <c r="AO1432"/>
      <c r="AP1432"/>
      <c r="AQ1432"/>
      <c r="AR1432"/>
    </row>
    <row r="1433" spans="3:44" ht="15" customHeight="1">
      <c r="C1433"/>
      <c r="D1433"/>
      <c r="E1433"/>
      <c r="F1433"/>
      <c r="G1433"/>
      <c r="H1433"/>
      <c r="I1433"/>
      <c r="J1433"/>
      <c r="K1433"/>
      <c r="L1433"/>
      <c r="M1433"/>
      <c r="N1433"/>
      <c r="O1433"/>
      <c r="P1433"/>
      <c r="Q1433"/>
      <c r="R1433"/>
      <c r="S1433"/>
      <c r="T1433"/>
      <c r="U1433"/>
      <c r="V1433"/>
      <c r="W1433"/>
      <c r="X1433"/>
      <c r="Y1433"/>
      <c r="Z1433"/>
      <c r="AA1433"/>
      <c r="AB1433"/>
      <c r="AC1433"/>
      <c r="AD1433"/>
      <c r="AE1433"/>
      <c r="AF1433"/>
      <c r="AG1433"/>
      <c r="AH1433"/>
      <c r="AI1433"/>
      <c r="AJ1433"/>
      <c r="AK1433"/>
      <c r="AL1433"/>
      <c r="AM1433"/>
      <c r="AN1433"/>
      <c r="AO1433"/>
      <c r="AP1433"/>
      <c r="AQ1433"/>
      <c r="AR1433"/>
    </row>
    <row r="1434" spans="3:44" ht="15" customHeight="1">
      <c r="C1434"/>
      <c r="D1434"/>
      <c r="E1434"/>
      <c r="F1434"/>
      <c r="G1434"/>
      <c r="H1434"/>
      <c r="I1434"/>
      <c r="J1434"/>
      <c r="K1434"/>
      <c r="L1434"/>
      <c r="M1434"/>
      <c r="N1434"/>
      <c r="O1434"/>
      <c r="P1434"/>
      <c r="Q1434"/>
      <c r="R1434"/>
      <c r="S1434"/>
      <c r="T1434"/>
      <c r="U1434"/>
      <c r="V1434"/>
      <c r="W1434"/>
      <c r="X1434"/>
      <c r="Y1434"/>
      <c r="Z1434"/>
      <c r="AA1434"/>
      <c r="AB1434"/>
      <c r="AC1434"/>
      <c r="AD1434"/>
      <c r="AE1434"/>
      <c r="AF1434"/>
      <c r="AG1434"/>
      <c r="AH1434"/>
      <c r="AI1434"/>
      <c r="AJ1434"/>
      <c r="AK1434"/>
      <c r="AL1434"/>
      <c r="AM1434"/>
      <c r="AN1434"/>
      <c r="AO1434"/>
      <c r="AP1434"/>
      <c r="AQ1434"/>
      <c r="AR1434"/>
    </row>
    <row r="1435" spans="3:44" ht="15" customHeight="1">
      <c r="C1435"/>
      <c r="D1435"/>
      <c r="E1435"/>
      <c r="F1435"/>
      <c r="G1435"/>
      <c r="H1435"/>
      <c r="I1435"/>
      <c r="J1435"/>
      <c r="K1435"/>
      <c r="L1435"/>
      <c r="M1435"/>
      <c r="N1435"/>
      <c r="O1435"/>
      <c r="P1435"/>
      <c r="Q1435"/>
      <c r="R1435"/>
      <c r="S1435"/>
      <c r="T1435"/>
      <c r="U1435"/>
      <c r="V1435"/>
      <c r="W1435"/>
      <c r="X1435"/>
      <c r="Y1435"/>
      <c r="Z1435"/>
      <c r="AA1435"/>
      <c r="AB1435"/>
      <c r="AC1435"/>
      <c r="AD1435"/>
      <c r="AE1435"/>
      <c r="AF1435"/>
      <c r="AG1435"/>
      <c r="AH1435"/>
      <c r="AI1435"/>
      <c r="AJ1435"/>
      <c r="AK1435"/>
      <c r="AL1435"/>
      <c r="AM1435"/>
      <c r="AN1435"/>
      <c r="AO1435"/>
      <c r="AP1435"/>
      <c r="AQ1435"/>
      <c r="AR1435"/>
    </row>
    <row r="1436" spans="3:44" ht="15" customHeight="1">
      <c r="C1436"/>
      <c r="D1436"/>
      <c r="E1436"/>
      <c r="F1436"/>
      <c r="G1436"/>
      <c r="H1436"/>
      <c r="I1436"/>
      <c r="J1436"/>
      <c r="K1436"/>
      <c r="L1436"/>
      <c r="M1436"/>
      <c r="N1436"/>
      <c r="O1436"/>
      <c r="P1436"/>
      <c r="Q1436"/>
      <c r="R1436"/>
      <c r="S1436"/>
      <c r="T1436"/>
      <c r="U1436"/>
      <c r="V1436"/>
      <c r="W1436"/>
      <c r="X1436"/>
      <c r="Y1436"/>
      <c r="Z1436"/>
      <c r="AA1436"/>
      <c r="AB1436"/>
      <c r="AC1436"/>
      <c r="AD1436"/>
      <c r="AE1436"/>
      <c r="AF1436"/>
      <c r="AG1436"/>
      <c r="AH1436"/>
      <c r="AI1436"/>
      <c r="AJ1436"/>
      <c r="AK1436"/>
      <c r="AL1436"/>
      <c r="AM1436"/>
      <c r="AN1436"/>
      <c r="AO1436"/>
      <c r="AP1436"/>
      <c r="AQ1436"/>
      <c r="AR1436"/>
    </row>
    <row r="1437" spans="3:44" ht="15" customHeight="1">
      <c r="C1437"/>
      <c r="D1437"/>
      <c r="E1437"/>
      <c r="F1437"/>
      <c r="G1437"/>
      <c r="H1437"/>
      <c r="I1437"/>
      <c r="J1437"/>
      <c r="K1437"/>
      <c r="L1437"/>
      <c r="M1437"/>
      <c r="N1437"/>
      <c r="O1437"/>
      <c r="P1437"/>
      <c r="Q1437"/>
      <c r="R1437"/>
      <c r="S1437"/>
      <c r="T1437"/>
      <c r="U1437"/>
      <c r="V1437"/>
      <c r="W1437"/>
      <c r="X1437"/>
      <c r="Y1437"/>
      <c r="Z1437"/>
      <c r="AA1437"/>
      <c r="AB1437"/>
      <c r="AC1437"/>
      <c r="AD1437"/>
      <c r="AE1437"/>
      <c r="AF1437"/>
      <c r="AG1437"/>
      <c r="AH1437"/>
      <c r="AI1437"/>
      <c r="AJ1437"/>
      <c r="AK1437"/>
      <c r="AL1437"/>
      <c r="AM1437"/>
      <c r="AN1437"/>
      <c r="AO1437"/>
      <c r="AP1437"/>
      <c r="AQ1437"/>
      <c r="AR1437"/>
    </row>
    <row r="1438" spans="3:44" ht="15" customHeight="1">
      <c r="C1438"/>
      <c r="D1438"/>
      <c r="E1438"/>
      <c r="F1438"/>
      <c r="G1438"/>
      <c r="H1438"/>
      <c r="I1438"/>
      <c r="J1438"/>
      <c r="K1438"/>
      <c r="L1438"/>
      <c r="M1438"/>
      <c r="N1438"/>
      <c r="O1438"/>
      <c r="P1438"/>
      <c r="Q1438"/>
      <c r="R1438"/>
      <c r="S1438"/>
      <c r="T1438"/>
      <c r="U1438"/>
      <c r="V1438"/>
      <c r="W1438"/>
      <c r="X1438"/>
      <c r="Y1438"/>
      <c r="Z1438"/>
      <c r="AA1438"/>
      <c r="AB1438"/>
      <c r="AC1438"/>
      <c r="AD1438"/>
      <c r="AE1438"/>
      <c r="AF1438"/>
      <c r="AG1438"/>
      <c r="AH1438"/>
      <c r="AI1438"/>
      <c r="AJ1438"/>
      <c r="AK1438"/>
      <c r="AL1438"/>
      <c r="AM1438"/>
      <c r="AN1438"/>
      <c r="AO1438"/>
      <c r="AP1438"/>
      <c r="AQ1438"/>
      <c r="AR1438"/>
    </row>
    <row r="1439" spans="3:44" ht="15" customHeight="1">
      <c r="C1439"/>
      <c r="D1439"/>
      <c r="E1439"/>
      <c r="F1439"/>
      <c r="G1439"/>
      <c r="H1439"/>
      <c r="I1439"/>
      <c r="J1439"/>
      <c r="K1439"/>
      <c r="L1439"/>
      <c r="M1439"/>
      <c r="N1439"/>
      <c r="O1439"/>
      <c r="P1439"/>
      <c r="Q1439"/>
      <c r="R1439"/>
      <c r="S1439"/>
      <c r="T1439"/>
      <c r="U1439"/>
      <c r="V1439"/>
      <c r="W1439"/>
      <c r="X1439"/>
      <c r="Y1439"/>
      <c r="Z1439"/>
      <c r="AA1439"/>
      <c r="AB1439"/>
      <c r="AC1439"/>
      <c r="AD1439"/>
      <c r="AE1439"/>
      <c r="AF1439"/>
      <c r="AG1439"/>
      <c r="AH1439"/>
      <c r="AI1439"/>
      <c r="AJ1439"/>
      <c r="AK1439"/>
      <c r="AL1439"/>
      <c r="AM1439"/>
      <c r="AN1439"/>
      <c r="AO1439"/>
      <c r="AP1439"/>
      <c r="AQ1439"/>
      <c r="AR1439"/>
    </row>
    <row r="1440" spans="3:44" ht="15" customHeight="1">
      <c r="C1440"/>
      <c r="D1440"/>
      <c r="E1440"/>
      <c r="F1440"/>
      <c r="G1440"/>
      <c r="H1440"/>
      <c r="I1440"/>
      <c r="J1440"/>
      <c r="K1440"/>
      <c r="L1440"/>
      <c r="M1440"/>
      <c r="N1440"/>
      <c r="O1440"/>
      <c r="P1440"/>
      <c r="Q1440"/>
      <c r="R1440"/>
      <c r="S1440"/>
      <c r="T1440"/>
      <c r="U1440"/>
      <c r="V1440"/>
      <c r="W1440"/>
      <c r="X1440"/>
      <c r="Y1440"/>
      <c r="Z1440"/>
      <c r="AA1440"/>
      <c r="AB1440"/>
      <c r="AC1440"/>
      <c r="AD1440"/>
      <c r="AE1440"/>
      <c r="AF1440"/>
      <c r="AG1440"/>
      <c r="AH1440"/>
      <c r="AI1440"/>
      <c r="AJ1440"/>
      <c r="AK1440"/>
      <c r="AL1440"/>
      <c r="AM1440"/>
      <c r="AN1440"/>
      <c r="AO1440"/>
      <c r="AP1440"/>
      <c r="AQ1440"/>
      <c r="AR1440"/>
    </row>
    <row r="1441" spans="3:44" ht="15" customHeight="1">
      <c r="C1441"/>
      <c r="D1441"/>
      <c r="E1441"/>
      <c r="F1441"/>
      <c r="G1441"/>
      <c r="H1441"/>
      <c r="I1441"/>
      <c r="J1441"/>
      <c r="K1441"/>
      <c r="L1441"/>
      <c r="M1441"/>
      <c r="N1441"/>
      <c r="O1441"/>
      <c r="P1441"/>
      <c r="Q1441"/>
      <c r="R1441"/>
      <c r="S1441"/>
      <c r="T1441"/>
      <c r="U1441"/>
      <c r="V1441"/>
      <c r="W1441"/>
      <c r="X1441"/>
      <c r="Y1441"/>
      <c r="Z1441"/>
      <c r="AA1441"/>
      <c r="AB1441"/>
      <c r="AC1441"/>
      <c r="AD1441"/>
      <c r="AE1441"/>
      <c r="AF1441"/>
      <c r="AG1441"/>
      <c r="AH1441"/>
      <c r="AI1441"/>
      <c r="AJ1441"/>
      <c r="AK1441"/>
      <c r="AL1441"/>
      <c r="AM1441"/>
      <c r="AN1441"/>
      <c r="AO1441"/>
      <c r="AP1441"/>
      <c r="AQ1441"/>
      <c r="AR1441"/>
    </row>
    <row r="1442" spans="3:44" ht="15" customHeight="1">
      <c r="C1442"/>
      <c r="D1442"/>
      <c r="E1442"/>
      <c r="F1442"/>
      <c r="G1442"/>
      <c r="H1442"/>
      <c r="I1442"/>
      <c r="J1442"/>
      <c r="K1442"/>
      <c r="L1442"/>
      <c r="M1442"/>
      <c r="N1442"/>
      <c r="O1442"/>
      <c r="P1442"/>
      <c r="Q1442"/>
      <c r="R1442"/>
      <c r="S1442"/>
      <c r="T1442"/>
      <c r="U1442"/>
      <c r="V1442"/>
      <c r="W1442"/>
      <c r="X1442"/>
      <c r="Y1442"/>
      <c r="Z1442"/>
      <c r="AA1442"/>
      <c r="AB1442"/>
      <c r="AC1442"/>
      <c r="AD1442"/>
      <c r="AE1442"/>
      <c r="AF1442"/>
      <c r="AG1442"/>
      <c r="AH1442"/>
      <c r="AI1442"/>
      <c r="AJ1442"/>
      <c r="AK1442"/>
      <c r="AL1442"/>
      <c r="AM1442"/>
      <c r="AN1442"/>
      <c r="AO1442"/>
      <c r="AP1442"/>
      <c r="AQ1442"/>
      <c r="AR1442"/>
    </row>
    <row r="1443" spans="3:44" ht="15" customHeight="1">
      <c r="C1443"/>
      <c r="D1443"/>
      <c r="E1443"/>
      <c r="F1443"/>
      <c r="G1443"/>
      <c r="H1443"/>
      <c r="I1443"/>
      <c r="J1443"/>
      <c r="K1443"/>
      <c r="L1443"/>
      <c r="M1443"/>
      <c r="N1443"/>
      <c r="O1443"/>
      <c r="P1443"/>
      <c r="Q1443"/>
      <c r="R1443"/>
      <c r="S1443"/>
      <c r="T1443"/>
      <c r="U1443"/>
      <c r="V1443"/>
      <c r="W1443"/>
      <c r="X1443"/>
      <c r="Y1443"/>
      <c r="Z1443"/>
      <c r="AA1443"/>
      <c r="AB1443"/>
      <c r="AC1443"/>
      <c r="AD1443"/>
      <c r="AE1443"/>
      <c r="AF1443"/>
      <c r="AG1443"/>
      <c r="AH1443"/>
      <c r="AI1443"/>
      <c r="AJ1443"/>
      <c r="AK1443"/>
      <c r="AL1443"/>
      <c r="AM1443"/>
      <c r="AN1443"/>
      <c r="AO1443"/>
      <c r="AP1443"/>
      <c r="AQ1443"/>
      <c r="AR1443"/>
    </row>
    <row r="1444" spans="3:44" ht="15" customHeight="1">
      <c r="C1444"/>
      <c r="D1444"/>
      <c r="E1444"/>
      <c r="F1444"/>
      <c r="G1444"/>
      <c r="H1444"/>
      <c r="I1444"/>
      <c r="J1444"/>
      <c r="K1444"/>
      <c r="L1444"/>
      <c r="M1444"/>
      <c r="N1444"/>
      <c r="O1444"/>
      <c r="P1444"/>
      <c r="Q1444"/>
      <c r="R1444"/>
      <c r="S1444"/>
      <c r="T1444"/>
      <c r="U1444"/>
      <c r="V1444"/>
      <c r="W1444"/>
      <c r="X1444"/>
      <c r="Y1444"/>
      <c r="Z1444"/>
      <c r="AA1444"/>
      <c r="AB1444"/>
      <c r="AC1444"/>
      <c r="AD1444"/>
      <c r="AE1444"/>
      <c r="AF1444"/>
      <c r="AG1444"/>
      <c r="AH1444"/>
      <c r="AI1444"/>
      <c r="AJ1444"/>
      <c r="AK1444"/>
      <c r="AL1444"/>
      <c r="AM1444"/>
      <c r="AN1444"/>
      <c r="AO1444"/>
      <c r="AP1444"/>
      <c r="AQ1444"/>
      <c r="AR1444"/>
    </row>
    <row r="1445" spans="3:44" ht="15" customHeight="1">
      <c r="C1445"/>
      <c r="D1445"/>
      <c r="E1445"/>
      <c r="F1445"/>
      <c r="G1445"/>
      <c r="H1445"/>
      <c r="I1445"/>
      <c r="J1445"/>
      <c r="K1445"/>
      <c r="L1445"/>
      <c r="M1445"/>
      <c r="N1445"/>
      <c r="O1445"/>
      <c r="P1445"/>
      <c r="Q1445"/>
      <c r="R1445"/>
      <c r="S1445"/>
      <c r="T1445"/>
      <c r="U1445"/>
      <c r="V1445"/>
      <c r="W1445"/>
      <c r="X1445"/>
      <c r="Y1445"/>
      <c r="Z1445"/>
      <c r="AA1445"/>
      <c r="AB1445"/>
      <c r="AC1445"/>
      <c r="AD1445"/>
      <c r="AE1445"/>
      <c r="AF1445"/>
      <c r="AG1445"/>
      <c r="AH1445"/>
      <c r="AI1445"/>
      <c r="AJ1445"/>
      <c r="AK1445"/>
      <c r="AL1445"/>
      <c r="AM1445"/>
      <c r="AN1445"/>
      <c r="AO1445"/>
      <c r="AP1445"/>
      <c r="AQ1445"/>
      <c r="AR1445"/>
    </row>
    <row r="1446" spans="3:44" ht="15" customHeight="1">
      <c r="C1446"/>
      <c r="D1446"/>
      <c r="E1446"/>
      <c r="F1446"/>
      <c r="G1446"/>
      <c r="H1446"/>
      <c r="I1446"/>
      <c r="J1446"/>
      <c r="K1446"/>
      <c r="L1446"/>
      <c r="M1446"/>
      <c r="N1446"/>
      <c r="O1446"/>
      <c r="P1446"/>
      <c r="Q1446"/>
      <c r="R1446"/>
      <c r="S1446"/>
      <c r="T1446"/>
      <c r="U1446"/>
      <c r="V1446"/>
      <c r="W1446"/>
      <c r="X1446"/>
      <c r="Y1446"/>
      <c r="Z1446"/>
      <c r="AA1446"/>
      <c r="AB1446"/>
      <c r="AC1446"/>
      <c r="AD1446"/>
      <c r="AE1446"/>
      <c r="AF1446"/>
      <c r="AG1446"/>
      <c r="AH1446"/>
      <c r="AI1446"/>
      <c r="AJ1446"/>
      <c r="AK1446"/>
      <c r="AL1446"/>
      <c r="AM1446"/>
      <c r="AN1446"/>
      <c r="AO1446"/>
      <c r="AP1446"/>
      <c r="AQ1446"/>
      <c r="AR1446"/>
    </row>
    <row r="1447" spans="3:44" ht="15" customHeight="1">
      <c r="C1447"/>
      <c r="D1447"/>
      <c r="E1447"/>
      <c r="F1447"/>
      <c r="G1447"/>
      <c r="H1447"/>
      <c r="I1447"/>
      <c r="J1447"/>
      <c r="K1447"/>
      <c r="L1447"/>
      <c r="M1447"/>
      <c r="N1447"/>
      <c r="O1447"/>
      <c r="P1447"/>
      <c r="Q1447"/>
      <c r="R1447"/>
      <c r="S1447"/>
      <c r="T1447"/>
      <c r="U1447"/>
      <c r="V1447"/>
      <c r="W1447"/>
      <c r="X1447"/>
      <c r="Y1447"/>
      <c r="Z1447"/>
      <c r="AA1447"/>
      <c r="AB1447"/>
      <c r="AC1447"/>
      <c r="AD1447"/>
      <c r="AE1447"/>
      <c r="AF1447"/>
      <c r="AG1447"/>
      <c r="AH1447"/>
      <c r="AI1447"/>
      <c r="AJ1447"/>
      <c r="AK1447"/>
      <c r="AL1447"/>
      <c r="AM1447"/>
      <c r="AN1447"/>
      <c r="AO1447"/>
      <c r="AP1447"/>
      <c r="AQ1447"/>
      <c r="AR1447"/>
    </row>
    <row r="1448" spans="3:44" ht="15" customHeight="1">
      <c r="C1448"/>
      <c r="D1448"/>
      <c r="E1448"/>
      <c r="F1448"/>
      <c r="G1448"/>
      <c r="H1448"/>
      <c r="I1448"/>
      <c r="J1448"/>
      <c r="K1448"/>
      <c r="L1448"/>
      <c r="M1448"/>
      <c r="N1448"/>
      <c r="O1448"/>
      <c r="P1448"/>
      <c r="Q1448"/>
      <c r="R1448"/>
      <c r="S1448"/>
      <c r="T1448"/>
      <c r="U1448"/>
      <c r="V1448"/>
      <c r="W1448"/>
      <c r="X1448"/>
      <c r="Y1448"/>
      <c r="Z1448"/>
      <c r="AA1448"/>
      <c r="AB1448"/>
      <c r="AC1448"/>
      <c r="AD1448"/>
      <c r="AE1448"/>
      <c r="AF1448"/>
      <c r="AG1448"/>
      <c r="AH1448"/>
      <c r="AI1448"/>
      <c r="AJ1448"/>
      <c r="AK1448"/>
      <c r="AL1448"/>
      <c r="AM1448"/>
      <c r="AN1448"/>
      <c r="AO1448"/>
      <c r="AP1448"/>
      <c r="AQ1448"/>
      <c r="AR1448"/>
    </row>
    <row r="1449" spans="3:44" ht="15" customHeight="1">
      <c r="C1449"/>
      <c r="D1449"/>
      <c r="E1449"/>
      <c r="F1449"/>
      <c r="G1449"/>
      <c r="H1449"/>
      <c r="I1449"/>
      <c r="J1449"/>
      <c r="K1449"/>
      <c r="L1449"/>
      <c r="M1449"/>
      <c r="N1449"/>
      <c r="O1449"/>
      <c r="P1449"/>
      <c r="Q1449"/>
      <c r="R1449"/>
      <c r="S1449"/>
      <c r="T1449"/>
      <c r="U1449"/>
      <c r="V1449"/>
      <c r="W1449"/>
      <c r="X1449"/>
      <c r="Y1449"/>
      <c r="Z1449"/>
      <c r="AA1449"/>
      <c r="AB1449"/>
      <c r="AC1449"/>
      <c r="AD1449"/>
      <c r="AE1449"/>
      <c r="AF1449"/>
      <c r="AG1449"/>
      <c r="AH1449"/>
      <c r="AI1449"/>
      <c r="AJ1449"/>
      <c r="AK1449"/>
      <c r="AL1449"/>
      <c r="AM1449"/>
      <c r="AN1449"/>
      <c r="AO1449"/>
      <c r="AP1449"/>
      <c r="AQ1449"/>
      <c r="AR1449"/>
    </row>
    <row r="1450" spans="3:44" ht="15" customHeight="1">
      <c r="C1450"/>
      <c r="D1450"/>
      <c r="E1450"/>
      <c r="F1450"/>
      <c r="G1450"/>
      <c r="H1450"/>
      <c r="I1450"/>
      <c r="J1450"/>
      <c r="K1450"/>
      <c r="L1450"/>
      <c r="M1450"/>
      <c r="N1450"/>
      <c r="O1450"/>
      <c r="P1450"/>
      <c r="Q1450"/>
      <c r="R1450"/>
      <c r="S1450"/>
      <c r="T1450"/>
      <c r="U1450"/>
      <c r="V1450"/>
      <c r="W1450"/>
      <c r="X1450"/>
      <c r="Y1450"/>
      <c r="Z1450"/>
      <c r="AA1450"/>
      <c r="AB1450"/>
      <c r="AC1450"/>
      <c r="AD1450"/>
      <c r="AE1450"/>
      <c r="AF1450"/>
      <c r="AG1450"/>
      <c r="AH1450"/>
      <c r="AI1450"/>
      <c r="AJ1450"/>
      <c r="AK1450"/>
      <c r="AL1450"/>
      <c r="AM1450"/>
      <c r="AN1450"/>
      <c r="AO1450"/>
      <c r="AP1450"/>
      <c r="AQ1450"/>
      <c r="AR1450"/>
    </row>
    <row r="1451" spans="3:44" ht="15" customHeight="1">
      <c r="C1451"/>
      <c r="D1451"/>
      <c r="E1451"/>
      <c r="F1451"/>
      <c r="G1451"/>
      <c r="H1451"/>
      <c r="I1451"/>
      <c r="J1451"/>
      <c r="K1451"/>
      <c r="L1451"/>
      <c r="M1451"/>
      <c r="N1451"/>
      <c r="O1451"/>
      <c r="P1451"/>
      <c r="Q1451"/>
      <c r="R1451"/>
      <c r="S1451"/>
      <c r="T1451"/>
      <c r="U1451"/>
      <c r="V1451"/>
      <c r="W1451"/>
      <c r="X1451"/>
      <c r="Y1451"/>
      <c r="Z1451"/>
      <c r="AA1451"/>
      <c r="AB1451"/>
      <c r="AC1451"/>
      <c r="AD1451"/>
      <c r="AE1451"/>
      <c r="AF1451"/>
      <c r="AG1451"/>
      <c r="AH1451"/>
      <c r="AI1451"/>
      <c r="AJ1451"/>
      <c r="AK1451"/>
      <c r="AL1451"/>
      <c r="AM1451"/>
      <c r="AN1451"/>
      <c r="AO1451"/>
      <c r="AP1451"/>
      <c r="AQ1451"/>
      <c r="AR1451"/>
    </row>
    <row r="1452" spans="3:44" ht="15" customHeight="1">
      <c r="C1452"/>
      <c r="D1452"/>
      <c r="E1452"/>
      <c r="F1452"/>
      <c r="G1452"/>
      <c r="H1452"/>
      <c r="I1452"/>
      <c r="J1452"/>
      <c r="K1452"/>
      <c r="L1452"/>
      <c r="M1452"/>
      <c r="N1452"/>
      <c r="O1452"/>
      <c r="P1452"/>
      <c r="Q1452"/>
      <c r="R1452"/>
      <c r="S1452"/>
      <c r="T1452"/>
      <c r="U1452"/>
      <c r="V1452"/>
      <c r="W1452"/>
      <c r="X1452"/>
      <c r="Y1452"/>
      <c r="Z1452"/>
      <c r="AA1452"/>
      <c r="AB1452"/>
      <c r="AC1452"/>
      <c r="AD1452"/>
      <c r="AE1452"/>
      <c r="AF1452"/>
      <c r="AG1452"/>
      <c r="AH1452"/>
      <c r="AI1452"/>
      <c r="AJ1452"/>
      <c r="AK1452"/>
      <c r="AL1452"/>
      <c r="AM1452"/>
      <c r="AN1452"/>
      <c r="AO1452"/>
      <c r="AP1452"/>
      <c r="AQ1452"/>
      <c r="AR1452"/>
    </row>
    <row r="1453" spans="3:44" ht="15" customHeight="1">
      <c r="C1453"/>
      <c r="D1453"/>
      <c r="E1453"/>
      <c r="F1453"/>
      <c r="G1453"/>
      <c r="H1453"/>
      <c r="I1453"/>
      <c r="J1453"/>
      <c r="K1453"/>
      <c r="L1453"/>
      <c r="M1453"/>
      <c r="N1453"/>
      <c r="O1453"/>
      <c r="P1453"/>
      <c r="Q1453"/>
      <c r="R1453"/>
      <c r="S1453"/>
      <c r="T1453"/>
      <c r="U1453"/>
      <c r="V1453"/>
      <c r="W1453"/>
      <c r="X1453"/>
      <c r="Y1453"/>
      <c r="Z1453"/>
      <c r="AA1453"/>
      <c r="AB1453"/>
      <c r="AC1453"/>
      <c r="AD1453"/>
      <c r="AE1453"/>
      <c r="AF1453"/>
      <c r="AG1453"/>
      <c r="AH1453"/>
      <c r="AI1453"/>
      <c r="AJ1453"/>
      <c r="AK1453"/>
      <c r="AL1453"/>
      <c r="AM1453"/>
      <c r="AN1453"/>
      <c r="AO1453"/>
      <c r="AP1453"/>
      <c r="AQ1453"/>
      <c r="AR1453"/>
    </row>
    <row r="1454" spans="3:44" ht="15" customHeight="1">
      <c r="C1454"/>
      <c r="D1454"/>
      <c r="E1454"/>
      <c r="F1454"/>
      <c r="G1454"/>
      <c r="H1454"/>
      <c r="I1454"/>
      <c r="J1454"/>
      <c r="K1454"/>
      <c r="L1454"/>
      <c r="M1454"/>
      <c r="N1454"/>
      <c r="O1454"/>
      <c r="P1454"/>
      <c r="Q1454"/>
      <c r="R1454"/>
      <c r="S1454"/>
      <c r="T1454"/>
      <c r="U1454"/>
      <c r="V1454"/>
      <c r="W1454"/>
      <c r="X1454"/>
      <c r="Y1454"/>
      <c r="Z1454"/>
      <c r="AA1454"/>
      <c r="AB1454"/>
      <c r="AC1454"/>
      <c r="AD1454"/>
      <c r="AE1454"/>
      <c r="AF1454"/>
      <c r="AG1454"/>
      <c r="AH1454"/>
      <c r="AI1454"/>
      <c r="AJ1454"/>
      <c r="AK1454"/>
      <c r="AL1454"/>
      <c r="AM1454"/>
      <c r="AN1454"/>
      <c r="AO1454"/>
      <c r="AP1454"/>
      <c r="AQ1454"/>
      <c r="AR1454"/>
    </row>
    <row r="1455" spans="3:44" ht="15" customHeight="1">
      <c r="C1455"/>
      <c r="D1455"/>
      <c r="E1455"/>
      <c r="F1455"/>
      <c r="G1455"/>
      <c r="H1455"/>
      <c r="I1455"/>
      <c r="J1455"/>
      <c r="K1455"/>
      <c r="L1455"/>
      <c r="M1455"/>
      <c r="N1455"/>
      <c r="O1455"/>
      <c r="P1455"/>
      <c r="Q1455"/>
      <c r="R1455"/>
      <c r="S1455"/>
      <c r="T1455"/>
      <c r="U1455"/>
      <c r="V1455"/>
      <c r="W1455"/>
      <c r="X1455"/>
      <c r="Y1455"/>
      <c r="Z1455"/>
      <c r="AA1455"/>
      <c r="AB1455"/>
      <c r="AC1455"/>
      <c r="AD1455"/>
      <c r="AE1455"/>
      <c r="AF1455"/>
      <c r="AG1455"/>
      <c r="AH1455"/>
      <c r="AI1455"/>
      <c r="AJ1455"/>
      <c r="AK1455"/>
      <c r="AL1455"/>
      <c r="AM1455"/>
      <c r="AN1455"/>
      <c r="AO1455"/>
      <c r="AP1455"/>
      <c r="AQ1455"/>
      <c r="AR1455"/>
    </row>
    <row r="1456" spans="3:44" ht="15" customHeight="1">
      <c r="C1456"/>
      <c r="D1456"/>
      <c r="E1456"/>
      <c r="F1456"/>
      <c r="G1456"/>
      <c r="H1456"/>
      <c r="I1456"/>
      <c r="J1456"/>
      <c r="K1456"/>
      <c r="L1456"/>
      <c r="M1456"/>
      <c r="N1456"/>
      <c r="O1456"/>
      <c r="P1456"/>
      <c r="Q1456"/>
      <c r="R1456"/>
      <c r="S1456"/>
      <c r="T1456"/>
      <c r="U1456"/>
      <c r="V1456"/>
      <c r="W1456"/>
      <c r="X1456"/>
      <c r="Y1456"/>
      <c r="Z1456"/>
      <c r="AA1456"/>
      <c r="AB1456"/>
      <c r="AC1456"/>
      <c r="AD1456"/>
      <c r="AE1456"/>
      <c r="AF1456"/>
      <c r="AG1456"/>
      <c r="AH1456"/>
      <c r="AI1456"/>
      <c r="AJ1456"/>
      <c r="AK1456"/>
      <c r="AL1456"/>
      <c r="AM1456"/>
      <c r="AN1456"/>
      <c r="AO1456"/>
      <c r="AP1456"/>
      <c r="AQ1456"/>
      <c r="AR1456"/>
    </row>
    <row r="1457" spans="3:44" ht="15" customHeight="1">
      <c r="C1457"/>
      <c r="D1457"/>
      <c r="E1457"/>
      <c r="F1457"/>
      <c r="G1457"/>
      <c r="H1457"/>
      <c r="I1457"/>
      <c r="J1457"/>
      <c r="K1457"/>
      <c r="L1457"/>
      <c r="M1457"/>
      <c r="N1457"/>
      <c r="O1457"/>
      <c r="P1457"/>
      <c r="Q1457"/>
      <c r="R1457"/>
      <c r="S1457"/>
      <c r="T1457"/>
      <c r="U1457"/>
      <c r="V1457"/>
      <c r="W1457"/>
      <c r="X1457"/>
      <c r="Y1457"/>
      <c r="Z1457"/>
      <c r="AA1457"/>
      <c r="AB1457"/>
      <c r="AC1457"/>
      <c r="AD1457"/>
      <c r="AE1457"/>
      <c r="AF1457"/>
      <c r="AG1457"/>
      <c r="AH1457"/>
      <c r="AI1457"/>
      <c r="AJ1457"/>
      <c r="AK1457"/>
      <c r="AL1457"/>
      <c r="AM1457"/>
      <c r="AN1457"/>
      <c r="AO1457"/>
      <c r="AP1457"/>
      <c r="AQ1457"/>
      <c r="AR1457"/>
    </row>
    <row r="1458" spans="3:44" ht="15" customHeight="1">
      <c r="C1458"/>
      <c r="D1458"/>
      <c r="E1458"/>
      <c r="F1458"/>
      <c r="G1458"/>
      <c r="H1458"/>
      <c r="I1458"/>
      <c r="J1458"/>
      <c r="K1458"/>
      <c r="L1458"/>
      <c r="M1458"/>
      <c r="N1458"/>
      <c r="O1458"/>
      <c r="P1458"/>
      <c r="Q1458"/>
      <c r="R1458"/>
      <c r="S1458"/>
      <c r="T1458"/>
      <c r="U1458"/>
      <c r="V1458"/>
      <c r="W1458"/>
      <c r="X1458"/>
      <c r="Y1458"/>
      <c r="Z1458"/>
      <c r="AA1458"/>
      <c r="AB1458"/>
      <c r="AC1458"/>
      <c r="AD1458"/>
      <c r="AE1458"/>
      <c r="AF1458"/>
      <c r="AG1458"/>
      <c r="AH1458"/>
      <c r="AI1458"/>
      <c r="AJ1458"/>
      <c r="AK1458"/>
      <c r="AL1458"/>
      <c r="AM1458"/>
      <c r="AN1458"/>
      <c r="AO1458"/>
      <c r="AP1458"/>
      <c r="AQ1458"/>
      <c r="AR1458"/>
    </row>
    <row r="1459" spans="3:44" ht="15" customHeight="1">
      <c r="C1459"/>
      <c r="D1459"/>
      <c r="E1459"/>
      <c r="F1459"/>
      <c r="G1459"/>
      <c r="H1459"/>
      <c r="I1459"/>
      <c r="J1459"/>
      <c r="K1459"/>
      <c r="L1459"/>
      <c r="M1459"/>
      <c r="N1459"/>
      <c r="O1459"/>
      <c r="P1459"/>
      <c r="Q1459"/>
      <c r="R1459"/>
      <c r="S1459"/>
      <c r="T1459"/>
      <c r="U1459"/>
      <c r="V1459"/>
      <c r="W1459"/>
      <c r="X1459"/>
      <c r="Y1459"/>
      <c r="Z1459"/>
      <c r="AA1459"/>
      <c r="AB1459"/>
      <c r="AC1459"/>
      <c r="AD1459"/>
      <c r="AE1459"/>
      <c r="AF1459"/>
      <c r="AG1459"/>
      <c r="AH1459"/>
      <c r="AI1459"/>
      <c r="AJ1459"/>
      <c r="AK1459"/>
      <c r="AL1459"/>
      <c r="AM1459"/>
      <c r="AN1459"/>
      <c r="AO1459"/>
      <c r="AP1459"/>
      <c r="AQ1459"/>
      <c r="AR1459"/>
    </row>
    <row r="1460" spans="3:44" ht="15" customHeight="1">
      <c r="C1460"/>
      <c r="D1460"/>
      <c r="E1460"/>
      <c r="F1460"/>
      <c r="G1460"/>
      <c r="H1460"/>
      <c r="I1460"/>
      <c r="J1460"/>
      <c r="K1460"/>
      <c r="L1460"/>
      <c r="M1460"/>
      <c r="N1460"/>
      <c r="O1460"/>
      <c r="P1460"/>
      <c r="Q1460"/>
      <c r="R1460"/>
      <c r="S1460"/>
      <c r="T1460"/>
      <c r="U1460"/>
      <c r="V1460"/>
      <c r="W1460"/>
      <c r="X1460"/>
      <c r="Y1460"/>
      <c r="Z1460"/>
      <c r="AA1460"/>
      <c r="AB1460"/>
      <c r="AC1460"/>
      <c r="AD1460"/>
      <c r="AE1460"/>
      <c r="AF1460"/>
      <c r="AG1460"/>
      <c r="AH1460"/>
      <c r="AI1460"/>
      <c r="AJ1460"/>
      <c r="AK1460"/>
      <c r="AL1460"/>
      <c r="AM1460"/>
      <c r="AN1460"/>
      <c r="AO1460"/>
      <c r="AP1460"/>
      <c r="AQ1460"/>
      <c r="AR1460"/>
    </row>
    <row r="1461" spans="3:44" ht="15" customHeight="1">
      <c r="C1461"/>
      <c r="D1461"/>
      <c r="E1461"/>
      <c r="F1461"/>
      <c r="G1461"/>
      <c r="H1461"/>
      <c r="I1461"/>
      <c r="J1461"/>
      <c r="K1461"/>
      <c r="L1461"/>
      <c r="M1461"/>
      <c r="N1461"/>
      <c r="O1461"/>
      <c r="P1461"/>
      <c r="Q1461"/>
      <c r="R1461"/>
      <c r="S1461"/>
      <c r="T1461"/>
      <c r="U1461"/>
      <c r="V1461"/>
      <c r="W1461"/>
      <c r="X1461"/>
      <c r="Y1461"/>
      <c r="Z1461"/>
      <c r="AA1461"/>
      <c r="AB1461"/>
      <c r="AC1461"/>
      <c r="AD1461"/>
      <c r="AE1461"/>
      <c r="AF1461"/>
      <c r="AG1461"/>
      <c r="AH1461"/>
      <c r="AI1461"/>
      <c r="AJ1461"/>
      <c r="AK1461"/>
      <c r="AL1461"/>
      <c r="AM1461"/>
      <c r="AN1461"/>
      <c r="AO1461"/>
      <c r="AP1461"/>
      <c r="AQ1461"/>
      <c r="AR1461"/>
    </row>
    <row r="1462" spans="3:44" ht="15" customHeight="1">
      <c r="C1462"/>
      <c r="D1462"/>
      <c r="E1462"/>
      <c r="F1462"/>
      <c r="G1462"/>
      <c r="H1462"/>
      <c r="I1462"/>
      <c r="J1462"/>
      <c r="K1462"/>
      <c r="L1462"/>
      <c r="M1462"/>
      <c r="N1462"/>
      <c r="O1462"/>
      <c r="P1462"/>
      <c r="Q1462"/>
      <c r="R1462"/>
      <c r="S1462"/>
      <c r="T1462"/>
      <c r="U1462"/>
      <c r="V1462"/>
      <c r="W1462"/>
      <c r="X1462"/>
      <c r="Y1462"/>
      <c r="Z1462"/>
      <c r="AA1462"/>
      <c r="AB1462"/>
      <c r="AC1462"/>
      <c r="AD1462"/>
      <c r="AE1462"/>
      <c r="AF1462"/>
      <c r="AG1462"/>
      <c r="AH1462"/>
      <c r="AI1462"/>
      <c r="AJ1462"/>
      <c r="AK1462"/>
      <c r="AL1462"/>
      <c r="AM1462"/>
      <c r="AN1462"/>
      <c r="AO1462"/>
      <c r="AP1462"/>
      <c r="AQ1462"/>
      <c r="AR1462"/>
    </row>
    <row r="1463" spans="3:44" ht="15" customHeight="1">
      <c r="C1463"/>
      <c r="D1463"/>
      <c r="E1463"/>
      <c r="F1463"/>
      <c r="G1463"/>
      <c r="H1463"/>
      <c r="I1463"/>
      <c r="J1463"/>
      <c r="K1463"/>
      <c r="L1463"/>
      <c r="M1463"/>
      <c r="N1463"/>
      <c r="O1463"/>
      <c r="P1463"/>
      <c r="Q1463"/>
      <c r="R1463"/>
      <c r="S1463"/>
      <c r="T1463"/>
      <c r="U1463"/>
      <c r="V1463"/>
      <c r="W1463"/>
      <c r="X1463"/>
      <c r="Y1463"/>
      <c r="Z1463"/>
      <c r="AA1463"/>
      <c r="AB1463"/>
      <c r="AC1463"/>
      <c r="AD1463"/>
      <c r="AE1463"/>
      <c r="AF1463"/>
      <c r="AG1463"/>
      <c r="AH1463"/>
      <c r="AI1463"/>
      <c r="AJ1463"/>
      <c r="AK1463"/>
      <c r="AL1463"/>
      <c r="AM1463"/>
      <c r="AN1463"/>
      <c r="AO1463"/>
      <c r="AP1463"/>
      <c r="AQ1463"/>
      <c r="AR1463"/>
    </row>
    <row r="1464" spans="3:44" ht="15" customHeight="1">
      <c r="C1464"/>
      <c r="D1464"/>
      <c r="E1464"/>
      <c r="F1464"/>
      <c r="G1464"/>
      <c r="H1464"/>
      <c r="I1464"/>
      <c r="J1464"/>
      <c r="K1464"/>
      <c r="L1464"/>
      <c r="M1464"/>
      <c r="N1464"/>
      <c r="O1464"/>
      <c r="P1464"/>
      <c r="Q1464"/>
      <c r="R1464"/>
      <c r="S1464"/>
      <c r="T1464"/>
      <c r="U1464"/>
      <c r="V1464"/>
      <c r="W1464"/>
      <c r="X1464"/>
      <c r="Y1464"/>
      <c r="Z1464"/>
      <c r="AA1464"/>
      <c r="AB1464"/>
      <c r="AC1464"/>
      <c r="AD1464"/>
      <c r="AE1464"/>
      <c r="AF1464"/>
      <c r="AG1464"/>
      <c r="AH1464"/>
      <c r="AI1464"/>
      <c r="AJ1464"/>
      <c r="AK1464"/>
      <c r="AL1464"/>
      <c r="AM1464"/>
      <c r="AN1464"/>
      <c r="AO1464"/>
      <c r="AP1464"/>
      <c r="AQ1464"/>
      <c r="AR1464"/>
    </row>
    <row r="1465" spans="3:44" ht="15" customHeight="1">
      <c r="C1465"/>
      <c r="D1465"/>
      <c r="E1465"/>
      <c r="F1465"/>
      <c r="G1465"/>
      <c r="H1465"/>
      <c r="I1465"/>
      <c r="J1465"/>
      <c r="K1465"/>
      <c r="L1465"/>
      <c r="M1465"/>
      <c r="N1465"/>
      <c r="O1465"/>
      <c r="P1465"/>
      <c r="Q1465"/>
      <c r="R1465"/>
      <c r="S1465"/>
      <c r="T1465"/>
      <c r="U1465"/>
      <c r="V1465"/>
      <c r="W1465"/>
      <c r="X1465"/>
      <c r="Y1465"/>
      <c r="Z1465"/>
      <c r="AA1465"/>
      <c r="AB1465"/>
      <c r="AC1465"/>
      <c r="AD1465"/>
      <c r="AE1465"/>
      <c r="AF1465"/>
      <c r="AG1465"/>
      <c r="AH1465"/>
      <c r="AI1465"/>
      <c r="AJ1465"/>
      <c r="AK1465"/>
      <c r="AL1465"/>
      <c r="AM1465"/>
      <c r="AN1465"/>
      <c r="AO1465"/>
      <c r="AP1465"/>
      <c r="AQ1465"/>
      <c r="AR1465"/>
    </row>
    <row r="1466" spans="3:44" ht="15" customHeight="1">
      <c r="C1466"/>
      <c r="D1466"/>
      <c r="E1466"/>
      <c r="F1466"/>
      <c r="G1466"/>
      <c r="H1466"/>
      <c r="I1466"/>
      <c r="J1466"/>
      <c r="K1466"/>
      <c r="L1466"/>
      <c r="M1466"/>
      <c r="N1466"/>
      <c r="O1466"/>
      <c r="P1466"/>
      <c r="Q1466"/>
      <c r="R1466"/>
      <c r="S1466"/>
      <c r="T1466"/>
      <c r="U1466"/>
      <c r="V1466"/>
      <c r="W1466"/>
      <c r="X1466"/>
      <c r="Y1466"/>
      <c r="Z1466"/>
      <c r="AA1466"/>
      <c r="AB1466"/>
      <c r="AC1466"/>
      <c r="AD1466"/>
      <c r="AE1466"/>
      <c r="AF1466"/>
      <c r="AG1466"/>
      <c r="AH1466"/>
      <c r="AI1466"/>
      <c r="AJ1466"/>
      <c r="AK1466"/>
      <c r="AL1466"/>
      <c r="AM1466"/>
      <c r="AN1466"/>
      <c r="AO1466"/>
      <c r="AP1466"/>
      <c r="AQ1466"/>
      <c r="AR1466"/>
    </row>
    <row r="1467" spans="3:44" ht="15" customHeight="1">
      <c r="C1467"/>
      <c r="D1467"/>
      <c r="E1467"/>
      <c r="F1467"/>
      <c r="G1467"/>
      <c r="H1467"/>
      <c r="I1467"/>
      <c r="J1467"/>
      <c r="K1467"/>
      <c r="L1467"/>
      <c r="M1467"/>
      <c r="N1467"/>
      <c r="O1467"/>
      <c r="P1467"/>
      <c r="Q1467"/>
      <c r="R1467"/>
      <c r="S1467"/>
      <c r="T1467"/>
      <c r="U1467"/>
      <c r="V1467"/>
      <c r="W1467"/>
      <c r="X1467"/>
      <c r="Y1467"/>
      <c r="Z1467"/>
      <c r="AA1467"/>
      <c r="AB1467"/>
      <c r="AC1467"/>
      <c r="AD1467"/>
      <c r="AE1467"/>
      <c r="AF1467"/>
      <c r="AG1467"/>
      <c r="AH1467"/>
      <c r="AI1467"/>
      <c r="AJ1467"/>
      <c r="AK1467"/>
      <c r="AL1467"/>
      <c r="AM1467"/>
      <c r="AN1467"/>
      <c r="AO1467"/>
      <c r="AP1467"/>
      <c r="AQ1467"/>
      <c r="AR1467"/>
    </row>
    <row r="1468" spans="3:44" ht="15" customHeight="1">
      <c r="C1468"/>
      <c r="D1468"/>
      <c r="E1468"/>
      <c r="F1468"/>
      <c r="G1468"/>
      <c r="H1468"/>
      <c r="I1468"/>
      <c r="J1468"/>
      <c r="K1468"/>
      <c r="L1468"/>
      <c r="M1468"/>
      <c r="N1468"/>
      <c r="O1468"/>
      <c r="P1468"/>
      <c r="Q1468"/>
      <c r="R1468"/>
      <c r="S1468"/>
      <c r="T1468"/>
      <c r="U1468"/>
      <c r="V1468"/>
      <c r="W1468"/>
      <c r="X1468"/>
      <c r="Y1468"/>
      <c r="Z1468"/>
      <c r="AA1468"/>
      <c r="AB1468"/>
      <c r="AC1468"/>
      <c r="AD1468"/>
      <c r="AE1468"/>
      <c r="AF1468"/>
      <c r="AG1468"/>
      <c r="AH1468"/>
      <c r="AI1468"/>
      <c r="AJ1468"/>
      <c r="AK1468"/>
      <c r="AL1468"/>
      <c r="AM1468"/>
      <c r="AN1468"/>
      <c r="AO1468"/>
      <c r="AP1468"/>
      <c r="AQ1468"/>
      <c r="AR1468"/>
    </row>
    <row r="1469" spans="3:44" ht="15" customHeight="1">
      <c r="C1469"/>
      <c r="D1469"/>
      <c r="E1469"/>
      <c r="F1469"/>
      <c r="G1469"/>
      <c r="H1469"/>
      <c r="I1469"/>
      <c r="J1469"/>
      <c r="K1469"/>
      <c r="L1469"/>
      <c r="M1469"/>
      <c r="N1469"/>
      <c r="O1469"/>
      <c r="P1469"/>
      <c r="Q1469"/>
      <c r="R1469"/>
      <c r="S1469"/>
      <c r="T1469"/>
      <c r="U1469"/>
      <c r="V1469"/>
      <c r="W1469"/>
      <c r="X1469"/>
      <c r="Y1469"/>
      <c r="Z1469"/>
      <c r="AA1469"/>
      <c r="AB1469"/>
      <c r="AC1469"/>
      <c r="AD1469"/>
      <c r="AE1469"/>
      <c r="AF1469"/>
      <c r="AG1469"/>
      <c r="AH1469"/>
      <c r="AI1469"/>
      <c r="AJ1469"/>
      <c r="AK1469"/>
      <c r="AL1469"/>
      <c r="AM1469"/>
      <c r="AN1469"/>
      <c r="AO1469"/>
      <c r="AP1469"/>
      <c r="AQ1469"/>
      <c r="AR1469"/>
    </row>
    <row r="1470" spans="3:44" ht="15" customHeight="1">
      <c r="C1470"/>
      <c r="D1470"/>
      <c r="E1470"/>
      <c r="F1470"/>
      <c r="G1470"/>
      <c r="H1470"/>
      <c r="I1470"/>
      <c r="J1470"/>
      <c r="K1470"/>
      <c r="L1470"/>
      <c r="M1470"/>
      <c r="N1470"/>
      <c r="O1470"/>
      <c r="P1470"/>
      <c r="Q1470"/>
      <c r="R1470"/>
      <c r="S1470"/>
      <c r="T1470"/>
      <c r="U1470"/>
      <c r="V1470"/>
      <c r="W1470"/>
      <c r="X1470"/>
      <c r="Y1470"/>
      <c r="Z1470"/>
      <c r="AA1470"/>
      <c r="AB1470"/>
      <c r="AC1470"/>
      <c r="AD1470"/>
      <c r="AE1470"/>
      <c r="AF1470"/>
      <c r="AG1470"/>
      <c r="AH1470"/>
      <c r="AI1470"/>
      <c r="AJ1470"/>
      <c r="AK1470"/>
      <c r="AL1470"/>
      <c r="AM1470"/>
      <c r="AN1470"/>
      <c r="AO1470"/>
      <c r="AP1470"/>
      <c r="AQ1470"/>
      <c r="AR1470"/>
    </row>
    <row r="1471" spans="3:44" ht="15" customHeight="1">
      <c r="C1471"/>
      <c r="D1471"/>
      <c r="E1471"/>
      <c r="F1471"/>
      <c r="G1471"/>
      <c r="H1471"/>
      <c r="I1471"/>
      <c r="J1471"/>
      <c r="K1471"/>
      <c r="L1471"/>
      <c r="M1471"/>
      <c r="N1471"/>
      <c r="O1471"/>
      <c r="P1471"/>
      <c r="Q1471"/>
      <c r="R1471"/>
      <c r="S1471"/>
      <c r="T1471"/>
      <c r="U1471"/>
      <c r="V1471"/>
      <c r="W1471"/>
      <c r="X1471"/>
      <c r="Y1471"/>
      <c r="Z1471"/>
      <c r="AA1471"/>
      <c r="AB1471"/>
      <c r="AC1471"/>
      <c r="AD1471"/>
      <c r="AE1471"/>
      <c r="AF1471"/>
      <c r="AG1471"/>
      <c r="AH1471"/>
      <c r="AI1471"/>
      <c r="AJ1471"/>
      <c r="AK1471"/>
      <c r="AL1471"/>
      <c r="AM1471"/>
      <c r="AN1471"/>
      <c r="AO1471"/>
      <c r="AP1471"/>
      <c r="AQ1471"/>
      <c r="AR1471"/>
    </row>
    <row r="1472" spans="3:44" ht="15" customHeight="1">
      <c r="C1472"/>
      <c r="D1472"/>
      <c r="E1472"/>
      <c r="F1472"/>
      <c r="G1472"/>
      <c r="H1472"/>
      <c r="I1472"/>
      <c r="J1472"/>
      <c r="K1472"/>
      <c r="L1472"/>
      <c r="M1472"/>
      <c r="N1472"/>
      <c r="O1472"/>
      <c r="P1472"/>
      <c r="Q1472"/>
      <c r="R1472"/>
      <c r="S1472"/>
      <c r="T1472"/>
      <c r="U1472"/>
      <c r="V1472"/>
      <c r="W1472"/>
      <c r="X1472"/>
      <c r="Y1472"/>
      <c r="Z1472"/>
      <c r="AA1472"/>
      <c r="AB1472"/>
      <c r="AC1472"/>
      <c r="AD1472"/>
      <c r="AE1472"/>
      <c r="AF1472"/>
      <c r="AG1472"/>
      <c r="AH1472"/>
      <c r="AI1472"/>
      <c r="AJ1472"/>
      <c r="AK1472"/>
      <c r="AL1472"/>
      <c r="AM1472"/>
      <c r="AN1472"/>
      <c r="AO1472"/>
      <c r="AP1472"/>
      <c r="AQ1472"/>
      <c r="AR1472"/>
    </row>
    <row r="1473" spans="3:44" ht="15" customHeight="1">
      <c r="C1473"/>
      <c r="D1473"/>
      <c r="E1473"/>
      <c r="F1473"/>
      <c r="G1473"/>
      <c r="H1473"/>
      <c r="I1473"/>
      <c r="J1473"/>
      <c r="K1473"/>
      <c r="L1473"/>
      <c r="M1473"/>
      <c r="N1473"/>
      <c r="O1473"/>
      <c r="P1473"/>
      <c r="Q1473"/>
      <c r="R1473"/>
      <c r="S1473"/>
      <c r="T1473"/>
      <c r="U1473"/>
      <c r="V1473"/>
      <c r="W1473"/>
      <c r="X1473"/>
      <c r="Y1473"/>
      <c r="Z1473"/>
      <c r="AA1473"/>
      <c r="AB1473"/>
      <c r="AC1473"/>
      <c r="AD1473"/>
      <c r="AE1473"/>
      <c r="AF1473"/>
      <c r="AG1473"/>
      <c r="AH1473"/>
      <c r="AI1473"/>
      <c r="AJ1473"/>
      <c r="AK1473"/>
      <c r="AL1473"/>
      <c r="AM1473"/>
      <c r="AN1473"/>
      <c r="AO1473"/>
      <c r="AP1473"/>
      <c r="AQ1473"/>
      <c r="AR1473"/>
    </row>
    <row r="1474" spans="3:44" ht="15" customHeight="1">
      <c r="C1474"/>
      <c r="D1474"/>
      <c r="E1474"/>
      <c r="F1474"/>
      <c r="G1474"/>
      <c r="H1474"/>
      <c r="I1474"/>
      <c r="J1474"/>
      <c r="K1474"/>
      <c r="L1474"/>
      <c r="M1474"/>
      <c r="N1474"/>
      <c r="O1474"/>
      <c r="P1474"/>
      <c r="Q1474"/>
      <c r="R1474"/>
      <c r="S1474"/>
      <c r="T1474"/>
      <c r="U1474"/>
      <c r="V1474"/>
      <c r="W1474"/>
      <c r="X1474"/>
      <c r="Y1474"/>
      <c r="Z1474"/>
      <c r="AA1474"/>
      <c r="AB1474"/>
      <c r="AC1474"/>
      <c r="AD1474"/>
      <c r="AE1474"/>
      <c r="AF1474"/>
      <c r="AG1474"/>
      <c r="AH1474"/>
      <c r="AI1474"/>
      <c r="AJ1474"/>
      <c r="AK1474"/>
      <c r="AL1474"/>
      <c r="AM1474"/>
      <c r="AN1474"/>
      <c r="AO1474"/>
      <c r="AP1474"/>
      <c r="AQ1474"/>
      <c r="AR1474"/>
    </row>
    <row r="1475" spans="3:44" ht="15" customHeight="1">
      <c r="C1475"/>
      <c r="D1475"/>
      <c r="E1475"/>
      <c r="F1475"/>
      <c r="G1475"/>
      <c r="H1475"/>
      <c r="I1475"/>
      <c r="J1475"/>
      <c r="K1475"/>
      <c r="L1475"/>
      <c r="M1475"/>
      <c r="N1475"/>
      <c r="O1475"/>
      <c r="P1475"/>
      <c r="Q1475"/>
      <c r="R1475"/>
      <c r="S1475"/>
      <c r="T1475"/>
      <c r="U1475"/>
      <c r="V1475"/>
      <c r="W1475"/>
      <c r="X1475"/>
      <c r="Y1475"/>
      <c r="Z1475"/>
      <c r="AA1475"/>
      <c r="AB1475"/>
      <c r="AC1475"/>
      <c r="AD1475"/>
      <c r="AE1475"/>
      <c r="AF1475"/>
      <c r="AG1475"/>
      <c r="AH1475"/>
      <c r="AI1475"/>
      <c r="AJ1475"/>
      <c r="AK1475"/>
      <c r="AL1475"/>
      <c r="AM1475"/>
      <c r="AN1475"/>
      <c r="AO1475"/>
      <c r="AP1475"/>
      <c r="AQ1475"/>
      <c r="AR1475"/>
    </row>
    <row r="1476" spans="3:44" ht="15" customHeight="1">
      <c r="C1476"/>
      <c r="D1476"/>
      <c r="E1476"/>
      <c r="F1476"/>
      <c r="G1476"/>
      <c r="H1476"/>
      <c r="I1476"/>
      <c r="J1476"/>
      <c r="K1476"/>
      <c r="L1476"/>
      <c r="M1476"/>
      <c r="N1476"/>
      <c r="O1476"/>
      <c r="P1476"/>
      <c r="Q1476"/>
      <c r="R1476"/>
      <c r="S1476"/>
      <c r="T1476"/>
      <c r="U1476"/>
      <c r="V1476"/>
      <c r="W1476"/>
      <c r="X1476"/>
      <c r="Y1476"/>
      <c r="Z1476"/>
      <c r="AA1476"/>
      <c r="AB1476"/>
      <c r="AC1476"/>
      <c r="AD1476"/>
      <c r="AE1476"/>
      <c r="AF1476"/>
      <c r="AG1476"/>
      <c r="AH1476"/>
      <c r="AI1476"/>
      <c r="AJ1476"/>
      <c r="AK1476"/>
      <c r="AL1476"/>
      <c r="AM1476"/>
      <c r="AN1476"/>
      <c r="AO1476"/>
      <c r="AP1476"/>
      <c r="AQ1476"/>
      <c r="AR1476"/>
    </row>
    <row r="1477" spans="3:44" ht="15" customHeight="1">
      <c r="C1477"/>
      <c r="D1477"/>
      <c r="E1477"/>
      <c r="F1477"/>
      <c r="G1477"/>
      <c r="H1477"/>
      <c r="I1477"/>
      <c r="J1477"/>
      <c r="K1477"/>
      <c r="L1477"/>
      <c r="M1477"/>
      <c r="N1477"/>
      <c r="O1477"/>
      <c r="P1477"/>
      <c r="Q1477"/>
      <c r="R1477"/>
      <c r="S1477"/>
      <c r="T1477"/>
      <c r="U1477"/>
      <c r="V1477"/>
      <c r="W1477"/>
      <c r="X1477"/>
      <c r="Y1477"/>
      <c r="Z1477"/>
      <c r="AA1477"/>
      <c r="AB1477"/>
      <c r="AC1477"/>
      <c r="AD1477"/>
      <c r="AE1477"/>
      <c r="AF1477"/>
      <c r="AG1477"/>
      <c r="AH1477"/>
      <c r="AI1477"/>
      <c r="AJ1477"/>
      <c r="AK1477"/>
      <c r="AL1477"/>
      <c r="AM1477"/>
      <c r="AN1477"/>
      <c r="AO1477"/>
      <c r="AP1477"/>
      <c r="AQ1477"/>
      <c r="AR1477"/>
    </row>
    <row r="1478" spans="3:44" ht="15" customHeight="1">
      <c r="C1478"/>
      <c r="D1478"/>
      <c r="E1478"/>
      <c r="F1478"/>
      <c r="G1478"/>
      <c r="H1478"/>
      <c r="I1478"/>
      <c r="J1478"/>
      <c r="K1478"/>
      <c r="L1478"/>
      <c r="M1478"/>
      <c r="N1478"/>
      <c r="O1478"/>
      <c r="P1478"/>
      <c r="Q1478"/>
      <c r="R1478"/>
      <c r="S1478"/>
      <c r="T1478"/>
      <c r="U1478"/>
      <c r="V1478"/>
      <c r="W1478"/>
      <c r="X1478"/>
      <c r="Y1478"/>
      <c r="Z1478"/>
      <c r="AA1478"/>
      <c r="AB1478"/>
      <c r="AC1478"/>
      <c r="AD1478"/>
      <c r="AE1478"/>
      <c r="AF1478"/>
      <c r="AG1478"/>
      <c r="AH1478"/>
      <c r="AI1478"/>
      <c r="AJ1478"/>
      <c r="AK1478"/>
      <c r="AL1478"/>
      <c r="AM1478"/>
      <c r="AN1478"/>
      <c r="AO1478"/>
      <c r="AP1478"/>
      <c r="AQ1478"/>
      <c r="AR1478"/>
    </row>
    <row r="1479" spans="3:44" ht="15" customHeight="1">
      <c r="C1479"/>
      <c r="D1479"/>
      <c r="E1479"/>
      <c r="F1479"/>
      <c r="G1479"/>
      <c r="H1479"/>
      <c r="I1479"/>
      <c r="J1479"/>
      <c r="K1479"/>
      <c r="L1479"/>
      <c r="M1479"/>
      <c r="N1479"/>
      <c r="O1479"/>
      <c r="P1479"/>
      <c r="Q1479"/>
      <c r="R1479"/>
      <c r="S1479"/>
      <c r="T1479"/>
      <c r="U1479"/>
      <c r="V1479"/>
      <c r="W1479"/>
      <c r="X1479"/>
      <c r="Y1479"/>
      <c r="Z1479"/>
      <c r="AA1479"/>
      <c r="AB1479"/>
      <c r="AC1479"/>
      <c r="AD1479"/>
      <c r="AE1479"/>
      <c r="AF1479"/>
      <c r="AG1479"/>
      <c r="AH1479"/>
      <c r="AI1479"/>
      <c r="AJ1479"/>
      <c r="AK1479"/>
      <c r="AL1479"/>
      <c r="AM1479"/>
      <c r="AN1479"/>
      <c r="AO1479"/>
      <c r="AP1479"/>
      <c r="AQ1479"/>
      <c r="AR1479"/>
    </row>
    <row r="1480" spans="3:44" ht="15" customHeight="1">
      <c r="C1480"/>
      <c r="D1480"/>
      <c r="E1480"/>
      <c r="F1480"/>
      <c r="G1480"/>
      <c r="H1480"/>
      <c r="I1480"/>
      <c r="J1480"/>
      <c r="K1480"/>
      <c r="L1480"/>
      <c r="M1480"/>
      <c r="N1480"/>
      <c r="O1480"/>
      <c r="P1480"/>
      <c r="Q1480"/>
      <c r="R1480"/>
      <c r="S1480"/>
      <c r="T1480"/>
      <c r="U1480"/>
      <c r="V1480"/>
      <c r="W1480"/>
      <c r="X1480"/>
      <c r="Y1480"/>
      <c r="Z1480"/>
      <c r="AA1480"/>
      <c r="AB1480"/>
      <c r="AC1480"/>
      <c r="AD1480"/>
      <c r="AE1480"/>
      <c r="AF1480"/>
      <c r="AG1480"/>
      <c r="AH1480"/>
      <c r="AI1480"/>
      <c r="AJ1480"/>
      <c r="AK1480"/>
      <c r="AL1480"/>
      <c r="AM1480"/>
      <c r="AN1480"/>
      <c r="AO1480"/>
      <c r="AP1480"/>
      <c r="AQ1480"/>
      <c r="AR1480"/>
    </row>
    <row r="1481" spans="3:44" ht="15" customHeight="1">
      <c r="C1481"/>
      <c r="D1481"/>
      <c r="E1481"/>
      <c r="F1481"/>
      <c r="G1481"/>
      <c r="H1481"/>
      <c r="I1481"/>
      <c r="J1481"/>
      <c r="K1481"/>
      <c r="L1481"/>
      <c r="M1481"/>
      <c r="N1481"/>
      <c r="O1481"/>
      <c r="P1481"/>
      <c r="Q1481"/>
      <c r="R1481"/>
      <c r="S1481"/>
      <c r="T1481"/>
      <c r="U1481"/>
      <c r="V1481"/>
      <c r="W1481"/>
      <c r="X1481"/>
      <c r="Y1481"/>
      <c r="Z1481"/>
      <c r="AA1481"/>
      <c r="AB1481"/>
      <c r="AC1481"/>
      <c r="AD1481"/>
      <c r="AE1481"/>
      <c r="AF1481"/>
      <c r="AG1481"/>
      <c r="AH1481"/>
      <c r="AI1481"/>
      <c r="AJ1481"/>
      <c r="AK1481"/>
      <c r="AL1481"/>
      <c r="AM1481"/>
      <c r="AN1481"/>
      <c r="AO1481"/>
      <c r="AP1481"/>
      <c r="AQ1481"/>
      <c r="AR1481"/>
    </row>
    <row r="1482" spans="3:44" ht="15" customHeight="1">
      <c r="C1482"/>
      <c r="D1482"/>
      <c r="E1482"/>
      <c r="F1482"/>
      <c r="G1482"/>
      <c r="H1482"/>
      <c r="I1482"/>
      <c r="J1482"/>
      <c r="K1482"/>
      <c r="L1482"/>
      <c r="M1482"/>
      <c r="N1482"/>
      <c r="O1482"/>
      <c r="P1482"/>
      <c r="Q1482"/>
      <c r="R1482"/>
      <c r="S1482"/>
      <c r="T1482"/>
      <c r="U1482"/>
      <c r="V1482"/>
      <c r="W1482"/>
      <c r="X1482"/>
      <c r="Y1482"/>
      <c r="Z1482"/>
      <c r="AA1482"/>
      <c r="AB1482"/>
      <c r="AC1482"/>
      <c r="AD1482"/>
      <c r="AE1482"/>
      <c r="AF1482"/>
      <c r="AG1482"/>
      <c r="AH1482"/>
      <c r="AI1482"/>
      <c r="AJ1482"/>
      <c r="AK1482"/>
      <c r="AL1482"/>
      <c r="AM1482"/>
      <c r="AN1482"/>
      <c r="AO1482"/>
      <c r="AP1482"/>
      <c r="AQ1482"/>
      <c r="AR1482"/>
    </row>
    <row r="1483" spans="3:44" ht="15" customHeight="1">
      <c r="C1483"/>
      <c r="D1483"/>
      <c r="E1483"/>
      <c r="F1483"/>
      <c r="G1483"/>
      <c r="H1483"/>
      <c r="I1483"/>
      <c r="J1483"/>
      <c r="K1483"/>
      <c r="L1483"/>
      <c r="M1483"/>
      <c r="N1483"/>
      <c r="O1483"/>
      <c r="P1483"/>
      <c r="Q1483"/>
      <c r="R1483"/>
      <c r="S1483"/>
      <c r="T1483"/>
      <c r="U1483"/>
      <c r="V1483"/>
      <c r="W1483"/>
      <c r="X1483"/>
      <c r="Y1483"/>
      <c r="Z1483"/>
      <c r="AA1483"/>
      <c r="AB1483"/>
      <c r="AC1483"/>
      <c r="AD1483"/>
      <c r="AE1483"/>
      <c r="AF1483"/>
      <c r="AG1483"/>
      <c r="AH1483"/>
      <c r="AI1483"/>
      <c r="AJ1483"/>
      <c r="AK1483"/>
      <c r="AL1483"/>
      <c r="AM1483"/>
      <c r="AN1483"/>
      <c r="AO1483"/>
      <c r="AP1483"/>
      <c r="AQ1483"/>
      <c r="AR1483"/>
    </row>
    <row r="1484" spans="3:44" ht="15" customHeight="1">
      <c r="C1484"/>
      <c r="D1484"/>
      <c r="E1484"/>
      <c r="F1484"/>
      <c r="G1484"/>
      <c r="H1484"/>
      <c r="I1484"/>
      <c r="J1484"/>
      <c r="K1484"/>
      <c r="L1484"/>
      <c r="M1484"/>
      <c r="N1484"/>
      <c r="O1484"/>
      <c r="P1484"/>
      <c r="Q1484"/>
      <c r="R1484"/>
      <c r="S1484"/>
      <c r="T1484"/>
      <c r="U1484"/>
      <c r="V1484"/>
      <c r="W1484"/>
      <c r="X1484"/>
      <c r="Y1484"/>
      <c r="Z1484"/>
      <c r="AA1484"/>
      <c r="AB1484"/>
      <c r="AC1484"/>
      <c r="AD1484"/>
      <c r="AE1484"/>
      <c r="AF1484"/>
      <c r="AG1484"/>
      <c r="AH1484"/>
      <c r="AI1484"/>
      <c r="AJ1484"/>
      <c r="AK1484"/>
      <c r="AL1484"/>
      <c r="AM1484"/>
      <c r="AN1484"/>
      <c r="AO1484"/>
      <c r="AP1484"/>
      <c r="AQ1484"/>
      <c r="AR1484"/>
    </row>
    <row r="1485" spans="3:44" ht="15" customHeight="1">
      <c r="C1485"/>
      <c r="D1485"/>
      <c r="E1485"/>
      <c r="F1485"/>
      <c r="G1485"/>
      <c r="H1485"/>
      <c r="I1485"/>
      <c r="J1485"/>
      <c r="K1485"/>
      <c r="L1485"/>
      <c r="M1485"/>
      <c r="N1485"/>
      <c r="O1485"/>
      <c r="P1485"/>
      <c r="Q1485"/>
      <c r="R1485"/>
      <c r="S1485"/>
      <c r="T1485"/>
      <c r="U1485"/>
      <c r="V1485"/>
      <c r="W1485"/>
      <c r="X1485"/>
      <c r="Y1485"/>
      <c r="Z1485"/>
      <c r="AA1485"/>
      <c r="AB1485"/>
      <c r="AC1485"/>
      <c r="AD1485"/>
      <c r="AE1485"/>
      <c r="AF1485"/>
      <c r="AG1485"/>
      <c r="AH1485"/>
      <c r="AI1485"/>
      <c r="AJ1485"/>
      <c r="AK1485"/>
      <c r="AL1485"/>
      <c r="AM1485"/>
      <c r="AN1485"/>
      <c r="AO1485"/>
      <c r="AP1485"/>
      <c r="AQ1485"/>
      <c r="AR1485"/>
    </row>
    <row r="1486" spans="3:44" ht="15" customHeight="1">
      <c r="C1486"/>
      <c r="D1486"/>
      <c r="E1486"/>
      <c r="F1486"/>
      <c r="G1486"/>
      <c r="H1486"/>
      <c r="I1486"/>
      <c r="J1486"/>
      <c r="K1486"/>
      <c r="L1486"/>
      <c r="M1486"/>
      <c r="N1486"/>
      <c r="O1486"/>
      <c r="P1486"/>
      <c r="Q1486"/>
      <c r="R1486"/>
      <c r="S1486"/>
      <c r="T1486"/>
      <c r="U1486"/>
      <c r="V1486"/>
      <c r="W1486"/>
      <c r="X1486"/>
      <c r="Y1486"/>
      <c r="Z1486"/>
      <c r="AA1486"/>
      <c r="AB1486"/>
      <c r="AC1486"/>
      <c r="AD1486"/>
      <c r="AE1486"/>
      <c r="AF1486"/>
      <c r="AG1486"/>
      <c r="AH1486"/>
      <c r="AI1486"/>
      <c r="AJ1486"/>
      <c r="AK1486"/>
      <c r="AL1486"/>
      <c r="AM1486"/>
      <c r="AN1486"/>
      <c r="AO1486"/>
      <c r="AP1486"/>
      <c r="AQ1486"/>
      <c r="AR1486"/>
    </row>
    <row r="1487" spans="3:44" ht="15" customHeight="1">
      <c r="C1487"/>
      <c r="D1487"/>
      <c r="E1487"/>
      <c r="F1487"/>
      <c r="G1487"/>
      <c r="H1487"/>
      <c r="I1487"/>
      <c r="J1487"/>
      <c r="K1487"/>
      <c r="L1487"/>
      <c r="M1487"/>
      <c r="N1487"/>
      <c r="O1487"/>
      <c r="P1487"/>
      <c r="Q1487"/>
      <c r="R1487"/>
      <c r="S1487"/>
      <c r="T1487"/>
      <c r="U1487"/>
      <c r="V1487"/>
      <c r="W1487"/>
      <c r="X1487"/>
      <c r="Y1487"/>
      <c r="Z1487"/>
      <c r="AA1487"/>
      <c r="AB1487"/>
      <c r="AC1487"/>
      <c r="AD1487"/>
      <c r="AE1487"/>
      <c r="AF1487"/>
      <c r="AG1487"/>
      <c r="AH1487"/>
      <c r="AI1487"/>
      <c r="AJ1487"/>
      <c r="AK1487"/>
      <c r="AL1487"/>
      <c r="AM1487"/>
      <c r="AN1487"/>
      <c r="AO1487"/>
      <c r="AP1487"/>
      <c r="AQ1487"/>
      <c r="AR1487"/>
    </row>
    <row r="1488" spans="3:44" ht="15" customHeight="1">
      <c r="C1488"/>
      <c r="D1488"/>
      <c r="E1488"/>
      <c r="F1488"/>
      <c r="G1488"/>
      <c r="H1488"/>
      <c r="I1488"/>
      <c r="J1488"/>
      <c r="K1488"/>
      <c r="L1488"/>
      <c r="M1488"/>
      <c r="N1488"/>
      <c r="O1488"/>
      <c r="P1488"/>
      <c r="Q1488"/>
      <c r="R1488"/>
      <c r="S1488"/>
      <c r="T1488"/>
      <c r="U1488"/>
      <c r="V1488"/>
      <c r="W1488"/>
      <c r="X1488"/>
      <c r="Y1488"/>
      <c r="Z1488"/>
      <c r="AA1488"/>
      <c r="AB1488"/>
      <c r="AC1488"/>
      <c r="AD1488"/>
      <c r="AE1488"/>
      <c r="AF1488"/>
      <c r="AG1488"/>
      <c r="AH1488"/>
      <c r="AI1488"/>
      <c r="AJ1488"/>
      <c r="AK1488"/>
      <c r="AL1488"/>
      <c r="AM1488"/>
      <c r="AN1488"/>
      <c r="AO1488"/>
      <c r="AP1488"/>
      <c r="AQ1488"/>
      <c r="AR1488"/>
    </row>
    <row r="1489" spans="3:44" ht="15" customHeight="1">
      <c r="C1489"/>
      <c r="D1489"/>
      <c r="E1489"/>
      <c r="F1489"/>
      <c r="G1489"/>
      <c r="H1489"/>
      <c r="I1489"/>
      <c r="J1489"/>
      <c r="K1489"/>
      <c r="L1489"/>
      <c r="M1489"/>
      <c r="N1489"/>
      <c r="O1489"/>
      <c r="P1489"/>
      <c r="Q1489"/>
      <c r="R1489"/>
      <c r="S1489"/>
      <c r="T1489"/>
      <c r="U1489"/>
      <c r="V1489"/>
      <c r="W1489"/>
      <c r="X1489"/>
      <c r="Y1489"/>
      <c r="Z1489"/>
      <c r="AA1489"/>
      <c r="AB1489"/>
      <c r="AC1489"/>
      <c r="AD1489"/>
      <c r="AE1489"/>
      <c r="AF1489"/>
      <c r="AG1489"/>
      <c r="AH1489"/>
      <c r="AI1489"/>
      <c r="AJ1489"/>
      <c r="AK1489"/>
      <c r="AL1489"/>
      <c r="AM1489"/>
      <c r="AN1489"/>
      <c r="AO1489"/>
      <c r="AP1489"/>
      <c r="AQ1489"/>
      <c r="AR1489"/>
    </row>
    <row r="1490" spans="3:44" ht="15" customHeight="1"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Y1490"/>
      <c r="Z1490"/>
      <c r="AA1490"/>
      <c r="AB1490"/>
      <c r="AC1490"/>
      <c r="AD1490"/>
      <c r="AE1490"/>
      <c r="AF1490"/>
      <c r="AG1490"/>
      <c r="AH1490"/>
      <c r="AI1490"/>
      <c r="AJ1490"/>
      <c r="AK1490"/>
      <c r="AL1490"/>
      <c r="AM1490"/>
      <c r="AN1490"/>
      <c r="AO1490"/>
      <c r="AP1490"/>
      <c r="AQ1490"/>
      <c r="AR1490"/>
    </row>
    <row r="1491" spans="3:44" ht="15" customHeight="1"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Y1491"/>
      <c r="Z1491"/>
      <c r="AA1491"/>
      <c r="AB1491"/>
      <c r="AC1491"/>
      <c r="AD1491"/>
      <c r="AE1491"/>
      <c r="AF1491"/>
      <c r="AG1491"/>
      <c r="AH1491"/>
      <c r="AI1491"/>
      <c r="AJ1491"/>
      <c r="AK1491"/>
      <c r="AL1491"/>
      <c r="AM1491"/>
      <c r="AN1491"/>
      <c r="AO1491"/>
      <c r="AP1491"/>
      <c r="AQ1491"/>
      <c r="AR1491"/>
    </row>
    <row r="1492" spans="3:44" ht="15" customHeight="1"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Y1492"/>
      <c r="Z1492"/>
      <c r="AA1492"/>
      <c r="AB1492"/>
      <c r="AC1492"/>
      <c r="AD1492"/>
      <c r="AE1492"/>
      <c r="AF1492"/>
      <c r="AG1492"/>
      <c r="AH1492"/>
      <c r="AI1492"/>
      <c r="AJ1492"/>
      <c r="AK1492"/>
      <c r="AL1492"/>
      <c r="AM1492"/>
      <c r="AN1492"/>
      <c r="AO1492"/>
      <c r="AP1492"/>
      <c r="AQ1492"/>
      <c r="AR1492"/>
    </row>
    <row r="1493" spans="3:44" ht="15" customHeight="1"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Y1493"/>
      <c r="Z1493"/>
      <c r="AA1493"/>
      <c r="AB1493"/>
      <c r="AC1493"/>
      <c r="AD1493"/>
      <c r="AE1493"/>
      <c r="AF1493"/>
      <c r="AG1493"/>
      <c r="AH1493"/>
      <c r="AI1493"/>
      <c r="AJ1493"/>
      <c r="AK1493"/>
      <c r="AL1493"/>
      <c r="AM1493"/>
      <c r="AN1493"/>
      <c r="AO1493"/>
      <c r="AP1493"/>
      <c r="AQ1493"/>
      <c r="AR1493"/>
    </row>
    <row r="1494" spans="3:44" ht="15" customHeight="1"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Y1494"/>
      <c r="Z1494"/>
      <c r="AA1494"/>
      <c r="AB1494"/>
      <c r="AC1494"/>
      <c r="AD1494"/>
      <c r="AE1494"/>
      <c r="AF1494"/>
      <c r="AG1494"/>
      <c r="AH1494"/>
      <c r="AI1494"/>
      <c r="AJ1494"/>
      <c r="AK1494"/>
      <c r="AL1494"/>
      <c r="AM1494"/>
      <c r="AN1494"/>
      <c r="AO1494"/>
      <c r="AP1494"/>
      <c r="AQ1494"/>
      <c r="AR1494"/>
    </row>
    <row r="1495" spans="3:44" ht="15" customHeight="1">
      <c r="C1495"/>
      <c r="D1495"/>
      <c r="E1495"/>
      <c r="F1495"/>
      <c r="G1495"/>
      <c r="H1495"/>
      <c r="I1495"/>
      <c r="J1495"/>
      <c r="K1495"/>
      <c r="L1495"/>
      <c r="M1495"/>
      <c r="N1495"/>
      <c r="O1495"/>
      <c r="P1495"/>
      <c r="Q1495"/>
      <c r="R1495"/>
      <c r="S1495"/>
      <c r="T1495"/>
      <c r="U1495"/>
      <c r="V1495"/>
      <c r="W1495"/>
      <c r="X1495"/>
      <c r="Y1495"/>
      <c r="Z1495"/>
      <c r="AA1495"/>
      <c r="AB1495"/>
      <c r="AC1495"/>
      <c r="AD1495"/>
      <c r="AE1495"/>
      <c r="AF1495"/>
      <c r="AG1495"/>
      <c r="AH1495"/>
      <c r="AI1495"/>
      <c r="AJ1495"/>
      <c r="AK1495"/>
      <c r="AL1495"/>
      <c r="AM1495"/>
      <c r="AN1495"/>
      <c r="AO1495"/>
      <c r="AP1495"/>
      <c r="AQ1495"/>
      <c r="AR1495"/>
    </row>
    <row r="1496" spans="3:44" ht="15" customHeight="1">
      <c r="C1496"/>
      <c r="D1496"/>
      <c r="E1496"/>
      <c r="F1496"/>
      <c r="G1496"/>
      <c r="H1496"/>
      <c r="I1496"/>
      <c r="J1496"/>
      <c r="K1496"/>
      <c r="L1496"/>
      <c r="M1496"/>
      <c r="N1496"/>
      <c r="O1496"/>
      <c r="P1496"/>
      <c r="Q1496"/>
      <c r="R1496"/>
      <c r="S1496"/>
      <c r="T1496"/>
      <c r="U1496"/>
      <c r="V1496"/>
      <c r="W1496"/>
      <c r="X1496"/>
      <c r="Y1496"/>
      <c r="Z1496"/>
      <c r="AA1496"/>
      <c r="AB1496"/>
      <c r="AC1496"/>
      <c r="AD1496"/>
      <c r="AE1496"/>
      <c r="AF1496"/>
      <c r="AG1496"/>
      <c r="AH1496"/>
      <c r="AI1496"/>
      <c r="AJ1496"/>
      <c r="AK1496"/>
      <c r="AL1496"/>
      <c r="AM1496"/>
      <c r="AN1496"/>
      <c r="AO1496"/>
      <c r="AP1496"/>
      <c r="AQ1496"/>
      <c r="AR1496"/>
    </row>
    <row r="1497" spans="3:44" ht="15" customHeight="1">
      <c r="C1497"/>
      <c r="D1497"/>
      <c r="E1497"/>
      <c r="F1497"/>
      <c r="G1497"/>
      <c r="H1497"/>
      <c r="I1497"/>
      <c r="J1497"/>
      <c r="K1497"/>
      <c r="L1497"/>
      <c r="M1497"/>
      <c r="N1497"/>
      <c r="O1497"/>
      <c r="P1497"/>
      <c r="Q1497"/>
      <c r="R1497"/>
      <c r="S1497"/>
      <c r="T1497"/>
      <c r="U1497"/>
      <c r="V1497"/>
      <c r="W1497"/>
      <c r="X1497"/>
      <c r="Y1497"/>
      <c r="Z1497"/>
      <c r="AA1497"/>
      <c r="AB1497"/>
      <c r="AC1497"/>
      <c r="AD1497"/>
      <c r="AE1497"/>
      <c r="AF1497"/>
      <c r="AG1497"/>
      <c r="AH1497"/>
      <c r="AI1497"/>
      <c r="AJ1497"/>
      <c r="AK1497"/>
      <c r="AL1497"/>
      <c r="AM1497"/>
      <c r="AN1497"/>
      <c r="AO1497"/>
      <c r="AP1497"/>
      <c r="AQ1497"/>
      <c r="AR1497"/>
    </row>
    <row r="1498" spans="3:44" ht="15" customHeight="1">
      <c r="C1498"/>
      <c r="D1498"/>
      <c r="E1498"/>
      <c r="F1498"/>
      <c r="G1498"/>
      <c r="H1498"/>
      <c r="I1498"/>
      <c r="J1498"/>
      <c r="K1498"/>
      <c r="L1498"/>
      <c r="M1498"/>
      <c r="N1498"/>
      <c r="O1498"/>
      <c r="P1498"/>
      <c r="Q1498"/>
      <c r="R1498"/>
      <c r="S1498"/>
      <c r="T1498"/>
      <c r="U1498"/>
      <c r="V1498"/>
      <c r="W1498"/>
      <c r="X1498"/>
      <c r="Y1498"/>
      <c r="Z1498"/>
      <c r="AA1498"/>
      <c r="AB1498"/>
      <c r="AC1498"/>
      <c r="AD1498"/>
      <c r="AE1498"/>
      <c r="AF1498"/>
      <c r="AG1498"/>
      <c r="AH1498"/>
      <c r="AI1498"/>
      <c r="AJ1498"/>
      <c r="AK1498"/>
      <c r="AL1498"/>
      <c r="AM1498"/>
      <c r="AN1498"/>
      <c r="AO1498"/>
      <c r="AP1498"/>
      <c r="AQ1498"/>
      <c r="AR1498"/>
    </row>
    <row r="1499" spans="3:44" ht="15" customHeight="1">
      <c r="C1499"/>
      <c r="D1499"/>
      <c r="E1499"/>
      <c r="F1499"/>
      <c r="G1499"/>
      <c r="H1499"/>
      <c r="I1499"/>
      <c r="J1499"/>
      <c r="K1499"/>
      <c r="L1499"/>
      <c r="M1499"/>
      <c r="N1499"/>
      <c r="O1499"/>
      <c r="P1499"/>
      <c r="Q1499"/>
      <c r="R1499"/>
      <c r="S1499"/>
      <c r="T1499"/>
      <c r="U1499"/>
      <c r="V1499"/>
      <c r="W1499"/>
      <c r="X1499"/>
      <c r="Y1499"/>
      <c r="Z1499"/>
      <c r="AA1499"/>
      <c r="AB1499"/>
      <c r="AC1499"/>
      <c r="AD1499"/>
      <c r="AE1499"/>
      <c r="AF1499"/>
      <c r="AG1499"/>
      <c r="AH1499"/>
      <c r="AI1499"/>
      <c r="AJ1499"/>
      <c r="AK1499"/>
      <c r="AL1499"/>
      <c r="AM1499"/>
      <c r="AN1499"/>
      <c r="AO1499"/>
      <c r="AP1499"/>
      <c r="AQ1499"/>
      <c r="AR1499"/>
    </row>
    <row r="1500" spans="3:44" ht="15" customHeight="1">
      <c r="C1500"/>
      <c r="D1500"/>
      <c r="E1500"/>
      <c r="F1500"/>
      <c r="G1500"/>
      <c r="H1500"/>
      <c r="I1500"/>
      <c r="J1500"/>
      <c r="K1500"/>
      <c r="L1500"/>
      <c r="M1500"/>
      <c r="N1500"/>
      <c r="O1500"/>
      <c r="P1500"/>
      <c r="Q1500"/>
      <c r="R1500"/>
      <c r="S1500"/>
      <c r="T1500"/>
      <c r="U1500"/>
      <c r="V1500"/>
      <c r="W1500"/>
      <c r="X1500"/>
      <c r="Y1500"/>
      <c r="Z1500"/>
      <c r="AA1500"/>
      <c r="AB1500"/>
      <c r="AC1500"/>
      <c r="AD1500"/>
      <c r="AE1500"/>
      <c r="AF1500"/>
      <c r="AG1500"/>
      <c r="AH1500"/>
      <c r="AI1500"/>
      <c r="AJ1500"/>
      <c r="AK1500"/>
      <c r="AL1500"/>
      <c r="AM1500"/>
      <c r="AN1500"/>
      <c r="AO1500"/>
      <c r="AP1500"/>
      <c r="AQ1500"/>
      <c r="AR1500"/>
    </row>
    <row r="1501" spans="3:44" ht="15" customHeight="1">
      <c r="C1501"/>
      <c r="D1501"/>
      <c r="E1501"/>
      <c r="F1501"/>
      <c r="G1501"/>
      <c r="H1501"/>
      <c r="I1501"/>
      <c r="J1501"/>
      <c r="K1501"/>
      <c r="L1501"/>
      <c r="M1501"/>
      <c r="N1501"/>
      <c r="O1501"/>
      <c r="P1501"/>
      <c r="Q1501"/>
      <c r="R1501"/>
      <c r="S1501"/>
      <c r="T1501"/>
      <c r="U1501"/>
      <c r="V1501"/>
      <c r="W1501"/>
      <c r="X1501"/>
      <c r="Y1501"/>
      <c r="Z1501"/>
      <c r="AA1501"/>
      <c r="AB1501"/>
      <c r="AC1501"/>
      <c r="AD1501"/>
      <c r="AE1501"/>
      <c r="AF1501"/>
      <c r="AG1501"/>
      <c r="AH1501"/>
      <c r="AI1501"/>
      <c r="AJ1501"/>
      <c r="AK1501"/>
      <c r="AL1501"/>
      <c r="AM1501"/>
      <c r="AN1501"/>
      <c r="AO1501"/>
      <c r="AP1501"/>
      <c r="AQ1501"/>
      <c r="AR1501"/>
    </row>
    <row r="1502" spans="3:44" ht="15" customHeight="1">
      <c r="C1502"/>
      <c r="D1502"/>
      <c r="E1502"/>
      <c r="F1502"/>
      <c r="G1502"/>
      <c r="H1502"/>
      <c r="I1502"/>
      <c r="J1502"/>
      <c r="K1502"/>
      <c r="L1502"/>
      <c r="M1502"/>
      <c r="N1502"/>
      <c r="O1502"/>
      <c r="P1502"/>
      <c r="Q1502"/>
      <c r="R1502"/>
      <c r="S1502"/>
      <c r="T1502"/>
      <c r="U1502"/>
      <c r="V1502"/>
      <c r="W1502"/>
      <c r="X1502"/>
      <c r="Y1502"/>
      <c r="Z1502"/>
      <c r="AA1502"/>
      <c r="AB1502"/>
      <c r="AC1502"/>
      <c r="AD1502"/>
      <c r="AE1502"/>
      <c r="AF1502"/>
      <c r="AG1502"/>
      <c r="AH1502"/>
      <c r="AI1502"/>
      <c r="AJ1502"/>
      <c r="AK1502"/>
      <c r="AL1502"/>
      <c r="AM1502"/>
      <c r="AN1502"/>
      <c r="AO1502"/>
      <c r="AP1502"/>
      <c r="AQ1502"/>
      <c r="AR1502"/>
    </row>
    <row r="1503" spans="3:44" ht="15" customHeight="1">
      <c r="C1503"/>
      <c r="D1503"/>
      <c r="E1503"/>
      <c r="F1503"/>
      <c r="G1503"/>
      <c r="H1503"/>
      <c r="I1503"/>
      <c r="J1503"/>
      <c r="K1503"/>
      <c r="L1503"/>
      <c r="M1503"/>
      <c r="N1503"/>
      <c r="O1503"/>
      <c r="P1503"/>
      <c r="Q1503"/>
      <c r="R1503"/>
      <c r="S1503"/>
      <c r="T1503"/>
      <c r="U1503"/>
      <c r="V1503"/>
      <c r="W1503"/>
      <c r="X1503"/>
      <c r="Y1503"/>
      <c r="Z1503"/>
      <c r="AA1503"/>
      <c r="AB1503"/>
      <c r="AC1503"/>
      <c r="AD1503"/>
      <c r="AE1503"/>
      <c r="AF1503"/>
      <c r="AG1503"/>
      <c r="AH1503"/>
      <c r="AI1503"/>
      <c r="AJ1503"/>
      <c r="AK1503"/>
      <c r="AL1503"/>
      <c r="AM1503"/>
      <c r="AN1503"/>
      <c r="AO1503"/>
      <c r="AP1503"/>
      <c r="AQ1503"/>
      <c r="AR1503"/>
    </row>
    <row r="1504" spans="3:44" ht="15" customHeight="1">
      <c r="C1504"/>
      <c r="D1504"/>
      <c r="E1504"/>
      <c r="F1504"/>
      <c r="G1504"/>
      <c r="H1504"/>
      <c r="I1504"/>
      <c r="J1504"/>
      <c r="K1504"/>
      <c r="L1504"/>
      <c r="M1504"/>
      <c r="N1504"/>
      <c r="O1504"/>
      <c r="P1504"/>
      <c r="Q1504"/>
      <c r="R1504"/>
      <c r="S1504"/>
      <c r="T1504"/>
      <c r="U1504"/>
      <c r="V1504"/>
      <c r="W1504"/>
      <c r="X1504"/>
      <c r="Y1504"/>
      <c r="Z1504"/>
      <c r="AA1504"/>
      <c r="AB1504"/>
      <c r="AC1504"/>
      <c r="AD1504"/>
      <c r="AE1504"/>
      <c r="AF1504"/>
      <c r="AG1504"/>
      <c r="AH1504"/>
      <c r="AI1504"/>
      <c r="AJ1504"/>
      <c r="AK1504"/>
      <c r="AL1504"/>
      <c r="AM1504"/>
      <c r="AN1504"/>
      <c r="AO1504"/>
      <c r="AP1504"/>
      <c r="AQ1504"/>
      <c r="AR1504"/>
    </row>
    <row r="1505" spans="3:44" ht="15" customHeight="1">
      <c r="C1505"/>
      <c r="D1505"/>
      <c r="E1505"/>
      <c r="F1505"/>
      <c r="G1505"/>
      <c r="H1505"/>
      <c r="I1505"/>
      <c r="J1505"/>
      <c r="K1505"/>
      <c r="L1505"/>
      <c r="M1505"/>
      <c r="N1505"/>
      <c r="O1505"/>
      <c r="P1505"/>
      <c r="Q1505"/>
      <c r="R1505"/>
      <c r="S1505"/>
      <c r="T1505"/>
      <c r="U1505"/>
      <c r="V1505"/>
      <c r="W1505"/>
      <c r="X1505"/>
      <c r="Y1505"/>
      <c r="Z1505"/>
      <c r="AA1505"/>
      <c r="AB1505"/>
      <c r="AC1505"/>
      <c r="AD1505"/>
      <c r="AE1505"/>
      <c r="AF1505"/>
      <c r="AG1505"/>
      <c r="AH1505"/>
      <c r="AI1505"/>
      <c r="AJ1505"/>
      <c r="AK1505"/>
      <c r="AL1505"/>
      <c r="AM1505"/>
      <c r="AN1505"/>
      <c r="AO1505"/>
      <c r="AP1505"/>
      <c r="AQ1505"/>
      <c r="AR1505"/>
    </row>
    <row r="1506" spans="3:44" ht="15" customHeight="1">
      <c r="C1506"/>
      <c r="D1506"/>
      <c r="E1506"/>
      <c r="F1506"/>
      <c r="G1506"/>
      <c r="H1506"/>
      <c r="I1506"/>
      <c r="J1506"/>
      <c r="K1506"/>
      <c r="L1506"/>
      <c r="M1506"/>
      <c r="N1506"/>
      <c r="O1506"/>
      <c r="P1506"/>
      <c r="Q1506"/>
      <c r="R1506"/>
      <c r="S1506"/>
      <c r="T1506"/>
      <c r="U1506"/>
      <c r="V1506"/>
      <c r="W1506"/>
      <c r="X1506"/>
      <c r="Y1506"/>
      <c r="Z1506"/>
      <c r="AA1506"/>
      <c r="AB1506"/>
      <c r="AC1506"/>
      <c r="AD1506"/>
      <c r="AE1506"/>
      <c r="AF1506"/>
      <c r="AG1506"/>
      <c r="AH1506"/>
      <c r="AI1506"/>
      <c r="AJ1506"/>
      <c r="AK1506"/>
      <c r="AL1506"/>
      <c r="AM1506"/>
      <c r="AN1506"/>
      <c r="AO1506"/>
      <c r="AP1506"/>
      <c r="AQ1506"/>
      <c r="AR1506"/>
    </row>
    <row r="1507" spans="3:44" ht="15" customHeight="1">
      <c r="C1507"/>
      <c r="D1507"/>
      <c r="E1507"/>
      <c r="F1507"/>
      <c r="G1507"/>
      <c r="H1507"/>
      <c r="I1507"/>
      <c r="J1507"/>
      <c r="K1507"/>
      <c r="L1507"/>
      <c r="M1507"/>
      <c r="N1507"/>
      <c r="O1507"/>
      <c r="P1507"/>
      <c r="Q1507"/>
      <c r="R1507"/>
      <c r="S1507"/>
      <c r="T1507"/>
      <c r="U1507"/>
      <c r="V1507"/>
      <c r="W1507"/>
      <c r="X1507"/>
      <c r="Y1507"/>
      <c r="Z1507"/>
      <c r="AA1507"/>
      <c r="AB1507"/>
      <c r="AC1507"/>
      <c r="AD1507"/>
      <c r="AE1507"/>
      <c r="AF1507"/>
      <c r="AG1507"/>
      <c r="AH1507"/>
      <c r="AI1507"/>
      <c r="AJ1507"/>
      <c r="AK1507"/>
      <c r="AL1507"/>
      <c r="AM1507"/>
      <c r="AN1507"/>
      <c r="AO1507"/>
      <c r="AP1507"/>
      <c r="AQ1507"/>
      <c r="AR1507"/>
    </row>
    <row r="1508" spans="3:44" ht="15" customHeight="1">
      <c r="C1508"/>
      <c r="D1508"/>
      <c r="E1508"/>
      <c r="F1508"/>
      <c r="G1508"/>
      <c r="H1508"/>
      <c r="I1508"/>
      <c r="J1508"/>
      <c r="K1508"/>
      <c r="L1508"/>
      <c r="M1508"/>
      <c r="N1508"/>
      <c r="O1508"/>
      <c r="P1508"/>
      <c r="Q1508"/>
      <c r="R1508"/>
      <c r="S1508"/>
      <c r="T1508"/>
      <c r="U1508"/>
      <c r="V1508"/>
      <c r="W1508"/>
      <c r="X1508"/>
      <c r="Y1508"/>
      <c r="Z1508"/>
      <c r="AA1508"/>
      <c r="AB1508"/>
      <c r="AC1508"/>
      <c r="AD1508"/>
      <c r="AE1508"/>
      <c r="AF1508"/>
      <c r="AG1508"/>
      <c r="AH1508"/>
      <c r="AI1508"/>
      <c r="AJ1508"/>
      <c r="AK1508"/>
      <c r="AL1508"/>
      <c r="AM1508"/>
      <c r="AN1508"/>
      <c r="AO1508"/>
      <c r="AP1508"/>
      <c r="AQ1508"/>
      <c r="AR1508"/>
    </row>
    <row r="1509" spans="3:44" ht="15" customHeight="1">
      <c r="C1509"/>
      <c r="D1509"/>
      <c r="E1509"/>
      <c r="F1509"/>
      <c r="G1509"/>
      <c r="H1509"/>
      <c r="I1509"/>
      <c r="J1509"/>
      <c r="K1509"/>
      <c r="L1509"/>
      <c r="M1509"/>
      <c r="N1509"/>
      <c r="O1509"/>
      <c r="P1509"/>
      <c r="Q1509"/>
      <c r="R1509"/>
      <c r="S1509"/>
      <c r="T1509"/>
      <c r="U1509"/>
      <c r="V1509"/>
      <c r="W1509"/>
      <c r="X1509"/>
      <c r="Y1509"/>
      <c r="Z1509"/>
      <c r="AA1509"/>
      <c r="AB1509"/>
      <c r="AC1509"/>
      <c r="AD1509"/>
      <c r="AE1509"/>
      <c r="AF1509"/>
      <c r="AG1509"/>
      <c r="AH1509"/>
      <c r="AI1509"/>
      <c r="AJ1509"/>
      <c r="AK1509"/>
      <c r="AL1509"/>
      <c r="AM1509"/>
      <c r="AN1509"/>
      <c r="AO1509"/>
      <c r="AP1509"/>
      <c r="AQ1509"/>
      <c r="AR1509"/>
    </row>
    <row r="1510" spans="3:44" ht="15" customHeight="1">
      <c r="C1510"/>
      <c r="D1510"/>
      <c r="E1510"/>
      <c r="F1510"/>
      <c r="G1510"/>
      <c r="H1510"/>
      <c r="I1510"/>
      <c r="J1510"/>
      <c r="K1510"/>
      <c r="L1510"/>
      <c r="M1510"/>
      <c r="N1510"/>
      <c r="O1510"/>
      <c r="P1510"/>
      <c r="Q1510"/>
      <c r="R1510"/>
      <c r="S1510"/>
      <c r="T1510"/>
      <c r="U1510"/>
      <c r="V1510"/>
      <c r="W1510"/>
      <c r="X1510"/>
      <c r="Y1510"/>
      <c r="Z1510"/>
      <c r="AA1510"/>
      <c r="AB1510"/>
      <c r="AC1510"/>
      <c r="AD1510"/>
      <c r="AE1510"/>
      <c r="AF1510"/>
      <c r="AG1510"/>
      <c r="AH1510"/>
      <c r="AI1510"/>
      <c r="AJ1510"/>
      <c r="AK1510"/>
      <c r="AL1510"/>
      <c r="AM1510"/>
      <c r="AN1510"/>
      <c r="AO1510"/>
      <c r="AP1510"/>
      <c r="AQ1510"/>
      <c r="AR1510"/>
    </row>
    <row r="1511" spans="3:44" ht="15" customHeight="1">
      <c r="C1511"/>
      <c r="D1511"/>
      <c r="E1511"/>
      <c r="F1511"/>
      <c r="G1511"/>
      <c r="H1511"/>
      <c r="I1511"/>
      <c r="J1511"/>
      <c r="K1511"/>
      <c r="L1511"/>
      <c r="M1511"/>
      <c r="N1511"/>
      <c r="O1511"/>
      <c r="P1511"/>
      <c r="Q1511"/>
      <c r="R1511"/>
      <c r="S1511"/>
      <c r="T1511"/>
      <c r="U1511"/>
      <c r="V1511"/>
      <c r="W1511"/>
      <c r="X1511"/>
      <c r="Y1511"/>
      <c r="Z1511"/>
      <c r="AA1511"/>
      <c r="AB1511"/>
      <c r="AC1511"/>
      <c r="AD1511"/>
      <c r="AE1511"/>
      <c r="AF1511"/>
      <c r="AG1511"/>
      <c r="AH1511"/>
      <c r="AI1511"/>
      <c r="AJ1511"/>
      <c r="AK1511"/>
      <c r="AL1511"/>
      <c r="AM1511"/>
      <c r="AN1511"/>
      <c r="AO1511"/>
      <c r="AP1511"/>
      <c r="AQ1511"/>
      <c r="AR1511"/>
    </row>
    <row r="1512" spans="3:44" ht="15" customHeight="1">
      <c r="C1512"/>
      <c r="D1512"/>
      <c r="E1512"/>
      <c r="F1512"/>
      <c r="G1512"/>
      <c r="H1512"/>
      <c r="I1512"/>
      <c r="J1512"/>
      <c r="K1512"/>
      <c r="L1512"/>
      <c r="M1512"/>
      <c r="N1512"/>
      <c r="O1512"/>
      <c r="P1512"/>
      <c r="Q1512"/>
      <c r="R1512"/>
      <c r="S1512"/>
      <c r="T1512"/>
      <c r="U1512"/>
      <c r="V1512"/>
      <c r="W1512"/>
      <c r="X1512"/>
      <c r="Y1512"/>
      <c r="Z1512"/>
      <c r="AA1512"/>
      <c r="AB1512"/>
      <c r="AC1512"/>
      <c r="AD1512"/>
      <c r="AE1512"/>
      <c r="AF1512"/>
      <c r="AG1512"/>
      <c r="AH1512"/>
      <c r="AI1512"/>
      <c r="AJ1512"/>
      <c r="AK1512"/>
      <c r="AL1512"/>
      <c r="AM1512"/>
      <c r="AN1512"/>
      <c r="AO1512"/>
      <c r="AP1512"/>
      <c r="AQ1512"/>
      <c r="AR1512"/>
    </row>
    <row r="1513" spans="3:44" ht="15" customHeight="1">
      <c r="C1513"/>
      <c r="D1513"/>
      <c r="E1513"/>
      <c r="F1513"/>
      <c r="G1513"/>
      <c r="H1513"/>
      <c r="I1513"/>
      <c r="J1513"/>
      <c r="K1513"/>
      <c r="L1513"/>
      <c r="M1513"/>
      <c r="N1513"/>
      <c r="O1513"/>
      <c r="P1513"/>
      <c r="Q1513"/>
      <c r="R1513"/>
      <c r="S1513"/>
      <c r="T1513"/>
      <c r="U1513"/>
      <c r="V1513"/>
      <c r="W1513"/>
      <c r="X1513"/>
      <c r="Y1513"/>
      <c r="Z1513"/>
      <c r="AA1513"/>
      <c r="AB1513"/>
      <c r="AC1513"/>
      <c r="AD1513"/>
      <c r="AE1513"/>
      <c r="AF1513"/>
      <c r="AG1513"/>
      <c r="AH1513"/>
      <c r="AI1513"/>
      <c r="AJ1513"/>
      <c r="AK1513"/>
      <c r="AL1513"/>
      <c r="AM1513"/>
      <c r="AN1513"/>
      <c r="AO1513"/>
      <c r="AP1513"/>
      <c r="AQ1513"/>
      <c r="AR1513"/>
    </row>
    <row r="1514" spans="3:44" ht="15" customHeight="1">
      <c r="C1514"/>
      <c r="D1514"/>
      <c r="E1514"/>
      <c r="F1514"/>
      <c r="G1514"/>
      <c r="H1514"/>
      <c r="I1514"/>
      <c r="J1514"/>
      <c r="K1514"/>
      <c r="L1514"/>
      <c r="M1514"/>
      <c r="N1514"/>
      <c r="O1514"/>
      <c r="P1514"/>
      <c r="Q1514"/>
      <c r="R1514"/>
      <c r="S1514"/>
      <c r="T1514"/>
      <c r="U1514"/>
      <c r="V1514"/>
      <c r="W1514"/>
      <c r="X1514"/>
      <c r="Y1514"/>
      <c r="Z1514"/>
      <c r="AA1514"/>
      <c r="AB1514"/>
      <c r="AC1514"/>
      <c r="AD1514"/>
      <c r="AE1514"/>
      <c r="AF1514"/>
      <c r="AG1514"/>
      <c r="AH1514"/>
      <c r="AI1514"/>
      <c r="AJ1514"/>
      <c r="AK1514"/>
      <c r="AL1514"/>
      <c r="AM1514"/>
      <c r="AN1514"/>
      <c r="AO1514"/>
      <c r="AP1514"/>
      <c r="AQ1514"/>
      <c r="AR1514"/>
    </row>
    <row r="1515" spans="3:44" ht="15" customHeight="1">
      <c r="C1515"/>
      <c r="D1515"/>
      <c r="E1515"/>
      <c r="F1515"/>
      <c r="G1515"/>
      <c r="H1515"/>
      <c r="I1515"/>
      <c r="J1515"/>
      <c r="K1515"/>
      <c r="L1515"/>
      <c r="M1515"/>
      <c r="N1515"/>
      <c r="O1515"/>
      <c r="P1515"/>
      <c r="Q1515"/>
      <c r="R1515"/>
      <c r="S1515"/>
      <c r="T1515"/>
      <c r="U1515"/>
      <c r="V1515"/>
      <c r="W1515"/>
      <c r="X1515"/>
      <c r="Y1515"/>
      <c r="Z1515"/>
      <c r="AA1515"/>
      <c r="AB1515"/>
      <c r="AC1515"/>
      <c r="AD1515"/>
      <c r="AE1515"/>
      <c r="AF1515"/>
      <c r="AG1515"/>
      <c r="AH1515"/>
      <c r="AI1515"/>
      <c r="AJ1515"/>
      <c r="AK1515"/>
      <c r="AL1515"/>
      <c r="AM1515"/>
      <c r="AN1515"/>
      <c r="AO1515"/>
      <c r="AP1515"/>
      <c r="AQ1515"/>
      <c r="AR1515"/>
    </row>
    <row r="1516" spans="3:44" ht="15" customHeight="1">
      <c r="C1516"/>
      <c r="D1516"/>
      <c r="E1516"/>
      <c r="F1516"/>
      <c r="G1516"/>
      <c r="H1516"/>
      <c r="I1516"/>
      <c r="J1516"/>
      <c r="K1516"/>
      <c r="L1516"/>
      <c r="M1516"/>
      <c r="N1516"/>
      <c r="O1516"/>
      <c r="P1516"/>
      <c r="Q1516"/>
      <c r="R1516"/>
      <c r="S1516"/>
      <c r="T1516"/>
      <c r="U1516"/>
      <c r="V1516"/>
      <c r="W1516"/>
      <c r="X1516"/>
      <c r="Y1516"/>
      <c r="Z1516"/>
      <c r="AA1516"/>
      <c r="AB1516"/>
      <c r="AC1516"/>
      <c r="AD1516"/>
      <c r="AE1516"/>
      <c r="AF1516"/>
      <c r="AG1516"/>
      <c r="AH1516"/>
      <c r="AI1516"/>
      <c r="AJ1516"/>
      <c r="AK1516"/>
      <c r="AL1516"/>
      <c r="AM1516"/>
      <c r="AN1516"/>
      <c r="AO1516"/>
      <c r="AP1516"/>
      <c r="AQ1516"/>
      <c r="AR1516"/>
    </row>
    <row r="1517" spans="3:44" ht="15" customHeight="1">
      <c r="C1517"/>
      <c r="D1517"/>
      <c r="E1517"/>
      <c r="F1517"/>
      <c r="G1517"/>
      <c r="H1517"/>
      <c r="I1517"/>
      <c r="J1517"/>
      <c r="K1517"/>
      <c r="L1517"/>
      <c r="M1517"/>
      <c r="N1517"/>
      <c r="O1517"/>
      <c r="P1517"/>
      <c r="Q1517"/>
      <c r="R1517"/>
      <c r="S1517"/>
      <c r="T1517"/>
      <c r="U1517"/>
      <c r="V1517"/>
      <c r="W1517"/>
      <c r="X1517"/>
      <c r="Y1517"/>
      <c r="Z1517"/>
      <c r="AA1517"/>
      <c r="AB1517"/>
      <c r="AC1517"/>
      <c r="AD1517"/>
      <c r="AE1517"/>
      <c r="AF1517"/>
      <c r="AG1517"/>
      <c r="AH1517"/>
      <c r="AI1517"/>
      <c r="AJ1517"/>
      <c r="AK1517"/>
      <c r="AL1517"/>
      <c r="AM1517"/>
      <c r="AN1517"/>
      <c r="AO1517"/>
      <c r="AP1517"/>
      <c r="AQ1517"/>
      <c r="AR1517"/>
    </row>
    <row r="1518" spans="3:44" ht="15" customHeight="1">
      <c r="C1518"/>
      <c r="D1518"/>
      <c r="E1518"/>
      <c r="F1518"/>
      <c r="G1518"/>
      <c r="H1518"/>
      <c r="I1518"/>
      <c r="J1518"/>
      <c r="K1518"/>
      <c r="L1518"/>
      <c r="M1518"/>
      <c r="N1518"/>
      <c r="O1518"/>
      <c r="P1518"/>
      <c r="Q1518"/>
      <c r="R1518"/>
      <c r="S1518"/>
      <c r="T1518"/>
      <c r="U1518"/>
      <c r="V1518"/>
      <c r="W1518"/>
      <c r="X1518"/>
      <c r="Y1518"/>
      <c r="Z1518"/>
      <c r="AA1518"/>
      <c r="AB1518"/>
      <c r="AC1518"/>
      <c r="AD1518"/>
      <c r="AE1518"/>
      <c r="AF1518"/>
      <c r="AG1518"/>
      <c r="AH1518"/>
      <c r="AI1518"/>
      <c r="AJ1518"/>
      <c r="AK1518"/>
      <c r="AL1518"/>
      <c r="AM1518"/>
      <c r="AN1518"/>
      <c r="AO1518"/>
      <c r="AP1518"/>
      <c r="AQ1518"/>
      <c r="AR1518"/>
    </row>
    <row r="1519" spans="3:44" ht="15" customHeight="1">
      <c r="C1519"/>
      <c r="D1519"/>
      <c r="E1519"/>
      <c r="F1519"/>
      <c r="G1519"/>
      <c r="H1519"/>
      <c r="I1519"/>
      <c r="J1519"/>
      <c r="K1519"/>
      <c r="L1519"/>
      <c r="M1519"/>
      <c r="N1519"/>
      <c r="O1519"/>
      <c r="P1519"/>
      <c r="Q1519"/>
      <c r="R1519"/>
      <c r="S1519"/>
      <c r="T1519"/>
      <c r="U1519"/>
      <c r="V1519"/>
      <c r="W1519"/>
      <c r="X1519"/>
      <c r="Y1519"/>
      <c r="Z1519"/>
      <c r="AA1519"/>
      <c r="AB1519"/>
      <c r="AC1519"/>
      <c r="AD1519"/>
      <c r="AE1519"/>
      <c r="AF1519"/>
      <c r="AG1519"/>
      <c r="AH1519"/>
      <c r="AI1519"/>
      <c r="AJ1519"/>
      <c r="AK1519"/>
      <c r="AL1519"/>
      <c r="AM1519"/>
      <c r="AN1519"/>
      <c r="AO1519"/>
      <c r="AP1519"/>
      <c r="AQ1519"/>
      <c r="AR1519"/>
    </row>
    <row r="1520" spans="3:44" ht="15" customHeight="1">
      <c r="C1520"/>
      <c r="D1520"/>
      <c r="E1520"/>
      <c r="F1520"/>
      <c r="G1520"/>
      <c r="H1520"/>
      <c r="I1520"/>
      <c r="J1520"/>
      <c r="K1520"/>
      <c r="L1520"/>
      <c r="M1520"/>
      <c r="N1520"/>
      <c r="O1520"/>
      <c r="P1520"/>
      <c r="Q1520"/>
      <c r="R1520"/>
      <c r="S1520"/>
      <c r="T1520"/>
      <c r="U1520"/>
      <c r="V1520"/>
      <c r="W1520"/>
      <c r="X1520"/>
      <c r="Y1520"/>
      <c r="Z1520"/>
      <c r="AA1520"/>
      <c r="AB1520"/>
      <c r="AC1520"/>
      <c r="AD1520"/>
      <c r="AE1520"/>
      <c r="AF1520"/>
      <c r="AG1520"/>
      <c r="AH1520"/>
      <c r="AI1520"/>
      <c r="AJ1520"/>
      <c r="AK1520"/>
      <c r="AL1520"/>
      <c r="AM1520"/>
      <c r="AN1520"/>
      <c r="AO1520"/>
      <c r="AP1520"/>
      <c r="AQ1520"/>
      <c r="AR1520"/>
    </row>
    <row r="1521" spans="3:44" ht="15" customHeight="1">
      <c r="C1521"/>
      <c r="D1521"/>
      <c r="E1521"/>
      <c r="F1521"/>
      <c r="G1521"/>
      <c r="H1521"/>
      <c r="I1521"/>
      <c r="J1521"/>
      <c r="K1521"/>
      <c r="L1521"/>
      <c r="M1521"/>
      <c r="N1521"/>
      <c r="O1521"/>
      <c r="P1521"/>
      <c r="Q1521"/>
      <c r="R1521"/>
      <c r="S1521"/>
      <c r="T1521"/>
      <c r="U1521"/>
      <c r="V1521"/>
      <c r="W1521"/>
      <c r="X1521"/>
      <c r="Y1521"/>
      <c r="Z1521"/>
      <c r="AA1521"/>
      <c r="AB1521"/>
      <c r="AC1521"/>
      <c r="AD1521"/>
      <c r="AE1521"/>
      <c r="AF1521"/>
      <c r="AG1521"/>
      <c r="AH1521"/>
      <c r="AI1521"/>
      <c r="AJ1521"/>
      <c r="AK1521"/>
      <c r="AL1521"/>
      <c r="AM1521"/>
      <c r="AN1521"/>
      <c r="AO1521"/>
      <c r="AP1521"/>
      <c r="AQ1521"/>
      <c r="AR1521"/>
    </row>
    <row r="1522" spans="3:44" ht="15" customHeight="1">
      <c r="C1522"/>
      <c r="D1522"/>
      <c r="E1522"/>
      <c r="F1522"/>
      <c r="G1522"/>
      <c r="H1522"/>
      <c r="I1522"/>
      <c r="J1522"/>
      <c r="K1522"/>
      <c r="L1522"/>
      <c r="M1522"/>
      <c r="N1522"/>
      <c r="O1522"/>
      <c r="P1522"/>
      <c r="Q1522"/>
      <c r="R1522"/>
      <c r="S1522"/>
      <c r="T1522"/>
      <c r="U1522"/>
      <c r="V1522"/>
      <c r="W1522"/>
      <c r="X1522"/>
      <c r="Y1522"/>
      <c r="Z1522"/>
      <c r="AA1522"/>
      <c r="AB1522"/>
      <c r="AC1522"/>
      <c r="AD1522"/>
      <c r="AE1522"/>
      <c r="AF1522"/>
      <c r="AG1522"/>
      <c r="AH1522"/>
      <c r="AI1522"/>
      <c r="AJ1522"/>
      <c r="AK1522"/>
      <c r="AL1522"/>
      <c r="AM1522"/>
      <c r="AN1522"/>
      <c r="AO1522"/>
      <c r="AP1522"/>
      <c r="AQ1522"/>
      <c r="AR1522"/>
    </row>
    <row r="1523" spans="3:44" ht="15" customHeight="1">
      <c r="C1523"/>
      <c r="D1523"/>
      <c r="E1523"/>
      <c r="F1523"/>
      <c r="G1523"/>
      <c r="H1523"/>
      <c r="I1523"/>
      <c r="J1523"/>
      <c r="K1523"/>
      <c r="L1523"/>
      <c r="M1523"/>
      <c r="N1523"/>
      <c r="O1523"/>
      <c r="P1523"/>
      <c r="Q1523"/>
      <c r="R1523"/>
      <c r="S1523"/>
      <c r="T1523"/>
      <c r="U1523"/>
      <c r="V1523"/>
      <c r="W1523"/>
      <c r="X1523"/>
      <c r="Y1523"/>
      <c r="Z1523"/>
      <c r="AA1523"/>
      <c r="AB1523"/>
      <c r="AC1523"/>
      <c r="AD1523"/>
      <c r="AE1523"/>
      <c r="AF1523"/>
      <c r="AG1523"/>
      <c r="AH1523"/>
      <c r="AI1523"/>
      <c r="AJ1523"/>
      <c r="AK1523"/>
      <c r="AL1523"/>
      <c r="AM1523"/>
      <c r="AN1523"/>
      <c r="AO1523"/>
      <c r="AP1523"/>
      <c r="AQ1523"/>
      <c r="AR1523"/>
    </row>
    <row r="1524" spans="3:44" ht="15" customHeight="1">
      <c r="C1524"/>
      <c r="D1524"/>
      <c r="E1524"/>
      <c r="F1524"/>
      <c r="G1524"/>
      <c r="H1524"/>
      <c r="I1524"/>
      <c r="J1524"/>
      <c r="K1524"/>
      <c r="L1524"/>
      <c r="M1524"/>
      <c r="N1524"/>
      <c r="O1524"/>
      <c r="P1524"/>
      <c r="Q1524"/>
      <c r="R1524"/>
      <c r="S1524"/>
      <c r="T1524"/>
      <c r="U1524"/>
      <c r="V1524"/>
      <c r="W1524"/>
      <c r="X1524"/>
      <c r="Y1524"/>
      <c r="Z1524"/>
      <c r="AA1524"/>
      <c r="AB1524"/>
      <c r="AC1524"/>
      <c r="AD1524"/>
      <c r="AE1524"/>
      <c r="AF1524"/>
      <c r="AG1524"/>
      <c r="AH1524"/>
      <c r="AI1524"/>
      <c r="AJ1524"/>
      <c r="AK1524"/>
      <c r="AL1524"/>
      <c r="AM1524"/>
      <c r="AN1524"/>
      <c r="AO1524"/>
      <c r="AP1524"/>
      <c r="AQ1524"/>
      <c r="AR1524"/>
    </row>
    <row r="1525" spans="3:44" ht="15" customHeight="1">
      <c r="C1525"/>
      <c r="D1525"/>
      <c r="E1525"/>
      <c r="F1525"/>
      <c r="G1525"/>
      <c r="H1525"/>
      <c r="I1525"/>
      <c r="J1525"/>
      <c r="K1525"/>
      <c r="L1525"/>
      <c r="M1525"/>
      <c r="N1525"/>
      <c r="O1525"/>
      <c r="P1525"/>
      <c r="Q1525"/>
      <c r="R1525"/>
      <c r="S1525"/>
      <c r="T1525"/>
      <c r="U1525"/>
      <c r="V1525"/>
      <c r="W1525"/>
      <c r="X1525"/>
      <c r="Y1525"/>
      <c r="Z1525"/>
      <c r="AA1525"/>
      <c r="AB1525"/>
      <c r="AC1525"/>
      <c r="AD1525"/>
      <c r="AE1525"/>
      <c r="AF1525"/>
      <c r="AG1525"/>
      <c r="AH1525"/>
      <c r="AI1525"/>
      <c r="AJ1525"/>
      <c r="AK1525"/>
      <c r="AL1525"/>
      <c r="AM1525"/>
      <c r="AN1525"/>
      <c r="AO1525"/>
      <c r="AP1525"/>
      <c r="AQ1525"/>
      <c r="AR1525"/>
    </row>
    <row r="1526" spans="3:44" ht="15" customHeight="1">
      <c r="C1526"/>
      <c r="D1526"/>
      <c r="E1526"/>
      <c r="F1526"/>
      <c r="G1526"/>
      <c r="H1526"/>
      <c r="I1526"/>
      <c r="J1526"/>
      <c r="K1526"/>
      <c r="L1526"/>
      <c r="M1526"/>
      <c r="N1526"/>
      <c r="O1526"/>
      <c r="P1526"/>
      <c r="Q1526"/>
      <c r="R1526"/>
      <c r="S1526"/>
      <c r="T1526"/>
      <c r="U1526"/>
      <c r="V1526"/>
      <c r="W1526"/>
      <c r="X1526"/>
      <c r="Y1526"/>
      <c r="Z1526"/>
      <c r="AA1526"/>
      <c r="AB1526"/>
      <c r="AC1526"/>
      <c r="AD1526"/>
      <c r="AE1526"/>
      <c r="AF1526"/>
      <c r="AG1526"/>
      <c r="AH1526"/>
      <c r="AI1526"/>
      <c r="AJ1526"/>
      <c r="AK1526"/>
      <c r="AL1526"/>
      <c r="AM1526"/>
      <c r="AN1526"/>
      <c r="AO1526"/>
      <c r="AP1526"/>
      <c r="AQ1526"/>
      <c r="AR1526"/>
    </row>
    <row r="1527" spans="3:44" ht="15" customHeight="1">
      <c r="C1527"/>
      <c r="D1527"/>
      <c r="E1527"/>
      <c r="F1527"/>
      <c r="G1527"/>
      <c r="H1527"/>
      <c r="I1527"/>
      <c r="J1527"/>
      <c r="K1527"/>
      <c r="L1527"/>
      <c r="M1527"/>
      <c r="N1527"/>
      <c r="O1527"/>
      <c r="P1527"/>
      <c r="Q1527"/>
      <c r="R1527"/>
      <c r="S1527"/>
      <c r="T1527"/>
      <c r="U1527"/>
      <c r="V1527"/>
      <c r="W1527"/>
      <c r="X1527"/>
      <c r="Y1527"/>
      <c r="Z1527"/>
      <c r="AA1527"/>
      <c r="AB1527"/>
      <c r="AC1527"/>
      <c r="AD1527"/>
      <c r="AE1527"/>
      <c r="AF1527"/>
      <c r="AG1527"/>
      <c r="AH1527"/>
      <c r="AI1527"/>
      <c r="AJ1527"/>
      <c r="AK1527"/>
      <c r="AL1527"/>
      <c r="AM1527"/>
      <c r="AN1527"/>
      <c r="AO1527"/>
      <c r="AP1527"/>
      <c r="AQ1527"/>
      <c r="AR1527"/>
    </row>
    <row r="1528" spans="3:44" ht="15" customHeight="1">
      <c r="C1528"/>
      <c r="D1528"/>
      <c r="E1528"/>
      <c r="F1528"/>
      <c r="G1528"/>
      <c r="H1528"/>
      <c r="I1528"/>
      <c r="J1528"/>
      <c r="K1528"/>
      <c r="L1528"/>
      <c r="M1528"/>
      <c r="N1528"/>
      <c r="O1528"/>
      <c r="P1528"/>
      <c r="Q1528"/>
      <c r="R1528"/>
      <c r="S1528"/>
      <c r="T1528"/>
      <c r="U1528"/>
      <c r="V1528"/>
      <c r="W1528"/>
      <c r="X1528"/>
      <c r="Y1528"/>
      <c r="Z1528"/>
      <c r="AA1528"/>
      <c r="AB1528"/>
      <c r="AC1528"/>
      <c r="AD1528"/>
      <c r="AE1528"/>
      <c r="AF1528"/>
      <c r="AG1528"/>
      <c r="AH1528"/>
      <c r="AI1528"/>
      <c r="AJ1528"/>
      <c r="AK1528"/>
      <c r="AL1528"/>
      <c r="AM1528"/>
      <c r="AN1528"/>
      <c r="AO1528"/>
      <c r="AP1528"/>
      <c r="AQ1528"/>
      <c r="AR1528"/>
    </row>
    <row r="1529" spans="3:44" ht="15" customHeight="1">
      <c r="C1529"/>
      <c r="D1529"/>
      <c r="E1529"/>
      <c r="F1529"/>
      <c r="G1529"/>
      <c r="H1529"/>
      <c r="I1529"/>
      <c r="J1529"/>
      <c r="K1529"/>
      <c r="L1529"/>
      <c r="M1529"/>
      <c r="N1529"/>
      <c r="O1529"/>
      <c r="P1529"/>
      <c r="Q1529"/>
      <c r="R1529"/>
      <c r="S1529"/>
      <c r="T1529"/>
      <c r="U1529"/>
      <c r="V1529"/>
      <c r="W1529"/>
      <c r="X1529"/>
      <c r="Y1529"/>
      <c r="Z1529"/>
      <c r="AA1529"/>
      <c r="AB1529"/>
      <c r="AC1529"/>
      <c r="AD1529"/>
      <c r="AE1529"/>
      <c r="AF1529"/>
      <c r="AG1529"/>
      <c r="AH1529"/>
      <c r="AI1529"/>
      <c r="AJ1529"/>
      <c r="AK1529"/>
      <c r="AL1529"/>
      <c r="AM1529"/>
      <c r="AN1529"/>
      <c r="AO1529"/>
      <c r="AP1529"/>
      <c r="AQ1529"/>
      <c r="AR1529"/>
    </row>
    <row r="1530" spans="3:44" ht="15" customHeight="1">
      <c r="C1530"/>
      <c r="D1530"/>
      <c r="E1530"/>
      <c r="F1530"/>
      <c r="G1530"/>
      <c r="H1530"/>
      <c r="I1530"/>
      <c r="J1530"/>
      <c r="K1530"/>
      <c r="L1530"/>
      <c r="M1530"/>
      <c r="N1530"/>
      <c r="O1530"/>
      <c r="P1530"/>
      <c r="Q1530"/>
      <c r="R1530"/>
      <c r="S1530"/>
      <c r="T1530"/>
      <c r="U1530"/>
      <c r="V1530"/>
      <c r="W1530"/>
      <c r="X1530"/>
      <c r="Y1530"/>
      <c r="Z1530"/>
      <c r="AA1530"/>
      <c r="AB1530"/>
      <c r="AC1530"/>
      <c r="AD1530"/>
      <c r="AE1530"/>
      <c r="AF1530"/>
      <c r="AG1530"/>
      <c r="AH1530"/>
      <c r="AI1530"/>
      <c r="AJ1530"/>
      <c r="AK1530"/>
      <c r="AL1530"/>
      <c r="AM1530"/>
      <c r="AN1530"/>
      <c r="AO1530"/>
      <c r="AP1530"/>
      <c r="AQ1530"/>
      <c r="AR1530"/>
    </row>
    <row r="1531" spans="3:44" ht="15" customHeight="1">
      <c r="C1531"/>
      <c r="D1531"/>
      <c r="E1531"/>
      <c r="F1531"/>
      <c r="G1531"/>
      <c r="H1531"/>
      <c r="I1531"/>
      <c r="J1531"/>
      <c r="K1531"/>
      <c r="L1531"/>
      <c r="M1531"/>
      <c r="N1531"/>
      <c r="O1531"/>
      <c r="P1531"/>
      <c r="Q1531"/>
      <c r="R1531"/>
      <c r="S1531"/>
      <c r="T1531"/>
      <c r="U1531"/>
      <c r="V1531"/>
      <c r="W1531"/>
      <c r="X1531"/>
      <c r="Y1531"/>
      <c r="Z1531"/>
      <c r="AA1531"/>
      <c r="AB1531"/>
      <c r="AC1531"/>
      <c r="AD1531"/>
      <c r="AE1531"/>
      <c r="AF1531"/>
      <c r="AG1531"/>
      <c r="AH1531"/>
      <c r="AI1531"/>
      <c r="AJ1531"/>
      <c r="AK1531"/>
      <c r="AL1531"/>
      <c r="AM1531"/>
      <c r="AN1531"/>
      <c r="AO1531"/>
      <c r="AP1531"/>
      <c r="AQ1531"/>
      <c r="AR1531"/>
    </row>
    <row r="1532" spans="3:44" ht="15" customHeight="1">
      <c r="C1532"/>
      <c r="D1532"/>
      <c r="E1532"/>
      <c r="F1532"/>
      <c r="G1532"/>
      <c r="H1532"/>
      <c r="I1532"/>
      <c r="J1532"/>
      <c r="K1532"/>
      <c r="L1532"/>
      <c r="M1532"/>
      <c r="N1532"/>
      <c r="O1532"/>
      <c r="P1532"/>
      <c r="Q1532"/>
      <c r="R1532"/>
      <c r="S1532"/>
      <c r="T1532"/>
      <c r="U1532"/>
      <c r="V1532"/>
      <c r="W1532"/>
      <c r="X1532"/>
      <c r="Y1532"/>
      <c r="Z1532"/>
      <c r="AA1532"/>
      <c r="AB1532"/>
      <c r="AC1532"/>
      <c r="AD1532"/>
      <c r="AE1532"/>
      <c r="AF1532"/>
      <c r="AG1532"/>
      <c r="AH1532"/>
      <c r="AI1532"/>
      <c r="AJ1532"/>
      <c r="AK1532"/>
      <c r="AL1532"/>
      <c r="AM1532"/>
      <c r="AN1532"/>
      <c r="AO1532"/>
      <c r="AP1532"/>
      <c r="AQ1532"/>
      <c r="AR1532"/>
    </row>
    <row r="1533" spans="3:44" ht="15" customHeight="1">
      <c r="C1533"/>
      <c r="D1533"/>
      <c r="E1533"/>
      <c r="F1533"/>
      <c r="G1533"/>
      <c r="H1533"/>
      <c r="I1533"/>
      <c r="J1533"/>
      <c r="K1533"/>
      <c r="L1533"/>
      <c r="M1533"/>
      <c r="N1533"/>
      <c r="O1533"/>
      <c r="P1533"/>
      <c r="Q1533"/>
      <c r="R1533"/>
      <c r="S1533"/>
      <c r="T1533"/>
      <c r="U1533"/>
      <c r="V1533"/>
      <c r="W1533"/>
      <c r="X1533"/>
      <c r="Y1533"/>
      <c r="Z1533"/>
      <c r="AA1533"/>
      <c r="AB1533"/>
      <c r="AC1533"/>
      <c r="AD1533"/>
      <c r="AE1533"/>
      <c r="AF1533"/>
      <c r="AG1533"/>
      <c r="AH1533"/>
      <c r="AI1533"/>
      <c r="AJ1533"/>
      <c r="AK1533"/>
      <c r="AL1533"/>
      <c r="AM1533"/>
      <c r="AN1533"/>
      <c r="AO1533"/>
      <c r="AP1533"/>
      <c r="AQ1533"/>
      <c r="AR1533"/>
    </row>
    <row r="1534" spans="3:44" ht="15" customHeight="1">
      <c r="C1534"/>
      <c r="D1534"/>
      <c r="E1534"/>
      <c r="F1534"/>
      <c r="G1534"/>
      <c r="H1534"/>
      <c r="I1534"/>
      <c r="J1534"/>
      <c r="K1534"/>
      <c r="L1534"/>
      <c r="M1534"/>
      <c r="N1534"/>
      <c r="O1534"/>
      <c r="P1534"/>
      <c r="Q1534"/>
      <c r="R1534"/>
      <c r="S1534"/>
      <c r="T1534"/>
      <c r="U1534"/>
      <c r="V1534"/>
      <c r="W1534"/>
      <c r="X1534"/>
      <c r="Y1534"/>
      <c r="Z1534"/>
      <c r="AA1534"/>
      <c r="AB1534"/>
      <c r="AC1534"/>
      <c r="AD1534"/>
      <c r="AE1534"/>
      <c r="AF1534"/>
      <c r="AG1534"/>
      <c r="AH1534"/>
      <c r="AI1534"/>
      <c r="AJ1534"/>
      <c r="AK1534"/>
      <c r="AL1534"/>
      <c r="AM1534"/>
      <c r="AN1534"/>
      <c r="AO1534"/>
      <c r="AP1534"/>
      <c r="AQ1534"/>
      <c r="AR1534"/>
    </row>
    <row r="1535" spans="3:44" ht="15" customHeight="1">
      <c r="C1535"/>
      <c r="D1535"/>
      <c r="E1535"/>
      <c r="F1535"/>
      <c r="G1535"/>
      <c r="H1535"/>
      <c r="I1535"/>
      <c r="J1535"/>
      <c r="K1535"/>
      <c r="L1535"/>
      <c r="M1535"/>
      <c r="N1535"/>
      <c r="O1535"/>
      <c r="P1535"/>
      <c r="Q1535"/>
      <c r="R1535"/>
      <c r="S1535"/>
      <c r="T1535"/>
      <c r="U1535"/>
      <c r="V1535"/>
      <c r="W1535"/>
      <c r="X1535"/>
      <c r="Y1535"/>
      <c r="Z1535"/>
      <c r="AA1535"/>
      <c r="AB1535"/>
      <c r="AC1535"/>
      <c r="AD1535"/>
      <c r="AE1535"/>
      <c r="AF1535"/>
      <c r="AG1535"/>
      <c r="AH1535"/>
      <c r="AI1535"/>
      <c r="AJ1535"/>
      <c r="AK1535"/>
      <c r="AL1535"/>
      <c r="AM1535"/>
      <c r="AN1535"/>
      <c r="AO1535"/>
      <c r="AP1535"/>
      <c r="AQ1535"/>
      <c r="AR1535"/>
    </row>
    <row r="1536" spans="3:44" ht="15" customHeight="1">
      <c r="C1536"/>
      <c r="D1536"/>
      <c r="E1536"/>
      <c r="F1536"/>
      <c r="G1536"/>
      <c r="H1536"/>
      <c r="I1536"/>
      <c r="J1536"/>
      <c r="K1536"/>
      <c r="L1536"/>
      <c r="M1536"/>
      <c r="N1536"/>
      <c r="O1536"/>
      <c r="P1536"/>
      <c r="Q1536"/>
      <c r="R1536"/>
      <c r="S1536"/>
      <c r="T1536"/>
      <c r="U1536"/>
      <c r="V1536"/>
      <c r="W1536"/>
      <c r="X1536"/>
      <c r="Y1536"/>
      <c r="Z1536"/>
      <c r="AA1536"/>
      <c r="AB1536"/>
      <c r="AC1536"/>
      <c r="AD1536"/>
      <c r="AE1536"/>
      <c r="AF1536"/>
      <c r="AG1536"/>
      <c r="AH1536"/>
      <c r="AI1536"/>
      <c r="AJ1536"/>
      <c r="AK1536"/>
      <c r="AL1536"/>
      <c r="AM1536"/>
      <c r="AN1536"/>
      <c r="AO1536"/>
      <c r="AP1536"/>
      <c r="AQ1536"/>
      <c r="AR1536"/>
    </row>
    <row r="1537" spans="3:44" ht="15" customHeight="1">
      <c r="C1537"/>
      <c r="D1537"/>
      <c r="E1537"/>
      <c r="F1537"/>
      <c r="G1537"/>
      <c r="H1537"/>
      <c r="I1537"/>
      <c r="J1537"/>
      <c r="K1537"/>
      <c r="L1537"/>
      <c r="M1537"/>
      <c r="N1537"/>
      <c r="O1537"/>
      <c r="P1537"/>
      <c r="Q1537"/>
      <c r="R1537"/>
      <c r="S1537"/>
      <c r="T1537"/>
      <c r="U1537"/>
      <c r="V1537"/>
      <c r="W1537"/>
      <c r="X1537"/>
      <c r="Y1537"/>
      <c r="Z1537"/>
      <c r="AA1537"/>
      <c r="AB1537"/>
      <c r="AC1537"/>
      <c r="AD1537"/>
      <c r="AE1537"/>
      <c r="AF1537"/>
      <c r="AG1537"/>
      <c r="AH1537"/>
      <c r="AI1537"/>
      <c r="AJ1537"/>
      <c r="AK1537"/>
      <c r="AL1537"/>
      <c r="AM1537"/>
      <c r="AN1537"/>
      <c r="AO1537"/>
      <c r="AP1537"/>
      <c r="AQ1537"/>
      <c r="AR1537"/>
    </row>
    <row r="1538" spans="3:44" ht="15" customHeight="1">
      <c r="C1538"/>
      <c r="D1538"/>
      <c r="E1538"/>
      <c r="F1538"/>
      <c r="G1538"/>
      <c r="H1538"/>
      <c r="I1538"/>
      <c r="J1538"/>
      <c r="K1538"/>
      <c r="L1538"/>
      <c r="M1538"/>
      <c r="N1538"/>
      <c r="O1538"/>
      <c r="P1538"/>
      <c r="Q1538"/>
      <c r="R1538"/>
      <c r="S1538"/>
      <c r="T1538"/>
      <c r="U1538"/>
      <c r="V1538"/>
      <c r="W1538"/>
      <c r="X1538"/>
      <c r="Y1538"/>
      <c r="Z1538"/>
      <c r="AA1538"/>
      <c r="AB1538"/>
      <c r="AC1538"/>
      <c r="AD1538"/>
      <c r="AE1538"/>
      <c r="AF1538"/>
      <c r="AG1538"/>
      <c r="AH1538"/>
      <c r="AI1538"/>
      <c r="AJ1538"/>
      <c r="AK1538"/>
      <c r="AL1538"/>
      <c r="AM1538"/>
      <c r="AN1538"/>
      <c r="AO1538"/>
      <c r="AP1538"/>
      <c r="AQ1538"/>
      <c r="AR1538"/>
    </row>
    <row r="1539" spans="3:44" ht="15" customHeight="1">
      <c r="C1539"/>
      <c r="D1539"/>
      <c r="E1539"/>
      <c r="F1539"/>
      <c r="G1539"/>
      <c r="H1539"/>
      <c r="I1539"/>
      <c r="J1539"/>
      <c r="K1539"/>
      <c r="L1539"/>
      <c r="M1539"/>
      <c r="N1539"/>
      <c r="O1539"/>
      <c r="P1539"/>
      <c r="Q1539"/>
      <c r="R1539"/>
      <c r="S1539"/>
      <c r="T1539"/>
      <c r="U1539"/>
      <c r="V1539"/>
      <c r="W1539"/>
      <c r="X1539"/>
      <c r="Y1539"/>
      <c r="Z1539"/>
      <c r="AA1539"/>
      <c r="AB1539"/>
      <c r="AC1539"/>
      <c r="AD1539"/>
      <c r="AE1539"/>
      <c r="AF1539"/>
      <c r="AG1539"/>
      <c r="AH1539"/>
      <c r="AI1539"/>
      <c r="AJ1539"/>
      <c r="AK1539"/>
      <c r="AL1539"/>
      <c r="AM1539"/>
      <c r="AN1539"/>
      <c r="AO1539"/>
      <c r="AP1539"/>
      <c r="AQ1539"/>
      <c r="AR1539"/>
    </row>
    <row r="1540" spans="3:44" ht="15" customHeight="1">
      <c r="C1540"/>
      <c r="D1540"/>
      <c r="E1540"/>
      <c r="F1540"/>
      <c r="G1540"/>
      <c r="H1540"/>
      <c r="I1540"/>
      <c r="J1540"/>
      <c r="K1540"/>
      <c r="L1540"/>
      <c r="M1540"/>
      <c r="N1540"/>
      <c r="O1540"/>
      <c r="P1540"/>
      <c r="Q1540"/>
      <c r="R1540"/>
      <c r="S1540"/>
      <c r="T1540"/>
      <c r="U1540"/>
      <c r="V1540"/>
      <c r="W1540"/>
      <c r="X1540"/>
      <c r="Y1540"/>
      <c r="Z1540"/>
      <c r="AA1540"/>
      <c r="AB1540"/>
      <c r="AC1540"/>
      <c r="AD1540"/>
      <c r="AE1540"/>
      <c r="AF1540"/>
      <c r="AG1540"/>
      <c r="AH1540"/>
      <c r="AI1540"/>
      <c r="AJ1540"/>
      <c r="AK1540"/>
      <c r="AL1540"/>
      <c r="AM1540"/>
      <c r="AN1540"/>
      <c r="AO1540"/>
      <c r="AP1540"/>
      <c r="AQ1540"/>
      <c r="AR1540"/>
    </row>
    <row r="1541" spans="3:44" ht="15" customHeight="1">
      <c r="C1541"/>
      <c r="D1541"/>
      <c r="E1541"/>
      <c r="F1541"/>
      <c r="G1541"/>
      <c r="H1541"/>
      <c r="I1541"/>
      <c r="J1541"/>
      <c r="K1541"/>
      <c r="L1541"/>
      <c r="M1541"/>
      <c r="N1541"/>
      <c r="O1541"/>
      <c r="P1541"/>
      <c r="Q1541"/>
      <c r="R1541"/>
      <c r="S1541"/>
      <c r="T1541"/>
      <c r="U1541"/>
      <c r="V1541"/>
      <c r="W1541"/>
      <c r="X1541"/>
      <c r="Y1541"/>
      <c r="Z1541"/>
      <c r="AA1541"/>
      <c r="AB1541"/>
      <c r="AC1541"/>
      <c r="AD1541"/>
      <c r="AE1541"/>
      <c r="AF1541"/>
      <c r="AG1541"/>
      <c r="AH1541"/>
      <c r="AI1541"/>
      <c r="AJ1541"/>
      <c r="AK1541"/>
      <c r="AL1541"/>
      <c r="AM1541"/>
      <c r="AN1541"/>
      <c r="AO1541"/>
      <c r="AP1541"/>
      <c r="AQ1541"/>
      <c r="AR1541"/>
    </row>
    <row r="1542" spans="3:44" ht="15" customHeight="1">
      <c r="C1542"/>
      <c r="D1542"/>
      <c r="E1542"/>
      <c r="F1542"/>
      <c r="G1542"/>
      <c r="H1542"/>
      <c r="I1542"/>
      <c r="J1542"/>
      <c r="K1542"/>
      <c r="L1542"/>
      <c r="M1542"/>
      <c r="N1542"/>
      <c r="O1542"/>
      <c r="P1542"/>
      <c r="Q1542"/>
      <c r="R1542"/>
      <c r="S1542"/>
      <c r="T1542"/>
      <c r="U1542"/>
      <c r="V1542"/>
      <c r="W1542"/>
      <c r="X1542"/>
      <c r="Y1542"/>
      <c r="Z1542"/>
      <c r="AA1542"/>
      <c r="AB1542"/>
      <c r="AC1542"/>
      <c r="AD1542"/>
      <c r="AE1542"/>
      <c r="AF1542"/>
      <c r="AG1542"/>
      <c r="AH1542"/>
      <c r="AI1542"/>
      <c r="AJ1542"/>
      <c r="AK1542"/>
      <c r="AL1542"/>
      <c r="AM1542"/>
      <c r="AN1542"/>
      <c r="AO1542"/>
      <c r="AP1542"/>
      <c r="AQ1542"/>
      <c r="AR1542"/>
    </row>
    <row r="1543" spans="3:44" ht="15" customHeight="1">
      <c r="C1543"/>
      <c r="D1543"/>
      <c r="E1543"/>
      <c r="F1543"/>
      <c r="G1543"/>
      <c r="H1543"/>
      <c r="I1543"/>
      <c r="J1543"/>
      <c r="K1543"/>
      <c r="L1543"/>
      <c r="M1543"/>
      <c r="N1543"/>
      <c r="O1543"/>
      <c r="P1543"/>
      <c r="Q1543"/>
      <c r="R1543"/>
      <c r="S1543"/>
      <c r="T1543"/>
      <c r="U1543"/>
      <c r="V1543"/>
      <c r="W1543"/>
      <c r="X1543"/>
      <c r="Y1543"/>
      <c r="Z1543"/>
      <c r="AA1543"/>
      <c r="AB1543"/>
      <c r="AC1543"/>
      <c r="AD1543"/>
      <c r="AE1543"/>
      <c r="AF1543"/>
      <c r="AG1543"/>
      <c r="AH1543"/>
      <c r="AI1543"/>
      <c r="AJ1543"/>
      <c r="AK1543"/>
      <c r="AL1543"/>
      <c r="AM1543"/>
      <c r="AN1543"/>
      <c r="AO1543"/>
      <c r="AP1543"/>
      <c r="AQ1543"/>
      <c r="AR1543"/>
    </row>
    <row r="1544" spans="3:44" ht="15" customHeight="1">
      <c r="C1544"/>
      <c r="D1544"/>
      <c r="E1544"/>
      <c r="F1544"/>
      <c r="G1544"/>
      <c r="H1544"/>
      <c r="I1544"/>
      <c r="J1544"/>
      <c r="K1544"/>
      <c r="L1544"/>
      <c r="M1544"/>
      <c r="N1544"/>
      <c r="O1544"/>
      <c r="P1544"/>
      <c r="Q1544"/>
      <c r="R1544"/>
      <c r="S1544"/>
      <c r="T1544"/>
      <c r="U1544"/>
      <c r="V1544"/>
      <c r="W1544"/>
      <c r="X1544"/>
      <c r="Y1544"/>
      <c r="Z1544"/>
      <c r="AA1544"/>
      <c r="AB1544"/>
      <c r="AC1544"/>
      <c r="AD1544"/>
      <c r="AE1544"/>
      <c r="AF1544"/>
      <c r="AG1544"/>
      <c r="AH1544"/>
      <c r="AI1544"/>
      <c r="AJ1544"/>
      <c r="AK1544"/>
      <c r="AL1544"/>
      <c r="AM1544"/>
      <c r="AN1544"/>
      <c r="AO1544"/>
      <c r="AP1544"/>
      <c r="AQ1544"/>
      <c r="AR1544"/>
    </row>
    <row r="1545" spans="3:44" ht="15" customHeight="1">
      <c r="C1545"/>
      <c r="D1545"/>
      <c r="E1545"/>
      <c r="F1545"/>
      <c r="G1545"/>
      <c r="H1545"/>
      <c r="I1545"/>
      <c r="J1545"/>
      <c r="K1545"/>
      <c r="L1545"/>
      <c r="M1545"/>
      <c r="N1545"/>
      <c r="O1545"/>
      <c r="P1545"/>
      <c r="Q1545"/>
      <c r="R1545"/>
      <c r="S1545"/>
      <c r="T1545"/>
      <c r="U1545"/>
      <c r="V1545"/>
      <c r="W1545"/>
      <c r="X1545"/>
      <c r="Y1545"/>
      <c r="Z1545"/>
      <c r="AA1545"/>
      <c r="AB1545"/>
      <c r="AC1545"/>
      <c r="AD1545"/>
      <c r="AE1545"/>
      <c r="AF1545"/>
      <c r="AG1545"/>
      <c r="AH1545"/>
      <c r="AI1545"/>
      <c r="AJ1545"/>
      <c r="AK1545"/>
      <c r="AL1545"/>
      <c r="AM1545"/>
      <c r="AN1545"/>
      <c r="AO1545"/>
      <c r="AP1545"/>
      <c r="AQ1545"/>
      <c r="AR1545"/>
    </row>
    <row r="1546" spans="3:44" ht="15" customHeight="1">
      <c r="C1546"/>
      <c r="D1546"/>
      <c r="E1546"/>
      <c r="F1546"/>
      <c r="G1546"/>
      <c r="H1546"/>
      <c r="I1546"/>
      <c r="J1546"/>
      <c r="K1546"/>
      <c r="L1546"/>
      <c r="M1546"/>
      <c r="N1546"/>
      <c r="O1546"/>
      <c r="P1546"/>
      <c r="Q1546"/>
      <c r="R1546"/>
      <c r="S1546"/>
      <c r="T1546"/>
      <c r="U1546"/>
      <c r="V1546"/>
      <c r="W1546"/>
      <c r="X1546"/>
      <c r="Y1546"/>
      <c r="Z1546"/>
      <c r="AA1546"/>
      <c r="AB1546"/>
      <c r="AC1546"/>
      <c r="AD1546"/>
      <c r="AE1546"/>
      <c r="AF1546"/>
      <c r="AG1546"/>
      <c r="AH1546"/>
      <c r="AI1546"/>
      <c r="AJ1546"/>
      <c r="AK1546"/>
      <c r="AL1546"/>
      <c r="AM1546"/>
      <c r="AN1546"/>
      <c r="AO1546"/>
      <c r="AP1546"/>
      <c r="AQ1546"/>
      <c r="AR1546"/>
    </row>
    <row r="1547" spans="3:44" ht="15" customHeight="1">
      <c r="C1547"/>
      <c r="D1547"/>
      <c r="E1547"/>
      <c r="F1547"/>
      <c r="G1547"/>
      <c r="H1547"/>
      <c r="I1547"/>
      <c r="J1547"/>
      <c r="K1547"/>
      <c r="L1547"/>
      <c r="M1547"/>
      <c r="N1547"/>
      <c r="O1547"/>
      <c r="P1547"/>
      <c r="Q1547"/>
      <c r="R1547"/>
      <c r="S1547"/>
      <c r="T1547"/>
      <c r="U1547"/>
      <c r="V1547"/>
      <c r="W1547"/>
      <c r="X1547"/>
      <c r="Y1547"/>
      <c r="Z1547"/>
      <c r="AA1547"/>
      <c r="AB1547"/>
      <c r="AC1547"/>
      <c r="AD1547"/>
      <c r="AE1547"/>
      <c r="AF1547"/>
      <c r="AG1547"/>
      <c r="AH1547"/>
      <c r="AI1547"/>
      <c r="AJ1547"/>
      <c r="AK1547"/>
      <c r="AL1547"/>
      <c r="AM1547"/>
      <c r="AN1547"/>
      <c r="AO1547"/>
      <c r="AP1547"/>
      <c r="AQ1547"/>
      <c r="AR1547"/>
    </row>
    <row r="1548" spans="3:44" ht="15" customHeight="1">
      <c r="C1548"/>
      <c r="D1548"/>
      <c r="E1548"/>
      <c r="F1548"/>
      <c r="G1548"/>
      <c r="H1548"/>
      <c r="I1548"/>
      <c r="J1548"/>
      <c r="K1548"/>
      <c r="L1548"/>
      <c r="M1548"/>
      <c r="N1548"/>
      <c r="O1548"/>
      <c r="P1548"/>
      <c r="Q1548"/>
      <c r="R1548"/>
      <c r="S1548"/>
      <c r="T1548"/>
      <c r="U1548"/>
      <c r="V1548"/>
      <c r="W1548"/>
      <c r="X1548"/>
      <c r="Y1548"/>
      <c r="Z1548"/>
      <c r="AA1548"/>
      <c r="AB1548"/>
      <c r="AC1548"/>
      <c r="AD1548"/>
      <c r="AE1548"/>
      <c r="AF1548"/>
      <c r="AG1548"/>
      <c r="AH1548"/>
      <c r="AI1548"/>
      <c r="AJ1548"/>
      <c r="AK1548"/>
      <c r="AL1548"/>
      <c r="AM1548"/>
      <c r="AN1548"/>
      <c r="AO1548"/>
      <c r="AP1548"/>
      <c r="AQ1548"/>
      <c r="AR1548"/>
    </row>
    <row r="1549" spans="3:44" ht="15" customHeight="1">
      <c r="C1549"/>
      <c r="D1549"/>
      <c r="E1549"/>
      <c r="F1549"/>
      <c r="G1549"/>
      <c r="H1549"/>
      <c r="I1549"/>
      <c r="J1549"/>
      <c r="K1549"/>
      <c r="L1549"/>
      <c r="M1549"/>
      <c r="N1549"/>
      <c r="O1549"/>
      <c r="P1549"/>
      <c r="Q1549"/>
      <c r="R1549"/>
      <c r="S1549"/>
      <c r="T1549"/>
      <c r="U1549"/>
      <c r="V1549"/>
      <c r="W1549"/>
      <c r="X1549"/>
      <c r="Y1549"/>
      <c r="Z1549"/>
      <c r="AA1549"/>
      <c r="AB1549"/>
      <c r="AC1549"/>
      <c r="AD1549"/>
      <c r="AE1549"/>
      <c r="AF1549"/>
      <c r="AG1549"/>
      <c r="AH1549"/>
      <c r="AI1549"/>
      <c r="AJ1549"/>
      <c r="AK1549"/>
      <c r="AL1549"/>
      <c r="AM1549"/>
      <c r="AN1549"/>
      <c r="AO1549"/>
      <c r="AP1549"/>
      <c r="AQ1549"/>
      <c r="AR1549"/>
    </row>
    <row r="1550" spans="3:44" ht="15" customHeight="1">
      <c r="C1550"/>
      <c r="D1550"/>
      <c r="E1550"/>
      <c r="F1550"/>
      <c r="G1550"/>
      <c r="H1550"/>
      <c r="I1550"/>
      <c r="J1550"/>
      <c r="K1550"/>
      <c r="L1550"/>
      <c r="M1550"/>
      <c r="N1550"/>
      <c r="O1550"/>
      <c r="P1550"/>
      <c r="Q1550"/>
      <c r="R1550"/>
      <c r="S1550"/>
      <c r="T1550"/>
      <c r="U1550"/>
      <c r="V1550"/>
      <c r="W1550"/>
      <c r="X1550"/>
      <c r="Y1550"/>
      <c r="Z1550"/>
      <c r="AA1550"/>
      <c r="AB1550"/>
      <c r="AC1550"/>
      <c r="AD1550"/>
      <c r="AE1550"/>
      <c r="AF1550"/>
      <c r="AG1550"/>
      <c r="AH1550"/>
      <c r="AI1550"/>
      <c r="AJ1550"/>
      <c r="AK1550"/>
      <c r="AL1550"/>
      <c r="AM1550"/>
      <c r="AN1550"/>
      <c r="AO1550"/>
      <c r="AP1550"/>
      <c r="AQ1550"/>
      <c r="AR1550"/>
    </row>
    <row r="1551" spans="3:44" ht="15" customHeight="1">
      <c r="C1551"/>
      <c r="D1551"/>
      <c r="E1551"/>
      <c r="F1551"/>
      <c r="G1551"/>
      <c r="H1551"/>
      <c r="I1551"/>
      <c r="J1551"/>
      <c r="K1551"/>
      <c r="L1551"/>
      <c r="M1551"/>
      <c r="N1551"/>
      <c r="O1551"/>
      <c r="P1551"/>
      <c r="Q1551"/>
      <c r="R1551"/>
      <c r="S1551"/>
      <c r="T1551"/>
      <c r="U1551"/>
      <c r="V1551"/>
      <c r="W1551"/>
      <c r="X1551"/>
      <c r="Y1551"/>
      <c r="Z1551"/>
      <c r="AA1551"/>
      <c r="AB1551"/>
      <c r="AC1551"/>
      <c r="AD1551"/>
      <c r="AE1551"/>
      <c r="AF1551"/>
      <c r="AG1551"/>
      <c r="AH1551"/>
      <c r="AI1551"/>
      <c r="AJ1551"/>
      <c r="AK1551"/>
      <c r="AL1551"/>
      <c r="AM1551"/>
      <c r="AN1551"/>
      <c r="AO1551"/>
      <c r="AP1551"/>
      <c r="AQ1551"/>
      <c r="AR1551"/>
    </row>
    <row r="1552" spans="3:44" ht="15" customHeight="1">
      <c r="C1552"/>
      <c r="D1552"/>
      <c r="E1552"/>
      <c r="F1552"/>
      <c r="G1552"/>
      <c r="H1552"/>
      <c r="I1552"/>
      <c r="J1552"/>
      <c r="K1552"/>
      <c r="L1552"/>
      <c r="M1552"/>
      <c r="N1552"/>
      <c r="O1552"/>
      <c r="P1552"/>
      <c r="Q1552"/>
      <c r="R1552"/>
      <c r="S1552"/>
      <c r="T1552"/>
      <c r="U1552"/>
      <c r="V1552"/>
      <c r="W1552"/>
      <c r="X1552"/>
      <c r="Y1552"/>
      <c r="Z1552"/>
      <c r="AA1552"/>
      <c r="AB1552"/>
      <c r="AC1552"/>
      <c r="AD1552"/>
      <c r="AE1552"/>
      <c r="AF1552"/>
      <c r="AG1552"/>
      <c r="AH1552"/>
      <c r="AI1552"/>
      <c r="AJ1552"/>
      <c r="AK1552"/>
      <c r="AL1552"/>
      <c r="AM1552"/>
      <c r="AN1552"/>
      <c r="AO1552"/>
      <c r="AP1552"/>
      <c r="AQ1552"/>
      <c r="AR1552"/>
    </row>
    <row r="1553" spans="3:44" ht="15" customHeight="1">
      <c r="C1553"/>
      <c r="D1553"/>
      <c r="E1553"/>
      <c r="F1553"/>
      <c r="G1553"/>
      <c r="H1553"/>
      <c r="I1553"/>
      <c r="J1553"/>
      <c r="K1553"/>
      <c r="L1553"/>
      <c r="M1553"/>
      <c r="N1553"/>
      <c r="O1553"/>
      <c r="P1553"/>
      <c r="Q1553"/>
      <c r="R1553"/>
      <c r="S1553"/>
      <c r="T1553"/>
      <c r="U1553"/>
      <c r="V1553"/>
      <c r="W1553"/>
      <c r="X1553"/>
      <c r="Y1553"/>
      <c r="Z1553"/>
      <c r="AA1553"/>
      <c r="AB1553"/>
      <c r="AC1553"/>
      <c r="AD1553"/>
      <c r="AE1553"/>
      <c r="AF1553"/>
      <c r="AG1553"/>
      <c r="AH1553"/>
      <c r="AI1553"/>
      <c r="AJ1553"/>
      <c r="AK1553"/>
      <c r="AL1553"/>
      <c r="AM1553"/>
      <c r="AN1553"/>
      <c r="AO1553"/>
      <c r="AP1553"/>
      <c r="AQ1553"/>
      <c r="AR1553"/>
    </row>
    <row r="1554" spans="3:44" ht="15" customHeight="1">
      <c r="C1554"/>
      <c r="D1554"/>
      <c r="E1554"/>
      <c r="F1554"/>
      <c r="G1554"/>
      <c r="H1554"/>
      <c r="I1554"/>
      <c r="J1554"/>
      <c r="K1554"/>
      <c r="L1554"/>
      <c r="M1554"/>
      <c r="N1554"/>
      <c r="O1554"/>
      <c r="P1554"/>
      <c r="Q1554"/>
      <c r="R1554"/>
      <c r="S1554"/>
      <c r="T1554"/>
      <c r="U1554"/>
      <c r="V1554"/>
      <c r="W1554"/>
      <c r="X1554"/>
      <c r="Y1554"/>
      <c r="Z1554"/>
      <c r="AA1554"/>
      <c r="AB1554"/>
      <c r="AC1554"/>
      <c r="AD1554"/>
      <c r="AE1554"/>
      <c r="AF1554"/>
      <c r="AG1554"/>
      <c r="AH1554"/>
      <c r="AI1554"/>
      <c r="AJ1554"/>
      <c r="AK1554"/>
      <c r="AL1554"/>
      <c r="AM1554"/>
      <c r="AN1554"/>
      <c r="AO1554"/>
      <c r="AP1554"/>
      <c r="AQ1554"/>
      <c r="AR1554"/>
    </row>
    <row r="1555" spans="3:44" ht="15" customHeight="1">
      <c r="C1555"/>
      <c r="D1555"/>
      <c r="E1555"/>
      <c r="F1555"/>
      <c r="G1555"/>
      <c r="H1555"/>
      <c r="I1555"/>
      <c r="J1555"/>
      <c r="K1555"/>
      <c r="L1555"/>
      <c r="M1555"/>
      <c r="N1555"/>
      <c r="O1555"/>
      <c r="P1555"/>
      <c r="Q1555"/>
      <c r="R1555"/>
      <c r="S1555"/>
      <c r="T1555"/>
      <c r="U1555"/>
      <c r="V1555"/>
      <c r="W1555"/>
      <c r="X1555"/>
      <c r="Y1555"/>
      <c r="Z1555"/>
      <c r="AA1555"/>
      <c r="AB1555"/>
      <c r="AC1555"/>
      <c r="AD1555"/>
      <c r="AE1555"/>
      <c r="AF1555"/>
      <c r="AG1555"/>
      <c r="AH1555"/>
      <c r="AI1555"/>
      <c r="AJ1555"/>
      <c r="AK1555"/>
      <c r="AL1555"/>
      <c r="AM1555"/>
      <c r="AN1555"/>
      <c r="AO1555"/>
      <c r="AP1555"/>
      <c r="AQ1555"/>
      <c r="AR1555"/>
    </row>
    <row r="1556" spans="3:44" ht="15" customHeight="1">
      <c r="C1556"/>
      <c r="D1556"/>
      <c r="E1556"/>
      <c r="F1556"/>
      <c r="G1556"/>
      <c r="H1556"/>
      <c r="I1556"/>
      <c r="J1556"/>
      <c r="K1556"/>
      <c r="L1556"/>
      <c r="M1556"/>
      <c r="N1556"/>
      <c r="O1556"/>
      <c r="P1556"/>
      <c r="Q1556"/>
      <c r="R1556"/>
      <c r="S1556"/>
      <c r="T1556"/>
      <c r="U1556"/>
      <c r="V1556"/>
      <c r="W1556"/>
      <c r="X1556"/>
      <c r="Y1556"/>
      <c r="Z1556"/>
      <c r="AA1556"/>
      <c r="AB1556"/>
      <c r="AC1556"/>
      <c r="AD1556"/>
      <c r="AE1556"/>
      <c r="AF1556"/>
      <c r="AG1556"/>
      <c r="AH1556"/>
      <c r="AI1556"/>
      <c r="AJ1556"/>
      <c r="AK1556"/>
      <c r="AL1556"/>
      <c r="AM1556"/>
      <c r="AN1556"/>
      <c r="AO1556"/>
      <c r="AP1556"/>
      <c r="AQ1556"/>
      <c r="AR1556"/>
    </row>
    <row r="1557" spans="3:44" ht="15" customHeight="1">
      <c r="C1557"/>
      <c r="D1557"/>
      <c r="E1557"/>
      <c r="F1557"/>
      <c r="G1557"/>
      <c r="H1557"/>
      <c r="I1557"/>
      <c r="J1557"/>
      <c r="K1557"/>
      <c r="L1557"/>
      <c r="M1557"/>
      <c r="N1557"/>
      <c r="O1557"/>
      <c r="P1557"/>
      <c r="Q1557"/>
      <c r="R1557"/>
      <c r="S1557"/>
      <c r="T1557"/>
      <c r="U1557"/>
      <c r="V1557"/>
      <c r="W1557"/>
      <c r="X1557"/>
      <c r="Y1557"/>
      <c r="Z1557"/>
      <c r="AA1557"/>
      <c r="AB1557"/>
      <c r="AC1557"/>
      <c r="AD1557"/>
      <c r="AE1557"/>
      <c r="AF1557"/>
      <c r="AG1557"/>
      <c r="AH1557"/>
      <c r="AI1557"/>
      <c r="AJ1557"/>
      <c r="AK1557"/>
      <c r="AL1557"/>
      <c r="AM1557"/>
      <c r="AN1557"/>
      <c r="AO1557"/>
      <c r="AP1557"/>
      <c r="AQ1557"/>
      <c r="AR1557"/>
    </row>
    <row r="1558" spans="3:44" ht="15" customHeight="1">
      <c r="C1558"/>
      <c r="D1558"/>
      <c r="E1558"/>
      <c r="F1558"/>
      <c r="G1558"/>
      <c r="H1558"/>
      <c r="I1558"/>
      <c r="J1558"/>
      <c r="K1558"/>
      <c r="L1558"/>
      <c r="M1558"/>
      <c r="N1558"/>
      <c r="O1558"/>
      <c r="P1558"/>
      <c r="Q1558"/>
      <c r="R1558"/>
      <c r="S1558"/>
      <c r="T1558"/>
      <c r="U1558"/>
      <c r="V1558"/>
      <c r="W1558"/>
      <c r="X1558"/>
      <c r="Y1558"/>
      <c r="Z1558"/>
      <c r="AA1558"/>
      <c r="AB1558"/>
      <c r="AC1558"/>
      <c r="AD1558"/>
      <c r="AE1558"/>
      <c r="AF1558"/>
      <c r="AG1558"/>
      <c r="AH1558"/>
      <c r="AI1558"/>
      <c r="AJ1558"/>
      <c r="AK1558"/>
      <c r="AL1558"/>
      <c r="AM1558"/>
      <c r="AN1558"/>
      <c r="AO1558"/>
      <c r="AP1558"/>
      <c r="AQ1558"/>
      <c r="AR1558"/>
    </row>
    <row r="1559" spans="3:44" ht="15" customHeight="1">
      <c r="C1559"/>
      <c r="D1559"/>
      <c r="E1559"/>
      <c r="F1559"/>
      <c r="G1559"/>
      <c r="H1559"/>
      <c r="I1559"/>
      <c r="J1559"/>
      <c r="K1559"/>
      <c r="L1559"/>
      <c r="M1559"/>
      <c r="N1559"/>
      <c r="O1559"/>
      <c r="P1559"/>
      <c r="Q1559"/>
      <c r="R1559"/>
      <c r="S1559"/>
      <c r="T1559"/>
      <c r="U1559"/>
      <c r="V1559"/>
      <c r="W1559"/>
      <c r="X1559"/>
      <c r="Y1559"/>
      <c r="Z1559"/>
      <c r="AA1559"/>
      <c r="AB1559"/>
      <c r="AC1559"/>
      <c r="AD1559"/>
      <c r="AE1559"/>
      <c r="AF1559"/>
      <c r="AG1559"/>
      <c r="AH1559"/>
      <c r="AI1559"/>
      <c r="AJ1559"/>
      <c r="AK1559"/>
      <c r="AL1559"/>
      <c r="AM1559"/>
      <c r="AN1559"/>
      <c r="AO1559"/>
      <c r="AP1559"/>
      <c r="AQ1559"/>
      <c r="AR1559"/>
    </row>
    <row r="1560" spans="3:44" ht="15" customHeight="1">
      <c r="C1560"/>
      <c r="D1560"/>
      <c r="E1560"/>
      <c r="F1560"/>
      <c r="G1560"/>
      <c r="H1560"/>
      <c r="I1560"/>
      <c r="J1560"/>
      <c r="K1560"/>
      <c r="L1560"/>
      <c r="M1560"/>
      <c r="N1560"/>
      <c r="O1560"/>
      <c r="P1560"/>
      <c r="Q1560"/>
      <c r="R1560"/>
      <c r="S1560"/>
      <c r="T1560"/>
      <c r="U1560"/>
      <c r="V1560"/>
      <c r="W1560"/>
      <c r="X1560"/>
      <c r="Y1560"/>
      <c r="Z1560"/>
      <c r="AA1560"/>
      <c r="AB1560"/>
      <c r="AC1560"/>
      <c r="AD1560"/>
      <c r="AE1560"/>
      <c r="AF1560"/>
      <c r="AG1560"/>
      <c r="AH1560"/>
      <c r="AI1560"/>
      <c r="AJ1560"/>
      <c r="AK1560"/>
      <c r="AL1560"/>
      <c r="AM1560"/>
      <c r="AN1560"/>
      <c r="AO1560"/>
      <c r="AP1560"/>
      <c r="AQ1560"/>
      <c r="AR1560"/>
    </row>
    <row r="1561" spans="3:44" ht="15" customHeight="1"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Y1561"/>
      <c r="Z1561"/>
      <c r="AA1561"/>
      <c r="AB1561"/>
      <c r="AC1561"/>
      <c r="AD1561"/>
      <c r="AE1561"/>
      <c r="AF1561"/>
      <c r="AG1561"/>
      <c r="AH1561"/>
      <c r="AI1561"/>
      <c r="AJ1561"/>
      <c r="AK1561"/>
      <c r="AL1561"/>
      <c r="AM1561"/>
      <c r="AN1561"/>
      <c r="AO1561"/>
      <c r="AP1561"/>
      <c r="AQ1561"/>
      <c r="AR1561"/>
    </row>
    <row r="1562" spans="3:44" ht="15" customHeight="1"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Y1562"/>
      <c r="Z1562"/>
      <c r="AA1562"/>
      <c r="AB1562"/>
      <c r="AC1562"/>
      <c r="AD1562"/>
      <c r="AE1562"/>
      <c r="AF1562"/>
      <c r="AG1562"/>
      <c r="AH1562"/>
      <c r="AI1562"/>
      <c r="AJ1562"/>
      <c r="AK1562"/>
      <c r="AL1562"/>
      <c r="AM1562"/>
      <c r="AN1562"/>
      <c r="AO1562"/>
      <c r="AP1562"/>
      <c r="AQ1562"/>
      <c r="AR1562"/>
    </row>
    <row r="1563" spans="3:44" ht="15" customHeight="1"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Y1563"/>
      <c r="Z1563"/>
      <c r="AA1563"/>
      <c r="AB1563"/>
      <c r="AC1563"/>
      <c r="AD1563"/>
      <c r="AE1563"/>
      <c r="AF1563"/>
      <c r="AG1563"/>
      <c r="AH1563"/>
      <c r="AI1563"/>
      <c r="AJ1563"/>
      <c r="AK1563"/>
      <c r="AL1563"/>
      <c r="AM1563"/>
      <c r="AN1563"/>
      <c r="AO1563"/>
      <c r="AP1563"/>
      <c r="AQ1563"/>
      <c r="AR1563"/>
    </row>
    <row r="1564" spans="3:44" ht="15" customHeight="1"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Y1564"/>
      <c r="Z1564"/>
      <c r="AA1564"/>
      <c r="AB1564"/>
      <c r="AC1564"/>
      <c r="AD1564"/>
      <c r="AE1564"/>
      <c r="AF1564"/>
      <c r="AG1564"/>
      <c r="AH1564"/>
      <c r="AI1564"/>
      <c r="AJ1564"/>
      <c r="AK1564"/>
      <c r="AL1564"/>
      <c r="AM1564"/>
      <c r="AN1564"/>
      <c r="AO1564"/>
      <c r="AP1564"/>
      <c r="AQ1564"/>
      <c r="AR1564"/>
    </row>
    <row r="1565" spans="3:44" ht="15" customHeight="1"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Y1565"/>
      <c r="Z1565"/>
      <c r="AA1565"/>
      <c r="AB1565"/>
      <c r="AC1565"/>
      <c r="AD1565"/>
      <c r="AE1565"/>
      <c r="AF1565"/>
      <c r="AG1565"/>
      <c r="AH1565"/>
      <c r="AI1565"/>
      <c r="AJ1565"/>
      <c r="AK1565"/>
      <c r="AL1565"/>
      <c r="AM1565"/>
      <c r="AN1565"/>
      <c r="AO1565"/>
      <c r="AP1565"/>
      <c r="AQ1565"/>
      <c r="AR1565"/>
    </row>
    <row r="1566" spans="3:44" ht="15" customHeight="1">
      <c r="C1566"/>
      <c r="D1566"/>
      <c r="E1566"/>
      <c r="F1566"/>
      <c r="G1566"/>
      <c r="H1566"/>
      <c r="I1566"/>
      <c r="J1566"/>
      <c r="K1566"/>
      <c r="L1566"/>
      <c r="M1566"/>
      <c r="N1566"/>
      <c r="O1566"/>
      <c r="P1566"/>
      <c r="Q1566"/>
      <c r="R1566"/>
      <c r="S1566"/>
      <c r="T1566"/>
      <c r="U1566"/>
      <c r="V1566"/>
      <c r="W1566"/>
      <c r="X1566"/>
      <c r="Y1566"/>
      <c r="Z1566"/>
      <c r="AA1566"/>
      <c r="AB1566"/>
      <c r="AC1566"/>
      <c r="AD1566"/>
      <c r="AE1566"/>
      <c r="AF1566"/>
      <c r="AG1566"/>
      <c r="AH1566"/>
      <c r="AI1566"/>
      <c r="AJ1566"/>
      <c r="AK1566"/>
      <c r="AL1566"/>
      <c r="AM1566"/>
      <c r="AN1566"/>
      <c r="AO1566"/>
      <c r="AP1566"/>
      <c r="AQ1566"/>
      <c r="AR1566"/>
    </row>
    <row r="1567" spans="3:44" ht="15" customHeight="1">
      <c r="C1567"/>
      <c r="D1567"/>
      <c r="E1567"/>
      <c r="F1567"/>
      <c r="G1567"/>
      <c r="H1567"/>
      <c r="I1567"/>
      <c r="J1567"/>
      <c r="K1567"/>
      <c r="L1567"/>
      <c r="M1567"/>
      <c r="N1567"/>
      <c r="O1567"/>
      <c r="P1567"/>
      <c r="Q1567"/>
      <c r="R1567"/>
      <c r="S1567"/>
      <c r="T1567"/>
      <c r="U1567"/>
      <c r="V1567"/>
      <c r="W1567"/>
      <c r="X1567"/>
      <c r="Y1567"/>
      <c r="Z1567"/>
      <c r="AA1567"/>
      <c r="AB1567"/>
      <c r="AC1567"/>
      <c r="AD1567"/>
      <c r="AE1567"/>
      <c r="AF1567"/>
      <c r="AG1567"/>
      <c r="AH1567"/>
      <c r="AI1567"/>
      <c r="AJ1567"/>
      <c r="AK1567"/>
      <c r="AL1567"/>
      <c r="AM1567"/>
      <c r="AN1567"/>
      <c r="AO1567"/>
      <c r="AP1567"/>
      <c r="AQ1567"/>
      <c r="AR1567"/>
    </row>
    <row r="1568" spans="3:44" ht="15" customHeight="1">
      <c r="C1568"/>
      <c r="D1568"/>
      <c r="E1568"/>
      <c r="F1568"/>
      <c r="G1568"/>
      <c r="H1568"/>
      <c r="I1568"/>
      <c r="J1568"/>
      <c r="K1568"/>
      <c r="L1568"/>
      <c r="M1568"/>
      <c r="N1568"/>
      <c r="O1568"/>
      <c r="P1568"/>
      <c r="Q1568"/>
      <c r="R1568"/>
      <c r="S1568"/>
      <c r="T1568"/>
      <c r="U1568"/>
      <c r="V1568"/>
      <c r="W1568"/>
      <c r="X1568"/>
      <c r="Y1568"/>
      <c r="Z1568"/>
      <c r="AA1568"/>
      <c r="AB1568"/>
      <c r="AC1568"/>
      <c r="AD1568"/>
      <c r="AE1568"/>
      <c r="AF1568"/>
      <c r="AG1568"/>
      <c r="AH1568"/>
      <c r="AI1568"/>
      <c r="AJ1568"/>
      <c r="AK1568"/>
      <c r="AL1568"/>
      <c r="AM1568"/>
      <c r="AN1568"/>
      <c r="AO1568"/>
      <c r="AP1568"/>
      <c r="AQ1568"/>
      <c r="AR1568"/>
    </row>
    <row r="1569" spans="3:44" ht="15" customHeight="1">
      <c r="C1569"/>
      <c r="D1569"/>
      <c r="E1569"/>
      <c r="F1569"/>
      <c r="G1569"/>
      <c r="H1569"/>
      <c r="I1569"/>
      <c r="J1569"/>
      <c r="K1569"/>
      <c r="L1569"/>
      <c r="M1569"/>
      <c r="N1569"/>
      <c r="O1569"/>
      <c r="P1569"/>
      <c r="Q1569"/>
      <c r="R1569"/>
      <c r="S1569"/>
      <c r="T1569"/>
      <c r="U1569"/>
      <c r="V1569"/>
      <c r="W1569"/>
      <c r="X1569"/>
      <c r="Y1569"/>
      <c r="Z1569"/>
      <c r="AA1569"/>
      <c r="AB1569"/>
      <c r="AC1569"/>
      <c r="AD1569"/>
      <c r="AE1569"/>
      <c r="AF1569"/>
      <c r="AG1569"/>
      <c r="AH1569"/>
      <c r="AI1569"/>
      <c r="AJ1569"/>
      <c r="AK1569"/>
      <c r="AL1569"/>
      <c r="AM1569"/>
      <c r="AN1569"/>
      <c r="AO1569"/>
      <c r="AP1569"/>
      <c r="AQ1569"/>
      <c r="AR1569"/>
    </row>
    <row r="1570" spans="3:44" ht="15" customHeight="1">
      <c r="C1570"/>
      <c r="D1570"/>
      <c r="E1570"/>
      <c r="F1570"/>
      <c r="G1570"/>
      <c r="H1570"/>
      <c r="I1570"/>
      <c r="J1570"/>
      <c r="K1570"/>
      <c r="L1570"/>
      <c r="M1570"/>
      <c r="N1570"/>
      <c r="O1570"/>
      <c r="P1570"/>
      <c r="Q1570"/>
      <c r="R1570"/>
      <c r="S1570"/>
      <c r="T1570"/>
      <c r="U1570"/>
      <c r="V1570"/>
      <c r="W1570"/>
      <c r="X1570"/>
      <c r="Y1570"/>
      <c r="Z1570"/>
      <c r="AA1570"/>
      <c r="AB1570"/>
      <c r="AC1570"/>
      <c r="AD1570"/>
      <c r="AE1570"/>
      <c r="AF1570"/>
      <c r="AG1570"/>
      <c r="AH1570"/>
      <c r="AI1570"/>
      <c r="AJ1570"/>
      <c r="AK1570"/>
      <c r="AL1570"/>
      <c r="AM1570"/>
      <c r="AN1570"/>
      <c r="AO1570"/>
      <c r="AP1570"/>
      <c r="AQ1570"/>
      <c r="AR1570"/>
    </row>
    <row r="1571" spans="3:44" ht="15" customHeight="1">
      <c r="C1571"/>
      <c r="D1571"/>
      <c r="E1571"/>
      <c r="F1571"/>
      <c r="G1571"/>
      <c r="H1571"/>
      <c r="I1571"/>
      <c r="J1571"/>
      <c r="K1571"/>
      <c r="L1571"/>
      <c r="M1571"/>
      <c r="N1571"/>
      <c r="O1571"/>
      <c r="P1571"/>
      <c r="Q1571"/>
      <c r="R1571"/>
      <c r="S1571"/>
      <c r="T1571"/>
      <c r="U1571"/>
      <c r="V1571"/>
      <c r="W1571"/>
      <c r="X1571"/>
      <c r="Y1571"/>
      <c r="Z1571"/>
      <c r="AA1571"/>
      <c r="AB1571"/>
      <c r="AC1571"/>
      <c r="AD1571"/>
      <c r="AE1571"/>
      <c r="AF1571"/>
      <c r="AG1571"/>
      <c r="AH1571"/>
      <c r="AI1571"/>
      <c r="AJ1571"/>
      <c r="AK1571"/>
      <c r="AL1571"/>
      <c r="AM1571"/>
      <c r="AN1571"/>
      <c r="AO1571"/>
      <c r="AP1571"/>
      <c r="AQ1571"/>
      <c r="AR1571"/>
    </row>
    <row r="1572" spans="3:44" ht="15" customHeight="1">
      <c r="C1572"/>
      <c r="D1572"/>
      <c r="E1572"/>
      <c r="F1572"/>
      <c r="G1572"/>
      <c r="H1572"/>
      <c r="I1572"/>
      <c r="J1572"/>
      <c r="K1572"/>
      <c r="L1572"/>
      <c r="M1572"/>
      <c r="N1572"/>
      <c r="O1572"/>
      <c r="P1572"/>
      <c r="Q1572"/>
      <c r="R1572"/>
      <c r="S1572"/>
      <c r="T1572"/>
      <c r="U1572"/>
      <c r="V1572"/>
      <c r="W1572"/>
      <c r="X1572"/>
      <c r="Y1572"/>
      <c r="Z1572"/>
      <c r="AA1572"/>
      <c r="AB1572"/>
      <c r="AC1572"/>
      <c r="AD1572"/>
      <c r="AE1572"/>
      <c r="AF1572"/>
      <c r="AG1572"/>
      <c r="AH1572"/>
      <c r="AI1572"/>
      <c r="AJ1572"/>
      <c r="AK1572"/>
      <c r="AL1572"/>
      <c r="AM1572"/>
      <c r="AN1572"/>
      <c r="AO1572"/>
      <c r="AP1572"/>
      <c r="AQ1572"/>
      <c r="AR1572"/>
    </row>
    <row r="1573" spans="3:44" ht="15" customHeight="1">
      <c r="C1573"/>
      <c r="D1573"/>
      <c r="E1573"/>
      <c r="F1573"/>
      <c r="G1573"/>
      <c r="H1573"/>
      <c r="I1573"/>
      <c r="J1573"/>
      <c r="K1573"/>
      <c r="L1573"/>
      <c r="M1573"/>
      <c r="N1573"/>
      <c r="O1573"/>
      <c r="P1573"/>
      <c r="Q1573"/>
      <c r="R1573"/>
      <c r="S1573"/>
      <c r="T1573"/>
      <c r="U1573"/>
      <c r="V1573"/>
      <c r="W1573"/>
      <c r="X1573"/>
      <c r="Y1573"/>
      <c r="Z1573"/>
      <c r="AA1573"/>
      <c r="AB1573"/>
      <c r="AC1573"/>
      <c r="AD1573"/>
      <c r="AE1573"/>
      <c r="AF1573"/>
      <c r="AG1573"/>
      <c r="AH1573"/>
      <c r="AI1573"/>
      <c r="AJ1573"/>
      <c r="AK1573"/>
      <c r="AL1573"/>
      <c r="AM1573"/>
      <c r="AN1573"/>
      <c r="AO1573"/>
      <c r="AP1573"/>
      <c r="AQ1573"/>
      <c r="AR1573"/>
    </row>
    <row r="1574" spans="3:44" ht="15" customHeight="1">
      <c r="C1574"/>
      <c r="D1574"/>
      <c r="E1574"/>
      <c r="F1574"/>
      <c r="G1574"/>
      <c r="H1574"/>
      <c r="I1574"/>
      <c r="J1574"/>
      <c r="K1574"/>
      <c r="L1574"/>
      <c r="M1574"/>
      <c r="N1574"/>
      <c r="O1574"/>
      <c r="P1574"/>
      <c r="Q1574"/>
      <c r="R1574"/>
      <c r="S1574"/>
      <c r="T1574"/>
      <c r="U1574"/>
      <c r="V1574"/>
      <c r="W1574"/>
      <c r="X1574"/>
      <c r="Y1574"/>
      <c r="Z1574"/>
      <c r="AA1574"/>
      <c r="AB1574"/>
      <c r="AC1574"/>
      <c r="AD1574"/>
      <c r="AE1574"/>
      <c r="AF1574"/>
      <c r="AG1574"/>
      <c r="AH1574"/>
      <c r="AI1574"/>
      <c r="AJ1574"/>
      <c r="AK1574"/>
      <c r="AL1574"/>
      <c r="AM1574"/>
      <c r="AN1574"/>
      <c r="AO1574"/>
      <c r="AP1574"/>
      <c r="AQ1574"/>
      <c r="AR1574"/>
    </row>
    <row r="1575" spans="3:44" ht="15" customHeight="1">
      <c r="C1575"/>
      <c r="D1575"/>
      <c r="E1575"/>
      <c r="F1575"/>
      <c r="G1575"/>
      <c r="H1575"/>
      <c r="I1575"/>
      <c r="J1575"/>
      <c r="K1575"/>
      <c r="L1575"/>
      <c r="M1575"/>
      <c r="N1575"/>
      <c r="O1575"/>
      <c r="P1575"/>
      <c r="Q1575"/>
      <c r="R1575"/>
      <c r="S1575"/>
      <c r="T1575"/>
      <c r="U1575"/>
      <c r="V1575"/>
      <c r="W1575"/>
      <c r="X1575"/>
      <c r="Y1575"/>
      <c r="Z1575"/>
      <c r="AA1575"/>
      <c r="AB1575"/>
      <c r="AC1575"/>
      <c r="AD1575"/>
      <c r="AE1575"/>
      <c r="AF1575"/>
      <c r="AG1575"/>
      <c r="AH1575"/>
      <c r="AI1575"/>
      <c r="AJ1575"/>
      <c r="AK1575"/>
      <c r="AL1575"/>
      <c r="AM1575"/>
      <c r="AN1575"/>
      <c r="AO1575"/>
      <c r="AP1575"/>
      <c r="AQ1575"/>
      <c r="AR1575"/>
    </row>
    <row r="1576" spans="3:44" ht="15" customHeight="1">
      <c r="C1576"/>
      <c r="D1576"/>
      <c r="E1576"/>
      <c r="F1576"/>
      <c r="G1576"/>
      <c r="H1576"/>
      <c r="I1576"/>
      <c r="J1576"/>
      <c r="K1576"/>
      <c r="L1576"/>
      <c r="M1576"/>
      <c r="N1576"/>
      <c r="O1576"/>
      <c r="P1576"/>
      <c r="Q1576"/>
      <c r="R1576"/>
      <c r="S1576"/>
      <c r="T1576"/>
      <c r="U1576"/>
      <c r="V1576"/>
      <c r="W1576"/>
      <c r="X1576"/>
      <c r="Y1576"/>
      <c r="Z1576"/>
      <c r="AA1576"/>
      <c r="AB1576"/>
      <c r="AC1576"/>
      <c r="AD1576"/>
      <c r="AE1576"/>
      <c r="AF1576"/>
      <c r="AG1576"/>
      <c r="AH1576"/>
      <c r="AI1576"/>
      <c r="AJ1576"/>
      <c r="AK1576"/>
      <c r="AL1576"/>
      <c r="AM1576"/>
      <c r="AN1576"/>
      <c r="AO1576"/>
      <c r="AP1576"/>
      <c r="AQ1576"/>
      <c r="AR1576"/>
    </row>
    <row r="1577" spans="3:44" ht="15" customHeight="1">
      <c r="C1577"/>
      <c r="D1577"/>
      <c r="E1577"/>
      <c r="F1577"/>
      <c r="G1577"/>
      <c r="H1577"/>
      <c r="I1577"/>
      <c r="J1577"/>
      <c r="K1577"/>
      <c r="L1577"/>
      <c r="M1577"/>
      <c r="N1577"/>
      <c r="O1577"/>
      <c r="P1577"/>
      <c r="Q1577"/>
      <c r="R1577"/>
      <c r="S1577"/>
      <c r="T1577"/>
      <c r="U1577"/>
      <c r="V1577"/>
      <c r="W1577"/>
      <c r="X1577"/>
      <c r="Y1577"/>
      <c r="Z1577"/>
      <c r="AA1577"/>
      <c r="AB1577"/>
      <c r="AC1577"/>
      <c r="AD1577"/>
      <c r="AE1577"/>
      <c r="AF1577"/>
      <c r="AG1577"/>
      <c r="AH1577"/>
      <c r="AI1577"/>
      <c r="AJ1577"/>
      <c r="AK1577"/>
      <c r="AL1577"/>
      <c r="AM1577"/>
      <c r="AN1577"/>
      <c r="AO1577"/>
      <c r="AP1577"/>
      <c r="AQ1577"/>
      <c r="AR1577"/>
    </row>
    <row r="1578" spans="3:44" ht="15" customHeight="1">
      <c r="C1578"/>
      <c r="D1578"/>
      <c r="E1578"/>
      <c r="F1578"/>
      <c r="G1578"/>
      <c r="H1578"/>
      <c r="I1578"/>
      <c r="J1578"/>
      <c r="K1578"/>
      <c r="L1578"/>
      <c r="M1578"/>
      <c r="N1578"/>
      <c r="O1578"/>
      <c r="P1578"/>
      <c r="Q1578"/>
      <c r="R1578"/>
      <c r="S1578"/>
      <c r="T1578"/>
      <c r="U1578"/>
      <c r="V1578"/>
      <c r="W1578"/>
      <c r="X1578"/>
      <c r="Y1578"/>
      <c r="Z1578"/>
      <c r="AA1578"/>
      <c r="AB1578"/>
      <c r="AC1578"/>
      <c r="AD1578"/>
      <c r="AE1578"/>
      <c r="AF1578"/>
      <c r="AG1578"/>
      <c r="AH1578"/>
      <c r="AI1578"/>
      <c r="AJ1578"/>
      <c r="AK1578"/>
      <c r="AL1578"/>
      <c r="AM1578"/>
      <c r="AN1578"/>
      <c r="AO1578"/>
      <c r="AP1578"/>
      <c r="AQ1578"/>
      <c r="AR1578"/>
    </row>
    <row r="1579" spans="3:44" ht="15" customHeight="1">
      <c r="C1579"/>
      <c r="D1579"/>
      <c r="E1579"/>
      <c r="F1579"/>
      <c r="G1579"/>
      <c r="H1579"/>
      <c r="I1579"/>
      <c r="J1579"/>
      <c r="K1579"/>
      <c r="L1579"/>
      <c r="M1579"/>
      <c r="N1579"/>
      <c r="O1579"/>
      <c r="P1579"/>
      <c r="Q1579"/>
      <c r="R1579"/>
      <c r="S1579"/>
      <c r="T1579"/>
      <c r="U1579"/>
      <c r="V1579"/>
      <c r="W1579"/>
      <c r="X1579"/>
      <c r="Y1579"/>
      <c r="Z1579"/>
      <c r="AA1579"/>
      <c r="AB1579"/>
      <c r="AC1579"/>
      <c r="AD1579"/>
      <c r="AE1579"/>
      <c r="AF1579"/>
      <c r="AG1579"/>
      <c r="AH1579"/>
      <c r="AI1579"/>
      <c r="AJ1579"/>
      <c r="AK1579"/>
      <c r="AL1579"/>
      <c r="AM1579"/>
      <c r="AN1579"/>
      <c r="AO1579"/>
      <c r="AP1579"/>
      <c r="AQ1579"/>
      <c r="AR1579"/>
    </row>
    <row r="1580" spans="3:44" ht="15" customHeight="1">
      <c r="C1580"/>
      <c r="D1580"/>
      <c r="E1580"/>
      <c r="F1580"/>
      <c r="G1580"/>
      <c r="H1580"/>
      <c r="I1580"/>
      <c r="J1580"/>
      <c r="K1580"/>
      <c r="L1580"/>
      <c r="M1580"/>
      <c r="N1580"/>
      <c r="O1580"/>
      <c r="P1580"/>
      <c r="Q1580"/>
      <c r="R1580"/>
      <c r="S1580"/>
      <c r="T1580"/>
      <c r="U1580"/>
      <c r="V1580"/>
      <c r="W1580"/>
      <c r="X1580"/>
      <c r="Y1580"/>
      <c r="Z1580"/>
      <c r="AA1580"/>
      <c r="AB1580"/>
      <c r="AC1580"/>
      <c r="AD1580"/>
      <c r="AE1580"/>
      <c r="AF1580"/>
      <c r="AG1580"/>
      <c r="AH1580"/>
      <c r="AI1580"/>
      <c r="AJ1580"/>
      <c r="AK1580"/>
      <c r="AL1580"/>
      <c r="AM1580"/>
      <c r="AN1580"/>
      <c r="AO1580"/>
      <c r="AP1580"/>
      <c r="AQ1580"/>
      <c r="AR1580"/>
    </row>
    <row r="1581" spans="3:44" ht="15" customHeight="1">
      <c r="C1581"/>
      <c r="D1581"/>
      <c r="E1581"/>
      <c r="F1581"/>
      <c r="G1581"/>
      <c r="H1581"/>
      <c r="I1581"/>
      <c r="J1581"/>
      <c r="K1581"/>
      <c r="L1581"/>
      <c r="M1581"/>
      <c r="N1581"/>
      <c r="O1581"/>
      <c r="P1581"/>
      <c r="Q1581"/>
      <c r="R1581"/>
      <c r="S1581"/>
      <c r="T1581"/>
      <c r="U1581"/>
      <c r="V1581"/>
      <c r="W1581"/>
      <c r="X1581"/>
      <c r="Y1581"/>
      <c r="Z1581"/>
      <c r="AA1581"/>
      <c r="AB1581"/>
      <c r="AC1581"/>
      <c r="AD1581"/>
      <c r="AE1581"/>
      <c r="AF1581"/>
      <c r="AG1581"/>
      <c r="AH1581"/>
      <c r="AI1581"/>
      <c r="AJ1581"/>
      <c r="AK1581"/>
      <c r="AL1581"/>
      <c r="AM1581"/>
      <c r="AN1581"/>
      <c r="AO1581"/>
      <c r="AP1581"/>
      <c r="AQ1581"/>
      <c r="AR1581"/>
    </row>
    <row r="1582" spans="3:44" ht="15" customHeight="1">
      <c r="C1582"/>
      <c r="D1582"/>
      <c r="E1582"/>
      <c r="F1582"/>
      <c r="G1582"/>
      <c r="H1582"/>
      <c r="I1582"/>
      <c r="J1582"/>
      <c r="K1582"/>
      <c r="L1582"/>
      <c r="M1582"/>
      <c r="N1582"/>
      <c r="O1582"/>
      <c r="P1582"/>
      <c r="Q1582"/>
      <c r="R1582"/>
      <c r="S1582"/>
      <c r="T1582"/>
      <c r="U1582"/>
      <c r="V1582"/>
      <c r="W1582"/>
      <c r="X1582"/>
      <c r="Y1582"/>
      <c r="Z1582"/>
      <c r="AA1582"/>
      <c r="AB1582"/>
      <c r="AC1582"/>
      <c r="AD1582"/>
      <c r="AE1582"/>
      <c r="AF1582"/>
      <c r="AG1582"/>
      <c r="AH1582"/>
      <c r="AI1582"/>
      <c r="AJ1582"/>
      <c r="AK1582"/>
      <c r="AL1582"/>
      <c r="AM1582"/>
      <c r="AN1582"/>
      <c r="AO1582"/>
      <c r="AP1582"/>
      <c r="AQ1582"/>
      <c r="AR1582"/>
    </row>
    <row r="1583" spans="3:44" ht="15" customHeight="1">
      <c r="C1583"/>
      <c r="D1583"/>
      <c r="E1583"/>
      <c r="F1583"/>
      <c r="G1583"/>
      <c r="H1583"/>
      <c r="I1583"/>
      <c r="J1583"/>
      <c r="K1583"/>
      <c r="L1583"/>
      <c r="M1583"/>
      <c r="N1583"/>
      <c r="O1583"/>
      <c r="P1583"/>
      <c r="Q1583"/>
      <c r="R1583"/>
      <c r="S1583"/>
      <c r="T1583"/>
      <c r="U1583"/>
      <c r="V1583"/>
      <c r="W1583"/>
      <c r="X1583"/>
      <c r="Y1583"/>
      <c r="Z1583"/>
      <c r="AA1583"/>
      <c r="AB1583"/>
      <c r="AC1583"/>
      <c r="AD1583"/>
      <c r="AE1583"/>
      <c r="AF1583"/>
      <c r="AG1583"/>
      <c r="AH1583"/>
      <c r="AI1583"/>
      <c r="AJ1583"/>
      <c r="AK1583"/>
      <c r="AL1583"/>
      <c r="AM1583"/>
      <c r="AN1583"/>
      <c r="AO1583"/>
      <c r="AP1583"/>
      <c r="AQ1583"/>
      <c r="AR1583"/>
    </row>
    <row r="1584" spans="3:44" ht="15" customHeight="1">
      <c r="C1584"/>
      <c r="D1584"/>
      <c r="E1584"/>
      <c r="F1584"/>
      <c r="G1584"/>
      <c r="H1584"/>
      <c r="I1584"/>
      <c r="J1584"/>
      <c r="K1584"/>
      <c r="L1584"/>
      <c r="M1584"/>
      <c r="N1584"/>
      <c r="O1584"/>
      <c r="P1584"/>
      <c r="Q1584"/>
      <c r="R1584"/>
      <c r="S1584"/>
      <c r="T1584"/>
      <c r="U1584"/>
      <c r="V1584"/>
      <c r="W1584"/>
      <c r="X1584"/>
      <c r="Y1584"/>
      <c r="Z1584"/>
      <c r="AA1584"/>
      <c r="AB1584"/>
      <c r="AC1584"/>
      <c r="AD1584"/>
      <c r="AE1584"/>
      <c r="AF1584"/>
      <c r="AG1584"/>
      <c r="AH1584"/>
      <c r="AI1584"/>
      <c r="AJ1584"/>
      <c r="AK1584"/>
      <c r="AL1584"/>
      <c r="AM1584"/>
      <c r="AN1584"/>
      <c r="AO1584"/>
      <c r="AP1584"/>
      <c r="AQ1584"/>
      <c r="AR1584"/>
    </row>
    <row r="1585" spans="3:44" ht="15" customHeight="1">
      <c r="C1585"/>
      <c r="D1585"/>
      <c r="E1585"/>
      <c r="F1585"/>
      <c r="G1585"/>
      <c r="H1585"/>
      <c r="I1585"/>
      <c r="J1585"/>
      <c r="K1585"/>
      <c r="L1585"/>
      <c r="M1585"/>
      <c r="N1585"/>
      <c r="O1585"/>
      <c r="P1585"/>
      <c r="Q1585"/>
      <c r="R1585"/>
      <c r="S1585"/>
      <c r="T1585"/>
      <c r="U1585"/>
      <c r="V1585"/>
      <c r="W1585"/>
      <c r="X1585"/>
      <c r="Y1585"/>
      <c r="Z1585"/>
      <c r="AA1585"/>
      <c r="AB1585"/>
      <c r="AC1585"/>
      <c r="AD1585"/>
      <c r="AE1585"/>
      <c r="AF1585"/>
      <c r="AG1585"/>
      <c r="AH1585"/>
      <c r="AI1585"/>
      <c r="AJ1585"/>
      <c r="AK1585"/>
      <c r="AL1585"/>
      <c r="AM1585"/>
      <c r="AN1585"/>
      <c r="AO1585"/>
      <c r="AP1585"/>
      <c r="AQ1585"/>
      <c r="AR1585"/>
    </row>
    <row r="1586" spans="3:44" ht="15" customHeight="1">
      <c r="C1586"/>
      <c r="D1586"/>
      <c r="E1586"/>
      <c r="F1586"/>
      <c r="G1586"/>
      <c r="H1586"/>
      <c r="I1586"/>
      <c r="J1586"/>
      <c r="K1586"/>
      <c r="L1586"/>
      <c r="M1586"/>
      <c r="N1586"/>
      <c r="O1586"/>
      <c r="P1586"/>
      <c r="Q1586"/>
      <c r="R1586"/>
      <c r="S1586"/>
      <c r="T1586"/>
      <c r="U1586"/>
      <c r="V1586"/>
      <c r="W1586"/>
      <c r="X1586"/>
      <c r="Y1586"/>
      <c r="Z1586"/>
      <c r="AA1586"/>
      <c r="AB1586"/>
      <c r="AC1586"/>
      <c r="AD1586"/>
      <c r="AE1586"/>
      <c r="AF1586"/>
      <c r="AG1586"/>
      <c r="AH1586"/>
      <c r="AI1586"/>
      <c r="AJ1586"/>
      <c r="AK1586"/>
      <c r="AL1586"/>
      <c r="AM1586"/>
      <c r="AN1586"/>
      <c r="AO1586"/>
      <c r="AP1586"/>
      <c r="AQ1586"/>
      <c r="AR1586"/>
    </row>
    <row r="1587" spans="3:44" ht="15" customHeight="1">
      <c r="C1587"/>
      <c r="D1587"/>
      <c r="E1587"/>
      <c r="F1587"/>
      <c r="G1587"/>
      <c r="H1587"/>
      <c r="I1587"/>
      <c r="J1587"/>
      <c r="K1587"/>
      <c r="L1587"/>
      <c r="M1587"/>
      <c r="N1587"/>
      <c r="O1587"/>
      <c r="P1587"/>
      <c r="Q1587"/>
      <c r="R1587"/>
      <c r="S1587"/>
      <c r="T1587"/>
      <c r="U1587"/>
      <c r="V1587"/>
      <c r="W1587"/>
      <c r="X1587"/>
      <c r="Y1587"/>
      <c r="Z1587"/>
      <c r="AA1587"/>
      <c r="AB1587"/>
      <c r="AC1587"/>
      <c r="AD1587"/>
      <c r="AE1587"/>
      <c r="AF1587"/>
      <c r="AG1587"/>
      <c r="AH1587"/>
      <c r="AI1587"/>
      <c r="AJ1587"/>
      <c r="AK1587"/>
      <c r="AL1587"/>
      <c r="AM1587"/>
      <c r="AN1587"/>
      <c r="AO1587"/>
      <c r="AP1587"/>
      <c r="AQ1587"/>
      <c r="AR1587"/>
    </row>
    <row r="1588" spans="3:44" ht="15" customHeight="1">
      <c r="C1588"/>
      <c r="D1588"/>
      <c r="E1588"/>
      <c r="F1588"/>
      <c r="G1588"/>
      <c r="H1588"/>
      <c r="I1588"/>
      <c r="J1588"/>
      <c r="K1588"/>
      <c r="L1588"/>
      <c r="M1588"/>
      <c r="N1588"/>
      <c r="O1588"/>
      <c r="P1588"/>
      <c r="Q1588"/>
      <c r="R1588"/>
      <c r="S1588"/>
      <c r="T1588"/>
      <c r="U1588"/>
      <c r="V1588"/>
      <c r="W1588"/>
      <c r="X1588"/>
      <c r="Y1588"/>
      <c r="Z1588"/>
      <c r="AA1588"/>
      <c r="AB1588"/>
      <c r="AC1588"/>
      <c r="AD1588"/>
      <c r="AE1588"/>
      <c r="AF1588"/>
      <c r="AG1588"/>
      <c r="AH1588"/>
      <c r="AI1588"/>
      <c r="AJ1588"/>
      <c r="AK1588"/>
      <c r="AL1588"/>
      <c r="AM1588"/>
      <c r="AN1588"/>
      <c r="AO1588"/>
      <c r="AP1588"/>
      <c r="AQ1588"/>
      <c r="AR1588"/>
    </row>
    <row r="1589" spans="3:44" ht="15" customHeight="1">
      <c r="C1589"/>
      <c r="D1589"/>
      <c r="E1589"/>
      <c r="F1589"/>
      <c r="G1589"/>
      <c r="H1589"/>
      <c r="I1589"/>
      <c r="J1589"/>
      <c r="K1589"/>
      <c r="L1589"/>
      <c r="M1589"/>
      <c r="N1589"/>
      <c r="O1589"/>
      <c r="P1589"/>
      <c r="Q1589"/>
      <c r="R1589"/>
      <c r="S1589"/>
      <c r="T1589"/>
      <c r="U1589"/>
      <c r="V1589"/>
      <c r="W1589"/>
      <c r="X1589"/>
      <c r="Y1589"/>
      <c r="Z1589"/>
      <c r="AA1589"/>
      <c r="AB1589"/>
      <c r="AC1589"/>
      <c r="AD1589"/>
      <c r="AE1589"/>
      <c r="AF1589"/>
      <c r="AG1589"/>
      <c r="AH1589"/>
      <c r="AI1589"/>
      <c r="AJ1589"/>
      <c r="AK1589"/>
      <c r="AL1589"/>
      <c r="AM1589"/>
      <c r="AN1589"/>
      <c r="AO1589"/>
      <c r="AP1589"/>
      <c r="AQ1589"/>
      <c r="AR1589"/>
    </row>
    <row r="1590" spans="3:44" ht="15" customHeight="1">
      <c r="C1590"/>
      <c r="D1590"/>
      <c r="E1590"/>
      <c r="F1590"/>
      <c r="G1590"/>
      <c r="H1590"/>
      <c r="I1590"/>
      <c r="J1590"/>
      <c r="K1590"/>
      <c r="L1590"/>
      <c r="M1590"/>
      <c r="N1590"/>
      <c r="O1590"/>
      <c r="P1590"/>
      <c r="Q1590"/>
      <c r="R1590"/>
      <c r="S1590"/>
      <c r="T1590"/>
      <c r="U1590"/>
      <c r="V1590"/>
      <c r="W1590"/>
      <c r="X1590"/>
      <c r="Y1590"/>
      <c r="Z1590"/>
      <c r="AA1590"/>
      <c r="AB1590"/>
      <c r="AC1590"/>
      <c r="AD1590"/>
      <c r="AE1590"/>
      <c r="AF1590"/>
      <c r="AG1590"/>
      <c r="AH1590"/>
      <c r="AI1590"/>
      <c r="AJ1590"/>
      <c r="AK1590"/>
      <c r="AL1590"/>
      <c r="AM1590"/>
      <c r="AN1590"/>
      <c r="AO1590"/>
      <c r="AP1590"/>
      <c r="AQ1590"/>
      <c r="AR1590"/>
    </row>
    <row r="1591" spans="3:44" ht="15" customHeight="1">
      <c r="C1591"/>
      <c r="D1591"/>
      <c r="E1591"/>
      <c r="F1591"/>
      <c r="G1591"/>
      <c r="H1591"/>
      <c r="I1591"/>
      <c r="J1591"/>
      <c r="K1591"/>
      <c r="L1591"/>
      <c r="M1591"/>
      <c r="N1591"/>
      <c r="O1591"/>
      <c r="P1591"/>
      <c r="Q1591"/>
      <c r="R1591"/>
      <c r="S1591"/>
      <c r="T1591"/>
      <c r="U1591"/>
      <c r="V1591"/>
      <c r="W1591"/>
      <c r="X1591"/>
      <c r="Y1591"/>
      <c r="Z1591"/>
      <c r="AA1591"/>
      <c r="AB1591"/>
      <c r="AC1591"/>
      <c r="AD1591"/>
      <c r="AE1591"/>
      <c r="AF1591"/>
      <c r="AG1591"/>
      <c r="AH1591"/>
      <c r="AI1591"/>
      <c r="AJ1591"/>
      <c r="AK1591"/>
      <c r="AL1591"/>
      <c r="AM1591"/>
      <c r="AN1591"/>
      <c r="AO1591"/>
      <c r="AP1591"/>
      <c r="AQ1591"/>
      <c r="AR1591"/>
    </row>
    <row r="1592" spans="3:44" ht="15" customHeight="1">
      <c r="C1592"/>
      <c r="D1592"/>
      <c r="E1592"/>
      <c r="F1592"/>
      <c r="G1592"/>
      <c r="H1592"/>
      <c r="I1592"/>
      <c r="J1592"/>
      <c r="K1592"/>
      <c r="L1592"/>
      <c r="M1592"/>
      <c r="N1592"/>
      <c r="O1592"/>
      <c r="P1592"/>
      <c r="Q1592"/>
      <c r="R1592"/>
      <c r="S1592"/>
      <c r="T1592"/>
      <c r="U1592"/>
      <c r="V1592"/>
      <c r="W1592"/>
      <c r="X1592"/>
      <c r="Y1592"/>
      <c r="Z1592"/>
      <c r="AA1592"/>
      <c r="AB1592"/>
      <c r="AC1592"/>
      <c r="AD1592"/>
      <c r="AE1592"/>
      <c r="AF1592"/>
      <c r="AG1592"/>
      <c r="AH1592"/>
      <c r="AI1592"/>
      <c r="AJ1592"/>
      <c r="AK1592"/>
      <c r="AL1592"/>
      <c r="AM1592"/>
      <c r="AN1592"/>
      <c r="AO1592"/>
      <c r="AP1592"/>
      <c r="AQ1592"/>
      <c r="AR1592"/>
    </row>
    <row r="1593" spans="3:44" ht="15" customHeight="1">
      <c r="C1593"/>
      <c r="D1593"/>
      <c r="E1593"/>
      <c r="F1593"/>
      <c r="G1593"/>
      <c r="H1593"/>
      <c r="I1593"/>
      <c r="J1593"/>
      <c r="K1593"/>
      <c r="L1593"/>
      <c r="M1593"/>
      <c r="N1593"/>
      <c r="O1593"/>
      <c r="P1593"/>
      <c r="Q1593"/>
      <c r="R1593"/>
      <c r="S1593"/>
      <c r="T1593"/>
      <c r="U1593"/>
      <c r="V1593"/>
      <c r="W1593"/>
      <c r="X1593"/>
      <c r="Y1593"/>
      <c r="Z1593"/>
      <c r="AA1593"/>
      <c r="AB1593"/>
      <c r="AC1593"/>
      <c r="AD1593"/>
      <c r="AE1593"/>
      <c r="AF1593"/>
      <c r="AG1593"/>
      <c r="AH1593"/>
      <c r="AI1593"/>
      <c r="AJ1593"/>
      <c r="AK1593"/>
      <c r="AL1593"/>
      <c r="AM1593"/>
      <c r="AN1593"/>
      <c r="AO1593"/>
      <c r="AP1593"/>
      <c r="AQ1593"/>
      <c r="AR1593"/>
    </row>
    <row r="1594" spans="3:44" ht="15" customHeight="1">
      <c r="C1594"/>
      <c r="D1594"/>
      <c r="E1594"/>
      <c r="F1594"/>
      <c r="G1594"/>
      <c r="H1594"/>
      <c r="I1594"/>
      <c r="J1594"/>
      <c r="K1594"/>
      <c r="L1594"/>
      <c r="M1594"/>
      <c r="N1594"/>
      <c r="O1594"/>
      <c r="P1594"/>
      <c r="Q1594"/>
      <c r="R1594"/>
      <c r="S1594"/>
      <c r="T1594"/>
      <c r="U1594"/>
      <c r="V1594"/>
      <c r="W1594"/>
      <c r="X1594"/>
      <c r="Y1594"/>
      <c r="Z1594"/>
      <c r="AA1594"/>
      <c r="AB1594"/>
      <c r="AC1594"/>
      <c r="AD1594"/>
      <c r="AE1594"/>
      <c r="AF1594"/>
      <c r="AG1594"/>
      <c r="AH1594"/>
      <c r="AI1594"/>
      <c r="AJ1594"/>
      <c r="AK1594"/>
      <c r="AL1594"/>
      <c r="AM1594"/>
      <c r="AN1594"/>
      <c r="AO1594"/>
      <c r="AP1594"/>
      <c r="AQ1594"/>
      <c r="AR1594"/>
    </row>
    <row r="1595" spans="3:44" ht="15" customHeight="1">
      <c r="C1595"/>
      <c r="D1595"/>
      <c r="E1595"/>
      <c r="F1595"/>
      <c r="G1595"/>
      <c r="H1595"/>
      <c r="I1595"/>
      <c r="J1595"/>
      <c r="K1595"/>
      <c r="L1595"/>
      <c r="M1595"/>
      <c r="N1595"/>
      <c r="O1595"/>
      <c r="P1595"/>
      <c r="Q1595"/>
      <c r="R1595"/>
      <c r="S1595"/>
      <c r="T1595"/>
      <c r="U1595"/>
      <c r="V1595"/>
      <c r="W1595"/>
      <c r="X1595"/>
      <c r="Y1595"/>
      <c r="Z1595"/>
      <c r="AA1595"/>
      <c r="AB1595"/>
      <c r="AC1595"/>
      <c r="AD1595"/>
      <c r="AE1595"/>
      <c r="AF1595"/>
      <c r="AG1595"/>
      <c r="AH1595"/>
      <c r="AI1595"/>
      <c r="AJ1595"/>
      <c r="AK1595"/>
      <c r="AL1595"/>
      <c r="AM1595"/>
      <c r="AN1595"/>
      <c r="AO1595"/>
      <c r="AP1595"/>
      <c r="AQ1595"/>
      <c r="AR1595"/>
    </row>
    <row r="1596" spans="3:44" ht="15" customHeight="1">
      <c r="C1596"/>
      <c r="D1596"/>
      <c r="E1596"/>
      <c r="F1596"/>
      <c r="G1596"/>
      <c r="H1596"/>
      <c r="I1596"/>
      <c r="J1596"/>
      <c r="K1596"/>
      <c r="L1596"/>
      <c r="M1596"/>
      <c r="N1596"/>
      <c r="O1596"/>
      <c r="P1596"/>
      <c r="Q1596"/>
      <c r="R1596"/>
      <c r="S1596"/>
      <c r="T1596"/>
      <c r="U1596"/>
      <c r="V1596"/>
      <c r="W1596"/>
      <c r="X1596"/>
      <c r="Y1596"/>
      <c r="Z1596"/>
      <c r="AA1596"/>
      <c r="AB1596"/>
      <c r="AC1596"/>
      <c r="AD1596"/>
      <c r="AE1596"/>
      <c r="AF1596"/>
      <c r="AG1596"/>
      <c r="AH1596"/>
      <c r="AI1596"/>
      <c r="AJ1596"/>
      <c r="AK1596"/>
      <c r="AL1596"/>
      <c r="AM1596"/>
      <c r="AN1596"/>
      <c r="AO1596"/>
      <c r="AP1596"/>
      <c r="AQ1596"/>
      <c r="AR1596"/>
    </row>
    <row r="1597" spans="3:44" ht="15" customHeight="1">
      <c r="C1597"/>
      <c r="D1597"/>
      <c r="E1597"/>
      <c r="F1597"/>
      <c r="G1597"/>
      <c r="H1597"/>
      <c r="I1597"/>
      <c r="J1597"/>
      <c r="K1597"/>
      <c r="L1597"/>
      <c r="M1597"/>
      <c r="N1597"/>
      <c r="O1597"/>
      <c r="P1597"/>
      <c r="Q1597"/>
      <c r="R1597"/>
      <c r="S1597"/>
      <c r="T1597"/>
      <c r="U1597"/>
      <c r="V1597"/>
      <c r="W1597"/>
      <c r="X1597"/>
      <c r="Y1597"/>
      <c r="Z1597"/>
      <c r="AA1597"/>
      <c r="AB1597"/>
      <c r="AC1597"/>
      <c r="AD1597"/>
      <c r="AE1597"/>
      <c r="AF1597"/>
      <c r="AG1597"/>
      <c r="AH1597"/>
      <c r="AI1597"/>
      <c r="AJ1597"/>
      <c r="AK1597"/>
      <c r="AL1597"/>
      <c r="AM1597"/>
      <c r="AN1597"/>
      <c r="AO1597"/>
      <c r="AP1597"/>
      <c r="AQ1597"/>
      <c r="AR1597"/>
    </row>
    <row r="1598" spans="3:44" ht="15" customHeight="1">
      <c r="C1598"/>
      <c r="D1598"/>
      <c r="E1598"/>
      <c r="F1598"/>
      <c r="G1598"/>
      <c r="H1598"/>
      <c r="I1598"/>
      <c r="J1598"/>
      <c r="K1598"/>
      <c r="L1598"/>
      <c r="M1598"/>
      <c r="N1598"/>
      <c r="O1598"/>
      <c r="P1598"/>
      <c r="Q1598"/>
      <c r="R1598"/>
      <c r="S1598"/>
      <c r="T1598"/>
      <c r="U1598"/>
      <c r="V1598"/>
      <c r="W1598"/>
      <c r="X1598"/>
      <c r="Y1598"/>
      <c r="Z1598"/>
      <c r="AA1598"/>
      <c r="AB1598"/>
      <c r="AC1598"/>
      <c r="AD1598"/>
      <c r="AE1598"/>
      <c r="AF1598"/>
      <c r="AG1598"/>
      <c r="AH1598"/>
      <c r="AI1598"/>
      <c r="AJ1598"/>
      <c r="AK1598"/>
      <c r="AL1598"/>
      <c r="AM1598"/>
      <c r="AN1598"/>
      <c r="AO1598"/>
      <c r="AP1598"/>
      <c r="AQ1598"/>
      <c r="AR1598"/>
    </row>
    <row r="1599" spans="3:44" ht="15" customHeight="1">
      <c r="C1599"/>
      <c r="D1599"/>
      <c r="E1599"/>
      <c r="F1599"/>
      <c r="G1599"/>
      <c r="H1599"/>
      <c r="I1599"/>
      <c r="J1599"/>
      <c r="K1599"/>
      <c r="L1599"/>
      <c r="M1599"/>
      <c r="N1599"/>
      <c r="O1599"/>
      <c r="P1599"/>
      <c r="Q1599"/>
      <c r="R1599"/>
      <c r="S1599"/>
      <c r="T1599"/>
      <c r="U1599"/>
      <c r="V1599"/>
      <c r="W1599"/>
      <c r="X1599"/>
      <c r="Y1599"/>
      <c r="Z1599"/>
      <c r="AA1599"/>
      <c r="AB1599"/>
      <c r="AC1599"/>
      <c r="AD1599"/>
      <c r="AE1599"/>
      <c r="AF1599"/>
      <c r="AG1599"/>
      <c r="AH1599"/>
      <c r="AI1599"/>
      <c r="AJ1599"/>
      <c r="AK1599"/>
      <c r="AL1599"/>
      <c r="AM1599"/>
      <c r="AN1599"/>
      <c r="AO1599"/>
      <c r="AP1599"/>
      <c r="AQ1599"/>
      <c r="AR1599"/>
    </row>
    <row r="1600" spans="3:44" ht="15" customHeight="1">
      <c r="C1600"/>
      <c r="D1600"/>
      <c r="E1600"/>
      <c r="F1600"/>
      <c r="G1600"/>
      <c r="H1600"/>
      <c r="I1600"/>
      <c r="J1600"/>
      <c r="K1600"/>
      <c r="L1600"/>
      <c r="M1600"/>
      <c r="N1600"/>
      <c r="O1600"/>
      <c r="P1600"/>
      <c r="Q1600"/>
      <c r="R1600"/>
      <c r="S1600"/>
      <c r="T1600"/>
      <c r="U1600"/>
      <c r="V1600"/>
      <c r="W1600"/>
      <c r="X1600"/>
      <c r="Y1600"/>
      <c r="Z1600"/>
      <c r="AA1600"/>
      <c r="AB1600"/>
      <c r="AC1600"/>
      <c r="AD1600"/>
      <c r="AE1600"/>
      <c r="AF1600"/>
      <c r="AG1600"/>
      <c r="AH1600"/>
      <c r="AI1600"/>
      <c r="AJ1600"/>
      <c r="AK1600"/>
      <c r="AL1600"/>
      <c r="AM1600"/>
      <c r="AN1600"/>
      <c r="AO1600"/>
      <c r="AP1600"/>
      <c r="AQ1600"/>
      <c r="AR1600"/>
    </row>
    <row r="1601" spans="3:44" ht="15" customHeight="1">
      <c r="C1601"/>
      <c r="D1601"/>
      <c r="E1601"/>
      <c r="F1601"/>
      <c r="G1601"/>
      <c r="H1601"/>
      <c r="I1601"/>
      <c r="J1601"/>
      <c r="K1601"/>
      <c r="L1601"/>
      <c r="M1601"/>
      <c r="N1601"/>
      <c r="O1601"/>
      <c r="P1601"/>
      <c r="Q1601"/>
      <c r="R1601"/>
      <c r="S1601"/>
      <c r="T1601"/>
      <c r="U1601"/>
      <c r="V1601"/>
      <c r="W1601"/>
      <c r="X1601"/>
      <c r="Y1601"/>
      <c r="Z1601"/>
      <c r="AA1601"/>
      <c r="AB1601"/>
      <c r="AC1601"/>
      <c r="AD1601"/>
      <c r="AE1601"/>
      <c r="AF1601"/>
      <c r="AG1601"/>
      <c r="AH1601"/>
      <c r="AI1601"/>
      <c r="AJ1601"/>
      <c r="AK1601"/>
      <c r="AL1601"/>
      <c r="AM1601"/>
      <c r="AN1601"/>
      <c r="AO1601"/>
      <c r="AP1601"/>
      <c r="AQ1601"/>
      <c r="AR1601"/>
    </row>
    <row r="1602" spans="3:44" ht="15" customHeight="1">
      <c r="C1602"/>
      <c r="D1602"/>
      <c r="E1602"/>
      <c r="F1602"/>
      <c r="G1602"/>
      <c r="H1602"/>
      <c r="I1602"/>
      <c r="J1602"/>
      <c r="K1602"/>
      <c r="L1602"/>
      <c r="M1602"/>
      <c r="N1602"/>
      <c r="O1602"/>
      <c r="P1602"/>
      <c r="Q1602"/>
      <c r="R1602"/>
      <c r="S1602"/>
      <c r="T1602"/>
      <c r="U1602"/>
      <c r="V1602"/>
      <c r="W1602"/>
      <c r="X1602"/>
      <c r="Y1602"/>
      <c r="Z1602"/>
      <c r="AA1602"/>
      <c r="AB1602"/>
      <c r="AC1602"/>
      <c r="AD1602"/>
      <c r="AE1602"/>
      <c r="AF1602"/>
      <c r="AG1602"/>
      <c r="AH1602"/>
      <c r="AI1602"/>
      <c r="AJ1602"/>
      <c r="AK1602"/>
      <c r="AL1602"/>
      <c r="AM1602"/>
      <c r="AN1602"/>
      <c r="AO1602"/>
      <c r="AP1602"/>
      <c r="AQ1602"/>
      <c r="AR1602"/>
    </row>
    <row r="1603" spans="3:44" ht="15" customHeight="1">
      <c r="C1603"/>
      <c r="D1603"/>
      <c r="E1603"/>
      <c r="F1603"/>
      <c r="G1603"/>
      <c r="H1603"/>
      <c r="I1603"/>
      <c r="J1603"/>
      <c r="K1603"/>
      <c r="L1603"/>
      <c r="M1603"/>
      <c r="N1603"/>
      <c r="O1603"/>
      <c r="P1603"/>
      <c r="Q1603"/>
      <c r="R1603"/>
      <c r="S1603"/>
      <c r="T1603"/>
      <c r="U1603"/>
      <c r="V1603"/>
      <c r="W1603"/>
      <c r="X1603"/>
      <c r="Y1603"/>
      <c r="Z1603"/>
      <c r="AA1603"/>
      <c r="AB1603"/>
      <c r="AC1603"/>
      <c r="AD1603"/>
      <c r="AE1603"/>
      <c r="AF1603"/>
      <c r="AG1603"/>
      <c r="AH1603"/>
      <c r="AI1603"/>
      <c r="AJ1603"/>
      <c r="AK1603"/>
      <c r="AL1603"/>
      <c r="AM1603"/>
      <c r="AN1603"/>
      <c r="AO1603"/>
      <c r="AP1603"/>
      <c r="AQ1603"/>
      <c r="AR1603"/>
    </row>
    <row r="1604" spans="3:44" ht="15" customHeight="1">
      <c r="C1604"/>
      <c r="D1604"/>
      <c r="E1604"/>
      <c r="F1604"/>
      <c r="G1604"/>
      <c r="H1604"/>
      <c r="I1604"/>
      <c r="J1604"/>
      <c r="K1604"/>
      <c r="L1604"/>
      <c r="M1604"/>
      <c r="N1604"/>
      <c r="O1604"/>
      <c r="P1604"/>
      <c r="Q1604"/>
      <c r="R1604"/>
      <c r="S1604"/>
      <c r="T1604"/>
      <c r="U1604"/>
      <c r="V1604"/>
      <c r="W1604"/>
      <c r="X1604"/>
      <c r="Y1604"/>
      <c r="Z1604"/>
      <c r="AA1604"/>
      <c r="AB1604"/>
      <c r="AC1604"/>
      <c r="AD1604"/>
      <c r="AE1604"/>
      <c r="AF1604"/>
      <c r="AG1604"/>
      <c r="AH1604"/>
      <c r="AI1604"/>
      <c r="AJ1604"/>
      <c r="AK1604"/>
      <c r="AL1604"/>
      <c r="AM1604"/>
      <c r="AN1604"/>
      <c r="AO1604"/>
      <c r="AP1604"/>
      <c r="AQ1604"/>
      <c r="AR1604"/>
    </row>
    <row r="1605" spans="3:44" ht="15" customHeight="1">
      <c r="C1605"/>
      <c r="D1605"/>
      <c r="E1605"/>
      <c r="F1605"/>
      <c r="G1605"/>
      <c r="H1605"/>
      <c r="I1605"/>
      <c r="J1605"/>
      <c r="K1605"/>
      <c r="L1605"/>
      <c r="M1605"/>
      <c r="N1605"/>
      <c r="O1605"/>
      <c r="P1605"/>
      <c r="Q1605"/>
      <c r="R1605"/>
      <c r="S1605"/>
      <c r="T1605"/>
      <c r="U1605"/>
      <c r="V1605"/>
      <c r="W1605"/>
      <c r="X1605"/>
      <c r="Y1605"/>
      <c r="Z1605"/>
      <c r="AA1605"/>
      <c r="AB1605"/>
      <c r="AC1605"/>
      <c r="AD1605"/>
      <c r="AE1605"/>
      <c r="AF1605"/>
      <c r="AG1605"/>
      <c r="AH1605"/>
      <c r="AI1605"/>
      <c r="AJ1605"/>
      <c r="AK1605"/>
      <c r="AL1605"/>
      <c r="AM1605"/>
      <c r="AN1605"/>
      <c r="AO1605"/>
      <c r="AP1605"/>
      <c r="AQ1605"/>
      <c r="AR1605"/>
    </row>
    <row r="1606" spans="3:44" ht="15" customHeight="1">
      <c r="C1606"/>
      <c r="D1606"/>
      <c r="E1606"/>
      <c r="F1606"/>
      <c r="G1606"/>
      <c r="H1606"/>
      <c r="I1606"/>
      <c r="J1606"/>
      <c r="K1606"/>
      <c r="L1606"/>
      <c r="M1606"/>
      <c r="N1606"/>
      <c r="O1606"/>
      <c r="P1606"/>
      <c r="Q1606"/>
      <c r="R1606"/>
      <c r="S1606"/>
      <c r="T1606"/>
      <c r="U1606"/>
      <c r="V1606"/>
      <c r="W1606"/>
      <c r="X1606"/>
      <c r="Y1606"/>
      <c r="Z1606"/>
      <c r="AA1606"/>
      <c r="AB1606"/>
      <c r="AC1606"/>
      <c r="AD1606"/>
      <c r="AE1606"/>
      <c r="AF1606"/>
      <c r="AG1606"/>
      <c r="AH1606"/>
      <c r="AI1606"/>
      <c r="AJ1606"/>
      <c r="AK1606"/>
      <c r="AL1606"/>
      <c r="AM1606"/>
      <c r="AN1606"/>
      <c r="AO1606"/>
      <c r="AP1606"/>
      <c r="AQ1606"/>
      <c r="AR1606"/>
    </row>
    <row r="1607" spans="3:44" ht="15" customHeight="1"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  <c r="S1607"/>
      <c r="T1607"/>
      <c r="U1607"/>
      <c r="V1607"/>
      <c r="W1607"/>
      <c r="X1607"/>
      <c r="Y1607"/>
      <c r="Z1607"/>
      <c r="AA1607"/>
      <c r="AB1607"/>
      <c r="AC1607"/>
      <c r="AD1607"/>
      <c r="AE1607"/>
      <c r="AF1607"/>
      <c r="AG1607"/>
      <c r="AH1607"/>
      <c r="AI1607"/>
      <c r="AJ1607"/>
      <c r="AK1607"/>
      <c r="AL1607"/>
      <c r="AM1607"/>
      <c r="AN1607"/>
      <c r="AO1607"/>
      <c r="AP1607"/>
      <c r="AQ1607"/>
      <c r="AR1607"/>
    </row>
    <row r="1608" spans="3:44" ht="15" customHeight="1">
      <c r="C1608"/>
      <c r="D1608"/>
      <c r="E1608"/>
      <c r="F1608"/>
      <c r="G1608"/>
      <c r="H1608"/>
      <c r="I1608"/>
      <c r="J1608"/>
      <c r="K1608"/>
      <c r="L1608"/>
      <c r="M1608"/>
      <c r="N1608"/>
      <c r="O1608"/>
      <c r="P1608"/>
      <c r="Q1608"/>
      <c r="R1608"/>
      <c r="S1608"/>
      <c r="T1608"/>
      <c r="U1608"/>
      <c r="V1608"/>
      <c r="W1608"/>
      <c r="X1608"/>
      <c r="Y1608"/>
      <c r="Z1608"/>
      <c r="AA1608"/>
      <c r="AB1608"/>
      <c r="AC1608"/>
      <c r="AD1608"/>
      <c r="AE1608"/>
      <c r="AF1608"/>
      <c r="AG1608"/>
      <c r="AH1608"/>
      <c r="AI1608"/>
      <c r="AJ1608"/>
      <c r="AK1608"/>
      <c r="AL1608"/>
      <c r="AM1608"/>
      <c r="AN1608"/>
      <c r="AO1608"/>
      <c r="AP1608"/>
      <c r="AQ1608"/>
      <c r="AR1608"/>
    </row>
    <row r="1609" spans="3:44" ht="15" customHeight="1"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  <c r="S1609"/>
      <c r="T1609"/>
      <c r="U1609"/>
      <c r="V1609"/>
      <c r="W1609"/>
      <c r="X1609"/>
      <c r="Y1609"/>
      <c r="Z1609"/>
      <c r="AA1609"/>
      <c r="AB1609"/>
      <c r="AC1609"/>
      <c r="AD1609"/>
      <c r="AE1609"/>
      <c r="AF1609"/>
      <c r="AG1609"/>
      <c r="AH1609"/>
      <c r="AI1609"/>
      <c r="AJ1609"/>
      <c r="AK1609"/>
      <c r="AL1609"/>
      <c r="AM1609"/>
      <c r="AN1609"/>
      <c r="AO1609"/>
      <c r="AP1609"/>
      <c r="AQ1609"/>
      <c r="AR1609"/>
    </row>
    <row r="1610" spans="3:44" ht="15" customHeight="1">
      <c r="C1610"/>
      <c r="D1610"/>
      <c r="E1610"/>
      <c r="F1610"/>
      <c r="G1610"/>
      <c r="H1610"/>
      <c r="I1610"/>
      <c r="J1610"/>
      <c r="K1610"/>
      <c r="L1610"/>
      <c r="M1610"/>
      <c r="N1610"/>
      <c r="O1610"/>
      <c r="P1610"/>
      <c r="Q1610"/>
      <c r="R1610"/>
      <c r="S1610"/>
      <c r="T1610"/>
      <c r="U1610"/>
      <c r="V1610"/>
      <c r="W1610"/>
      <c r="X1610"/>
      <c r="Y1610"/>
      <c r="Z1610"/>
      <c r="AA1610"/>
      <c r="AB1610"/>
      <c r="AC1610"/>
      <c r="AD1610"/>
      <c r="AE1610"/>
      <c r="AF1610"/>
      <c r="AG1610"/>
      <c r="AH1610"/>
      <c r="AI1610"/>
      <c r="AJ1610"/>
      <c r="AK1610"/>
      <c r="AL1610"/>
      <c r="AM1610"/>
      <c r="AN1610"/>
      <c r="AO1610"/>
      <c r="AP1610"/>
      <c r="AQ1610"/>
      <c r="AR1610"/>
    </row>
    <row r="1611" spans="3:44" ht="15" customHeight="1">
      <c r="C1611"/>
      <c r="D1611"/>
      <c r="E1611"/>
      <c r="F1611"/>
      <c r="G1611"/>
      <c r="H1611"/>
      <c r="I1611"/>
      <c r="J1611"/>
      <c r="K1611"/>
      <c r="L1611"/>
      <c r="M1611"/>
      <c r="N1611"/>
      <c r="O1611"/>
      <c r="P1611"/>
      <c r="Q1611"/>
      <c r="R1611"/>
      <c r="S1611"/>
      <c r="T1611"/>
      <c r="U1611"/>
      <c r="V1611"/>
      <c r="W1611"/>
      <c r="X1611"/>
      <c r="Y1611"/>
      <c r="Z1611"/>
      <c r="AA1611"/>
      <c r="AB1611"/>
      <c r="AC1611"/>
      <c r="AD1611"/>
      <c r="AE1611"/>
      <c r="AF1611"/>
      <c r="AG1611"/>
      <c r="AH1611"/>
      <c r="AI1611"/>
      <c r="AJ1611"/>
      <c r="AK1611"/>
      <c r="AL1611"/>
      <c r="AM1611"/>
      <c r="AN1611"/>
      <c r="AO1611"/>
      <c r="AP1611"/>
      <c r="AQ1611"/>
      <c r="AR1611"/>
    </row>
    <row r="1612" spans="3:44" ht="15" customHeight="1">
      <c r="C1612"/>
      <c r="D1612"/>
      <c r="E1612"/>
      <c r="F1612"/>
      <c r="G1612"/>
      <c r="H1612"/>
      <c r="I1612"/>
      <c r="J1612"/>
      <c r="K1612"/>
      <c r="L1612"/>
      <c r="M1612"/>
      <c r="N1612"/>
      <c r="O1612"/>
      <c r="P1612"/>
      <c r="Q1612"/>
      <c r="R1612"/>
      <c r="S1612"/>
      <c r="T1612"/>
      <c r="U1612"/>
      <c r="V1612"/>
      <c r="W1612"/>
      <c r="X1612"/>
      <c r="Y1612"/>
      <c r="Z1612"/>
      <c r="AA1612"/>
      <c r="AB1612"/>
      <c r="AC1612"/>
      <c r="AD1612"/>
      <c r="AE1612"/>
      <c r="AF1612"/>
      <c r="AG1612"/>
      <c r="AH1612"/>
      <c r="AI1612"/>
      <c r="AJ1612"/>
      <c r="AK1612"/>
      <c r="AL1612"/>
      <c r="AM1612"/>
      <c r="AN1612"/>
      <c r="AO1612"/>
      <c r="AP1612"/>
      <c r="AQ1612"/>
      <c r="AR1612"/>
    </row>
    <row r="1613" spans="3:44" ht="15" customHeight="1">
      <c r="C1613"/>
      <c r="D1613"/>
      <c r="E1613"/>
      <c r="F1613"/>
      <c r="G1613"/>
      <c r="H1613"/>
      <c r="I1613"/>
      <c r="J1613"/>
      <c r="K1613"/>
      <c r="L1613"/>
      <c r="M1613"/>
      <c r="N1613"/>
      <c r="O1613"/>
      <c r="P1613"/>
      <c r="Q1613"/>
      <c r="R1613"/>
      <c r="S1613"/>
      <c r="T1613"/>
      <c r="U1613"/>
      <c r="V1613"/>
      <c r="W1613"/>
      <c r="X1613"/>
      <c r="Y1613"/>
      <c r="Z1613"/>
      <c r="AA1613"/>
      <c r="AB1613"/>
      <c r="AC1613"/>
      <c r="AD1613"/>
      <c r="AE1613"/>
      <c r="AF1613"/>
      <c r="AG1613"/>
      <c r="AH1613"/>
      <c r="AI1613"/>
      <c r="AJ1613"/>
      <c r="AK1613"/>
      <c r="AL1613"/>
      <c r="AM1613"/>
      <c r="AN1613"/>
      <c r="AO1613"/>
      <c r="AP1613"/>
      <c r="AQ1613"/>
      <c r="AR1613"/>
    </row>
    <row r="1614" spans="3:44" ht="15" customHeight="1">
      <c r="C1614"/>
      <c r="D1614"/>
      <c r="E1614"/>
      <c r="F1614"/>
      <c r="G1614"/>
      <c r="H1614"/>
      <c r="I1614"/>
      <c r="J1614"/>
      <c r="K1614"/>
      <c r="L1614"/>
      <c r="M1614"/>
      <c r="N1614"/>
      <c r="O1614"/>
      <c r="P1614"/>
      <c r="Q1614"/>
      <c r="R1614"/>
      <c r="S1614"/>
      <c r="T1614"/>
      <c r="U1614"/>
      <c r="V1614"/>
      <c r="W1614"/>
      <c r="X1614"/>
      <c r="Y1614"/>
      <c r="Z1614"/>
      <c r="AA1614"/>
      <c r="AB1614"/>
      <c r="AC1614"/>
      <c r="AD1614"/>
      <c r="AE1614"/>
      <c r="AF1614"/>
      <c r="AG1614"/>
      <c r="AH1614"/>
      <c r="AI1614"/>
      <c r="AJ1614"/>
      <c r="AK1614"/>
      <c r="AL1614"/>
      <c r="AM1614"/>
      <c r="AN1614"/>
      <c r="AO1614"/>
      <c r="AP1614"/>
      <c r="AQ1614"/>
      <c r="AR1614"/>
    </row>
    <row r="1615" spans="3:44" ht="15" customHeight="1">
      <c r="C1615"/>
      <c r="D1615"/>
      <c r="E1615"/>
      <c r="F1615"/>
      <c r="G1615"/>
      <c r="H1615"/>
      <c r="I1615"/>
      <c r="J1615"/>
      <c r="K1615"/>
      <c r="L1615"/>
      <c r="M1615"/>
      <c r="N1615"/>
      <c r="O1615"/>
      <c r="P1615"/>
      <c r="Q1615"/>
      <c r="R1615"/>
      <c r="S1615"/>
      <c r="T1615"/>
      <c r="U1615"/>
      <c r="V1615"/>
      <c r="W1615"/>
      <c r="X1615"/>
      <c r="Y1615"/>
      <c r="Z1615"/>
      <c r="AA1615"/>
      <c r="AB1615"/>
      <c r="AC1615"/>
      <c r="AD1615"/>
      <c r="AE1615"/>
      <c r="AF1615"/>
      <c r="AG1615"/>
      <c r="AH1615"/>
      <c r="AI1615"/>
      <c r="AJ1615"/>
      <c r="AK1615"/>
      <c r="AL1615"/>
      <c r="AM1615"/>
      <c r="AN1615"/>
      <c r="AO1615"/>
      <c r="AP1615"/>
      <c r="AQ1615"/>
      <c r="AR1615"/>
    </row>
    <row r="1616" spans="3:44" ht="15" customHeight="1">
      <c r="C1616"/>
      <c r="D1616"/>
      <c r="E1616"/>
      <c r="F1616"/>
      <c r="G1616"/>
      <c r="H1616"/>
      <c r="I1616"/>
      <c r="J1616"/>
      <c r="K1616"/>
      <c r="L1616"/>
      <c r="M1616"/>
      <c r="N1616"/>
      <c r="O1616"/>
      <c r="P1616"/>
      <c r="Q1616"/>
      <c r="R1616"/>
      <c r="S1616"/>
      <c r="T1616"/>
      <c r="U1616"/>
      <c r="V1616"/>
      <c r="W1616"/>
      <c r="X1616"/>
      <c r="Y1616"/>
      <c r="Z1616"/>
      <c r="AA1616"/>
      <c r="AB1616"/>
      <c r="AC1616"/>
      <c r="AD1616"/>
      <c r="AE1616"/>
      <c r="AF1616"/>
      <c r="AG1616"/>
      <c r="AH1616"/>
      <c r="AI1616"/>
      <c r="AJ1616"/>
      <c r="AK1616"/>
      <c r="AL1616"/>
      <c r="AM1616"/>
      <c r="AN1616"/>
      <c r="AO1616"/>
      <c r="AP1616"/>
      <c r="AQ1616"/>
      <c r="AR1616"/>
    </row>
    <row r="1617" spans="3:44" ht="15" customHeight="1">
      <c r="C1617"/>
      <c r="D1617"/>
      <c r="E1617"/>
      <c r="F1617"/>
      <c r="G1617"/>
      <c r="H1617"/>
      <c r="I1617"/>
      <c r="J1617"/>
      <c r="K1617"/>
      <c r="L1617"/>
      <c r="M1617"/>
      <c r="N1617"/>
      <c r="O1617"/>
      <c r="P1617"/>
      <c r="Q1617"/>
      <c r="R1617"/>
      <c r="S1617"/>
      <c r="T1617"/>
      <c r="U1617"/>
      <c r="V1617"/>
      <c r="W1617"/>
      <c r="X1617"/>
      <c r="Y1617"/>
      <c r="Z1617"/>
      <c r="AA1617"/>
      <c r="AB1617"/>
      <c r="AC1617"/>
      <c r="AD1617"/>
      <c r="AE1617"/>
      <c r="AF1617"/>
      <c r="AG1617"/>
      <c r="AH1617"/>
      <c r="AI1617"/>
      <c r="AJ1617"/>
      <c r="AK1617"/>
      <c r="AL1617"/>
      <c r="AM1617"/>
      <c r="AN1617"/>
      <c r="AO1617"/>
      <c r="AP1617"/>
      <c r="AQ1617"/>
      <c r="AR1617"/>
    </row>
    <row r="1618" spans="3:44" ht="15" customHeight="1">
      <c r="C1618"/>
      <c r="D1618"/>
      <c r="E1618"/>
      <c r="F1618"/>
      <c r="G1618"/>
      <c r="H1618"/>
      <c r="I1618"/>
      <c r="J1618"/>
      <c r="K1618"/>
      <c r="L1618"/>
      <c r="M1618"/>
      <c r="N1618"/>
      <c r="O1618"/>
      <c r="P1618"/>
      <c r="Q1618"/>
      <c r="R1618"/>
      <c r="S1618"/>
      <c r="T1618"/>
      <c r="U1618"/>
      <c r="V1618"/>
      <c r="W1618"/>
      <c r="X1618"/>
      <c r="Y1618"/>
      <c r="Z1618"/>
      <c r="AA1618"/>
      <c r="AB1618"/>
      <c r="AC1618"/>
      <c r="AD1618"/>
      <c r="AE1618"/>
      <c r="AF1618"/>
      <c r="AG1618"/>
      <c r="AH1618"/>
      <c r="AI1618"/>
      <c r="AJ1618"/>
      <c r="AK1618"/>
      <c r="AL1618"/>
      <c r="AM1618"/>
      <c r="AN1618"/>
      <c r="AO1618"/>
      <c r="AP1618"/>
      <c r="AQ1618"/>
      <c r="AR1618"/>
    </row>
    <row r="1619" spans="3:44" ht="15" customHeight="1">
      <c r="C1619"/>
      <c r="D1619"/>
      <c r="E1619"/>
      <c r="F1619"/>
      <c r="G1619"/>
      <c r="H1619"/>
      <c r="I1619"/>
      <c r="J1619"/>
      <c r="K1619"/>
      <c r="L1619"/>
      <c r="M1619"/>
      <c r="N1619"/>
      <c r="O1619"/>
      <c r="P1619"/>
      <c r="Q1619"/>
      <c r="R1619"/>
      <c r="S1619"/>
      <c r="T1619"/>
      <c r="U1619"/>
      <c r="V1619"/>
      <c r="W1619"/>
      <c r="X1619"/>
      <c r="Y1619"/>
      <c r="Z1619"/>
      <c r="AA1619"/>
      <c r="AB1619"/>
      <c r="AC1619"/>
      <c r="AD1619"/>
      <c r="AE1619"/>
      <c r="AF1619"/>
      <c r="AG1619"/>
      <c r="AH1619"/>
      <c r="AI1619"/>
      <c r="AJ1619"/>
      <c r="AK1619"/>
      <c r="AL1619"/>
      <c r="AM1619"/>
      <c r="AN1619"/>
      <c r="AO1619"/>
      <c r="AP1619"/>
      <c r="AQ1619"/>
      <c r="AR1619"/>
    </row>
    <row r="1620" spans="3:44" ht="15" customHeight="1">
      <c r="C1620"/>
      <c r="D1620"/>
      <c r="E1620"/>
      <c r="F1620"/>
      <c r="G1620"/>
      <c r="H1620"/>
      <c r="I1620"/>
      <c r="J1620"/>
      <c r="K1620"/>
      <c r="L1620"/>
      <c r="M1620"/>
      <c r="N1620"/>
      <c r="O1620"/>
      <c r="P1620"/>
      <c r="Q1620"/>
      <c r="R1620"/>
      <c r="S1620"/>
      <c r="T1620"/>
      <c r="U1620"/>
      <c r="V1620"/>
      <c r="W1620"/>
      <c r="X1620"/>
      <c r="Y1620"/>
      <c r="Z1620"/>
      <c r="AA1620"/>
      <c r="AB1620"/>
      <c r="AC1620"/>
      <c r="AD1620"/>
      <c r="AE1620"/>
      <c r="AF1620"/>
      <c r="AG1620"/>
      <c r="AH1620"/>
      <c r="AI1620"/>
      <c r="AJ1620"/>
      <c r="AK1620"/>
      <c r="AL1620"/>
      <c r="AM1620"/>
      <c r="AN1620"/>
      <c r="AO1620"/>
      <c r="AP1620"/>
      <c r="AQ1620"/>
      <c r="AR1620"/>
    </row>
    <row r="1621" spans="3:44" ht="15" customHeight="1">
      <c r="C1621"/>
      <c r="D1621"/>
      <c r="E1621"/>
      <c r="F1621"/>
      <c r="G1621"/>
      <c r="H1621"/>
      <c r="I1621"/>
      <c r="J1621"/>
      <c r="K1621"/>
      <c r="L1621"/>
      <c r="M1621"/>
      <c r="N1621"/>
      <c r="O1621"/>
      <c r="P1621"/>
      <c r="Q1621"/>
      <c r="R1621"/>
      <c r="S1621"/>
      <c r="T1621"/>
      <c r="U1621"/>
      <c r="V1621"/>
      <c r="W1621"/>
      <c r="X1621"/>
      <c r="Y1621"/>
      <c r="Z1621"/>
      <c r="AA1621"/>
      <c r="AB1621"/>
      <c r="AC1621"/>
      <c r="AD1621"/>
      <c r="AE1621"/>
      <c r="AF1621"/>
      <c r="AG1621"/>
      <c r="AH1621"/>
      <c r="AI1621"/>
      <c r="AJ1621"/>
      <c r="AK1621"/>
      <c r="AL1621"/>
      <c r="AM1621"/>
      <c r="AN1621"/>
      <c r="AO1621"/>
      <c r="AP1621"/>
      <c r="AQ1621"/>
      <c r="AR1621"/>
    </row>
    <row r="1622" spans="3:44" ht="15" customHeight="1">
      <c r="C1622"/>
      <c r="D1622"/>
      <c r="E1622"/>
      <c r="F1622"/>
      <c r="G1622"/>
      <c r="H1622"/>
      <c r="I1622"/>
      <c r="J1622"/>
      <c r="K1622"/>
      <c r="L1622"/>
      <c r="M1622"/>
      <c r="N1622"/>
      <c r="O1622"/>
      <c r="P1622"/>
      <c r="Q1622"/>
      <c r="R1622"/>
      <c r="S1622"/>
      <c r="T1622"/>
      <c r="U1622"/>
      <c r="V1622"/>
      <c r="W1622"/>
      <c r="X1622"/>
      <c r="Y1622"/>
      <c r="Z1622"/>
      <c r="AA1622"/>
      <c r="AB1622"/>
      <c r="AC1622"/>
      <c r="AD1622"/>
      <c r="AE1622"/>
      <c r="AF1622"/>
      <c r="AG1622"/>
      <c r="AH1622"/>
      <c r="AI1622"/>
      <c r="AJ1622"/>
      <c r="AK1622"/>
      <c r="AL1622"/>
      <c r="AM1622"/>
      <c r="AN1622"/>
      <c r="AO1622"/>
      <c r="AP1622"/>
      <c r="AQ1622"/>
      <c r="AR1622"/>
    </row>
    <row r="1623" spans="3:44" ht="15" customHeight="1">
      <c r="C1623"/>
      <c r="D1623"/>
      <c r="E1623"/>
      <c r="F1623"/>
      <c r="G1623"/>
      <c r="H1623"/>
      <c r="I1623"/>
      <c r="J1623"/>
      <c r="K1623"/>
      <c r="L1623"/>
      <c r="M1623"/>
      <c r="N1623"/>
      <c r="O1623"/>
      <c r="P1623"/>
      <c r="Q1623"/>
      <c r="R1623"/>
      <c r="S1623"/>
      <c r="T1623"/>
      <c r="U1623"/>
      <c r="V1623"/>
      <c r="W1623"/>
      <c r="X1623"/>
      <c r="Y1623"/>
      <c r="Z1623"/>
      <c r="AA1623"/>
      <c r="AB1623"/>
      <c r="AC1623"/>
      <c r="AD1623"/>
      <c r="AE1623"/>
      <c r="AF1623"/>
      <c r="AG1623"/>
      <c r="AH1623"/>
      <c r="AI1623"/>
      <c r="AJ1623"/>
      <c r="AK1623"/>
      <c r="AL1623"/>
      <c r="AM1623"/>
      <c r="AN1623"/>
      <c r="AO1623"/>
      <c r="AP1623"/>
      <c r="AQ1623"/>
      <c r="AR1623"/>
    </row>
    <row r="1624" spans="3:44" ht="15" customHeight="1">
      <c r="C1624"/>
      <c r="D1624"/>
      <c r="E1624"/>
      <c r="F1624"/>
      <c r="G1624"/>
      <c r="H1624"/>
      <c r="I1624"/>
      <c r="J1624"/>
      <c r="K1624"/>
      <c r="L1624"/>
      <c r="M1624"/>
      <c r="N1624"/>
      <c r="O1624"/>
      <c r="P1624"/>
      <c r="Q1624"/>
      <c r="R1624"/>
      <c r="S1624"/>
      <c r="T1624"/>
      <c r="U1624"/>
      <c r="V1624"/>
      <c r="W1624"/>
      <c r="X1624"/>
      <c r="Y1624"/>
      <c r="Z1624"/>
      <c r="AA1624"/>
      <c r="AB1624"/>
      <c r="AC1624"/>
      <c r="AD1624"/>
      <c r="AE1624"/>
      <c r="AF1624"/>
      <c r="AG1624"/>
      <c r="AH1624"/>
      <c r="AI1624"/>
      <c r="AJ1624"/>
      <c r="AK1624"/>
      <c r="AL1624"/>
      <c r="AM1624"/>
      <c r="AN1624"/>
      <c r="AO1624"/>
      <c r="AP1624"/>
      <c r="AQ1624"/>
      <c r="AR1624"/>
    </row>
    <row r="1625" spans="3:44" ht="15" customHeight="1">
      <c r="C1625"/>
      <c r="D1625"/>
      <c r="E1625"/>
      <c r="F1625"/>
      <c r="G1625"/>
      <c r="H1625"/>
      <c r="I1625"/>
      <c r="J1625"/>
      <c r="K1625"/>
      <c r="L1625"/>
      <c r="M1625"/>
      <c r="N1625"/>
      <c r="O1625"/>
      <c r="P1625"/>
      <c r="Q1625"/>
      <c r="R1625"/>
      <c r="S1625"/>
      <c r="T1625"/>
      <c r="U1625"/>
      <c r="V1625"/>
      <c r="W1625"/>
      <c r="X1625"/>
      <c r="Y1625"/>
      <c r="Z1625"/>
      <c r="AA1625"/>
      <c r="AB1625"/>
      <c r="AC1625"/>
      <c r="AD1625"/>
      <c r="AE1625"/>
      <c r="AF1625"/>
      <c r="AG1625"/>
      <c r="AH1625"/>
      <c r="AI1625"/>
      <c r="AJ1625"/>
      <c r="AK1625"/>
      <c r="AL1625"/>
      <c r="AM1625"/>
      <c r="AN1625"/>
      <c r="AO1625"/>
      <c r="AP1625"/>
      <c r="AQ1625"/>
      <c r="AR1625"/>
    </row>
    <row r="1626" spans="3:44" ht="15" customHeight="1">
      <c r="C1626"/>
      <c r="D1626"/>
      <c r="E1626"/>
      <c r="F1626"/>
      <c r="G1626"/>
      <c r="H1626"/>
      <c r="I1626"/>
      <c r="J1626"/>
      <c r="K1626"/>
      <c r="L1626"/>
      <c r="M1626"/>
      <c r="N1626"/>
      <c r="O1626"/>
      <c r="P1626"/>
      <c r="Q1626"/>
      <c r="R1626"/>
      <c r="S1626"/>
      <c r="T1626"/>
      <c r="U1626"/>
      <c r="V1626"/>
      <c r="W1626"/>
      <c r="X1626"/>
      <c r="Y1626"/>
      <c r="Z1626"/>
      <c r="AA1626"/>
      <c r="AB1626"/>
      <c r="AC1626"/>
      <c r="AD1626"/>
      <c r="AE1626"/>
      <c r="AF1626"/>
      <c r="AG1626"/>
      <c r="AH1626"/>
      <c r="AI1626"/>
      <c r="AJ1626"/>
      <c r="AK1626"/>
      <c r="AL1626"/>
      <c r="AM1626"/>
      <c r="AN1626"/>
      <c r="AO1626"/>
      <c r="AP1626"/>
      <c r="AQ1626"/>
      <c r="AR1626"/>
    </row>
    <row r="1627" spans="3:44" ht="15" customHeight="1">
      <c r="C1627"/>
      <c r="D1627"/>
      <c r="E1627"/>
      <c r="F1627"/>
      <c r="G1627"/>
      <c r="H1627"/>
      <c r="I1627"/>
      <c r="J1627"/>
      <c r="K1627"/>
      <c r="L1627"/>
      <c r="M1627"/>
      <c r="N1627"/>
      <c r="O1627"/>
      <c r="P1627"/>
      <c r="Q1627"/>
      <c r="R1627"/>
      <c r="S1627"/>
      <c r="T1627"/>
      <c r="U1627"/>
      <c r="V1627"/>
      <c r="W1627"/>
      <c r="X1627"/>
      <c r="Y1627"/>
      <c r="Z1627"/>
      <c r="AA1627"/>
      <c r="AB1627"/>
      <c r="AC1627"/>
      <c r="AD1627"/>
      <c r="AE1627"/>
      <c r="AF1627"/>
      <c r="AG1627"/>
      <c r="AH1627"/>
      <c r="AI1627"/>
      <c r="AJ1627"/>
      <c r="AK1627"/>
      <c r="AL1627"/>
      <c r="AM1627"/>
      <c r="AN1627"/>
      <c r="AO1627"/>
      <c r="AP1627"/>
      <c r="AQ1627"/>
      <c r="AR1627"/>
    </row>
    <row r="1628" spans="3:44" ht="15" customHeight="1">
      <c r="C1628"/>
      <c r="D1628"/>
      <c r="E1628"/>
      <c r="F1628"/>
      <c r="G1628"/>
      <c r="H1628"/>
      <c r="I1628"/>
      <c r="J1628"/>
      <c r="K1628"/>
      <c r="L1628"/>
      <c r="M1628"/>
      <c r="N1628"/>
      <c r="O1628"/>
      <c r="P1628"/>
      <c r="Q1628"/>
      <c r="R1628"/>
      <c r="S1628"/>
      <c r="T1628"/>
      <c r="U1628"/>
      <c r="V1628"/>
      <c r="W1628"/>
      <c r="X1628"/>
      <c r="Y1628"/>
      <c r="Z1628"/>
      <c r="AA1628"/>
      <c r="AB1628"/>
      <c r="AC1628"/>
      <c r="AD1628"/>
      <c r="AE1628"/>
      <c r="AF1628"/>
      <c r="AG1628"/>
      <c r="AH1628"/>
      <c r="AI1628"/>
      <c r="AJ1628"/>
      <c r="AK1628"/>
      <c r="AL1628"/>
      <c r="AM1628"/>
      <c r="AN1628"/>
      <c r="AO1628"/>
      <c r="AP1628"/>
      <c r="AQ1628"/>
      <c r="AR1628"/>
    </row>
    <row r="1629" spans="3:44" ht="15" customHeight="1">
      <c r="C1629"/>
      <c r="D1629"/>
      <c r="E1629"/>
      <c r="F1629"/>
      <c r="G1629"/>
      <c r="H1629"/>
      <c r="I1629"/>
      <c r="J1629"/>
      <c r="K1629"/>
      <c r="L1629"/>
      <c r="M1629"/>
      <c r="N1629"/>
      <c r="O1629"/>
      <c r="P1629"/>
      <c r="Q1629"/>
      <c r="R1629"/>
      <c r="S1629"/>
      <c r="T1629"/>
      <c r="U1629"/>
      <c r="V1629"/>
      <c r="W1629"/>
      <c r="X1629"/>
      <c r="Y1629"/>
      <c r="Z1629"/>
      <c r="AA1629"/>
      <c r="AB1629"/>
      <c r="AC1629"/>
      <c r="AD1629"/>
      <c r="AE1629"/>
      <c r="AF1629"/>
      <c r="AG1629"/>
      <c r="AH1629"/>
      <c r="AI1629"/>
      <c r="AJ1629"/>
      <c r="AK1629"/>
      <c r="AL1629"/>
      <c r="AM1629"/>
      <c r="AN1629"/>
      <c r="AO1629"/>
      <c r="AP1629"/>
      <c r="AQ1629"/>
      <c r="AR1629"/>
    </row>
    <row r="1630" spans="3:44" ht="15" customHeight="1">
      <c r="C1630"/>
      <c r="D1630"/>
      <c r="E1630"/>
      <c r="F1630"/>
      <c r="G1630"/>
      <c r="H1630"/>
      <c r="I1630"/>
      <c r="J1630"/>
      <c r="K1630"/>
      <c r="L1630"/>
      <c r="M1630"/>
      <c r="N1630"/>
      <c r="O1630"/>
      <c r="P1630"/>
      <c r="Q1630"/>
      <c r="R1630"/>
      <c r="S1630"/>
      <c r="T1630"/>
      <c r="U1630"/>
      <c r="V1630"/>
      <c r="W1630"/>
      <c r="X1630"/>
      <c r="Y1630"/>
      <c r="Z1630"/>
      <c r="AA1630"/>
      <c r="AB1630"/>
      <c r="AC1630"/>
      <c r="AD1630"/>
      <c r="AE1630"/>
      <c r="AF1630"/>
      <c r="AG1630"/>
      <c r="AH1630"/>
      <c r="AI1630"/>
      <c r="AJ1630"/>
      <c r="AK1630"/>
      <c r="AL1630"/>
      <c r="AM1630"/>
      <c r="AN1630"/>
      <c r="AO1630"/>
      <c r="AP1630"/>
      <c r="AQ1630"/>
      <c r="AR1630"/>
    </row>
    <row r="1631" spans="3:44" ht="15" customHeight="1">
      <c r="C1631"/>
      <c r="D1631"/>
      <c r="E1631"/>
      <c r="F1631"/>
      <c r="G1631"/>
      <c r="H1631"/>
      <c r="I1631"/>
      <c r="J1631"/>
      <c r="K1631"/>
      <c r="L1631"/>
      <c r="M1631"/>
      <c r="N1631"/>
      <c r="O1631"/>
      <c r="P1631"/>
      <c r="Q1631"/>
      <c r="R1631"/>
      <c r="S1631"/>
      <c r="T1631"/>
      <c r="U1631"/>
      <c r="V1631"/>
      <c r="W1631"/>
      <c r="X1631"/>
      <c r="Y1631"/>
      <c r="Z1631"/>
      <c r="AA1631"/>
      <c r="AB1631"/>
      <c r="AC1631"/>
      <c r="AD1631"/>
      <c r="AE1631"/>
      <c r="AF1631"/>
      <c r="AG1631"/>
      <c r="AH1631"/>
      <c r="AI1631"/>
      <c r="AJ1631"/>
      <c r="AK1631"/>
      <c r="AL1631"/>
      <c r="AM1631"/>
      <c r="AN1631"/>
      <c r="AO1631"/>
      <c r="AP1631"/>
      <c r="AQ1631"/>
      <c r="AR1631"/>
    </row>
    <row r="1632" spans="3:44" ht="15" customHeight="1"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Y1632"/>
      <c r="Z1632"/>
      <c r="AA1632"/>
      <c r="AB1632"/>
      <c r="AC1632"/>
      <c r="AD1632"/>
      <c r="AE1632"/>
      <c r="AF1632"/>
      <c r="AG1632"/>
      <c r="AH1632"/>
      <c r="AI1632"/>
      <c r="AJ1632"/>
      <c r="AK1632"/>
      <c r="AL1632"/>
      <c r="AM1632"/>
      <c r="AN1632"/>
      <c r="AO1632"/>
      <c r="AP1632"/>
      <c r="AQ1632"/>
      <c r="AR1632"/>
    </row>
    <row r="1633" spans="3:44" ht="15" customHeight="1"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Y1633"/>
      <c r="Z1633"/>
      <c r="AA1633"/>
      <c r="AB1633"/>
      <c r="AC1633"/>
      <c r="AD1633"/>
      <c r="AE1633"/>
      <c r="AF1633"/>
      <c r="AG1633"/>
      <c r="AH1633"/>
      <c r="AI1633"/>
      <c r="AJ1633"/>
      <c r="AK1633"/>
      <c r="AL1633"/>
      <c r="AM1633"/>
      <c r="AN1633"/>
      <c r="AO1633"/>
      <c r="AP1633"/>
      <c r="AQ1633"/>
      <c r="AR1633"/>
    </row>
    <row r="1634" spans="3:44" ht="15" customHeight="1"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Y1634"/>
      <c r="Z1634"/>
      <c r="AA1634"/>
      <c r="AB1634"/>
      <c r="AC1634"/>
      <c r="AD1634"/>
      <c r="AE1634"/>
      <c r="AF1634"/>
      <c r="AG1634"/>
      <c r="AH1634"/>
      <c r="AI1634"/>
      <c r="AJ1634"/>
      <c r="AK1634"/>
      <c r="AL1634"/>
      <c r="AM1634"/>
      <c r="AN1634"/>
      <c r="AO1634"/>
      <c r="AP1634"/>
      <c r="AQ1634"/>
      <c r="AR1634"/>
    </row>
    <row r="1635" spans="3:44" ht="15" customHeight="1">
      <c r="C1635"/>
      <c r="D1635"/>
      <c r="E1635"/>
      <c r="F1635"/>
      <c r="G1635"/>
      <c r="H1635"/>
      <c r="I1635"/>
      <c r="J1635"/>
      <c r="K1635"/>
      <c r="L1635"/>
      <c r="M1635"/>
      <c r="N1635"/>
      <c r="O1635"/>
      <c r="P1635"/>
      <c r="Q1635"/>
      <c r="R1635"/>
      <c r="S1635"/>
      <c r="T1635"/>
      <c r="U1635"/>
      <c r="V1635"/>
      <c r="W1635"/>
      <c r="X1635"/>
      <c r="Y1635"/>
      <c r="Z1635"/>
      <c r="AA1635"/>
      <c r="AB1635"/>
      <c r="AC1635"/>
      <c r="AD1635"/>
      <c r="AE1635"/>
      <c r="AF1635"/>
      <c r="AG1635"/>
      <c r="AH1635"/>
      <c r="AI1635"/>
      <c r="AJ1635"/>
      <c r="AK1635"/>
      <c r="AL1635"/>
      <c r="AM1635"/>
      <c r="AN1635"/>
      <c r="AO1635"/>
      <c r="AP1635"/>
      <c r="AQ1635"/>
      <c r="AR1635"/>
    </row>
    <row r="1636" spans="3:44" ht="15" customHeight="1">
      <c r="C1636"/>
      <c r="D1636"/>
      <c r="E1636"/>
      <c r="F1636"/>
      <c r="G1636"/>
      <c r="H1636"/>
      <c r="I1636"/>
      <c r="J1636"/>
      <c r="K1636"/>
      <c r="L1636"/>
      <c r="M1636"/>
      <c r="N1636"/>
      <c r="O1636"/>
      <c r="P1636"/>
      <c r="Q1636"/>
      <c r="R1636"/>
      <c r="S1636"/>
      <c r="T1636"/>
      <c r="U1636"/>
      <c r="V1636"/>
      <c r="W1636"/>
      <c r="X1636"/>
      <c r="Y1636"/>
      <c r="Z1636"/>
      <c r="AA1636"/>
      <c r="AB1636"/>
      <c r="AC1636"/>
      <c r="AD1636"/>
      <c r="AE1636"/>
      <c r="AF1636"/>
      <c r="AG1636"/>
      <c r="AH1636"/>
      <c r="AI1636"/>
      <c r="AJ1636"/>
      <c r="AK1636"/>
      <c r="AL1636"/>
      <c r="AM1636"/>
      <c r="AN1636"/>
      <c r="AO1636"/>
      <c r="AP1636"/>
      <c r="AQ1636"/>
      <c r="AR1636"/>
    </row>
    <row r="1637" spans="3:44" ht="15" customHeight="1">
      <c r="C1637"/>
      <c r="D1637"/>
      <c r="E1637"/>
      <c r="F1637"/>
      <c r="G1637"/>
      <c r="H1637"/>
      <c r="I1637"/>
      <c r="J1637"/>
      <c r="K1637"/>
      <c r="L1637"/>
      <c r="M1637"/>
      <c r="N1637"/>
      <c r="O1637"/>
      <c r="P1637"/>
      <c r="Q1637"/>
      <c r="R1637"/>
      <c r="S1637"/>
      <c r="T1637"/>
      <c r="U1637"/>
      <c r="V1637"/>
      <c r="W1637"/>
      <c r="X1637"/>
      <c r="Y1637"/>
      <c r="Z1637"/>
      <c r="AA1637"/>
      <c r="AB1637"/>
      <c r="AC1637"/>
      <c r="AD1637"/>
      <c r="AE1637"/>
      <c r="AF1637"/>
      <c r="AG1637"/>
      <c r="AH1637"/>
      <c r="AI1637"/>
      <c r="AJ1637"/>
      <c r="AK1637"/>
      <c r="AL1637"/>
      <c r="AM1637"/>
      <c r="AN1637"/>
      <c r="AO1637"/>
      <c r="AP1637"/>
      <c r="AQ1637"/>
      <c r="AR1637"/>
    </row>
    <row r="1638" spans="3:44" ht="15" customHeight="1">
      <c r="C1638"/>
      <c r="D1638"/>
      <c r="E1638"/>
      <c r="F1638"/>
      <c r="G1638"/>
      <c r="H1638"/>
      <c r="I1638"/>
      <c r="J1638"/>
      <c r="K1638"/>
      <c r="L1638"/>
      <c r="M1638"/>
      <c r="N1638"/>
      <c r="O1638"/>
      <c r="P1638"/>
      <c r="Q1638"/>
      <c r="R1638"/>
      <c r="S1638"/>
      <c r="T1638"/>
      <c r="U1638"/>
      <c r="V1638"/>
      <c r="W1638"/>
      <c r="X1638"/>
      <c r="Y1638"/>
      <c r="Z1638"/>
      <c r="AA1638"/>
      <c r="AB1638"/>
      <c r="AC1638"/>
      <c r="AD1638"/>
      <c r="AE1638"/>
      <c r="AF1638"/>
      <c r="AG1638"/>
      <c r="AH1638"/>
      <c r="AI1638"/>
      <c r="AJ1638"/>
      <c r="AK1638"/>
      <c r="AL1638"/>
      <c r="AM1638"/>
      <c r="AN1638"/>
      <c r="AO1638"/>
      <c r="AP1638"/>
      <c r="AQ1638"/>
      <c r="AR1638"/>
    </row>
    <row r="1639" spans="3:44" ht="15" customHeight="1">
      <c r="C1639"/>
      <c r="D1639"/>
      <c r="E1639"/>
      <c r="F1639"/>
      <c r="G1639"/>
      <c r="H1639"/>
      <c r="I1639"/>
      <c r="J1639"/>
      <c r="K1639"/>
      <c r="L1639"/>
      <c r="M1639"/>
      <c r="N1639"/>
      <c r="O1639"/>
      <c r="P1639"/>
      <c r="Q1639"/>
      <c r="R1639"/>
      <c r="S1639"/>
      <c r="T1639"/>
      <c r="U1639"/>
      <c r="V1639"/>
      <c r="W1639"/>
      <c r="X1639"/>
      <c r="Y1639"/>
      <c r="Z1639"/>
      <c r="AA1639"/>
      <c r="AB1639"/>
      <c r="AC1639"/>
      <c r="AD1639"/>
      <c r="AE1639"/>
      <c r="AF1639"/>
      <c r="AG1639"/>
      <c r="AH1639"/>
      <c r="AI1639"/>
      <c r="AJ1639"/>
      <c r="AK1639"/>
      <c r="AL1639"/>
      <c r="AM1639"/>
      <c r="AN1639"/>
      <c r="AO1639"/>
      <c r="AP1639"/>
      <c r="AQ1639"/>
      <c r="AR1639"/>
    </row>
    <row r="1640" spans="3:44" ht="15" customHeight="1">
      <c r="C1640"/>
      <c r="D1640"/>
      <c r="E1640"/>
      <c r="F1640"/>
      <c r="G1640"/>
      <c r="H1640"/>
      <c r="I1640"/>
      <c r="J1640"/>
      <c r="K1640"/>
      <c r="L1640"/>
      <c r="M1640"/>
      <c r="N1640"/>
      <c r="O1640"/>
      <c r="P1640"/>
      <c r="Q1640"/>
      <c r="R1640"/>
      <c r="S1640"/>
      <c r="T1640"/>
      <c r="U1640"/>
      <c r="V1640"/>
      <c r="W1640"/>
      <c r="X1640"/>
      <c r="Y1640"/>
      <c r="Z1640"/>
      <c r="AA1640"/>
      <c r="AB1640"/>
      <c r="AC1640"/>
      <c r="AD1640"/>
      <c r="AE1640"/>
      <c r="AF1640"/>
      <c r="AG1640"/>
      <c r="AH1640"/>
      <c r="AI1640"/>
      <c r="AJ1640"/>
      <c r="AK1640"/>
      <c r="AL1640"/>
      <c r="AM1640"/>
      <c r="AN1640"/>
      <c r="AO1640"/>
      <c r="AP1640"/>
      <c r="AQ1640"/>
      <c r="AR1640"/>
    </row>
    <row r="1641" spans="3:44" ht="15" customHeight="1">
      <c r="C1641"/>
      <c r="D1641"/>
      <c r="E1641"/>
      <c r="F1641"/>
      <c r="G1641"/>
      <c r="H1641"/>
      <c r="I1641"/>
      <c r="J1641"/>
      <c r="K1641"/>
      <c r="L1641"/>
      <c r="M1641"/>
      <c r="N1641"/>
      <c r="O1641"/>
      <c r="P1641"/>
      <c r="Q1641"/>
      <c r="R1641"/>
      <c r="S1641"/>
      <c r="T1641"/>
      <c r="U1641"/>
      <c r="V1641"/>
      <c r="W1641"/>
      <c r="X1641"/>
      <c r="Y1641"/>
      <c r="Z1641"/>
      <c r="AA1641"/>
      <c r="AB1641"/>
      <c r="AC1641"/>
      <c r="AD1641"/>
      <c r="AE1641"/>
      <c r="AF1641"/>
      <c r="AG1641"/>
      <c r="AH1641"/>
      <c r="AI1641"/>
      <c r="AJ1641"/>
      <c r="AK1641"/>
      <c r="AL1641"/>
      <c r="AM1641"/>
      <c r="AN1641"/>
      <c r="AO1641"/>
      <c r="AP1641"/>
      <c r="AQ1641"/>
      <c r="AR1641"/>
    </row>
    <row r="1642" spans="3:44" ht="15" customHeight="1">
      <c r="C1642"/>
      <c r="D1642"/>
      <c r="E1642"/>
      <c r="F1642"/>
      <c r="G1642"/>
      <c r="H1642"/>
      <c r="I1642"/>
      <c r="J1642"/>
      <c r="K1642"/>
      <c r="L1642"/>
      <c r="M1642"/>
      <c r="N1642"/>
      <c r="O1642"/>
      <c r="P1642"/>
      <c r="Q1642"/>
      <c r="R1642"/>
      <c r="S1642"/>
      <c r="T1642"/>
      <c r="U1642"/>
      <c r="V1642"/>
      <c r="W1642"/>
      <c r="X1642"/>
      <c r="Y1642"/>
      <c r="Z1642"/>
      <c r="AA1642"/>
      <c r="AB1642"/>
      <c r="AC1642"/>
      <c r="AD1642"/>
      <c r="AE1642"/>
      <c r="AF1642"/>
      <c r="AG1642"/>
      <c r="AH1642"/>
      <c r="AI1642"/>
      <c r="AJ1642"/>
      <c r="AK1642"/>
      <c r="AL1642"/>
      <c r="AM1642"/>
      <c r="AN1642"/>
      <c r="AO1642"/>
      <c r="AP1642"/>
      <c r="AQ1642"/>
      <c r="AR1642"/>
    </row>
    <row r="1643" spans="3:44" ht="15" customHeight="1">
      <c r="C1643"/>
      <c r="D1643"/>
      <c r="E1643"/>
      <c r="F1643"/>
      <c r="G1643"/>
      <c r="H1643"/>
      <c r="I1643"/>
      <c r="J1643"/>
      <c r="K1643"/>
      <c r="L1643"/>
      <c r="M1643"/>
      <c r="N1643"/>
      <c r="O1643"/>
      <c r="P1643"/>
      <c r="Q1643"/>
      <c r="R1643"/>
      <c r="S1643"/>
      <c r="T1643"/>
      <c r="U1643"/>
      <c r="V1643"/>
      <c r="W1643"/>
      <c r="X1643"/>
      <c r="Y1643"/>
      <c r="Z1643"/>
      <c r="AA1643"/>
      <c r="AB1643"/>
      <c r="AC1643"/>
      <c r="AD1643"/>
      <c r="AE1643"/>
      <c r="AF1643"/>
      <c r="AG1643"/>
      <c r="AH1643"/>
      <c r="AI1643"/>
      <c r="AJ1643"/>
      <c r="AK1643"/>
      <c r="AL1643"/>
      <c r="AM1643"/>
      <c r="AN1643"/>
      <c r="AO1643"/>
      <c r="AP1643"/>
      <c r="AQ1643"/>
      <c r="AR1643"/>
    </row>
    <row r="1644" spans="3:44" ht="15" customHeight="1">
      <c r="C1644"/>
      <c r="D1644"/>
      <c r="E1644"/>
      <c r="F1644"/>
      <c r="G1644"/>
      <c r="H1644"/>
      <c r="I1644"/>
      <c r="J1644"/>
      <c r="K1644"/>
      <c r="L1644"/>
      <c r="M1644"/>
      <c r="N1644"/>
      <c r="O1644"/>
      <c r="P1644"/>
      <c r="Q1644"/>
      <c r="R1644"/>
      <c r="S1644"/>
      <c r="T1644"/>
      <c r="U1644"/>
      <c r="V1644"/>
      <c r="W1644"/>
      <c r="X1644"/>
      <c r="Y1644"/>
      <c r="Z1644"/>
      <c r="AA1644"/>
      <c r="AB1644"/>
      <c r="AC1644"/>
      <c r="AD1644"/>
      <c r="AE1644"/>
      <c r="AF1644"/>
      <c r="AG1644"/>
      <c r="AH1644"/>
      <c r="AI1644"/>
      <c r="AJ1644"/>
      <c r="AK1644"/>
      <c r="AL1644"/>
      <c r="AM1644"/>
      <c r="AN1644"/>
      <c r="AO1644"/>
      <c r="AP1644"/>
      <c r="AQ1644"/>
      <c r="AR1644"/>
    </row>
    <row r="1645" spans="3:44" ht="15" customHeight="1">
      <c r="C1645"/>
      <c r="D1645"/>
      <c r="E1645"/>
      <c r="F1645"/>
      <c r="G1645"/>
      <c r="H1645"/>
      <c r="I1645"/>
      <c r="J1645"/>
      <c r="K1645"/>
      <c r="L1645"/>
      <c r="M1645"/>
      <c r="N1645"/>
      <c r="O1645"/>
      <c r="P1645"/>
      <c r="Q1645"/>
      <c r="R1645"/>
      <c r="S1645"/>
      <c r="T1645"/>
      <c r="U1645"/>
      <c r="V1645"/>
      <c r="W1645"/>
      <c r="X1645"/>
      <c r="Y1645"/>
      <c r="Z1645"/>
      <c r="AA1645"/>
      <c r="AB1645"/>
      <c r="AC1645"/>
      <c r="AD1645"/>
      <c r="AE1645"/>
      <c r="AF1645"/>
      <c r="AG1645"/>
      <c r="AH1645"/>
      <c r="AI1645"/>
      <c r="AJ1645"/>
      <c r="AK1645"/>
      <c r="AL1645"/>
      <c r="AM1645"/>
      <c r="AN1645"/>
      <c r="AO1645"/>
      <c r="AP1645"/>
      <c r="AQ1645"/>
      <c r="AR1645"/>
    </row>
    <row r="1646" spans="3:44" ht="15" customHeight="1">
      <c r="C1646"/>
      <c r="D1646"/>
      <c r="E1646"/>
      <c r="F1646"/>
      <c r="G1646"/>
      <c r="H1646"/>
      <c r="I1646"/>
      <c r="J1646"/>
      <c r="K1646"/>
      <c r="L1646"/>
      <c r="M1646"/>
      <c r="N1646"/>
      <c r="O1646"/>
      <c r="P1646"/>
      <c r="Q1646"/>
      <c r="R1646"/>
      <c r="S1646"/>
      <c r="T1646"/>
      <c r="U1646"/>
      <c r="V1646"/>
      <c r="W1646"/>
      <c r="X1646"/>
      <c r="Y1646"/>
      <c r="Z1646"/>
      <c r="AA1646"/>
      <c r="AB1646"/>
      <c r="AC1646"/>
      <c r="AD1646"/>
      <c r="AE1646"/>
      <c r="AF1646"/>
      <c r="AG1646"/>
      <c r="AH1646"/>
      <c r="AI1646"/>
      <c r="AJ1646"/>
      <c r="AK1646"/>
      <c r="AL1646"/>
      <c r="AM1646"/>
      <c r="AN1646"/>
      <c r="AO1646"/>
      <c r="AP1646"/>
      <c r="AQ1646"/>
      <c r="AR1646"/>
    </row>
    <row r="1647" spans="3:44" ht="15" customHeight="1">
      <c r="C1647"/>
      <c r="D1647"/>
      <c r="E1647"/>
      <c r="F1647"/>
      <c r="G1647"/>
      <c r="H1647"/>
      <c r="I1647"/>
      <c r="J1647"/>
      <c r="K1647"/>
      <c r="L1647"/>
      <c r="M1647"/>
      <c r="N1647"/>
      <c r="O1647"/>
      <c r="P1647"/>
      <c r="Q1647"/>
      <c r="R1647"/>
      <c r="S1647"/>
      <c r="T1647"/>
      <c r="U1647"/>
      <c r="V1647"/>
      <c r="W1647"/>
      <c r="X1647"/>
      <c r="Y1647"/>
      <c r="Z1647"/>
      <c r="AA1647"/>
      <c r="AB1647"/>
      <c r="AC1647"/>
      <c r="AD1647"/>
      <c r="AE1647"/>
      <c r="AF1647"/>
      <c r="AG1647"/>
      <c r="AH1647"/>
      <c r="AI1647"/>
      <c r="AJ1647"/>
      <c r="AK1647"/>
      <c r="AL1647"/>
      <c r="AM1647"/>
      <c r="AN1647"/>
      <c r="AO1647"/>
      <c r="AP1647"/>
      <c r="AQ1647"/>
      <c r="AR1647"/>
    </row>
    <row r="1648" spans="3:44" ht="15" customHeight="1">
      <c r="C1648"/>
      <c r="D1648"/>
      <c r="E1648"/>
      <c r="F1648"/>
      <c r="G1648"/>
      <c r="H1648"/>
      <c r="I1648"/>
      <c r="J1648"/>
      <c r="K1648"/>
      <c r="L1648"/>
      <c r="M1648"/>
      <c r="N1648"/>
      <c r="O1648"/>
      <c r="P1648"/>
      <c r="Q1648"/>
      <c r="R1648"/>
      <c r="S1648"/>
      <c r="T1648"/>
      <c r="U1648"/>
      <c r="V1648"/>
      <c r="W1648"/>
      <c r="X1648"/>
      <c r="Y1648"/>
      <c r="Z1648"/>
      <c r="AA1648"/>
      <c r="AB1648"/>
      <c r="AC1648"/>
      <c r="AD1648"/>
      <c r="AE1648"/>
      <c r="AF1648"/>
      <c r="AG1648"/>
      <c r="AH1648"/>
      <c r="AI1648"/>
      <c r="AJ1648"/>
      <c r="AK1648"/>
      <c r="AL1648"/>
      <c r="AM1648"/>
      <c r="AN1648"/>
      <c r="AO1648"/>
      <c r="AP1648"/>
      <c r="AQ1648"/>
      <c r="AR1648"/>
    </row>
    <row r="1649" spans="3:44" ht="15" customHeight="1">
      <c r="C1649"/>
      <c r="D1649"/>
      <c r="E1649"/>
      <c r="F1649"/>
      <c r="G1649"/>
      <c r="H1649"/>
      <c r="I1649"/>
      <c r="J1649"/>
      <c r="K1649"/>
      <c r="L1649"/>
      <c r="M1649"/>
      <c r="N1649"/>
      <c r="O1649"/>
      <c r="P1649"/>
      <c r="Q1649"/>
      <c r="R1649"/>
      <c r="S1649"/>
      <c r="T1649"/>
      <c r="U1649"/>
      <c r="V1649"/>
      <c r="W1649"/>
      <c r="X1649"/>
      <c r="Y1649"/>
      <c r="Z1649"/>
      <c r="AA1649"/>
      <c r="AB1649"/>
      <c r="AC1649"/>
      <c r="AD1649"/>
      <c r="AE1649"/>
      <c r="AF1649"/>
      <c r="AG1649"/>
      <c r="AH1649"/>
      <c r="AI1649"/>
      <c r="AJ1649"/>
      <c r="AK1649"/>
      <c r="AL1649"/>
      <c r="AM1649"/>
      <c r="AN1649"/>
      <c r="AO1649"/>
      <c r="AP1649"/>
      <c r="AQ1649"/>
      <c r="AR1649"/>
    </row>
    <row r="1650" spans="3:44" ht="15" customHeight="1">
      <c r="C1650"/>
      <c r="D1650"/>
      <c r="E1650"/>
      <c r="F1650"/>
      <c r="G1650"/>
      <c r="H1650"/>
      <c r="I1650"/>
      <c r="J1650"/>
      <c r="K1650"/>
      <c r="L1650"/>
      <c r="M1650"/>
      <c r="N1650"/>
      <c r="O1650"/>
      <c r="P1650"/>
      <c r="Q1650"/>
      <c r="R1650"/>
      <c r="S1650"/>
      <c r="T1650"/>
      <c r="U1650"/>
      <c r="V1650"/>
      <c r="W1650"/>
      <c r="X1650"/>
      <c r="Y1650"/>
      <c r="Z1650"/>
      <c r="AA1650"/>
      <c r="AB1650"/>
      <c r="AC1650"/>
      <c r="AD1650"/>
      <c r="AE1650"/>
      <c r="AF1650"/>
      <c r="AG1650"/>
      <c r="AH1650"/>
      <c r="AI1650"/>
      <c r="AJ1650"/>
      <c r="AK1650"/>
      <c r="AL1650"/>
      <c r="AM1650"/>
      <c r="AN1650"/>
      <c r="AO1650"/>
      <c r="AP1650"/>
      <c r="AQ1650"/>
      <c r="AR1650"/>
    </row>
    <row r="1651" spans="3:44" ht="15" customHeight="1">
      <c r="C1651"/>
      <c r="D1651"/>
      <c r="E1651"/>
      <c r="F1651"/>
      <c r="G1651"/>
      <c r="H1651"/>
      <c r="I1651"/>
      <c r="J1651"/>
      <c r="K1651"/>
      <c r="L1651"/>
      <c r="M1651"/>
      <c r="N1651"/>
      <c r="O1651"/>
      <c r="P1651"/>
      <c r="Q1651"/>
      <c r="R1651"/>
      <c r="S1651"/>
      <c r="T1651"/>
      <c r="U1651"/>
      <c r="V1651"/>
      <c r="W1651"/>
      <c r="X1651"/>
      <c r="Y1651"/>
      <c r="Z1651"/>
      <c r="AA1651"/>
      <c r="AB1651"/>
      <c r="AC1651"/>
      <c r="AD1651"/>
      <c r="AE1651"/>
      <c r="AF1651"/>
      <c r="AG1651"/>
      <c r="AH1651"/>
      <c r="AI1651"/>
      <c r="AJ1651"/>
      <c r="AK1651"/>
      <c r="AL1651"/>
      <c r="AM1651"/>
      <c r="AN1651"/>
      <c r="AO1651"/>
      <c r="AP1651"/>
      <c r="AQ1651"/>
      <c r="AR1651"/>
    </row>
    <row r="1652" spans="3:44" ht="15" customHeight="1">
      <c r="C1652"/>
      <c r="D1652"/>
      <c r="E1652"/>
      <c r="F1652"/>
      <c r="G1652"/>
      <c r="H1652"/>
      <c r="I1652"/>
      <c r="J1652"/>
      <c r="K1652"/>
      <c r="L1652"/>
      <c r="M1652"/>
      <c r="N1652"/>
      <c r="O1652"/>
      <c r="P1652"/>
      <c r="Q1652"/>
      <c r="R1652"/>
      <c r="S1652"/>
      <c r="T1652"/>
      <c r="U1652"/>
      <c r="V1652"/>
      <c r="W1652"/>
      <c r="X1652"/>
      <c r="Y1652"/>
      <c r="Z1652"/>
      <c r="AA1652"/>
      <c r="AB1652"/>
      <c r="AC1652"/>
      <c r="AD1652"/>
      <c r="AE1652"/>
      <c r="AF1652"/>
      <c r="AG1652"/>
      <c r="AH1652"/>
      <c r="AI1652"/>
      <c r="AJ1652"/>
      <c r="AK1652"/>
      <c r="AL1652"/>
      <c r="AM1652"/>
      <c r="AN1652"/>
      <c r="AO1652"/>
      <c r="AP1652"/>
      <c r="AQ1652"/>
      <c r="AR1652"/>
    </row>
    <row r="1653" spans="3:44" ht="15" customHeight="1">
      <c r="C1653"/>
      <c r="D1653"/>
      <c r="E1653"/>
      <c r="F1653"/>
      <c r="G1653"/>
      <c r="H1653"/>
      <c r="I1653"/>
      <c r="J1653"/>
      <c r="K1653"/>
      <c r="L1653"/>
      <c r="M1653"/>
      <c r="N1653"/>
      <c r="O1653"/>
      <c r="P1653"/>
      <c r="Q1653"/>
      <c r="R1653"/>
      <c r="S1653"/>
      <c r="T1653"/>
      <c r="U1653"/>
      <c r="V1653"/>
      <c r="W1653"/>
      <c r="X1653"/>
      <c r="Y1653"/>
      <c r="Z1653"/>
      <c r="AA1653"/>
      <c r="AB1653"/>
      <c r="AC1653"/>
      <c r="AD1653"/>
      <c r="AE1653"/>
      <c r="AF1653"/>
      <c r="AG1653"/>
      <c r="AH1653"/>
      <c r="AI1653"/>
      <c r="AJ1653"/>
      <c r="AK1653"/>
      <c r="AL1653"/>
      <c r="AM1653"/>
      <c r="AN1653"/>
      <c r="AO1653"/>
      <c r="AP1653"/>
      <c r="AQ1653"/>
      <c r="AR1653"/>
    </row>
    <row r="1654" spans="3:44" ht="15" customHeight="1">
      <c r="C1654"/>
      <c r="D1654"/>
      <c r="E1654"/>
      <c r="F1654"/>
      <c r="G1654"/>
      <c r="H1654"/>
      <c r="I1654"/>
      <c r="J1654"/>
      <c r="K1654"/>
      <c r="L1654"/>
      <c r="M1654"/>
      <c r="N1654"/>
      <c r="O1654"/>
      <c r="P1654"/>
      <c r="Q1654"/>
      <c r="R1654"/>
      <c r="S1654"/>
      <c r="T1654"/>
      <c r="U1654"/>
      <c r="V1654"/>
      <c r="W1654"/>
      <c r="X1654"/>
      <c r="Y1654"/>
      <c r="Z1654"/>
      <c r="AA1654"/>
      <c r="AB1654"/>
      <c r="AC1654"/>
      <c r="AD1654"/>
      <c r="AE1654"/>
      <c r="AF1654"/>
      <c r="AG1654"/>
      <c r="AH1654"/>
      <c r="AI1654"/>
      <c r="AJ1654"/>
      <c r="AK1654"/>
      <c r="AL1654"/>
      <c r="AM1654"/>
      <c r="AN1654"/>
      <c r="AO1654"/>
      <c r="AP1654"/>
      <c r="AQ1654"/>
      <c r="AR1654"/>
    </row>
    <row r="1655" spans="3:44" ht="15" customHeight="1">
      <c r="C1655"/>
      <c r="D1655"/>
      <c r="E1655"/>
      <c r="F1655"/>
      <c r="G1655"/>
      <c r="H1655"/>
      <c r="I1655"/>
      <c r="J1655"/>
      <c r="K1655"/>
      <c r="L1655"/>
      <c r="M1655"/>
      <c r="N1655"/>
      <c r="O1655"/>
      <c r="P1655"/>
      <c r="Q1655"/>
      <c r="R1655"/>
      <c r="S1655"/>
      <c r="T1655"/>
      <c r="U1655"/>
      <c r="V1655"/>
      <c r="W1655"/>
      <c r="X1655"/>
      <c r="Y1655"/>
      <c r="Z1655"/>
      <c r="AA1655"/>
      <c r="AB1655"/>
      <c r="AC1655"/>
      <c r="AD1655"/>
      <c r="AE1655"/>
      <c r="AF1655"/>
      <c r="AG1655"/>
      <c r="AH1655"/>
      <c r="AI1655"/>
      <c r="AJ1655"/>
      <c r="AK1655"/>
      <c r="AL1655"/>
      <c r="AM1655"/>
      <c r="AN1655"/>
      <c r="AO1655"/>
      <c r="AP1655"/>
      <c r="AQ1655"/>
      <c r="AR1655"/>
    </row>
    <row r="1656" spans="3:44" ht="15" customHeight="1">
      <c r="C1656"/>
      <c r="D1656"/>
      <c r="E1656"/>
      <c r="F1656"/>
      <c r="G1656"/>
      <c r="H1656"/>
      <c r="I1656"/>
      <c r="J1656"/>
      <c r="K1656"/>
      <c r="L1656"/>
      <c r="M1656"/>
      <c r="N1656"/>
      <c r="O1656"/>
      <c r="P1656"/>
      <c r="Q1656"/>
      <c r="R1656"/>
      <c r="S1656"/>
      <c r="T1656"/>
      <c r="U1656"/>
      <c r="V1656"/>
      <c r="W1656"/>
      <c r="X1656"/>
      <c r="Y1656"/>
      <c r="Z1656"/>
      <c r="AA1656"/>
      <c r="AB1656"/>
      <c r="AC1656"/>
      <c r="AD1656"/>
      <c r="AE1656"/>
      <c r="AF1656"/>
      <c r="AG1656"/>
      <c r="AH1656"/>
      <c r="AI1656"/>
      <c r="AJ1656"/>
      <c r="AK1656"/>
      <c r="AL1656"/>
      <c r="AM1656"/>
      <c r="AN1656"/>
      <c r="AO1656"/>
      <c r="AP1656"/>
      <c r="AQ1656"/>
      <c r="AR1656"/>
    </row>
    <row r="1657" spans="3:44" ht="15" customHeight="1">
      <c r="C1657"/>
      <c r="D1657"/>
      <c r="E1657"/>
      <c r="F1657"/>
      <c r="G1657"/>
      <c r="H1657"/>
      <c r="I1657"/>
      <c r="J1657"/>
      <c r="K1657"/>
      <c r="L1657"/>
      <c r="M1657"/>
      <c r="N1657"/>
      <c r="O1657"/>
      <c r="P1657"/>
      <c r="Q1657"/>
      <c r="R1657"/>
      <c r="S1657"/>
      <c r="T1657"/>
      <c r="U1657"/>
      <c r="V1657"/>
      <c r="W1657"/>
      <c r="X1657"/>
      <c r="Y1657"/>
      <c r="Z1657"/>
      <c r="AA1657"/>
      <c r="AB1657"/>
      <c r="AC1657"/>
      <c r="AD1657"/>
      <c r="AE1657"/>
      <c r="AF1657"/>
      <c r="AG1657"/>
      <c r="AH1657"/>
      <c r="AI1657"/>
      <c r="AJ1657"/>
      <c r="AK1657"/>
      <c r="AL1657"/>
      <c r="AM1657"/>
      <c r="AN1657"/>
      <c r="AO1657"/>
      <c r="AP1657"/>
      <c r="AQ1657"/>
      <c r="AR1657"/>
    </row>
    <row r="1658" spans="3:44" ht="15" customHeight="1">
      <c r="C1658"/>
      <c r="D1658"/>
      <c r="E1658"/>
      <c r="F1658"/>
      <c r="G1658"/>
      <c r="H1658"/>
      <c r="I1658"/>
      <c r="J1658"/>
      <c r="K1658"/>
      <c r="L1658"/>
      <c r="M1658"/>
      <c r="N1658"/>
      <c r="O1658"/>
      <c r="P1658"/>
      <c r="Q1658"/>
      <c r="R1658"/>
      <c r="S1658"/>
      <c r="T1658"/>
      <c r="U1658"/>
      <c r="V1658"/>
      <c r="W1658"/>
      <c r="X1658"/>
      <c r="Y1658"/>
      <c r="Z1658"/>
      <c r="AA1658"/>
      <c r="AB1658"/>
      <c r="AC1658"/>
      <c r="AD1658"/>
      <c r="AE1658"/>
      <c r="AF1658"/>
      <c r="AG1658"/>
      <c r="AH1658"/>
      <c r="AI1658"/>
      <c r="AJ1658"/>
      <c r="AK1658"/>
      <c r="AL1658"/>
      <c r="AM1658"/>
      <c r="AN1658"/>
      <c r="AO1658"/>
      <c r="AP1658"/>
      <c r="AQ1658"/>
      <c r="AR1658"/>
    </row>
    <row r="1659" spans="3:44" ht="15" customHeight="1">
      <c r="C1659"/>
      <c r="D1659"/>
      <c r="E1659"/>
      <c r="F1659"/>
      <c r="G1659"/>
      <c r="H1659"/>
      <c r="I1659"/>
      <c r="J1659"/>
      <c r="K1659"/>
      <c r="L1659"/>
      <c r="M1659"/>
      <c r="N1659"/>
      <c r="O1659"/>
      <c r="P1659"/>
      <c r="Q1659"/>
      <c r="R1659"/>
      <c r="S1659"/>
      <c r="T1659"/>
      <c r="U1659"/>
      <c r="V1659"/>
      <c r="W1659"/>
      <c r="X1659"/>
      <c r="Y1659"/>
      <c r="Z1659"/>
      <c r="AA1659"/>
      <c r="AB1659"/>
      <c r="AC1659"/>
      <c r="AD1659"/>
      <c r="AE1659"/>
      <c r="AF1659"/>
      <c r="AG1659"/>
      <c r="AH1659"/>
      <c r="AI1659"/>
      <c r="AJ1659"/>
      <c r="AK1659"/>
      <c r="AL1659"/>
      <c r="AM1659"/>
      <c r="AN1659"/>
      <c r="AO1659"/>
      <c r="AP1659"/>
      <c r="AQ1659"/>
      <c r="AR1659"/>
    </row>
    <row r="1660" spans="3:44" ht="15" customHeight="1">
      <c r="C1660"/>
      <c r="D1660"/>
      <c r="E1660"/>
      <c r="F1660"/>
      <c r="G1660"/>
      <c r="H1660"/>
      <c r="I1660"/>
      <c r="J1660"/>
      <c r="K1660"/>
      <c r="L1660"/>
      <c r="M1660"/>
      <c r="N1660"/>
      <c r="O1660"/>
      <c r="P1660"/>
      <c r="Q1660"/>
      <c r="R1660"/>
      <c r="S1660"/>
      <c r="T1660"/>
      <c r="U1660"/>
      <c r="V1660"/>
      <c r="W1660"/>
      <c r="X1660"/>
      <c r="Y1660"/>
      <c r="Z1660"/>
      <c r="AA1660"/>
      <c r="AB1660"/>
      <c r="AC1660"/>
      <c r="AD1660"/>
      <c r="AE1660"/>
      <c r="AF1660"/>
      <c r="AG1660"/>
      <c r="AH1660"/>
      <c r="AI1660"/>
      <c r="AJ1660"/>
      <c r="AK1660"/>
      <c r="AL1660"/>
      <c r="AM1660"/>
      <c r="AN1660"/>
      <c r="AO1660"/>
      <c r="AP1660"/>
      <c r="AQ1660"/>
      <c r="AR1660"/>
    </row>
    <row r="1661" spans="3:44" ht="15" customHeight="1">
      <c r="C1661"/>
      <c r="D1661"/>
      <c r="E1661"/>
      <c r="F1661"/>
      <c r="G1661"/>
      <c r="H1661"/>
      <c r="I1661"/>
      <c r="J1661"/>
      <c r="K1661"/>
      <c r="L1661"/>
      <c r="M1661"/>
      <c r="N1661"/>
      <c r="O1661"/>
      <c r="P1661"/>
      <c r="Q1661"/>
      <c r="R1661"/>
      <c r="S1661"/>
      <c r="T1661"/>
      <c r="U1661"/>
      <c r="V1661"/>
      <c r="W1661"/>
      <c r="X1661"/>
      <c r="Y1661"/>
      <c r="Z1661"/>
      <c r="AA1661"/>
      <c r="AB1661"/>
      <c r="AC1661"/>
      <c r="AD1661"/>
      <c r="AE1661"/>
      <c r="AF1661"/>
      <c r="AG1661"/>
      <c r="AH1661"/>
      <c r="AI1661"/>
      <c r="AJ1661"/>
      <c r="AK1661"/>
      <c r="AL1661"/>
      <c r="AM1661"/>
      <c r="AN1661"/>
      <c r="AO1661"/>
      <c r="AP1661"/>
      <c r="AQ1661"/>
      <c r="AR1661"/>
    </row>
    <row r="1662" spans="3:44" ht="15" customHeight="1">
      <c r="C1662"/>
      <c r="D1662"/>
      <c r="E1662"/>
      <c r="F1662"/>
      <c r="G1662"/>
      <c r="H1662"/>
      <c r="I1662"/>
      <c r="J1662"/>
      <c r="K1662"/>
      <c r="L1662"/>
      <c r="M1662"/>
      <c r="N1662"/>
      <c r="O1662"/>
      <c r="P1662"/>
      <c r="Q1662"/>
      <c r="R1662"/>
      <c r="S1662"/>
      <c r="T1662"/>
      <c r="U1662"/>
      <c r="V1662"/>
      <c r="W1662"/>
      <c r="X1662"/>
      <c r="Y1662"/>
      <c r="Z1662"/>
      <c r="AA1662"/>
      <c r="AB1662"/>
      <c r="AC1662"/>
      <c r="AD1662"/>
      <c r="AE1662"/>
      <c r="AF1662"/>
      <c r="AG1662"/>
      <c r="AH1662"/>
      <c r="AI1662"/>
      <c r="AJ1662"/>
      <c r="AK1662"/>
      <c r="AL1662"/>
      <c r="AM1662"/>
      <c r="AN1662"/>
      <c r="AO1662"/>
      <c r="AP1662"/>
      <c r="AQ1662"/>
      <c r="AR1662"/>
    </row>
    <row r="1663" spans="3:44" ht="15" customHeight="1">
      <c r="C1663"/>
      <c r="D1663"/>
      <c r="E1663"/>
      <c r="F1663"/>
      <c r="G1663"/>
      <c r="H1663"/>
      <c r="I1663"/>
      <c r="J1663"/>
      <c r="K1663"/>
      <c r="L1663"/>
      <c r="M1663"/>
      <c r="N1663"/>
      <c r="O1663"/>
      <c r="P1663"/>
      <c r="Q1663"/>
      <c r="R1663"/>
      <c r="S1663"/>
      <c r="T1663"/>
      <c r="U1663"/>
      <c r="V1663"/>
      <c r="W1663"/>
      <c r="X1663"/>
      <c r="Y1663"/>
      <c r="Z1663"/>
      <c r="AA1663"/>
      <c r="AB1663"/>
      <c r="AC1663"/>
      <c r="AD1663"/>
      <c r="AE1663"/>
      <c r="AF1663"/>
      <c r="AG1663"/>
      <c r="AH1663"/>
      <c r="AI1663"/>
      <c r="AJ1663"/>
      <c r="AK1663"/>
      <c r="AL1663"/>
      <c r="AM1663"/>
      <c r="AN1663"/>
      <c r="AO1663"/>
      <c r="AP1663"/>
      <c r="AQ1663"/>
      <c r="AR1663"/>
    </row>
    <row r="1664" spans="3:44" ht="15" customHeight="1">
      <c r="C1664"/>
      <c r="D1664"/>
      <c r="E1664"/>
      <c r="F1664"/>
      <c r="G1664"/>
      <c r="H1664"/>
      <c r="I1664"/>
      <c r="J1664"/>
      <c r="K1664"/>
      <c r="L1664"/>
      <c r="M1664"/>
      <c r="N1664"/>
      <c r="O1664"/>
      <c r="P1664"/>
      <c r="Q1664"/>
      <c r="R1664"/>
      <c r="S1664"/>
      <c r="T1664"/>
      <c r="U1664"/>
      <c r="V1664"/>
      <c r="W1664"/>
      <c r="X1664"/>
      <c r="Y1664"/>
      <c r="Z1664"/>
      <c r="AA1664"/>
      <c r="AB1664"/>
      <c r="AC1664"/>
      <c r="AD1664"/>
      <c r="AE1664"/>
      <c r="AF1664"/>
      <c r="AG1664"/>
      <c r="AH1664"/>
      <c r="AI1664"/>
      <c r="AJ1664"/>
      <c r="AK1664"/>
      <c r="AL1664"/>
      <c r="AM1664"/>
      <c r="AN1664"/>
      <c r="AO1664"/>
      <c r="AP1664"/>
      <c r="AQ1664"/>
      <c r="AR1664"/>
    </row>
    <row r="1665" spans="3:44" ht="15" customHeight="1">
      <c r="C1665"/>
      <c r="D1665"/>
      <c r="E1665"/>
      <c r="F1665"/>
      <c r="G1665"/>
      <c r="H1665"/>
      <c r="I1665"/>
      <c r="J1665"/>
      <c r="K1665"/>
      <c r="L1665"/>
      <c r="M1665"/>
      <c r="N1665"/>
      <c r="O1665"/>
      <c r="P1665"/>
      <c r="Q1665"/>
      <c r="R1665"/>
      <c r="S1665"/>
      <c r="T1665"/>
      <c r="U1665"/>
      <c r="V1665"/>
      <c r="W1665"/>
      <c r="X1665"/>
      <c r="Y1665"/>
      <c r="Z1665"/>
      <c r="AA1665"/>
      <c r="AB1665"/>
      <c r="AC1665"/>
      <c r="AD1665"/>
      <c r="AE1665"/>
      <c r="AF1665"/>
      <c r="AG1665"/>
      <c r="AH1665"/>
      <c r="AI1665"/>
      <c r="AJ1665"/>
      <c r="AK1665"/>
      <c r="AL1665"/>
      <c r="AM1665"/>
      <c r="AN1665"/>
      <c r="AO1665"/>
      <c r="AP1665"/>
      <c r="AQ1665"/>
      <c r="AR1665"/>
    </row>
    <row r="1666" spans="3:44" ht="15" customHeight="1">
      <c r="C1666"/>
      <c r="D1666"/>
      <c r="E1666"/>
      <c r="F1666"/>
      <c r="G1666"/>
      <c r="H1666"/>
      <c r="I1666"/>
      <c r="J1666"/>
      <c r="K1666"/>
      <c r="L1666"/>
      <c r="M1666"/>
      <c r="N1666"/>
      <c r="O1666"/>
      <c r="P1666"/>
      <c r="Q1666"/>
      <c r="R1666"/>
      <c r="S1666"/>
      <c r="T1666"/>
      <c r="U1666"/>
      <c r="V1666"/>
      <c r="W1666"/>
      <c r="X1666"/>
      <c r="Y1666"/>
      <c r="Z1666"/>
      <c r="AA1666"/>
      <c r="AB1666"/>
      <c r="AC1666"/>
      <c r="AD1666"/>
      <c r="AE1666"/>
      <c r="AF1666"/>
      <c r="AG1666"/>
      <c r="AH1666"/>
      <c r="AI1666"/>
      <c r="AJ1666"/>
      <c r="AK1666"/>
      <c r="AL1666"/>
      <c r="AM1666"/>
      <c r="AN1666"/>
      <c r="AO1666"/>
      <c r="AP1666"/>
      <c r="AQ1666"/>
      <c r="AR1666"/>
    </row>
    <row r="1667" spans="3:44" ht="15" customHeight="1">
      <c r="C1667"/>
      <c r="D1667"/>
      <c r="E1667"/>
      <c r="F1667"/>
      <c r="G1667"/>
      <c r="H1667"/>
      <c r="I1667"/>
      <c r="J1667"/>
      <c r="K1667"/>
      <c r="L1667"/>
      <c r="M1667"/>
      <c r="N1667"/>
      <c r="O1667"/>
      <c r="P1667"/>
      <c r="Q1667"/>
      <c r="R1667"/>
      <c r="S1667"/>
      <c r="T1667"/>
      <c r="U1667"/>
      <c r="V1667"/>
      <c r="W1667"/>
      <c r="X1667"/>
      <c r="Y1667"/>
      <c r="Z1667"/>
      <c r="AA1667"/>
      <c r="AB1667"/>
      <c r="AC1667"/>
      <c r="AD1667"/>
      <c r="AE1667"/>
      <c r="AF1667"/>
      <c r="AG1667"/>
      <c r="AH1667"/>
      <c r="AI1667"/>
      <c r="AJ1667"/>
      <c r="AK1667"/>
      <c r="AL1667"/>
      <c r="AM1667"/>
      <c r="AN1667"/>
      <c r="AO1667"/>
      <c r="AP1667"/>
      <c r="AQ1667"/>
      <c r="AR1667"/>
    </row>
    <row r="1668" spans="3:44" ht="15" customHeight="1">
      <c r="C1668"/>
      <c r="D1668"/>
      <c r="E1668"/>
      <c r="F1668"/>
      <c r="G1668"/>
      <c r="H1668"/>
      <c r="I1668"/>
      <c r="J1668"/>
      <c r="K1668"/>
      <c r="L1668"/>
      <c r="M1668"/>
      <c r="N1668"/>
      <c r="O1668"/>
      <c r="P1668"/>
      <c r="Q1668"/>
      <c r="R1668"/>
      <c r="S1668"/>
      <c r="T1668"/>
      <c r="U1668"/>
      <c r="V1668"/>
      <c r="W1668"/>
      <c r="X1668"/>
      <c r="Y1668"/>
      <c r="Z1668"/>
      <c r="AA1668"/>
      <c r="AB1668"/>
      <c r="AC1668"/>
      <c r="AD1668"/>
      <c r="AE1668"/>
      <c r="AF1668"/>
      <c r="AG1668"/>
      <c r="AH1668"/>
      <c r="AI1668"/>
      <c r="AJ1668"/>
      <c r="AK1668"/>
      <c r="AL1668"/>
      <c r="AM1668"/>
      <c r="AN1668"/>
      <c r="AO1668"/>
      <c r="AP1668"/>
      <c r="AQ1668"/>
      <c r="AR1668"/>
    </row>
    <row r="1669" spans="3:44" ht="15" customHeight="1">
      <c r="C1669"/>
      <c r="D1669"/>
      <c r="E1669"/>
      <c r="F1669"/>
      <c r="G1669"/>
      <c r="H1669"/>
      <c r="I1669"/>
      <c r="J1669"/>
      <c r="K1669"/>
      <c r="L1669"/>
      <c r="M1669"/>
      <c r="N1669"/>
      <c r="O1669"/>
      <c r="P1669"/>
      <c r="Q1669"/>
      <c r="R1669"/>
      <c r="S1669"/>
      <c r="T1669"/>
      <c r="U1669"/>
      <c r="V1669"/>
      <c r="W1669"/>
      <c r="X1669"/>
      <c r="Y1669"/>
      <c r="Z1669"/>
      <c r="AA1669"/>
      <c r="AB1669"/>
      <c r="AC1669"/>
      <c r="AD1669"/>
      <c r="AE1669"/>
      <c r="AF1669"/>
      <c r="AG1669"/>
      <c r="AH1669"/>
      <c r="AI1669"/>
      <c r="AJ1669"/>
      <c r="AK1669"/>
      <c r="AL1669"/>
      <c r="AM1669"/>
      <c r="AN1669"/>
      <c r="AO1669"/>
      <c r="AP1669"/>
      <c r="AQ1669"/>
      <c r="AR1669"/>
    </row>
    <row r="1670" spans="3:44" ht="15" customHeight="1">
      <c r="C1670"/>
      <c r="D1670"/>
      <c r="E1670"/>
      <c r="F1670"/>
      <c r="G1670"/>
      <c r="H1670"/>
      <c r="I1670"/>
      <c r="J1670"/>
      <c r="K1670"/>
      <c r="L1670"/>
      <c r="M1670"/>
      <c r="N1670"/>
      <c r="O1670"/>
      <c r="P1670"/>
      <c r="Q1670"/>
      <c r="R1670"/>
      <c r="S1670"/>
      <c r="T1670"/>
      <c r="U1670"/>
      <c r="V1670"/>
      <c r="W1670"/>
      <c r="X1670"/>
      <c r="Y1670"/>
      <c r="Z1670"/>
      <c r="AA1670"/>
      <c r="AB1670"/>
      <c r="AC1670"/>
      <c r="AD1670"/>
      <c r="AE1670"/>
      <c r="AF1670"/>
      <c r="AG1670"/>
      <c r="AH1670"/>
      <c r="AI1670"/>
      <c r="AJ1670"/>
      <c r="AK1670"/>
      <c r="AL1670"/>
      <c r="AM1670"/>
      <c r="AN1670"/>
      <c r="AO1670"/>
      <c r="AP1670"/>
      <c r="AQ1670"/>
      <c r="AR1670"/>
    </row>
    <row r="1671" spans="3:44" ht="15" customHeight="1">
      <c r="C1671"/>
      <c r="D1671"/>
      <c r="E1671"/>
      <c r="F1671"/>
      <c r="G1671"/>
      <c r="H1671"/>
      <c r="I1671"/>
      <c r="J1671"/>
      <c r="K1671"/>
      <c r="L1671"/>
      <c r="M1671"/>
      <c r="N1671"/>
      <c r="O1671"/>
      <c r="P1671"/>
      <c r="Q1671"/>
      <c r="R1671"/>
      <c r="S1671"/>
      <c r="T1671"/>
      <c r="U1671"/>
      <c r="V1671"/>
      <c r="W1671"/>
      <c r="X1671"/>
      <c r="Y1671"/>
      <c r="Z1671"/>
      <c r="AA1671"/>
      <c r="AB1671"/>
      <c r="AC1671"/>
      <c r="AD1671"/>
      <c r="AE1671"/>
      <c r="AF1671"/>
      <c r="AG1671"/>
      <c r="AH1671"/>
      <c r="AI1671"/>
      <c r="AJ1671"/>
      <c r="AK1671"/>
      <c r="AL1671"/>
      <c r="AM1671"/>
      <c r="AN1671"/>
      <c r="AO1671"/>
      <c r="AP1671"/>
      <c r="AQ1671"/>
      <c r="AR1671"/>
    </row>
    <row r="1672" spans="3:44" ht="15" customHeight="1">
      <c r="C1672"/>
      <c r="D1672"/>
      <c r="E1672"/>
      <c r="F1672"/>
      <c r="G1672"/>
      <c r="H1672"/>
      <c r="I1672"/>
      <c r="J1672"/>
      <c r="K1672"/>
      <c r="L1672"/>
      <c r="M1672"/>
      <c r="N1672"/>
      <c r="O1672"/>
      <c r="P1672"/>
      <c r="Q1672"/>
      <c r="R1672"/>
      <c r="S1672"/>
      <c r="T1672"/>
      <c r="U1672"/>
      <c r="V1672"/>
      <c r="W1672"/>
      <c r="X1672"/>
      <c r="Y1672"/>
      <c r="Z1672"/>
      <c r="AA1672"/>
      <c r="AB1672"/>
      <c r="AC1672"/>
      <c r="AD1672"/>
      <c r="AE1672"/>
      <c r="AF1672"/>
      <c r="AG1672"/>
      <c r="AH1672"/>
      <c r="AI1672"/>
      <c r="AJ1672"/>
      <c r="AK1672"/>
      <c r="AL1672"/>
      <c r="AM1672"/>
      <c r="AN1672"/>
      <c r="AO1672"/>
      <c r="AP1672"/>
      <c r="AQ1672"/>
      <c r="AR1672"/>
    </row>
    <row r="1673" spans="3:44" ht="15" customHeight="1">
      <c r="C1673"/>
      <c r="D1673"/>
      <c r="E1673"/>
      <c r="F1673"/>
      <c r="G1673"/>
      <c r="H1673"/>
      <c r="I1673"/>
      <c r="J1673"/>
      <c r="K1673"/>
      <c r="L1673"/>
      <c r="M1673"/>
      <c r="N1673"/>
      <c r="O1673"/>
      <c r="P1673"/>
      <c r="Q1673"/>
      <c r="R1673"/>
      <c r="S1673"/>
      <c r="T1673"/>
      <c r="U1673"/>
      <c r="V1673"/>
      <c r="W1673"/>
      <c r="X1673"/>
      <c r="Y1673"/>
      <c r="Z1673"/>
      <c r="AA1673"/>
      <c r="AB1673"/>
      <c r="AC1673"/>
      <c r="AD1673"/>
      <c r="AE1673"/>
      <c r="AF1673"/>
      <c r="AG1673"/>
      <c r="AH1673"/>
      <c r="AI1673"/>
      <c r="AJ1673"/>
      <c r="AK1673"/>
      <c r="AL1673"/>
      <c r="AM1673"/>
      <c r="AN1673"/>
      <c r="AO1673"/>
      <c r="AP1673"/>
      <c r="AQ1673"/>
      <c r="AR1673"/>
    </row>
    <row r="1674" spans="3:44" ht="15" customHeight="1"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Y1674"/>
      <c r="Z1674"/>
      <c r="AA1674"/>
      <c r="AB1674"/>
      <c r="AC1674"/>
      <c r="AD1674"/>
      <c r="AE1674"/>
      <c r="AF1674"/>
      <c r="AG1674"/>
      <c r="AH1674"/>
      <c r="AI1674"/>
      <c r="AJ1674"/>
      <c r="AK1674"/>
      <c r="AL1674"/>
      <c r="AM1674"/>
      <c r="AN1674"/>
      <c r="AO1674"/>
      <c r="AP1674"/>
      <c r="AQ1674"/>
      <c r="AR1674"/>
    </row>
    <row r="1675" spans="3:44" ht="15" customHeight="1"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Y1675"/>
      <c r="Z1675"/>
      <c r="AA1675"/>
      <c r="AB1675"/>
      <c r="AC1675"/>
      <c r="AD1675"/>
      <c r="AE1675"/>
      <c r="AF1675"/>
      <c r="AG1675"/>
      <c r="AH1675"/>
      <c r="AI1675"/>
      <c r="AJ1675"/>
      <c r="AK1675"/>
      <c r="AL1675"/>
      <c r="AM1675"/>
      <c r="AN1675"/>
      <c r="AO1675"/>
      <c r="AP1675"/>
      <c r="AQ1675"/>
      <c r="AR1675"/>
    </row>
    <row r="1676" spans="3:44" ht="15" customHeight="1"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Y1676"/>
      <c r="Z1676"/>
      <c r="AA1676"/>
      <c r="AB1676"/>
      <c r="AC1676"/>
      <c r="AD1676"/>
      <c r="AE1676"/>
      <c r="AF1676"/>
      <c r="AG1676"/>
      <c r="AH1676"/>
      <c r="AI1676"/>
      <c r="AJ1676"/>
      <c r="AK1676"/>
      <c r="AL1676"/>
      <c r="AM1676"/>
      <c r="AN1676"/>
      <c r="AO1676"/>
      <c r="AP1676"/>
      <c r="AQ1676"/>
      <c r="AR1676"/>
    </row>
    <row r="1677" spans="3:44" ht="15" customHeight="1">
      <c r="C1677"/>
      <c r="D1677"/>
      <c r="E1677"/>
      <c r="F1677"/>
      <c r="G1677"/>
      <c r="H1677"/>
      <c r="I1677"/>
      <c r="J1677"/>
      <c r="K1677"/>
      <c r="L1677"/>
      <c r="M1677"/>
      <c r="N1677"/>
      <c r="O1677"/>
      <c r="P1677"/>
      <c r="Q1677"/>
      <c r="R1677"/>
      <c r="S1677"/>
      <c r="T1677"/>
      <c r="U1677"/>
      <c r="V1677"/>
      <c r="W1677"/>
      <c r="X1677"/>
      <c r="Y1677"/>
      <c r="Z1677"/>
      <c r="AA1677"/>
      <c r="AB1677"/>
      <c r="AC1677"/>
      <c r="AD1677"/>
      <c r="AE1677"/>
      <c r="AF1677"/>
      <c r="AG1677"/>
      <c r="AH1677"/>
      <c r="AI1677"/>
      <c r="AJ1677"/>
      <c r="AK1677"/>
      <c r="AL1677"/>
      <c r="AM1677"/>
      <c r="AN1677"/>
      <c r="AO1677"/>
      <c r="AP1677"/>
      <c r="AQ1677"/>
      <c r="AR1677"/>
    </row>
    <row r="1678" spans="3:44" ht="15" customHeight="1">
      <c r="C1678"/>
      <c r="D1678"/>
      <c r="E1678"/>
      <c r="F1678"/>
      <c r="G1678"/>
      <c r="H1678"/>
      <c r="I1678"/>
      <c r="J1678"/>
      <c r="K1678"/>
      <c r="L1678"/>
      <c r="M1678"/>
      <c r="N1678"/>
      <c r="O1678"/>
      <c r="P1678"/>
      <c r="Q1678"/>
      <c r="R1678"/>
      <c r="S1678"/>
      <c r="T1678"/>
      <c r="U1678"/>
      <c r="V1678"/>
      <c r="W1678"/>
      <c r="X1678"/>
      <c r="Y1678"/>
      <c r="Z1678"/>
      <c r="AA1678"/>
      <c r="AB1678"/>
      <c r="AC1678"/>
      <c r="AD1678"/>
      <c r="AE1678"/>
      <c r="AF1678"/>
      <c r="AG1678"/>
      <c r="AH1678"/>
      <c r="AI1678"/>
      <c r="AJ1678"/>
      <c r="AK1678"/>
      <c r="AL1678"/>
      <c r="AM1678"/>
      <c r="AN1678"/>
      <c r="AO1678"/>
      <c r="AP1678"/>
      <c r="AQ1678"/>
      <c r="AR1678"/>
    </row>
    <row r="1679" spans="3:44" ht="15" customHeight="1">
      <c r="C1679"/>
      <c r="D1679"/>
      <c r="E1679"/>
      <c r="F1679"/>
      <c r="G1679"/>
      <c r="H1679"/>
      <c r="I1679"/>
      <c r="J1679"/>
      <c r="K1679"/>
      <c r="L1679"/>
      <c r="M1679"/>
      <c r="N1679"/>
      <c r="O1679"/>
      <c r="P1679"/>
      <c r="Q1679"/>
      <c r="R1679"/>
      <c r="S1679"/>
      <c r="T1679"/>
      <c r="U1679"/>
      <c r="V1679"/>
      <c r="W1679"/>
      <c r="X1679"/>
      <c r="Y1679"/>
      <c r="Z1679"/>
      <c r="AA1679"/>
      <c r="AB1679"/>
      <c r="AC1679"/>
      <c r="AD1679"/>
      <c r="AE1679"/>
      <c r="AF1679"/>
      <c r="AG1679"/>
      <c r="AH1679"/>
      <c r="AI1679"/>
      <c r="AJ1679"/>
      <c r="AK1679"/>
      <c r="AL1679"/>
      <c r="AM1679"/>
      <c r="AN1679"/>
      <c r="AO1679"/>
      <c r="AP1679"/>
      <c r="AQ1679"/>
      <c r="AR1679"/>
    </row>
    <row r="1680" spans="3:44" ht="15" customHeight="1"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Y1680"/>
      <c r="Z1680"/>
      <c r="AA1680"/>
      <c r="AB1680"/>
      <c r="AC1680"/>
      <c r="AD1680"/>
      <c r="AE1680"/>
      <c r="AF1680"/>
      <c r="AG1680"/>
      <c r="AH1680"/>
      <c r="AI1680"/>
      <c r="AJ1680"/>
      <c r="AK1680"/>
      <c r="AL1680"/>
      <c r="AM1680"/>
      <c r="AN1680"/>
      <c r="AO1680"/>
      <c r="AP1680"/>
      <c r="AQ1680"/>
      <c r="AR1680"/>
    </row>
    <row r="1681" spans="3:44" ht="15" customHeight="1"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Y1681"/>
      <c r="Z1681"/>
      <c r="AA1681"/>
      <c r="AB1681"/>
      <c r="AC1681"/>
      <c r="AD1681"/>
      <c r="AE1681"/>
      <c r="AF1681"/>
      <c r="AG1681"/>
      <c r="AH1681"/>
      <c r="AI1681"/>
      <c r="AJ1681"/>
      <c r="AK1681"/>
      <c r="AL1681"/>
      <c r="AM1681"/>
      <c r="AN1681"/>
      <c r="AO1681"/>
      <c r="AP1681"/>
      <c r="AQ1681"/>
      <c r="AR1681"/>
    </row>
    <row r="1682" spans="3:44" ht="15" customHeight="1"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Y1682"/>
      <c r="Z1682"/>
      <c r="AA1682"/>
      <c r="AB1682"/>
      <c r="AC1682"/>
      <c r="AD1682"/>
      <c r="AE1682"/>
      <c r="AF1682"/>
      <c r="AG1682"/>
      <c r="AH1682"/>
      <c r="AI1682"/>
      <c r="AJ1682"/>
      <c r="AK1682"/>
      <c r="AL1682"/>
      <c r="AM1682"/>
      <c r="AN1682"/>
      <c r="AO1682"/>
      <c r="AP1682"/>
      <c r="AQ1682"/>
      <c r="AR1682"/>
    </row>
    <row r="1683" spans="3:44" ht="15" customHeight="1"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Y1683"/>
      <c r="Z1683"/>
      <c r="AA1683"/>
      <c r="AB1683"/>
      <c r="AC1683"/>
      <c r="AD1683"/>
      <c r="AE1683"/>
      <c r="AF1683"/>
      <c r="AG1683"/>
      <c r="AH1683"/>
      <c r="AI1683"/>
      <c r="AJ1683"/>
      <c r="AK1683"/>
      <c r="AL1683"/>
      <c r="AM1683"/>
      <c r="AN1683"/>
      <c r="AO1683"/>
      <c r="AP1683"/>
      <c r="AQ1683"/>
      <c r="AR1683"/>
    </row>
    <row r="1684" spans="3:44" ht="15" customHeight="1">
      <c r="C1684"/>
      <c r="D1684"/>
      <c r="E1684"/>
      <c r="F1684"/>
      <c r="G1684"/>
      <c r="H1684"/>
      <c r="I1684"/>
      <c r="J1684"/>
      <c r="K1684"/>
      <c r="L1684"/>
      <c r="M1684"/>
      <c r="N1684"/>
      <c r="O1684"/>
      <c r="P1684"/>
      <c r="Q1684"/>
      <c r="R1684"/>
      <c r="S1684"/>
      <c r="T1684"/>
      <c r="U1684"/>
      <c r="V1684"/>
      <c r="W1684"/>
      <c r="X1684"/>
      <c r="Y1684"/>
      <c r="Z1684"/>
      <c r="AA1684"/>
      <c r="AB1684"/>
      <c r="AC1684"/>
      <c r="AD1684"/>
      <c r="AE1684"/>
      <c r="AF1684"/>
      <c r="AG1684"/>
      <c r="AH1684"/>
      <c r="AI1684"/>
      <c r="AJ1684"/>
      <c r="AK1684"/>
      <c r="AL1684"/>
      <c r="AM1684"/>
      <c r="AN1684"/>
      <c r="AO1684"/>
      <c r="AP1684"/>
      <c r="AQ1684"/>
      <c r="AR1684"/>
    </row>
    <row r="1685" spans="3:44" ht="15" customHeight="1">
      <c r="C1685"/>
      <c r="D1685"/>
      <c r="E1685"/>
      <c r="F1685"/>
      <c r="G1685"/>
      <c r="H1685"/>
      <c r="I1685"/>
      <c r="J1685"/>
      <c r="K1685"/>
      <c r="L1685"/>
      <c r="M1685"/>
      <c r="N1685"/>
      <c r="O1685"/>
      <c r="P1685"/>
      <c r="Q1685"/>
      <c r="R1685"/>
      <c r="S1685"/>
      <c r="T1685"/>
      <c r="U1685"/>
      <c r="V1685"/>
      <c r="W1685"/>
      <c r="X1685"/>
      <c r="Y1685"/>
      <c r="Z1685"/>
      <c r="AA1685"/>
      <c r="AB1685"/>
      <c r="AC1685"/>
      <c r="AD1685"/>
      <c r="AE1685"/>
      <c r="AF1685"/>
      <c r="AG1685"/>
      <c r="AH1685"/>
      <c r="AI1685"/>
      <c r="AJ1685"/>
      <c r="AK1685"/>
      <c r="AL1685"/>
      <c r="AM1685"/>
      <c r="AN1685"/>
      <c r="AO1685"/>
      <c r="AP1685"/>
      <c r="AQ1685"/>
      <c r="AR1685"/>
    </row>
    <row r="1686" spans="3:44" ht="15" customHeight="1">
      <c r="C1686"/>
      <c r="D1686"/>
      <c r="E1686"/>
      <c r="F1686"/>
      <c r="G1686"/>
      <c r="H1686"/>
      <c r="I1686"/>
      <c r="J1686"/>
      <c r="K1686"/>
      <c r="L1686"/>
      <c r="M1686"/>
      <c r="N1686"/>
      <c r="O1686"/>
      <c r="P1686"/>
      <c r="Q1686"/>
      <c r="R1686"/>
      <c r="S1686"/>
      <c r="T1686"/>
      <c r="U1686"/>
      <c r="V1686"/>
      <c r="W1686"/>
      <c r="X1686"/>
      <c r="Y1686"/>
      <c r="Z1686"/>
      <c r="AA1686"/>
      <c r="AB1686"/>
      <c r="AC1686"/>
      <c r="AD1686"/>
      <c r="AE1686"/>
      <c r="AF1686"/>
      <c r="AG1686"/>
      <c r="AH1686"/>
      <c r="AI1686"/>
      <c r="AJ1686"/>
      <c r="AK1686"/>
      <c r="AL1686"/>
      <c r="AM1686"/>
      <c r="AN1686"/>
      <c r="AO1686"/>
      <c r="AP1686"/>
      <c r="AQ1686"/>
      <c r="AR1686"/>
    </row>
  </sheetData>
  <mergeCells count="12">
    <mergeCell ref="AH112:AI112"/>
    <mergeCell ref="AH110:AI110"/>
    <mergeCell ref="AB3:AC3"/>
    <mergeCell ref="Q3:R3"/>
    <mergeCell ref="S3:T3"/>
    <mergeCell ref="W3:Y3"/>
    <mergeCell ref="Z3:AA3"/>
    <mergeCell ref="F4:G4"/>
    <mergeCell ref="J3:P3"/>
    <mergeCell ref="AH108:AI108"/>
    <mergeCell ref="AH109:AI109"/>
    <mergeCell ref="AH111:AI111"/>
  </mergeCells>
  <conditionalFormatting sqref="AT5:AT105 AK5:AL105">
    <cfRule type="cellIs" dxfId="15" priority="47" operator="equal">
      <formula>0</formula>
    </cfRule>
  </conditionalFormatting>
  <conditionalFormatting sqref="AN5:AR105">
    <cfRule type="cellIs" dxfId="14" priority="46" operator="equal">
      <formula>0</formula>
    </cfRule>
  </conditionalFormatting>
  <conditionalFormatting sqref="AS5:AS105">
    <cfRule type="cellIs" dxfId="13" priority="41" operator="equal">
      <formula>0</formula>
    </cfRule>
  </conditionalFormatting>
  <conditionalFormatting sqref="AX108 AZ108:BC108">
    <cfRule type="cellIs" dxfId="12" priority="28" operator="equal">
      <formula>0</formula>
    </cfRule>
  </conditionalFormatting>
  <conditionalFormatting sqref="AV5:AV77 AV78:AW105">
    <cfRule type="cellIs" dxfId="11" priority="36" operator="equal">
      <formula>0</formula>
    </cfRule>
  </conditionalFormatting>
  <conditionalFormatting sqref="AX5:AX105 AZ5:BC105">
    <cfRule type="cellIs" dxfId="10" priority="35" operator="equal">
      <formula>0</formula>
    </cfRule>
  </conditionalFormatting>
  <conditionalFormatting sqref="AN108:AR108">
    <cfRule type="cellIs" dxfId="9" priority="24" operator="equal">
      <formula>0</formula>
    </cfRule>
  </conditionalFormatting>
  <conditionalFormatting sqref="AT108">
    <cfRule type="cellIs" dxfId="8" priority="25" operator="equal">
      <formula>0</formula>
    </cfRule>
  </conditionalFormatting>
  <conditionalFormatting sqref="AN109:AR109 AO111:AR111">
    <cfRule type="cellIs" dxfId="7" priority="23" operator="equal">
      <formula>0</formula>
    </cfRule>
  </conditionalFormatting>
  <conditionalFormatting sqref="AN110:AR110">
    <cfRule type="cellIs" dxfId="6" priority="22" operator="equal">
      <formula>0</formula>
    </cfRule>
  </conditionalFormatting>
  <conditionalFormatting sqref="AY108">
    <cfRule type="cellIs" dxfId="5" priority="19" operator="equal">
      <formula>0</formula>
    </cfRule>
  </conditionalFormatting>
  <conditionalFormatting sqref="AY5:AY105">
    <cfRule type="cellIs" dxfId="4" priority="20" operator="equal">
      <formula>0</formula>
    </cfRule>
  </conditionalFormatting>
  <conditionalFormatting sqref="AM5:AM105">
    <cfRule type="cellIs" dxfId="3" priority="17" operator="equal">
      <formula>0</formula>
    </cfRule>
  </conditionalFormatting>
  <conditionalFormatting sqref="AM108">
    <cfRule type="cellIs" dxfId="2" priority="16" operator="equal">
      <formula>0</formula>
    </cfRule>
  </conditionalFormatting>
  <conditionalFormatting sqref="AM107:AR10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07:BC107 AX107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0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0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 H4:I4 E4:F4">
    <cfRule type="cellIs" dxfId="1" priority="3" operator="equal">
      <formula>0</formula>
    </cfRule>
  </conditionalFormatting>
  <conditionalFormatting sqref="AU5:AU105">
    <cfRule type="cellIs" dxfId="0" priority="1" operator="equal">
      <formula>0</formula>
    </cfRule>
  </conditionalFormatting>
  <hyperlinks>
    <hyperlink ref="AJ5" r:id="rId1" xr:uid="{067D60E8-B406-4F85-8305-136AC10D3993}"/>
    <hyperlink ref="AJ6" r:id="rId2" xr:uid="{63AF6748-504D-4B6D-84D6-4D0CED16AD0F}"/>
    <hyperlink ref="AJ7" r:id="rId3" xr:uid="{4C89A9EB-CEA2-4F13-8D90-6A8831194B5C}"/>
    <hyperlink ref="AJ8" r:id="rId4" xr:uid="{07D4205D-7855-4B07-92C8-8B66EC150705}"/>
    <hyperlink ref="AJ10" r:id="rId5" xr:uid="{67E25D75-AACE-4212-9BA2-67B378288B67}"/>
    <hyperlink ref="AJ11" r:id="rId6" xr:uid="{87311429-C4C0-413E-8DD0-F572E76C4683}"/>
    <hyperlink ref="AJ12" r:id="rId7" location=":~:text=El%20nitrosulfato%20am%C3%B3nico%20(NSA)%20aporta,de%20gran%20solubilidad%20y%20dureza.&amp;text=As%C3%AD%20mismo%2C%20mejora%20la%20calidad%20de%20los%20productos%20agr%C3%ADcolas." xr:uid="{BE18C690-4876-4500-B483-60B93ED1198F}"/>
    <hyperlink ref="AJ13" r:id="rId8" xr:uid="{216D549E-EDDB-4F16-A7A4-ECCC828C6358}"/>
    <hyperlink ref="AJ14" r:id="rId9" xr:uid="{1CDA8CA9-6A30-4C8A-A6C4-1145458EF33F}"/>
    <hyperlink ref="AJ15" r:id="rId10" xr:uid="{67F434E9-B960-4821-B7F2-B8F21EC68EC4}"/>
    <hyperlink ref="AJ16" r:id="rId11" xr:uid="{A8A1749B-46FE-47CA-AFA8-5245FCF1673F}"/>
    <hyperlink ref="AJ17" r:id="rId12" xr:uid="{03DADE6C-6084-4956-883F-B3B7DC564057}"/>
    <hyperlink ref="AJ18" r:id="rId13" xr:uid="{960461DA-3F9C-4B85-8FE8-32326CE9752D}"/>
    <hyperlink ref="AJ19" r:id="rId14" xr:uid="{1FA5CE06-90F5-4BC4-A4E0-9C7DC285EEB2}"/>
    <hyperlink ref="AJ20" r:id="rId15" xr:uid="{6959E877-D884-4AF7-B3E0-D474618DAE0A}"/>
    <hyperlink ref="AJ21" r:id="rId16" xr:uid="{C3C4EE5C-DFB0-4669-8A53-C7E28B7258E8}"/>
    <hyperlink ref="AJ22" r:id="rId17" xr:uid="{C655634A-C1EE-4F04-BF54-8F110349068B}"/>
    <hyperlink ref="AJ23" r:id="rId18" xr:uid="{26A60931-A574-48E8-93B4-B8D51E21032A}"/>
    <hyperlink ref="AJ25" r:id="rId19" xr:uid="{103608E9-24B0-426F-BF5C-EEC7DF59D728}"/>
    <hyperlink ref="AJ26" r:id="rId20" xr:uid="{53BF2DF8-B69C-460D-9799-11EF26B1D1B8}"/>
    <hyperlink ref="AJ27" r:id="rId21" xr:uid="{0E6D6592-4757-4EBE-8F97-0931DB1E12EE}"/>
    <hyperlink ref="AJ28" r:id="rId22" xr:uid="{1ADA4C9E-7792-4D1B-B2D3-5F46FB1A6D64}"/>
    <hyperlink ref="AJ29" r:id="rId23" xr:uid="{9F426882-C61C-4A29-92A5-8BEB09494B12}"/>
    <hyperlink ref="AJ30" r:id="rId24" xr:uid="{5522691A-9E6B-4DEB-9F10-BB2FE50D9855}"/>
    <hyperlink ref="AJ31" r:id="rId25" xr:uid="{DDCC3A9A-942D-457A-AF25-44400782C027}"/>
    <hyperlink ref="AJ32" r:id="rId26" xr:uid="{1334C108-F5F7-4A07-B09D-4E7B215D8126}"/>
    <hyperlink ref="AJ33" r:id="rId27" xr:uid="{7AEF25ED-C070-405D-84DE-743554E146B7}"/>
    <hyperlink ref="AJ34" r:id="rId28" xr:uid="{12CFA776-E4D2-49FB-B191-CCE3F32309C7}"/>
    <hyperlink ref="AJ41" r:id="rId29" xr:uid="{2BA7D2A8-0014-46FB-BD6A-5044EA82627F}"/>
    <hyperlink ref="AJ46" r:id="rId30" xr:uid="{CB6BC3E9-8A8E-4BB4-9F4A-4E903B954D8C}"/>
    <hyperlink ref="AJ47" r:id="rId31" xr:uid="{328787A7-E51E-4A4F-808C-247BAA6E6C89}"/>
    <hyperlink ref="AJ48" r:id="rId32" xr:uid="{EA180628-035D-455B-8992-368448D9A907}"/>
    <hyperlink ref="AJ50" r:id="rId33" xr:uid="{3AD37B7C-347B-47B7-8888-0351B65F45A5}"/>
    <hyperlink ref="AJ64" r:id="rId34" xr:uid="{3871CC99-27AF-4C73-BC6F-537CD5274AF7}"/>
    <hyperlink ref="AJ65" r:id="rId35" xr:uid="{87C21ABC-4EDB-4D99-A705-13C32E0D1A4D}"/>
    <hyperlink ref="AJ66" r:id="rId36" xr:uid="{FF0FFC1D-A522-437E-924A-9AC462AD211B}"/>
    <hyperlink ref="AJ67" r:id="rId37" xr:uid="{49678EF6-DA0E-403D-A5D3-7E3148BEF0B6}"/>
    <hyperlink ref="AJ68" r:id="rId38" xr:uid="{232C007A-E44F-4DC2-9183-447DF4C7461F}"/>
    <hyperlink ref="AJ69" r:id="rId39" xr:uid="{AE7794F2-5CF5-4C26-B9A0-F3EC93BA0440}"/>
    <hyperlink ref="AJ70" r:id="rId40" xr:uid="{809DD12F-0DC4-4F83-81DE-EE56D8F99618}"/>
    <hyperlink ref="AJ71" r:id="rId41" xr:uid="{E5CDA42B-BD80-4053-80F9-5BA92922A07E}"/>
    <hyperlink ref="AJ74" r:id="rId42" xr:uid="{3E8E5548-C0E3-4CBF-BB9B-6AE31F171639}"/>
    <hyperlink ref="AJ76" r:id="rId43" xr:uid="{3890F11B-BFD3-4076-8D85-733B3622EEB1}"/>
    <hyperlink ref="AJ77" r:id="rId44" xr:uid="{CC279B7E-792B-4771-AE13-4595F2E28338}"/>
  </hyperlinks>
  <pageMargins left="0.7" right="0.7" top="0.75" bottom="0.75" header="0" footer="0"/>
  <pageSetup orientation="landscape" r:id="rId45"/>
  <legacyDrawing r:id="rId46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ErrorMessage="1" xr:uid="{E36D5860-5422-46C5-ACDA-CE9F4F1D0CCF}">
          <x14:formula1>
            <xm:f>'Data vol'!$B$28:$B$29</xm:f>
          </x14:formula1>
          <xm:sqref>AV5:AV105 AV107</xm:sqref>
        </x14:dataValidation>
        <x14:dataValidation type="list" allowBlank="1" showErrorMessage="1" xr:uid="{B0EF5BE9-4526-4586-993D-EFBB7E2E99EA}">
          <x14:formula1>
            <xm:f>Mineralization!$B$11:$B$12</xm:f>
          </x14:formula1>
          <xm:sqref>AW78:AW105 AW107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2">
    <tabColor rgb="FF777777"/>
  </sheetPr>
  <dimension ref="A1:J1010"/>
  <sheetViews>
    <sheetView workbookViewId="0">
      <selection activeCell="C34" sqref="C34"/>
    </sheetView>
  </sheetViews>
  <sheetFormatPr baseColWidth="10" defaultColWidth="12.625" defaultRowHeight="15" customHeight="1"/>
  <cols>
    <col min="1" max="1" width="12.625" style="289"/>
    <col min="2" max="2" width="23.625" customWidth="1"/>
    <col min="3" max="3" width="12" style="621" customWidth="1"/>
    <col min="4" max="4" width="21.5" customWidth="1"/>
    <col min="5" max="5" width="19.875" customWidth="1"/>
    <col min="6" max="20" width="10.625" customWidth="1"/>
  </cols>
  <sheetData>
    <row r="1" spans="2:10" s="289" customFormat="1" ht="15" customHeight="1">
      <c r="C1" s="621"/>
    </row>
    <row r="2" spans="2:10" s="289" customFormat="1" ht="15" customHeight="1">
      <c r="B2" s="744" t="s">
        <v>1794</v>
      </c>
      <c r="C2" s="745"/>
      <c r="D2" s="745"/>
      <c r="E2" s="746"/>
      <c r="I2" s="744" t="s">
        <v>1795</v>
      </c>
      <c r="J2" s="750"/>
    </row>
    <row r="3" spans="2:10" s="289" customFormat="1" ht="15" customHeight="1">
      <c r="B3" s="747"/>
      <c r="C3" s="748"/>
      <c r="D3" s="748"/>
      <c r="E3" s="749"/>
      <c r="I3" s="751"/>
      <c r="J3" s="752"/>
    </row>
    <row r="4" spans="2:10" s="289" customFormat="1" ht="15" customHeight="1">
      <c r="C4" s="621"/>
    </row>
    <row r="5" spans="2:10" s="289" customFormat="1" ht="15" customHeight="1">
      <c r="C5" s="621"/>
    </row>
    <row r="6" spans="2:10" s="289" customFormat="1" ht="15" customHeight="1">
      <c r="C6" s="621"/>
      <c r="I6" s="92" t="s">
        <v>1778</v>
      </c>
      <c r="J6" s="92" t="s">
        <v>1777</v>
      </c>
    </row>
    <row r="7" spans="2:10" s="289" customFormat="1" ht="15" customHeight="1">
      <c r="C7" s="621"/>
      <c r="I7" s="331">
        <f>SUM(E11:E26)</f>
        <v>-1.323</v>
      </c>
      <c r="J7" s="589">
        <f>EXP(I7)</f>
        <v>0.26633509696760388</v>
      </c>
    </row>
    <row r="8" spans="2:10" ht="14.25" customHeight="1">
      <c r="B8" s="601" t="s">
        <v>1796</v>
      </c>
      <c r="C8" s="622"/>
      <c r="D8" s="602"/>
    </row>
    <row r="9" spans="2:10" ht="14.25" customHeight="1">
      <c r="B9" s="555" t="s">
        <v>22</v>
      </c>
      <c r="C9" s="623"/>
      <c r="D9" s="592"/>
    </row>
    <row r="10" spans="2:10" ht="14.25" customHeight="1">
      <c r="B10" s="251" t="s">
        <v>1468</v>
      </c>
      <c r="C10" s="624"/>
      <c r="D10" s="251">
        <v>-4.4999999999999998E-2</v>
      </c>
      <c r="E10" s="2"/>
    </row>
    <row r="11" spans="2:10" ht="14.25" customHeight="1" thickBot="1">
      <c r="B11" s="251" t="s">
        <v>1469</v>
      </c>
      <c r="C11" s="624"/>
      <c r="D11" s="251">
        <v>0</v>
      </c>
      <c r="E11" s="590">
        <f>VLOOKUP(water_supply,B10:D11,3,FALSE)</f>
        <v>0</v>
      </c>
      <c r="G11" s="346"/>
    </row>
    <row r="12" spans="2:10" ht="14.25" customHeight="1" thickTop="1">
      <c r="B12" s="555" t="s">
        <v>40</v>
      </c>
      <c r="C12" s="623"/>
      <c r="D12" s="347"/>
      <c r="E12" s="2"/>
    </row>
    <row r="13" spans="2:10" s="289" customFormat="1" ht="14.25" customHeight="1">
      <c r="B13" s="251" t="s">
        <v>216</v>
      </c>
      <c r="C13" s="624">
        <v>0</v>
      </c>
      <c r="D13" s="251">
        <v>-1.0720000000000001</v>
      </c>
      <c r="E13" s="2"/>
    </row>
    <row r="14" spans="2:10" ht="14.25" customHeight="1">
      <c r="B14" s="251" t="s">
        <v>219</v>
      </c>
      <c r="C14" s="624">
        <v>5.5</v>
      </c>
      <c r="D14" s="251">
        <v>-0.93300000000000005</v>
      </c>
      <c r="E14" s="2"/>
    </row>
    <row r="15" spans="2:10" ht="14.25" customHeight="1" thickBot="1">
      <c r="B15" s="251" t="s">
        <v>222</v>
      </c>
      <c r="C15" s="624">
        <v>7.3</v>
      </c>
      <c r="D15" s="251">
        <v>-0.60799999999999998</v>
      </c>
      <c r="E15" s="590">
        <f>VLOOKUP(pH,C13:D16,2)</f>
        <v>-0.93300000000000005</v>
      </c>
      <c r="G15" s="289"/>
    </row>
    <row r="16" spans="2:10" ht="14.25" customHeight="1" thickTop="1">
      <c r="C16" s="624">
        <v>8.5</v>
      </c>
      <c r="D16" s="251">
        <v>0</v>
      </c>
    </row>
    <row r="17" spans="2:7" ht="14.25" customHeight="1">
      <c r="B17" s="555" t="s">
        <v>42</v>
      </c>
      <c r="C17" s="623"/>
      <c r="D17" s="347"/>
      <c r="E17" s="2"/>
    </row>
    <row r="18" spans="2:7" s="289" customFormat="1" ht="14.25" customHeight="1">
      <c r="B18" s="251" t="s">
        <v>217</v>
      </c>
      <c r="C18" s="624">
        <v>0</v>
      </c>
      <c r="D18" s="251">
        <v>8.7999999999999995E-2</v>
      </c>
      <c r="E18" s="2"/>
      <c r="G18"/>
    </row>
    <row r="19" spans="2:7" s="289" customFormat="1" ht="14.25" customHeight="1">
      <c r="B19" s="251" t="s">
        <v>220</v>
      </c>
      <c r="C19" s="624">
        <v>16</v>
      </c>
      <c r="D19" s="251">
        <v>1.2E-2</v>
      </c>
      <c r="E19" s="2"/>
      <c r="G19"/>
    </row>
    <row r="20" spans="2:7" ht="14.25" customHeight="1">
      <c r="B20" s="251" t="s">
        <v>223</v>
      </c>
      <c r="C20" s="624">
        <v>24</v>
      </c>
      <c r="D20" s="251">
        <v>0.16300000000000001</v>
      </c>
      <c r="E20" s="2"/>
    </row>
    <row r="21" spans="2:7" ht="14.25" customHeight="1" thickBot="1">
      <c r="B21" s="251" t="s">
        <v>226</v>
      </c>
      <c r="C21" s="624">
        <v>32</v>
      </c>
      <c r="D21" s="251">
        <v>0</v>
      </c>
      <c r="E21" s="590">
        <f>VLOOKUP(17,C18:D21,2)</f>
        <v>1.2E-2</v>
      </c>
    </row>
    <row r="22" spans="2:7" ht="14.25" customHeight="1" thickTop="1">
      <c r="B22" s="251"/>
      <c r="C22" s="624"/>
      <c r="D22" s="251"/>
      <c r="E22" s="289"/>
    </row>
    <row r="23" spans="2:7" ht="14.25" customHeight="1">
      <c r="B23" s="251"/>
      <c r="C23" s="624"/>
      <c r="D23" s="251"/>
    </row>
    <row r="24" spans="2:7" ht="14.25" customHeight="1">
      <c r="B24" s="603" t="s">
        <v>1321</v>
      </c>
      <c r="C24" s="623"/>
      <c r="D24" s="347"/>
      <c r="E24" s="289"/>
    </row>
    <row r="25" spans="2:7" ht="14.25" customHeight="1">
      <c r="B25" s="251" t="s">
        <v>1470</v>
      </c>
      <c r="C25" s="624"/>
      <c r="D25" s="251">
        <v>-0.40200000000000002</v>
      </c>
      <c r="E25" s="2"/>
    </row>
    <row r="26" spans="2:7" s="289" customFormat="1" ht="14.25" customHeight="1" thickBot="1">
      <c r="C26" s="621"/>
      <c r="E26" s="590">
        <v>-0.40200000000000002</v>
      </c>
    </row>
    <row r="27" spans="2:7" s="289" customFormat="1" ht="14.25" customHeight="1" thickTop="1">
      <c r="B27" s="591" t="s">
        <v>72</v>
      </c>
      <c r="C27" s="625"/>
      <c r="D27" s="347"/>
      <c r="E27"/>
    </row>
    <row r="28" spans="2:7" s="289" customFormat="1" ht="14.25" customHeight="1">
      <c r="B28" s="250" t="s">
        <v>1762</v>
      </c>
      <c r="C28" s="624"/>
      <c r="D28" s="251">
        <v>-1.895</v>
      </c>
      <c r="E28"/>
    </row>
    <row r="29" spans="2:7" ht="14.25" customHeight="1">
      <c r="B29" s="251" t="s">
        <v>1763</v>
      </c>
      <c r="C29" s="624"/>
      <c r="D29" s="251">
        <v>-1.3049999999999999</v>
      </c>
    </row>
    <row r="30" spans="2:7" ht="14.25" customHeight="1"/>
    <row r="31" spans="2:7" ht="14.25" customHeight="1"/>
    <row r="32" spans="2:7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spans="2:5" ht="14.25" customHeight="1"/>
    <row r="130" spans="2:5" ht="14.25" customHeight="1"/>
    <row r="131" spans="2:5" ht="14.25" customHeight="1"/>
    <row r="132" spans="2:5" ht="14.25" customHeight="1"/>
    <row r="133" spans="2:5" ht="14.25" customHeight="1"/>
    <row r="134" spans="2:5" ht="14.25" customHeight="1"/>
    <row r="135" spans="2:5" ht="14.25" customHeight="1">
      <c r="B135" s="2"/>
      <c r="C135" s="626"/>
      <c r="D135" s="2"/>
    </row>
    <row r="136" spans="2:5" ht="14.25" customHeight="1">
      <c r="B136" s="2"/>
      <c r="C136" s="626"/>
      <c r="D136" s="2"/>
      <c r="E136" s="2"/>
    </row>
    <row r="137" spans="2:5" ht="14.25" customHeight="1">
      <c r="B137" s="2"/>
      <c r="C137" s="626"/>
      <c r="D137" s="2"/>
      <c r="E137" s="2"/>
    </row>
    <row r="138" spans="2:5" ht="14.25" customHeight="1">
      <c r="B138" s="2"/>
      <c r="C138" s="626"/>
      <c r="D138" s="2"/>
      <c r="E138" s="2"/>
    </row>
    <row r="139" spans="2:5" ht="14.25" customHeight="1">
      <c r="B139" s="2"/>
      <c r="C139" s="626"/>
      <c r="D139" s="2"/>
      <c r="E139" s="2"/>
    </row>
    <row r="140" spans="2:5" ht="14.25" customHeight="1">
      <c r="B140" s="2"/>
      <c r="C140" s="626"/>
      <c r="D140" s="2"/>
      <c r="E140" s="2"/>
    </row>
    <row r="141" spans="2:5" ht="14.25" customHeight="1">
      <c r="B141" s="2"/>
      <c r="C141" s="626"/>
      <c r="D141" s="2"/>
      <c r="E141" s="2"/>
    </row>
    <row r="142" spans="2:5" ht="14.25" customHeight="1">
      <c r="B142" s="2"/>
      <c r="C142" s="626"/>
      <c r="D142" s="2"/>
      <c r="E142" s="2"/>
    </row>
    <row r="143" spans="2:5" ht="14.25" customHeight="1">
      <c r="B143" s="2"/>
      <c r="C143" s="626"/>
      <c r="D143" s="2"/>
      <c r="E143" s="2"/>
    </row>
    <row r="144" spans="2:5" ht="14.25" customHeight="1">
      <c r="B144" s="2"/>
      <c r="C144" s="626"/>
      <c r="D144" s="2"/>
      <c r="E144" s="2"/>
    </row>
    <row r="145" spans="2:5" ht="14.25" customHeight="1">
      <c r="B145" s="2"/>
      <c r="C145" s="626"/>
      <c r="D145" s="2"/>
      <c r="E145" s="2"/>
    </row>
    <row r="146" spans="2:5" ht="14.25" customHeight="1">
      <c r="B146" s="2"/>
      <c r="C146" s="626"/>
      <c r="D146" s="2"/>
      <c r="E146" s="2"/>
    </row>
    <row r="147" spans="2:5" ht="14.25" customHeight="1">
      <c r="B147" s="2"/>
      <c r="C147" s="626"/>
      <c r="D147" s="2"/>
      <c r="E147" s="2"/>
    </row>
    <row r="148" spans="2:5" ht="14.25" customHeight="1">
      <c r="B148" s="2"/>
      <c r="C148" s="626"/>
      <c r="D148" s="2"/>
      <c r="E148" s="2"/>
    </row>
    <row r="149" spans="2:5" ht="14.25" customHeight="1">
      <c r="B149" s="2"/>
      <c r="C149" s="626"/>
      <c r="D149" s="2"/>
      <c r="E149" s="2"/>
    </row>
    <row r="150" spans="2:5" ht="14.25" customHeight="1">
      <c r="B150" s="2"/>
      <c r="C150" s="626"/>
      <c r="D150" s="2"/>
      <c r="E150" s="2"/>
    </row>
    <row r="151" spans="2:5" ht="14.25" customHeight="1">
      <c r="B151" s="2"/>
      <c r="C151" s="626"/>
      <c r="D151" s="2"/>
      <c r="E151" s="2"/>
    </row>
    <row r="152" spans="2:5" ht="14.25" customHeight="1">
      <c r="B152" s="2"/>
      <c r="C152" s="626"/>
      <c r="D152" s="2"/>
      <c r="E152" s="2"/>
    </row>
    <row r="153" spans="2:5" ht="14.25" customHeight="1">
      <c r="B153" s="2"/>
      <c r="C153" s="626"/>
      <c r="D153" s="2"/>
      <c r="E153" s="2"/>
    </row>
    <row r="154" spans="2:5" ht="14.25" customHeight="1">
      <c r="B154" s="2"/>
      <c r="C154" s="626"/>
      <c r="D154" s="2"/>
      <c r="E154" s="2"/>
    </row>
    <row r="155" spans="2:5" ht="14.25" customHeight="1">
      <c r="B155" s="2"/>
      <c r="C155" s="626"/>
      <c r="D155" s="2"/>
      <c r="E155" s="2"/>
    </row>
    <row r="156" spans="2:5" ht="14.25" customHeight="1">
      <c r="B156" s="2"/>
      <c r="C156" s="626"/>
      <c r="D156" s="2"/>
      <c r="E156" s="2"/>
    </row>
    <row r="157" spans="2:5" ht="14.25" customHeight="1">
      <c r="B157" s="2"/>
      <c r="C157" s="626"/>
      <c r="D157" s="2"/>
      <c r="E157" s="2"/>
    </row>
    <row r="158" spans="2:5" ht="14.25" customHeight="1">
      <c r="B158" s="2"/>
      <c r="C158" s="626"/>
      <c r="D158" s="2"/>
      <c r="E158" s="2"/>
    </row>
    <row r="159" spans="2:5" ht="14.25" customHeight="1">
      <c r="B159" s="2"/>
      <c r="C159" s="626"/>
      <c r="D159" s="2"/>
      <c r="E159" s="2"/>
    </row>
    <row r="160" spans="2:5" ht="14.25" customHeight="1">
      <c r="B160" s="2"/>
      <c r="C160" s="626"/>
      <c r="D160" s="2"/>
      <c r="E160" s="2"/>
    </row>
    <row r="161" spans="2:5" ht="14.25" customHeight="1">
      <c r="B161" s="2"/>
      <c r="C161" s="626"/>
      <c r="D161" s="2"/>
      <c r="E161" s="2"/>
    </row>
    <row r="162" spans="2:5" ht="14.25" customHeight="1">
      <c r="B162" s="2"/>
      <c r="C162" s="626"/>
      <c r="D162" s="2"/>
      <c r="E162" s="2"/>
    </row>
    <row r="163" spans="2:5" ht="14.25" customHeight="1">
      <c r="B163" s="2"/>
      <c r="C163" s="626"/>
      <c r="D163" s="2"/>
      <c r="E163" s="2"/>
    </row>
    <row r="164" spans="2:5" ht="14.25" customHeight="1">
      <c r="B164" s="2"/>
      <c r="C164" s="626"/>
      <c r="D164" s="2"/>
      <c r="E164" s="2"/>
    </row>
    <row r="165" spans="2:5" ht="14.25" customHeight="1">
      <c r="B165" s="2"/>
      <c r="C165" s="626"/>
      <c r="D165" s="2"/>
      <c r="E165" s="2"/>
    </row>
    <row r="166" spans="2:5" ht="14.25" customHeight="1">
      <c r="B166" s="2"/>
      <c r="C166" s="626"/>
      <c r="D166" s="2"/>
      <c r="E166" s="2"/>
    </row>
    <row r="167" spans="2:5" ht="14.25" customHeight="1">
      <c r="B167" s="2"/>
      <c r="C167" s="626"/>
      <c r="D167" s="2"/>
      <c r="E167" s="2"/>
    </row>
    <row r="168" spans="2:5" ht="14.25" customHeight="1">
      <c r="B168" s="2"/>
      <c r="C168" s="626"/>
      <c r="D168" s="2"/>
      <c r="E168" s="2"/>
    </row>
    <row r="169" spans="2:5" ht="14.25" customHeight="1">
      <c r="B169" s="2"/>
      <c r="C169" s="626"/>
      <c r="D169" s="2"/>
      <c r="E169" s="2"/>
    </row>
    <row r="170" spans="2:5" ht="14.25" customHeight="1">
      <c r="B170" s="2"/>
      <c r="C170" s="626"/>
      <c r="D170" s="2"/>
      <c r="E170" s="2"/>
    </row>
    <row r="171" spans="2:5" ht="14.25" customHeight="1">
      <c r="B171" s="2"/>
      <c r="C171" s="626"/>
      <c r="D171" s="2"/>
      <c r="E171" s="2"/>
    </row>
    <row r="172" spans="2:5" ht="14.25" customHeight="1">
      <c r="B172" s="2"/>
      <c r="C172" s="626"/>
      <c r="D172" s="2"/>
      <c r="E172" s="2"/>
    </row>
    <row r="173" spans="2:5" ht="14.25" customHeight="1">
      <c r="B173" s="2"/>
      <c r="C173" s="626"/>
      <c r="D173" s="2"/>
      <c r="E173" s="2"/>
    </row>
    <row r="174" spans="2:5" ht="14.25" customHeight="1">
      <c r="B174" s="2"/>
      <c r="C174" s="626"/>
      <c r="D174" s="2"/>
      <c r="E174" s="2"/>
    </row>
    <row r="175" spans="2:5" ht="14.25" customHeight="1">
      <c r="B175" s="2"/>
      <c r="C175" s="626"/>
      <c r="D175" s="2"/>
      <c r="E175" s="2"/>
    </row>
    <row r="176" spans="2:5" ht="14.25" customHeight="1">
      <c r="B176" s="2"/>
      <c r="C176" s="626"/>
      <c r="D176" s="2"/>
      <c r="E176" s="2"/>
    </row>
    <row r="177" spans="2:5" ht="14.25" customHeight="1">
      <c r="B177" s="2"/>
      <c r="C177" s="626"/>
      <c r="D177" s="2"/>
      <c r="E177" s="2"/>
    </row>
    <row r="178" spans="2:5" ht="14.25" customHeight="1">
      <c r="B178" s="2"/>
      <c r="C178" s="626"/>
      <c r="D178" s="2"/>
      <c r="E178" s="2"/>
    </row>
    <row r="179" spans="2:5" ht="14.25" customHeight="1">
      <c r="B179" s="2"/>
      <c r="C179" s="626"/>
      <c r="D179" s="2"/>
      <c r="E179" s="2"/>
    </row>
    <row r="180" spans="2:5" ht="14.25" customHeight="1">
      <c r="B180" s="2"/>
      <c r="C180" s="626"/>
      <c r="D180" s="2"/>
      <c r="E180" s="2"/>
    </row>
    <row r="181" spans="2:5" ht="14.25" customHeight="1">
      <c r="B181" s="2"/>
      <c r="C181" s="626"/>
      <c r="D181" s="2"/>
      <c r="E181" s="2"/>
    </row>
    <row r="182" spans="2:5" ht="14.25" customHeight="1">
      <c r="B182" s="2"/>
      <c r="C182" s="626"/>
      <c r="D182" s="2"/>
      <c r="E182" s="2"/>
    </row>
    <row r="183" spans="2:5" ht="14.25" customHeight="1">
      <c r="B183" s="2"/>
      <c r="C183" s="626"/>
      <c r="D183" s="2"/>
      <c r="E183" s="2"/>
    </row>
    <row r="184" spans="2:5" ht="14.25" customHeight="1">
      <c r="B184" s="2"/>
      <c r="C184" s="626"/>
      <c r="D184" s="2"/>
      <c r="E184" s="2"/>
    </row>
    <row r="185" spans="2:5" ht="14.25" customHeight="1">
      <c r="B185" s="2"/>
      <c r="C185" s="626"/>
      <c r="D185" s="2"/>
      <c r="E185" s="2"/>
    </row>
    <row r="186" spans="2:5" ht="14.25" customHeight="1">
      <c r="B186" s="2"/>
      <c r="C186" s="626"/>
      <c r="D186" s="2"/>
      <c r="E186" s="2"/>
    </row>
    <row r="187" spans="2:5" ht="14.25" customHeight="1">
      <c r="B187" s="2"/>
      <c r="C187" s="626"/>
      <c r="D187" s="2"/>
      <c r="E187" s="2"/>
    </row>
    <row r="188" spans="2:5" ht="14.25" customHeight="1">
      <c r="B188" s="2"/>
      <c r="C188" s="626"/>
      <c r="D188" s="2"/>
      <c r="E188" s="2"/>
    </row>
    <row r="189" spans="2:5" ht="14.25" customHeight="1">
      <c r="B189" s="2"/>
      <c r="C189" s="626"/>
      <c r="D189" s="2"/>
      <c r="E189" s="2"/>
    </row>
    <row r="190" spans="2:5" ht="14.25" customHeight="1">
      <c r="B190" s="2"/>
      <c r="C190" s="626"/>
      <c r="D190" s="2"/>
      <c r="E190" s="2"/>
    </row>
    <row r="191" spans="2:5" ht="14.25" customHeight="1">
      <c r="B191" s="2"/>
      <c r="C191" s="626"/>
      <c r="D191" s="2"/>
      <c r="E191" s="2"/>
    </row>
    <row r="192" spans="2:5" ht="14.25" customHeight="1">
      <c r="B192" s="2"/>
      <c r="C192" s="626"/>
      <c r="D192" s="2"/>
      <c r="E192" s="2"/>
    </row>
    <row r="193" spans="2:5" ht="14.25" customHeight="1">
      <c r="B193" s="2"/>
      <c r="C193" s="626"/>
      <c r="D193" s="2"/>
      <c r="E193" s="2"/>
    </row>
    <row r="194" spans="2:5" ht="14.25" customHeight="1">
      <c r="B194" s="2"/>
      <c r="C194" s="626"/>
      <c r="D194" s="2"/>
      <c r="E194" s="2"/>
    </row>
    <row r="195" spans="2:5" ht="14.25" customHeight="1">
      <c r="B195" s="2"/>
      <c r="C195" s="626"/>
      <c r="D195" s="2"/>
      <c r="E195" s="2"/>
    </row>
    <row r="196" spans="2:5" ht="14.25" customHeight="1">
      <c r="B196" s="2"/>
      <c r="C196" s="626"/>
      <c r="D196" s="2"/>
      <c r="E196" s="2"/>
    </row>
    <row r="197" spans="2:5" ht="14.25" customHeight="1">
      <c r="B197" s="2"/>
      <c r="C197" s="626"/>
      <c r="D197" s="2"/>
      <c r="E197" s="2"/>
    </row>
    <row r="198" spans="2:5" ht="14.25" customHeight="1">
      <c r="B198" s="2"/>
      <c r="C198" s="626"/>
      <c r="D198" s="2"/>
      <c r="E198" s="2"/>
    </row>
    <row r="199" spans="2:5" ht="14.25" customHeight="1">
      <c r="B199" s="2"/>
      <c r="C199" s="626"/>
      <c r="D199" s="2"/>
      <c r="E199" s="2"/>
    </row>
    <row r="200" spans="2:5" ht="14.25" customHeight="1">
      <c r="B200" s="2"/>
      <c r="C200" s="626"/>
      <c r="D200" s="2"/>
      <c r="E200" s="2"/>
    </row>
    <row r="201" spans="2:5" ht="14.25" customHeight="1">
      <c r="B201" s="2"/>
      <c r="C201" s="626"/>
      <c r="D201" s="2"/>
      <c r="E201" s="2"/>
    </row>
    <row r="202" spans="2:5" ht="14.25" customHeight="1">
      <c r="B202" s="2"/>
      <c r="C202" s="626"/>
      <c r="D202" s="2"/>
      <c r="E202" s="2"/>
    </row>
    <row r="203" spans="2:5" ht="14.25" customHeight="1">
      <c r="B203" s="2"/>
      <c r="C203" s="626"/>
      <c r="D203" s="2"/>
      <c r="E203" s="2"/>
    </row>
    <row r="204" spans="2:5" ht="14.25" customHeight="1">
      <c r="B204" s="2"/>
      <c r="C204" s="626"/>
      <c r="D204" s="2"/>
      <c r="E204" s="2"/>
    </row>
    <row r="205" spans="2:5" ht="14.25" customHeight="1">
      <c r="B205" s="2"/>
      <c r="C205" s="626"/>
      <c r="D205" s="2"/>
      <c r="E205" s="2"/>
    </row>
    <row r="206" spans="2:5" ht="14.25" customHeight="1">
      <c r="B206" s="2"/>
      <c r="C206" s="626"/>
      <c r="D206" s="2"/>
      <c r="E206" s="2"/>
    </row>
    <row r="207" spans="2:5" ht="14.25" customHeight="1">
      <c r="B207" s="2"/>
      <c r="C207" s="626"/>
      <c r="D207" s="2"/>
      <c r="E207" s="2"/>
    </row>
    <row r="208" spans="2:5" ht="14.25" customHeight="1">
      <c r="B208" s="2"/>
      <c r="C208" s="626"/>
      <c r="D208" s="2"/>
      <c r="E208" s="2"/>
    </row>
    <row r="209" spans="2:5" ht="14.25" customHeight="1">
      <c r="B209" s="2"/>
      <c r="C209" s="626"/>
      <c r="D209" s="2"/>
      <c r="E209" s="2"/>
    </row>
    <row r="210" spans="2:5" ht="14.25" customHeight="1">
      <c r="B210" s="2"/>
      <c r="C210" s="626"/>
      <c r="D210" s="2"/>
      <c r="E210" s="2"/>
    </row>
    <row r="211" spans="2:5" ht="14.25" customHeight="1">
      <c r="B211" s="2"/>
      <c r="C211" s="626"/>
      <c r="D211" s="2"/>
      <c r="E211" s="2"/>
    </row>
    <row r="212" spans="2:5" ht="14.25" customHeight="1">
      <c r="B212" s="2"/>
      <c r="C212" s="626"/>
      <c r="D212" s="2"/>
      <c r="E212" s="2"/>
    </row>
    <row r="213" spans="2:5" ht="14.25" customHeight="1">
      <c r="B213" s="2"/>
      <c r="C213" s="626"/>
      <c r="D213" s="2"/>
      <c r="E213" s="2"/>
    </row>
    <row r="214" spans="2:5" ht="14.25" customHeight="1">
      <c r="B214" s="2"/>
      <c r="C214" s="626"/>
      <c r="D214" s="2"/>
      <c r="E214" s="2"/>
    </row>
    <row r="215" spans="2:5" ht="14.25" customHeight="1">
      <c r="B215" s="2"/>
      <c r="C215" s="626"/>
      <c r="D215" s="2"/>
      <c r="E215" s="2"/>
    </row>
    <row r="216" spans="2:5" ht="14.25" customHeight="1">
      <c r="B216" s="2"/>
      <c r="C216" s="626"/>
      <c r="D216" s="2"/>
      <c r="E216" s="2"/>
    </row>
    <row r="217" spans="2:5" ht="14.25" customHeight="1">
      <c r="B217" s="2"/>
      <c r="C217" s="626"/>
      <c r="D217" s="2"/>
      <c r="E217" s="2"/>
    </row>
    <row r="218" spans="2:5" ht="14.25" customHeight="1">
      <c r="B218" s="2"/>
      <c r="C218" s="626"/>
      <c r="D218" s="2"/>
      <c r="E218" s="2"/>
    </row>
    <row r="219" spans="2:5" ht="14.25" customHeight="1">
      <c r="B219" s="2"/>
      <c r="C219" s="626"/>
      <c r="D219" s="2"/>
      <c r="E219" s="2"/>
    </row>
    <row r="220" spans="2:5" ht="14.25" customHeight="1">
      <c r="B220" s="2"/>
      <c r="C220" s="626"/>
      <c r="D220" s="2"/>
      <c r="E220" s="2"/>
    </row>
    <row r="221" spans="2:5" ht="14.25" customHeight="1">
      <c r="B221" s="2"/>
      <c r="C221" s="626"/>
      <c r="D221" s="2"/>
      <c r="E221" s="2"/>
    </row>
    <row r="222" spans="2:5" ht="14.25" customHeight="1">
      <c r="B222" s="2"/>
      <c r="C222" s="626"/>
      <c r="D222" s="2"/>
      <c r="E222" s="2"/>
    </row>
    <row r="223" spans="2:5" ht="14.25" customHeight="1">
      <c r="B223" s="2"/>
      <c r="C223" s="626"/>
      <c r="D223" s="2"/>
      <c r="E223" s="2"/>
    </row>
    <row r="224" spans="2:5" ht="14.25" customHeight="1">
      <c r="B224" s="2"/>
      <c r="C224" s="626"/>
      <c r="D224" s="2"/>
      <c r="E224" s="2"/>
    </row>
    <row r="225" spans="2:5" ht="14.25" customHeight="1">
      <c r="B225" s="2"/>
      <c r="C225" s="626"/>
      <c r="D225" s="2"/>
      <c r="E225" s="2"/>
    </row>
    <row r="226" spans="2:5" ht="14.25" customHeight="1">
      <c r="B226" s="2"/>
      <c r="C226" s="626"/>
      <c r="D226" s="2"/>
      <c r="E226" s="2"/>
    </row>
    <row r="227" spans="2:5" ht="14.25" customHeight="1">
      <c r="B227" s="2"/>
      <c r="C227" s="626"/>
      <c r="D227" s="2"/>
      <c r="E227" s="2"/>
    </row>
    <row r="228" spans="2:5" ht="14.25" customHeight="1">
      <c r="B228" s="2"/>
      <c r="C228" s="626"/>
      <c r="D228" s="2"/>
      <c r="E228" s="2"/>
    </row>
    <row r="229" spans="2:5" ht="14.25" customHeight="1">
      <c r="B229" s="2"/>
      <c r="C229" s="626"/>
      <c r="D229" s="2"/>
      <c r="E229" s="2"/>
    </row>
    <row r="230" spans="2:5" ht="14.25" customHeight="1">
      <c r="B230" s="2"/>
      <c r="C230" s="626"/>
      <c r="D230" s="2"/>
      <c r="E230" s="2"/>
    </row>
    <row r="231" spans="2:5" ht="14.25" customHeight="1">
      <c r="B231" s="2"/>
      <c r="C231" s="626"/>
      <c r="D231" s="2"/>
      <c r="E231" s="2"/>
    </row>
    <row r="232" spans="2:5" ht="14.25" customHeight="1">
      <c r="B232" s="2"/>
      <c r="C232" s="626"/>
      <c r="D232" s="2"/>
      <c r="E232" s="2"/>
    </row>
    <row r="233" spans="2:5" ht="14.25" customHeight="1">
      <c r="B233" s="2"/>
      <c r="C233" s="626"/>
      <c r="D233" s="2"/>
      <c r="E233" s="2"/>
    </row>
    <row r="234" spans="2:5" ht="14.25" customHeight="1">
      <c r="B234" s="2"/>
      <c r="C234" s="626"/>
      <c r="D234" s="2"/>
      <c r="E234" s="2"/>
    </row>
    <row r="235" spans="2:5" ht="14.25" customHeight="1">
      <c r="B235" s="2"/>
      <c r="C235" s="626"/>
      <c r="D235" s="2"/>
      <c r="E235" s="2"/>
    </row>
    <row r="236" spans="2:5" ht="14.25" customHeight="1">
      <c r="B236" s="2"/>
      <c r="C236" s="626"/>
      <c r="D236" s="2"/>
      <c r="E236" s="2"/>
    </row>
    <row r="237" spans="2:5" ht="14.25" customHeight="1">
      <c r="B237" s="2"/>
      <c r="C237" s="626"/>
      <c r="D237" s="2"/>
      <c r="E237" s="2"/>
    </row>
    <row r="238" spans="2:5" ht="14.25" customHeight="1">
      <c r="B238" s="2"/>
      <c r="C238" s="626"/>
      <c r="D238" s="2"/>
      <c r="E238" s="2"/>
    </row>
    <row r="239" spans="2:5" ht="14.25" customHeight="1">
      <c r="B239" s="2"/>
      <c r="C239" s="626"/>
      <c r="D239" s="2"/>
      <c r="E239" s="2"/>
    </row>
    <row r="240" spans="2:5" ht="14.25" customHeight="1">
      <c r="B240" s="2"/>
      <c r="C240" s="626"/>
      <c r="D240" s="2"/>
      <c r="E240" s="2"/>
    </row>
    <row r="241" spans="2:5" ht="14.25" customHeight="1">
      <c r="B241" s="2"/>
      <c r="C241" s="626"/>
      <c r="D241" s="2"/>
      <c r="E241" s="2"/>
    </row>
    <row r="242" spans="2:5" ht="14.25" customHeight="1">
      <c r="B242" s="2"/>
      <c r="C242" s="626"/>
      <c r="D242" s="2"/>
      <c r="E242" s="2"/>
    </row>
    <row r="243" spans="2:5" ht="14.25" customHeight="1">
      <c r="B243" s="2"/>
      <c r="C243" s="626"/>
      <c r="D243" s="2"/>
      <c r="E243" s="2"/>
    </row>
    <row r="244" spans="2:5" ht="14.25" customHeight="1">
      <c r="B244" s="2"/>
      <c r="C244" s="626"/>
      <c r="D244" s="2"/>
      <c r="E244" s="2"/>
    </row>
    <row r="245" spans="2:5" ht="14.25" customHeight="1">
      <c r="B245" s="2"/>
      <c r="C245" s="626"/>
      <c r="D245" s="2"/>
      <c r="E245" s="2"/>
    </row>
    <row r="246" spans="2:5" ht="14.25" customHeight="1">
      <c r="B246" s="2"/>
      <c r="C246" s="626"/>
      <c r="D246" s="2"/>
      <c r="E246" s="2"/>
    </row>
    <row r="247" spans="2:5" ht="14.25" customHeight="1">
      <c r="B247" s="2"/>
      <c r="C247" s="626"/>
      <c r="D247" s="2"/>
      <c r="E247" s="2"/>
    </row>
    <row r="248" spans="2:5" ht="14.25" customHeight="1">
      <c r="B248" s="2"/>
      <c r="C248" s="626"/>
      <c r="D248" s="2"/>
      <c r="E248" s="2"/>
    </row>
    <row r="249" spans="2:5" ht="14.25" customHeight="1">
      <c r="B249" s="2"/>
      <c r="C249" s="626"/>
      <c r="D249" s="2"/>
      <c r="E249" s="2"/>
    </row>
    <row r="250" spans="2:5" ht="14.25" customHeight="1">
      <c r="B250" s="2"/>
      <c r="C250" s="626"/>
      <c r="D250" s="2"/>
      <c r="E250" s="2"/>
    </row>
    <row r="251" spans="2:5" ht="14.25" customHeight="1">
      <c r="B251" s="2"/>
      <c r="C251" s="626"/>
      <c r="D251" s="2"/>
      <c r="E251" s="2"/>
    </row>
    <row r="252" spans="2:5" ht="14.25" customHeight="1">
      <c r="B252" s="2"/>
      <c r="C252" s="626"/>
      <c r="D252" s="2"/>
      <c r="E252" s="2"/>
    </row>
    <row r="253" spans="2:5" ht="14.25" customHeight="1">
      <c r="B253" s="2"/>
      <c r="C253" s="626"/>
      <c r="D253" s="2"/>
      <c r="E253" s="2"/>
    </row>
    <row r="254" spans="2:5" ht="14.25" customHeight="1">
      <c r="B254" s="2"/>
      <c r="C254" s="626"/>
      <c r="D254" s="2"/>
      <c r="E254" s="2"/>
    </row>
    <row r="255" spans="2:5" ht="14.25" customHeight="1">
      <c r="B255" s="2"/>
      <c r="C255" s="626"/>
      <c r="D255" s="2"/>
      <c r="E255" s="2"/>
    </row>
    <row r="256" spans="2:5" ht="14.25" customHeight="1">
      <c r="B256" s="2"/>
      <c r="C256" s="626"/>
      <c r="D256" s="2"/>
      <c r="E256" s="2"/>
    </row>
    <row r="257" spans="2:5" ht="14.25" customHeight="1">
      <c r="B257" s="2"/>
      <c r="C257" s="626"/>
      <c r="D257" s="2"/>
      <c r="E257" s="2"/>
    </row>
    <row r="258" spans="2:5" ht="14.25" customHeight="1">
      <c r="B258" s="2"/>
      <c r="C258" s="626"/>
      <c r="D258" s="2"/>
      <c r="E258" s="2"/>
    </row>
    <row r="259" spans="2:5" ht="14.25" customHeight="1">
      <c r="B259" s="2"/>
      <c r="C259" s="626"/>
      <c r="D259" s="2"/>
      <c r="E259" s="2"/>
    </row>
    <row r="260" spans="2:5" ht="14.25" customHeight="1">
      <c r="B260" s="2"/>
      <c r="C260" s="626"/>
      <c r="D260" s="2"/>
      <c r="E260" s="2"/>
    </row>
    <row r="261" spans="2:5" ht="14.25" customHeight="1">
      <c r="B261" s="2"/>
      <c r="C261" s="626"/>
      <c r="D261" s="2"/>
      <c r="E261" s="2"/>
    </row>
    <row r="262" spans="2:5" ht="14.25" customHeight="1">
      <c r="B262" s="2"/>
      <c r="C262" s="626"/>
      <c r="D262" s="2"/>
      <c r="E262" s="2"/>
    </row>
    <row r="263" spans="2:5" ht="14.25" customHeight="1">
      <c r="B263" s="2"/>
      <c r="C263" s="626"/>
      <c r="D263" s="2"/>
      <c r="E263" s="2"/>
    </row>
    <row r="264" spans="2:5" ht="14.25" customHeight="1">
      <c r="B264" s="2"/>
      <c r="C264" s="626"/>
      <c r="D264" s="2"/>
      <c r="E264" s="2"/>
    </row>
    <row r="265" spans="2:5" ht="14.25" customHeight="1">
      <c r="B265" s="2"/>
      <c r="C265" s="626"/>
      <c r="D265" s="2"/>
      <c r="E265" s="2"/>
    </row>
    <row r="266" spans="2:5" ht="14.25" customHeight="1">
      <c r="B266" s="2"/>
      <c r="C266" s="626"/>
      <c r="D266" s="2"/>
      <c r="E266" s="2"/>
    </row>
    <row r="267" spans="2:5" ht="14.25" customHeight="1">
      <c r="B267" s="2"/>
      <c r="C267" s="626"/>
      <c r="D267" s="2"/>
      <c r="E267" s="2"/>
    </row>
    <row r="268" spans="2:5" ht="14.25" customHeight="1">
      <c r="B268" s="2"/>
      <c r="C268" s="626"/>
      <c r="D268" s="2"/>
      <c r="E268" s="2"/>
    </row>
    <row r="269" spans="2:5" ht="14.25" customHeight="1">
      <c r="B269" s="2"/>
      <c r="C269" s="626"/>
      <c r="D269" s="2"/>
      <c r="E269" s="2"/>
    </row>
    <row r="270" spans="2:5" ht="14.25" customHeight="1">
      <c r="B270" s="2"/>
      <c r="C270" s="626"/>
      <c r="D270" s="2"/>
      <c r="E270" s="2"/>
    </row>
    <row r="271" spans="2:5" ht="14.25" customHeight="1">
      <c r="B271" s="2"/>
      <c r="C271" s="626"/>
      <c r="D271" s="2"/>
      <c r="E271" s="2"/>
    </row>
    <row r="272" spans="2:5" ht="14.25" customHeight="1">
      <c r="B272" s="2"/>
      <c r="C272" s="626"/>
      <c r="D272" s="2"/>
      <c r="E272" s="2"/>
    </row>
    <row r="273" spans="2:5" ht="14.25" customHeight="1">
      <c r="B273" s="2"/>
      <c r="C273" s="626"/>
      <c r="D273" s="2"/>
      <c r="E273" s="2"/>
    </row>
    <row r="274" spans="2:5" ht="14.25" customHeight="1">
      <c r="B274" s="2"/>
      <c r="C274" s="626"/>
      <c r="D274" s="2"/>
      <c r="E274" s="2"/>
    </row>
    <row r="275" spans="2:5" ht="14.25" customHeight="1">
      <c r="B275" s="2"/>
      <c r="C275" s="626"/>
      <c r="D275" s="2"/>
      <c r="E275" s="2"/>
    </row>
    <row r="276" spans="2:5" ht="14.25" customHeight="1">
      <c r="B276" s="2"/>
      <c r="C276" s="626"/>
      <c r="D276" s="2"/>
      <c r="E276" s="2"/>
    </row>
    <row r="277" spans="2:5" ht="14.25" customHeight="1">
      <c r="B277" s="2"/>
      <c r="C277" s="626"/>
      <c r="D277" s="2"/>
      <c r="E277" s="2"/>
    </row>
    <row r="278" spans="2:5" ht="14.25" customHeight="1">
      <c r="B278" s="2"/>
      <c r="C278" s="626"/>
      <c r="D278" s="2"/>
      <c r="E278" s="2"/>
    </row>
    <row r="279" spans="2:5" ht="14.25" customHeight="1">
      <c r="B279" s="2"/>
      <c r="C279" s="626"/>
      <c r="D279" s="2"/>
      <c r="E279" s="2"/>
    </row>
    <row r="280" spans="2:5" ht="14.25" customHeight="1">
      <c r="B280" s="2"/>
      <c r="C280" s="626"/>
      <c r="D280" s="2"/>
      <c r="E280" s="2"/>
    </row>
    <row r="281" spans="2:5" ht="14.25" customHeight="1">
      <c r="B281" s="2"/>
      <c r="C281" s="626"/>
      <c r="D281" s="2"/>
      <c r="E281" s="2"/>
    </row>
    <row r="282" spans="2:5" ht="14.25" customHeight="1">
      <c r="B282" s="2"/>
      <c r="C282" s="626"/>
      <c r="D282" s="2"/>
      <c r="E282" s="2"/>
    </row>
    <row r="283" spans="2:5" ht="14.25" customHeight="1">
      <c r="B283" s="2"/>
      <c r="C283" s="626"/>
      <c r="D283" s="2"/>
      <c r="E283" s="2"/>
    </row>
    <row r="284" spans="2:5" ht="14.25" customHeight="1">
      <c r="B284" s="2"/>
      <c r="C284" s="626"/>
      <c r="D284" s="2"/>
      <c r="E284" s="2"/>
    </row>
    <row r="285" spans="2:5" ht="14.25" customHeight="1">
      <c r="B285" s="2"/>
      <c r="C285" s="626"/>
      <c r="D285" s="2"/>
      <c r="E285" s="2"/>
    </row>
    <row r="286" spans="2:5" ht="14.25" customHeight="1">
      <c r="B286" s="2"/>
      <c r="C286" s="626"/>
      <c r="D286" s="2"/>
      <c r="E286" s="2"/>
    </row>
    <row r="287" spans="2:5" ht="14.25" customHeight="1">
      <c r="B287" s="2"/>
      <c r="C287" s="626"/>
      <c r="D287" s="2"/>
      <c r="E287" s="2"/>
    </row>
    <row r="288" spans="2:5" ht="14.25" customHeight="1">
      <c r="B288" s="2"/>
      <c r="C288" s="626"/>
      <c r="D288" s="2"/>
      <c r="E288" s="2"/>
    </row>
    <row r="289" spans="2:5" ht="14.25" customHeight="1">
      <c r="B289" s="2"/>
      <c r="C289" s="626"/>
      <c r="D289" s="2"/>
      <c r="E289" s="2"/>
    </row>
    <row r="290" spans="2:5" ht="14.25" customHeight="1">
      <c r="B290" s="2"/>
      <c r="C290" s="626"/>
      <c r="D290" s="2"/>
      <c r="E290" s="2"/>
    </row>
    <row r="291" spans="2:5" ht="14.25" customHeight="1">
      <c r="B291" s="2"/>
      <c r="C291" s="626"/>
      <c r="D291" s="2"/>
      <c r="E291" s="2"/>
    </row>
    <row r="292" spans="2:5" ht="14.25" customHeight="1">
      <c r="B292" s="2"/>
      <c r="C292" s="626"/>
      <c r="D292" s="2"/>
      <c r="E292" s="2"/>
    </row>
    <row r="293" spans="2:5" ht="14.25" customHeight="1">
      <c r="B293" s="2"/>
      <c r="C293" s="626"/>
      <c r="D293" s="2"/>
      <c r="E293" s="2"/>
    </row>
    <row r="294" spans="2:5" ht="14.25" customHeight="1">
      <c r="B294" s="2"/>
      <c r="C294" s="626"/>
      <c r="D294" s="2"/>
      <c r="E294" s="2"/>
    </row>
    <row r="295" spans="2:5" ht="14.25" customHeight="1">
      <c r="B295" s="2"/>
      <c r="C295" s="626"/>
      <c r="D295" s="2"/>
      <c r="E295" s="2"/>
    </row>
    <row r="296" spans="2:5" ht="14.25" customHeight="1">
      <c r="B296" s="2"/>
      <c r="C296" s="626"/>
      <c r="D296" s="2"/>
      <c r="E296" s="2"/>
    </row>
    <row r="297" spans="2:5" ht="14.25" customHeight="1">
      <c r="B297" s="2"/>
      <c r="C297" s="626"/>
      <c r="D297" s="2"/>
      <c r="E297" s="2"/>
    </row>
    <row r="298" spans="2:5" ht="14.25" customHeight="1">
      <c r="B298" s="2"/>
      <c r="C298" s="626"/>
      <c r="D298" s="2"/>
      <c r="E298" s="2"/>
    </row>
    <row r="299" spans="2:5" ht="14.25" customHeight="1">
      <c r="B299" s="2"/>
      <c r="C299" s="626"/>
      <c r="D299" s="2"/>
      <c r="E299" s="2"/>
    </row>
    <row r="300" spans="2:5" ht="14.25" customHeight="1">
      <c r="B300" s="2"/>
      <c r="C300" s="626"/>
      <c r="D300" s="2"/>
      <c r="E300" s="2"/>
    </row>
    <row r="301" spans="2:5" ht="14.25" customHeight="1">
      <c r="B301" s="2"/>
      <c r="C301" s="626"/>
      <c r="D301" s="2"/>
      <c r="E301" s="2"/>
    </row>
    <row r="302" spans="2:5" ht="14.25" customHeight="1">
      <c r="B302" s="2"/>
      <c r="C302" s="626"/>
      <c r="D302" s="2"/>
      <c r="E302" s="2"/>
    </row>
    <row r="303" spans="2:5" ht="14.25" customHeight="1">
      <c r="B303" s="2"/>
      <c r="C303" s="626"/>
      <c r="D303" s="2"/>
      <c r="E303" s="2"/>
    </row>
    <row r="304" spans="2:5" ht="14.25" customHeight="1">
      <c r="B304" s="2"/>
      <c r="C304" s="626"/>
      <c r="D304" s="2"/>
      <c r="E304" s="2"/>
    </row>
    <row r="305" spans="2:5" ht="14.25" customHeight="1">
      <c r="B305" s="2"/>
      <c r="C305" s="626"/>
      <c r="D305" s="2"/>
      <c r="E305" s="2"/>
    </row>
    <row r="306" spans="2:5" ht="14.25" customHeight="1">
      <c r="B306" s="2"/>
      <c r="C306" s="626"/>
      <c r="D306" s="2"/>
      <c r="E306" s="2"/>
    </row>
    <row r="307" spans="2:5" ht="14.25" customHeight="1">
      <c r="B307" s="2"/>
      <c r="C307" s="626"/>
      <c r="D307" s="2"/>
      <c r="E307" s="2"/>
    </row>
    <row r="308" spans="2:5" ht="14.25" customHeight="1">
      <c r="B308" s="2"/>
      <c r="C308" s="626"/>
      <c r="D308" s="2"/>
      <c r="E308" s="2"/>
    </row>
    <row r="309" spans="2:5" ht="14.25" customHeight="1">
      <c r="B309" s="2"/>
      <c r="C309" s="626"/>
      <c r="D309" s="2"/>
      <c r="E309" s="2"/>
    </row>
    <row r="310" spans="2:5" ht="14.25" customHeight="1">
      <c r="B310" s="2"/>
      <c r="C310" s="626"/>
      <c r="D310" s="2"/>
      <c r="E310" s="2"/>
    </row>
    <row r="311" spans="2:5" ht="14.25" customHeight="1">
      <c r="B311" s="2"/>
      <c r="C311" s="626"/>
      <c r="D311" s="2"/>
      <c r="E311" s="2"/>
    </row>
    <row r="312" spans="2:5" ht="14.25" customHeight="1">
      <c r="B312" s="2"/>
      <c r="C312" s="626"/>
      <c r="D312" s="2"/>
      <c r="E312" s="2"/>
    </row>
    <row r="313" spans="2:5" ht="14.25" customHeight="1">
      <c r="B313" s="2"/>
      <c r="C313" s="626"/>
      <c r="D313" s="2"/>
      <c r="E313" s="2"/>
    </row>
    <row r="314" spans="2:5" ht="14.25" customHeight="1">
      <c r="B314" s="2"/>
      <c r="C314" s="626"/>
      <c r="D314" s="2"/>
      <c r="E314" s="2"/>
    </row>
    <row r="315" spans="2:5" ht="14.25" customHeight="1">
      <c r="B315" s="2"/>
      <c r="C315" s="626"/>
      <c r="D315" s="2"/>
      <c r="E315" s="2"/>
    </row>
    <row r="316" spans="2:5" ht="14.25" customHeight="1">
      <c r="B316" s="2"/>
      <c r="C316" s="626"/>
      <c r="D316" s="2"/>
      <c r="E316" s="2"/>
    </row>
    <row r="317" spans="2:5" ht="14.25" customHeight="1">
      <c r="B317" s="2"/>
      <c r="C317" s="626"/>
      <c r="D317" s="2"/>
      <c r="E317" s="2"/>
    </row>
    <row r="318" spans="2:5" ht="14.25" customHeight="1">
      <c r="B318" s="2"/>
      <c r="C318" s="626"/>
      <c r="D318" s="2"/>
      <c r="E318" s="2"/>
    </row>
    <row r="319" spans="2:5" ht="14.25" customHeight="1">
      <c r="B319" s="2"/>
      <c r="C319" s="626"/>
      <c r="D319" s="2"/>
      <c r="E319" s="2"/>
    </row>
    <row r="320" spans="2:5" ht="14.25" customHeight="1">
      <c r="B320" s="2"/>
      <c r="C320" s="626"/>
      <c r="D320" s="2"/>
      <c r="E320" s="2"/>
    </row>
    <row r="321" spans="2:5" ht="14.25" customHeight="1">
      <c r="B321" s="2"/>
      <c r="C321" s="626"/>
      <c r="D321" s="2"/>
      <c r="E321" s="2"/>
    </row>
    <row r="322" spans="2:5" ht="14.25" customHeight="1">
      <c r="B322" s="2"/>
      <c r="C322" s="626"/>
      <c r="D322" s="2"/>
      <c r="E322" s="2"/>
    </row>
    <row r="323" spans="2:5" ht="14.25" customHeight="1">
      <c r="B323" s="2"/>
      <c r="C323" s="626"/>
      <c r="D323" s="2"/>
      <c r="E323" s="2"/>
    </row>
    <row r="324" spans="2:5" ht="14.25" customHeight="1">
      <c r="B324" s="2"/>
      <c r="C324" s="626"/>
      <c r="D324" s="2"/>
      <c r="E324" s="2"/>
    </row>
    <row r="325" spans="2:5" ht="14.25" customHeight="1">
      <c r="B325" s="2"/>
      <c r="C325" s="626"/>
      <c r="D325" s="2"/>
      <c r="E325" s="2"/>
    </row>
    <row r="326" spans="2:5" ht="14.25" customHeight="1">
      <c r="B326" s="2"/>
      <c r="C326" s="626"/>
      <c r="D326" s="2"/>
      <c r="E326" s="2"/>
    </row>
    <row r="327" spans="2:5" ht="14.25" customHeight="1">
      <c r="B327" s="2"/>
      <c r="C327" s="626"/>
      <c r="D327" s="2"/>
      <c r="E327" s="2"/>
    </row>
    <row r="328" spans="2:5" ht="14.25" customHeight="1">
      <c r="B328" s="2"/>
      <c r="C328" s="626"/>
      <c r="D328" s="2"/>
      <c r="E328" s="2"/>
    </row>
    <row r="329" spans="2:5" ht="14.25" customHeight="1">
      <c r="B329" s="2"/>
      <c r="C329" s="626"/>
      <c r="D329" s="2"/>
      <c r="E329" s="2"/>
    </row>
    <row r="330" spans="2:5" ht="14.25" customHeight="1">
      <c r="B330" s="2"/>
      <c r="C330" s="626"/>
      <c r="D330" s="2"/>
      <c r="E330" s="2"/>
    </row>
    <row r="331" spans="2:5" ht="14.25" customHeight="1">
      <c r="B331" s="2"/>
      <c r="C331" s="626"/>
      <c r="D331" s="2"/>
      <c r="E331" s="2"/>
    </row>
    <row r="332" spans="2:5" ht="14.25" customHeight="1">
      <c r="B332" s="2"/>
      <c r="C332" s="626"/>
      <c r="D332" s="2"/>
      <c r="E332" s="2"/>
    </row>
    <row r="333" spans="2:5" ht="14.25" customHeight="1">
      <c r="B333" s="2"/>
      <c r="C333" s="626"/>
      <c r="D333" s="2"/>
      <c r="E333" s="2"/>
    </row>
    <row r="334" spans="2:5" ht="14.25" customHeight="1">
      <c r="B334" s="2"/>
      <c r="C334" s="626"/>
      <c r="D334" s="2"/>
      <c r="E334" s="2"/>
    </row>
    <row r="335" spans="2:5" ht="14.25" customHeight="1">
      <c r="B335" s="2"/>
      <c r="C335" s="626"/>
      <c r="D335" s="2"/>
      <c r="E335" s="2"/>
    </row>
    <row r="336" spans="2:5" ht="14.25" customHeight="1">
      <c r="B336" s="2"/>
      <c r="C336" s="626"/>
      <c r="D336" s="2"/>
      <c r="E336" s="2"/>
    </row>
    <row r="337" spans="2:5" ht="14.25" customHeight="1">
      <c r="B337" s="2"/>
      <c r="C337" s="626"/>
      <c r="D337" s="2"/>
      <c r="E337" s="2"/>
    </row>
    <row r="338" spans="2:5" ht="14.25" customHeight="1">
      <c r="B338" s="2"/>
      <c r="C338" s="626"/>
      <c r="D338" s="2"/>
      <c r="E338" s="2"/>
    </row>
    <row r="339" spans="2:5" ht="14.25" customHeight="1">
      <c r="B339" s="2"/>
      <c r="C339" s="626"/>
      <c r="D339" s="2"/>
      <c r="E339" s="2"/>
    </row>
    <row r="340" spans="2:5" ht="14.25" customHeight="1">
      <c r="B340" s="2"/>
      <c r="C340" s="626"/>
      <c r="D340" s="2"/>
      <c r="E340" s="2"/>
    </row>
    <row r="341" spans="2:5" ht="14.25" customHeight="1">
      <c r="B341" s="2"/>
      <c r="C341" s="626"/>
      <c r="D341" s="2"/>
      <c r="E341" s="2"/>
    </row>
    <row r="342" spans="2:5" ht="14.25" customHeight="1">
      <c r="B342" s="2"/>
      <c r="C342" s="626"/>
      <c r="D342" s="2"/>
      <c r="E342" s="2"/>
    </row>
    <row r="343" spans="2:5" ht="14.25" customHeight="1">
      <c r="B343" s="2"/>
      <c r="C343" s="626"/>
      <c r="D343" s="2"/>
      <c r="E343" s="2"/>
    </row>
    <row r="344" spans="2:5" ht="14.25" customHeight="1">
      <c r="B344" s="2"/>
      <c r="C344" s="626"/>
      <c r="D344" s="2"/>
      <c r="E344" s="2"/>
    </row>
    <row r="345" spans="2:5" ht="14.25" customHeight="1">
      <c r="B345" s="2"/>
      <c r="C345" s="626"/>
      <c r="D345" s="2"/>
      <c r="E345" s="2"/>
    </row>
    <row r="346" spans="2:5" ht="14.25" customHeight="1">
      <c r="B346" s="2"/>
      <c r="C346" s="626"/>
      <c r="D346" s="2"/>
      <c r="E346" s="2"/>
    </row>
    <row r="347" spans="2:5" ht="14.25" customHeight="1">
      <c r="B347" s="2"/>
      <c r="C347" s="626"/>
      <c r="D347" s="2"/>
      <c r="E347" s="2"/>
    </row>
    <row r="348" spans="2:5" ht="14.25" customHeight="1">
      <c r="B348" s="2"/>
      <c r="C348" s="626"/>
      <c r="D348" s="2"/>
      <c r="E348" s="2"/>
    </row>
    <row r="349" spans="2:5" ht="14.25" customHeight="1">
      <c r="B349" s="2"/>
      <c r="C349" s="626"/>
      <c r="D349" s="2"/>
      <c r="E349" s="2"/>
    </row>
    <row r="350" spans="2:5" ht="14.25" customHeight="1">
      <c r="B350" s="2"/>
      <c r="C350" s="626"/>
      <c r="D350" s="2"/>
      <c r="E350" s="2"/>
    </row>
    <row r="351" spans="2:5" ht="14.25" customHeight="1">
      <c r="B351" s="2"/>
      <c r="C351" s="626"/>
      <c r="D351" s="2"/>
      <c r="E351" s="2"/>
    </row>
    <row r="352" spans="2:5" ht="14.25" customHeight="1">
      <c r="B352" s="2"/>
      <c r="C352" s="626"/>
      <c r="D352" s="2"/>
      <c r="E352" s="2"/>
    </row>
    <row r="353" spans="2:5" ht="14.25" customHeight="1">
      <c r="B353" s="2"/>
      <c r="C353" s="626"/>
      <c r="D353" s="2"/>
      <c r="E353" s="2"/>
    </row>
    <row r="354" spans="2:5" ht="14.25" customHeight="1">
      <c r="B354" s="2"/>
      <c r="C354" s="626"/>
      <c r="D354" s="2"/>
      <c r="E354" s="2"/>
    </row>
    <row r="355" spans="2:5" ht="14.25" customHeight="1">
      <c r="B355" s="2"/>
      <c r="C355" s="626"/>
      <c r="D355" s="2"/>
      <c r="E355" s="2"/>
    </row>
    <row r="356" spans="2:5" ht="14.25" customHeight="1">
      <c r="B356" s="2"/>
      <c r="C356" s="626"/>
      <c r="D356" s="2"/>
      <c r="E356" s="2"/>
    </row>
    <row r="357" spans="2:5" ht="14.25" customHeight="1">
      <c r="B357" s="2"/>
      <c r="C357" s="626"/>
      <c r="D357" s="2"/>
      <c r="E357" s="2"/>
    </row>
    <row r="358" spans="2:5" ht="14.25" customHeight="1">
      <c r="B358" s="2"/>
      <c r="C358" s="626"/>
      <c r="D358" s="2"/>
      <c r="E358" s="2"/>
    </row>
    <row r="359" spans="2:5" ht="14.25" customHeight="1">
      <c r="B359" s="2"/>
      <c r="C359" s="626"/>
      <c r="D359" s="2"/>
      <c r="E359" s="2"/>
    </row>
    <row r="360" spans="2:5" ht="14.25" customHeight="1">
      <c r="B360" s="2"/>
      <c r="C360" s="626"/>
      <c r="D360" s="2"/>
      <c r="E360" s="2"/>
    </row>
    <row r="361" spans="2:5" ht="14.25" customHeight="1">
      <c r="B361" s="2"/>
      <c r="C361" s="626"/>
      <c r="D361" s="2"/>
      <c r="E361" s="2"/>
    </row>
    <row r="362" spans="2:5" ht="14.25" customHeight="1">
      <c r="B362" s="2"/>
      <c r="C362" s="626"/>
      <c r="D362" s="2"/>
      <c r="E362" s="2"/>
    </row>
    <row r="363" spans="2:5" ht="14.25" customHeight="1">
      <c r="B363" s="2"/>
      <c r="C363" s="626"/>
      <c r="D363" s="2"/>
      <c r="E363" s="2"/>
    </row>
    <row r="364" spans="2:5" ht="14.25" customHeight="1">
      <c r="B364" s="2"/>
      <c r="C364" s="626"/>
      <c r="D364" s="2"/>
      <c r="E364" s="2"/>
    </row>
    <row r="365" spans="2:5" ht="14.25" customHeight="1">
      <c r="B365" s="2"/>
      <c r="C365" s="626"/>
      <c r="D365" s="2"/>
      <c r="E365" s="2"/>
    </row>
    <row r="366" spans="2:5" ht="14.25" customHeight="1">
      <c r="B366" s="2"/>
      <c r="C366" s="626"/>
      <c r="D366" s="2"/>
      <c r="E366" s="2"/>
    </row>
    <row r="367" spans="2:5" ht="14.25" customHeight="1">
      <c r="B367" s="2"/>
      <c r="C367" s="626"/>
      <c r="D367" s="2"/>
      <c r="E367" s="2"/>
    </row>
    <row r="368" spans="2:5" ht="14.25" customHeight="1">
      <c r="B368" s="2"/>
      <c r="C368" s="626"/>
      <c r="D368" s="2"/>
      <c r="E368" s="2"/>
    </row>
    <row r="369" spans="2:5" ht="14.25" customHeight="1">
      <c r="B369" s="2"/>
      <c r="C369" s="626"/>
      <c r="D369" s="2"/>
      <c r="E369" s="2"/>
    </row>
    <row r="370" spans="2:5" ht="14.25" customHeight="1">
      <c r="B370" s="2"/>
      <c r="C370" s="626"/>
      <c r="D370" s="2"/>
      <c r="E370" s="2"/>
    </row>
    <row r="371" spans="2:5" ht="14.25" customHeight="1">
      <c r="B371" s="2"/>
      <c r="C371" s="626"/>
      <c r="D371" s="2"/>
      <c r="E371" s="2"/>
    </row>
    <row r="372" spans="2:5" ht="14.25" customHeight="1">
      <c r="B372" s="2"/>
      <c r="C372" s="626"/>
      <c r="D372" s="2"/>
      <c r="E372" s="2"/>
    </row>
    <row r="373" spans="2:5" ht="14.25" customHeight="1">
      <c r="B373" s="2"/>
      <c r="C373" s="626"/>
      <c r="D373" s="2"/>
      <c r="E373" s="2"/>
    </row>
    <row r="374" spans="2:5" ht="14.25" customHeight="1">
      <c r="B374" s="2"/>
      <c r="C374" s="626"/>
      <c r="D374" s="2"/>
      <c r="E374" s="2"/>
    </row>
    <row r="375" spans="2:5" ht="14.25" customHeight="1">
      <c r="B375" s="2"/>
      <c r="C375" s="626"/>
      <c r="D375" s="2"/>
      <c r="E375" s="2"/>
    </row>
    <row r="376" spans="2:5" ht="14.25" customHeight="1">
      <c r="B376" s="2"/>
      <c r="C376" s="626"/>
      <c r="D376" s="2"/>
      <c r="E376" s="2"/>
    </row>
    <row r="377" spans="2:5" ht="14.25" customHeight="1">
      <c r="B377" s="2"/>
      <c r="C377" s="626"/>
      <c r="D377" s="2"/>
      <c r="E377" s="2"/>
    </row>
    <row r="378" spans="2:5" ht="14.25" customHeight="1">
      <c r="B378" s="2"/>
      <c r="C378" s="626"/>
      <c r="D378" s="2"/>
      <c r="E378" s="2"/>
    </row>
    <row r="379" spans="2:5" ht="14.25" customHeight="1">
      <c r="B379" s="2"/>
      <c r="C379" s="626"/>
      <c r="D379" s="2"/>
      <c r="E379" s="2"/>
    </row>
    <row r="380" spans="2:5" ht="14.25" customHeight="1">
      <c r="B380" s="2"/>
      <c r="C380" s="626"/>
      <c r="D380" s="2"/>
      <c r="E380" s="2"/>
    </row>
    <row r="381" spans="2:5" ht="14.25" customHeight="1">
      <c r="B381" s="2"/>
      <c r="C381" s="626"/>
      <c r="D381" s="2"/>
      <c r="E381" s="2"/>
    </row>
    <row r="382" spans="2:5" ht="14.25" customHeight="1">
      <c r="B382" s="2"/>
      <c r="C382" s="626"/>
      <c r="D382" s="2"/>
      <c r="E382" s="2"/>
    </row>
    <row r="383" spans="2:5" ht="14.25" customHeight="1">
      <c r="B383" s="2"/>
      <c r="C383" s="626"/>
      <c r="D383" s="2"/>
      <c r="E383" s="2"/>
    </row>
    <row r="384" spans="2:5" ht="14.25" customHeight="1">
      <c r="B384" s="2"/>
      <c r="C384" s="626"/>
      <c r="D384" s="2"/>
      <c r="E384" s="2"/>
    </row>
    <row r="385" spans="2:5" ht="14.25" customHeight="1">
      <c r="B385" s="2"/>
      <c r="C385" s="626"/>
      <c r="D385" s="2"/>
      <c r="E385" s="2"/>
    </row>
    <row r="386" spans="2:5" ht="14.25" customHeight="1">
      <c r="B386" s="2"/>
      <c r="C386" s="626"/>
      <c r="D386" s="2"/>
      <c r="E386" s="2"/>
    </row>
    <row r="387" spans="2:5" ht="14.25" customHeight="1">
      <c r="B387" s="2"/>
      <c r="C387" s="626"/>
      <c r="D387" s="2"/>
      <c r="E387" s="2"/>
    </row>
    <row r="388" spans="2:5" ht="14.25" customHeight="1">
      <c r="B388" s="2"/>
      <c r="C388" s="626"/>
      <c r="D388" s="2"/>
      <c r="E388" s="2"/>
    </row>
    <row r="389" spans="2:5" ht="14.25" customHeight="1">
      <c r="B389" s="2"/>
      <c r="C389" s="626"/>
      <c r="D389" s="2"/>
      <c r="E389" s="2"/>
    </row>
    <row r="390" spans="2:5" ht="14.25" customHeight="1">
      <c r="B390" s="2"/>
      <c r="C390" s="626"/>
      <c r="D390" s="2"/>
      <c r="E390" s="2"/>
    </row>
    <row r="391" spans="2:5" ht="14.25" customHeight="1">
      <c r="B391" s="2"/>
      <c r="C391" s="626"/>
      <c r="D391" s="2"/>
      <c r="E391" s="2"/>
    </row>
    <row r="392" spans="2:5" ht="14.25" customHeight="1">
      <c r="B392" s="2"/>
      <c r="C392" s="626"/>
      <c r="D392" s="2"/>
      <c r="E392" s="2"/>
    </row>
    <row r="393" spans="2:5" ht="14.25" customHeight="1">
      <c r="B393" s="2"/>
      <c r="C393" s="626"/>
      <c r="D393" s="2"/>
      <c r="E393" s="2"/>
    </row>
    <row r="394" spans="2:5" ht="14.25" customHeight="1">
      <c r="B394" s="2"/>
      <c r="C394" s="626"/>
      <c r="D394" s="2"/>
      <c r="E394" s="2"/>
    </row>
    <row r="395" spans="2:5" ht="14.25" customHeight="1">
      <c r="B395" s="2"/>
      <c r="C395" s="626"/>
      <c r="D395" s="2"/>
      <c r="E395" s="2"/>
    </row>
    <row r="396" spans="2:5" ht="14.25" customHeight="1">
      <c r="B396" s="2"/>
      <c r="C396" s="626"/>
      <c r="D396" s="2"/>
      <c r="E396" s="2"/>
    </row>
    <row r="397" spans="2:5" ht="14.25" customHeight="1">
      <c r="B397" s="2"/>
      <c r="C397" s="626"/>
      <c r="D397" s="2"/>
      <c r="E397" s="2"/>
    </row>
    <row r="398" spans="2:5" ht="14.25" customHeight="1">
      <c r="B398" s="2"/>
      <c r="C398" s="626"/>
      <c r="D398" s="2"/>
      <c r="E398" s="2"/>
    </row>
    <row r="399" spans="2:5" ht="14.25" customHeight="1">
      <c r="B399" s="2"/>
      <c r="C399" s="626"/>
      <c r="D399" s="2"/>
      <c r="E399" s="2"/>
    </row>
    <row r="400" spans="2:5" ht="14.25" customHeight="1">
      <c r="B400" s="2"/>
      <c r="C400" s="626"/>
      <c r="D400" s="2"/>
      <c r="E400" s="2"/>
    </row>
    <row r="401" spans="2:5" ht="14.25" customHeight="1">
      <c r="B401" s="2"/>
      <c r="C401" s="626"/>
      <c r="D401" s="2"/>
      <c r="E401" s="2"/>
    </row>
    <row r="402" spans="2:5" ht="14.25" customHeight="1">
      <c r="B402" s="2"/>
      <c r="C402" s="626"/>
      <c r="D402" s="2"/>
      <c r="E402" s="2"/>
    </row>
    <row r="403" spans="2:5" ht="14.25" customHeight="1">
      <c r="B403" s="2"/>
      <c r="C403" s="626"/>
      <c r="D403" s="2"/>
      <c r="E403" s="2"/>
    </row>
    <row r="404" spans="2:5" ht="14.25" customHeight="1">
      <c r="B404" s="2"/>
      <c r="C404" s="626"/>
      <c r="D404" s="2"/>
      <c r="E404" s="2"/>
    </row>
    <row r="405" spans="2:5" ht="14.25" customHeight="1">
      <c r="B405" s="2"/>
      <c r="C405" s="626"/>
      <c r="D405" s="2"/>
      <c r="E405" s="2"/>
    </row>
    <row r="406" spans="2:5" ht="14.25" customHeight="1">
      <c r="B406" s="2"/>
      <c r="C406" s="626"/>
      <c r="D406" s="2"/>
      <c r="E406" s="2"/>
    </row>
    <row r="407" spans="2:5" ht="14.25" customHeight="1">
      <c r="B407" s="2"/>
      <c r="C407" s="626"/>
      <c r="D407" s="2"/>
      <c r="E407" s="2"/>
    </row>
    <row r="408" spans="2:5" ht="14.25" customHeight="1">
      <c r="B408" s="2"/>
      <c r="C408" s="626"/>
      <c r="D408" s="2"/>
      <c r="E408" s="2"/>
    </row>
    <row r="409" spans="2:5" ht="14.25" customHeight="1">
      <c r="B409" s="2"/>
      <c r="C409" s="626"/>
      <c r="D409" s="2"/>
      <c r="E409" s="2"/>
    </row>
    <row r="410" spans="2:5" ht="14.25" customHeight="1">
      <c r="B410" s="2"/>
      <c r="C410" s="626"/>
      <c r="D410" s="2"/>
      <c r="E410" s="2"/>
    </row>
    <row r="411" spans="2:5" ht="14.25" customHeight="1">
      <c r="B411" s="2"/>
      <c r="C411" s="626"/>
      <c r="D411" s="2"/>
      <c r="E411" s="2"/>
    </row>
    <row r="412" spans="2:5" ht="14.25" customHeight="1">
      <c r="B412" s="2"/>
      <c r="C412" s="626"/>
      <c r="D412" s="2"/>
      <c r="E412" s="2"/>
    </row>
    <row r="413" spans="2:5" ht="14.25" customHeight="1">
      <c r="B413" s="2"/>
      <c r="C413" s="626"/>
      <c r="D413" s="2"/>
      <c r="E413" s="2"/>
    </row>
    <row r="414" spans="2:5" ht="14.25" customHeight="1">
      <c r="B414" s="2"/>
      <c r="C414" s="626"/>
      <c r="D414" s="2"/>
      <c r="E414" s="2"/>
    </row>
    <row r="415" spans="2:5" ht="14.25" customHeight="1">
      <c r="B415" s="2"/>
      <c r="C415" s="626"/>
      <c r="D415" s="2"/>
      <c r="E415" s="2"/>
    </row>
    <row r="416" spans="2:5" ht="14.25" customHeight="1">
      <c r="B416" s="2"/>
      <c r="C416" s="626"/>
      <c r="D416" s="2"/>
      <c r="E416" s="2"/>
    </row>
    <row r="417" spans="2:5" ht="14.25" customHeight="1">
      <c r="B417" s="2"/>
      <c r="C417" s="626"/>
      <c r="D417" s="2"/>
      <c r="E417" s="2"/>
    </row>
    <row r="418" spans="2:5" ht="14.25" customHeight="1">
      <c r="B418" s="2"/>
      <c r="C418" s="626"/>
      <c r="D418" s="2"/>
      <c r="E418" s="2"/>
    </row>
    <row r="419" spans="2:5" ht="14.25" customHeight="1">
      <c r="B419" s="2"/>
      <c r="C419" s="626"/>
      <c r="D419" s="2"/>
      <c r="E419" s="2"/>
    </row>
    <row r="420" spans="2:5" ht="14.25" customHeight="1">
      <c r="B420" s="2"/>
      <c r="C420" s="626"/>
      <c r="D420" s="2"/>
      <c r="E420" s="2"/>
    </row>
    <row r="421" spans="2:5" ht="14.25" customHeight="1">
      <c r="B421" s="2"/>
      <c r="C421" s="626"/>
      <c r="D421" s="2"/>
      <c r="E421" s="2"/>
    </row>
    <row r="422" spans="2:5" ht="14.25" customHeight="1">
      <c r="B422" s="2"/>
      <c r="C422" s="626"/>
      <c r="D422" s="2"/>
      <c r="E422" s="2"/>
    </row>
    <row r="423" spans="2:5" ht="14.25" customHeight="1">
      <c r="B423" s="2"/>
      <c r="C423" s="626"/>
      <c r="D423" s="2"/>
      <c r="E423" s="2"/>
    </row>
    <row r="424" spans="2:5" ht="14.25" customHeight="1">
      <c r="B424" s="2"/>
      <c r="C424" s="626"/>
      <c r="D424" s="2"/>
      <c r="E424" s="2"/>
    </row>
    <row r="425" spans="2:5" ht="14.25" customHeight="1">
      <c r="B425" s="2"/>
      <c r="C425" s="626"/>
      <c r="D425" s="2"/>
      <c r="E425" s="2"/>
    </row>
    <row r="426" spans="2:5" ht="14.25" customHeight="1">
      <c r="B426" s="2"/>
      <c r="C426" s="626"/>
      <c r="D426" s="2"/>
      <c r="E426" s="2"/>
    </row>
    <row r="427" spans="2:5" ht="14.25" customHeight="1">
      <c r="B427" s="2"/>
      <c r="C427" s="626"/>
      <c r="D427" s="2"/>
      <c r="E427" s="2"/>
    </row>
    <row r="428" spans="2:5" ht="14.25" customHeight="1">
      <c r="B428" s="2"/>
      <c r="C428" s="626"/>
      <c r="D428" s="2"/>
      <c r="E428" s="2"/>
    </row>
    <row r="429" spans="2:5" ht="14.25" customHeight="1">
      <c r="B429" s="2"/>
      <c r="C429" s="626"/>
      <c r="D429" s="2"/>
      <c r="E429" s="2"/>
    </row>
    <row r="430" spans="2:5" ht="14.25" customHeight="1">
      <c r="B430" s="2"/>
      <c r="C430" s="626"/>
      <c r="D430" s="2"/>
      <c r="E430" s="2"/>
    </row>
    <row r="431" spans="2:5" ht="14.25" customHeight="1">
      <c r="B431" s="2"/>
      <c r="C431" s="626"/>
      <c r="D431" s="2"/>
      <c r="E431" s="2"/>
    </row>
    <row r="432" spans="2:5" ht="14.25" customHeight="1">
      <c r="B432" s="2"/>
      <c r="C432" s="626"/>
      <c r="D432" s="2"/>
      <c r="E432" s="2"/>
    </row>
    <row r="433" spans="2:5" ht="14.25" customHeight="1">
      <c r="B433" s="2"/>
      <c r="C433" s="626"/>
      <c r="D433" s="2"/>
      <c r="E433" s="2"/>
    </row>
    <row r="434" spans="2:5" ht="14.25" customHeight="1">
      <c r="B434" s="2"/>
      <c r="C434" s="626"/>
      <c r="D434" s="2"/>
      <c r="E434" s="2"/>
    </row>
    <row r="435" spans="2:5" ht="14.25" customHeight="1">
      <c r="B435" s="2"/>
      <c r="C435" s="626"/>
      <c r="D435" s="2"/>
      <c r="E435" s="2"/>
    </row>
    <row r="436" spans="2:5" ht="14.25" customHeight="1">
      <c r="B436" s="2"/>
      <c r="C436" s="626"/>
      <c r="D436" s="2"/>
      <c r="E436" s="2"/>
    </row>
    <row r="437" spans="2:5" ht="14.25" customHeight="1">
      <c r="B437" s="2"/>
      <c r="C437" s="626"/>
      <c r="D437" s="2"/>
      <c r="E437" s="2"/>
    </row>
    <row r="438" spans="2:5" ht="14.25" customHeight="1">
      <c r="B438" s="2"/>
      <c r="C438" s="626"/>
      <c r="D438" s="2"/>
      <c r="E438" s="2"/>
    </row>
    <row r="439" spans="2:5" ht="14.25" customHeight="1">
      <c r="B439" s="2"/>
      <c r="C439" s="626"/>
      <c r="D439" s="2"/>
      <c r="E439" s="2"/>
    </row>
    <row r="440" spans="2:5" ht="14.25" customHeight="1">
      <c r="B440" s="2"/>
      <c r="C440" s="626"/>
      <c r="D440" s="2"/>
      <c r="E440" s="2"/>
    </row>
    <row r="441" spans="2:5" ht="14.25" customHeight="1">
      <c r="B441" s="2"/>
      <c r="C441" s="626"/>
      <c r="D441" s="2"/>
      <c r="E441" s="2"/>
    </row>
    <row r="442" spans="2:5" ht="14.25" customHeight="1">
      <c r="B442" s="2"/>
      <c r="C442" s="626"/>
      <c r="D442" s="2"/>
      <c r="E442" s="2"/>
    </row>
    <row r="443" spans="2:5" ht="14.25" customHeight="1">
      <c r="B443" s="2"/>
      <c r="C443" s="626"/>
      <c r="D443" s="2"/>
      <c r="E443" s="2"/>
    </row>
    <row r="444" spans="2:5" ht="14.25" customHeight="1">
      <c r="B444" s="2"/>
      <c r="C444" s="626"/>
      <c r="D444" s="2"/>
      <c r="E444" s="2"/>
    </row>
    <row r="445" spans="2:5" ht="14.25" customHeight="1">
      <c r="B445" s="2"/>
      <c r="C445" s="626"/>
      <c r="D445" s="2"/>
      <c r="E445" s="2"/>
    </row>
    <row r="446" spans="2:5" ht="14.25" customHeight="1">
      <c r="B446" s="2"/>
      <c r="C446" s="626"/>
      <c r="D446" s="2"/>
      <c r="E446" s="2"/>
    </row>
    <row r="447" spans="2:5" ht="14.25" customHeight="1">
      <c r="B447" s="2"/>
      <c r="C447" s="626"/>
      <c r="D447" s="2"/>
      <c r="E447" s="2"/>
    </row>
    <row r="448" spans="2:5" ht="14.25" customHeight="1">
      <c r="B448" s="2"/>
      <c r="C448" s="626"/>
      <c r="D448" s="2"/>
      <c r="E448" s="2"/>
    </row>
    <row r="449" spans="2:5" ht="14.25" customHeight="1">
      <c r="B449" s="2"/>
      <c r="C449" s="626"/>
      <c r="D449" s="2"/>
      <c r="E449" s="2"/>
    </row>
    <row r="450" spans="2:5" ht="14.25" customHeight="1">
      <c r="B450" s="2"/>
      <c r="C450" s="626"/>
      <c r="D450" s="2"/>
      <c r="E450" s="2"/>
    </row>
    <row r="451" spans="2:5" ht="14.25" customHeight="1">
      <c r="B451" s="2"/>
      <c r="C451" s="626"/>
      <c r="D451" s="2"/>
      <c r="E451" s="2"/>
    </row>
    <row r="452" spans="2:5" ht="14.25" customHeight="1">
      <c r="B452" s="2"/>
      <c r="C452" s="626"/>
      <c r="D452" s="2"/>
      <c r="E452" s="2"/>
    </row>
    <row r="453" spans="2:5" ht="14.25" customHeight="1">
      <c r="B453" s="2"/>
      <c r="C453" s="626"/>
      <c r="D453" s="2"/>
      <c r="E453" s="2"/>
    </row>
    <row r="454" spans="2:5" ht="14.25" customHeight="1">
      <c r="B454" s="2"/>
      <c r="C454" s="626"/>
      <c r="D454" s="2"/>
      <c r="E454" s="2"/>
    </row>
    <row r="455" spans="2:5" ht="14.25" customHeight="1">
      <c r="B455" s="2"/>
      <c r="C455" s="626"/>
      <c r="D455" s="2"/>
      <c r="E455" s="2"/>
    </row>
    <row r="456" spans="2:5" ht="14.25" customHeight="1">
      <c r="B456" s="2"/>
      <c r="C456" s="626"/>
      <c r="D456" s="2"/>
      <c r="E456" s="2"/>
    </row>
    <row r="457" spans="2:5" ht="14.25" customHeight="1">
      <c r="B457" s="2"/>
      <c r="C457" s="626"/>
      <c r="D457" s="2"/>
      <c r="E457" s="2"/>
    </row>
    <row r="458" spans="2:5" ht="14.25" customHeight="1">
      <c r="B458" s="2"/>
      <c r="C458" s="626"/>
      <c r="D458" s="2"/>
      <c r="E458" s="2"/>
    </row>
    <row r="459" spans="2:5" ht="14.25" customHeight="1">
      <c r="B459" s="2"/>
      <c r="C459" s="626"/>
      <c r="D459" s="2"/>
      <c r="E459" s="2"/>
    </row>
    <row r="460" spans="2:5" ht="14.25" customHeight="1">
      <c r="B460" s="2"/>
      <c r="C460" s="626"/>
      <c r="D460" s="2"/>
      <c r="E460" s="2"/>
    </row>
    <row r="461" spans="2:5" ht="14.25" customHeight="1">
      <c r="B461" s="2"/>
      <c r="C461" s="626"/>
      <c r="D461" s="2"/>
      <c r="E461" s="2"/>
    </row>
    <row r="462" spans="2:5" ht="14.25" customHeight="1">
      <c r="B462" s="2"/>
      <c r="C462" s="626"/>
      <c r="D462" s="2"/>
      <c r="E462" s="2"/>
    </row>
    <row r="463" spans="2:5" ht="14.25" customHeight="1">
      <c r="B463" s="2"/>
      <c r="C463" s="626"/>
      <c r="D463" s="2"/>
      <c r="E463" s="2"/>
    </row>
    <row r="464" spans="2:5" ht="14.25" customHeight="1">
      <c r="B464" s="2"/>
      <c r="C464" s="626"/>
      <c r="D464" s="2"/>
      <c r="E464" s="2"/>
    </row>
    <row r="465" spans="2:5" ht="14.25" customHeight="1">
      <c r="B465" s="2"/>
      <c r="C465" s="626"/>
      <c r="D465" s="2"/>
      <c r="E465" s="2"/>
    </row>
    <row r="466" spans="2:5" ht="14.25" customHeight="1">
      <c r="B466" s="2"/>
      <c r="C466" s="626"/>
      <c r="D466" s="2"/>
      <c r="E466" s="2"/>
    </row>
    <row r="467" spans="2:5" ht="14.25" customHeight="1">
      <c r="B467" s="2"/>
      <c r="C467" s="626"/>
      <c r="D467" s="2"/>
      <c r="E467" s="2"/>
    </row>
    <row r="468" spans="2:5" ht="14.25" customHeight="1">
      <c r="B468" s="2"/>
      <c r="C468" s="626"/>
      <c r="D468" s="2"/>
      <c r="E468" s="2"/>
    </row>
    <row r="469" spans="2:5" ht="14.25" customHeight="1">
      <c r="B469" s="2"/>
      <c r="C469" s="626"/>
      <c r="D469" s="2"/>
      <c r="E469" s="2"/>
    </row>
    <row r="470" spans="2:5" ht="14.25" customHeight="1">
      <c r="B470" s="2"/>
      <c r="C470" s="626"/>
      <c r="D470" s="2"/>
      <c r="E470" s="2"/>
    </row>
    <row r="471" spans="2:5" ht="14.25" customHeight="1">
      <c r="B471" s="2"/>
      <c r="C471" s="626"/>
      <c r="D471" s="2"/>
      <c r="E471" s="2"/>
    </row>
    <row r="472" spans="2:5" ht="14.25" customHeight="1">
      <c r="B472" s="2"/>
      <c r="C472" s="626"/>
      <c r="D472" s="2"/>
      <c r="E472" s="2"/>
    </row>
    <row r="473" spans="2:5" ht="14.25" customHeight="1">
      <c r="B473" s="2"/>
      <c r="C473" s="626"/>
      <c r="D473" s="2"/>
      <c r="E473" s="2"/>
    </row>
    <row r="474" spans="2:5" ht="14.25" customHeight="1">
      <c r="B474" s="2"/>
      <c r="C474" s="626"/>
      <c r="D474" s="2"/>
      <c r="E474" s="2"/>
    </row>
    <row r="475" spans="2:5" ht="14.25" customHeight="1">
      <c r="B475" s="2"/>
      <c r="C475" s="626"/>
      <c r="D475" s="2"/>
      <c r="E475" s="2"/>
    </row>
    <row r="476" spans="2:5" ht="14.25" customHeight="1">
      <c r="B476" s="2"/>
      <c r="C476" s="626"/>
      <c r="D476" s="2"/>
      <c r="E476" s="2"/>
    </row>
    <row r="477" spans="2:5" ht="14.25" customHeight="1">
      <c r="B477" s="2"/>
      <c r="C477" s="626"/>
      <c r="D477" s="2"/>
      <c r="E477" s="2"/>
    </row>
    <row r="478" spans="2:5" ht="14.25" customHeight="1">
      <c r="B478" s="2"/>
      <c r="C478" s="626"/>
      <c r="D478" s="2"/>
      <c r="E478" s="2"/>
    </row>
    <row r="479" spans="2:5" ht="14.25" customHeight="1">
      <c r="B479" s="2"/>
      <c r="C479" s="626"/>
      <c r="D479" s="2"/>
      <c r="E479" s="2"/>
    </row>
    <row r="480" spans="2:5" ht="14.25" customHeight="1">
      <c r="B480" s="2"/>
      <c r="C480" s="626"/>
      <c r="D480" s="2"/>
      <c r="E480" s="2"/>
    </row>
    <row r="481" spans="2:5" ht="14.25" customHeight="1">
      <c r="B481" s="2"/>
      <c r="C481" s="626"/>
      <c r="D481" s="2"/>
      <c r="E481" s="2"/>
    </row>
    <row r="482" spans="2:5" ht="14.25" customHeight="1">
      <c r="B482" s="2"/>
      <c r="C482" s="626"/>
      <c r="D482" s="2"/>
      <c r="E482" s="2"/>
    </row>
    <row r="483" spans="2:5" ht="14.25" customHeight="1">
      <c r="B483" s="2"/>
      <c r="C483" s="626"/>
      <c r="D483" s="2"/>
      <c r="E483" s="2"/>
    </row>
    <row r="484" spans="2:5" ht="14.25" customHeight="1">
      <c r="B484" s="2"/>
      <c r="C484" s="626"/>
      <c r="D484" s="2"/>
      <c r="E484" s="2"/>
    </row>
    <row r="485" spans="2:5" ht="14.25" customHeight="1">
      <c r="B485" s="2"/>
      <c r="C485" s="626"/>
      <c r="D485" s="2"/>
      <c r="E485" s="2"/>
    </row>
    <row r="486" spans="2:5" ht="14.25" customHeight="1">
      <c r="B486" s="2"/>
      <c r="C486" s="626"/>
      <c r="D486" s="2"/>
      <c r="E486" s="2"/>
    </row>
    <row r="487" spans="2:5" ht="14.25" customHeight="1">
      <c r="B487" s="2"/>
      <c r="C487" s="626"/>
      <c r="D487" s="2"/>
      <c r="E487" s="2"/>
    </row>
    <row r="488" spans="2:5" ht="14.25" customHeight="1">
      <c r="B488" s="2"/>
      <c r="C488" s="626"/>
      <c r="D488" s="2"/>
      <c r="E488" s="2"/>
    </row>
    <row r="489" spans="2:5" ht="14.25" customHeight="1">
      <c r="B489" s="2"/>
      <c r="C489" s="626"/>
      <c r="D489" s="2"/>
      <c r="E489" s="2"/>
    </row>
    <row r="490" spans="2:5" ht="14.25" customHeight="1">
      <c r="B490" s="2"/>
      <c r="C490" s="626"/>
      <c r="D490" s="2"/>
      <c r="E490" s="2"/>
    </row>
    <row r="491" spans="2:5" ht="14.25" customHeight="1">
      <c r="B491" s="2"/>
      <c r="C491" s="626"/>
      <c r="D491" s="2"/>
      <c r="E491" s="2"/>
    </row>
    <row r="492" spans="2:5" ht="14.25" customHeight="1">
      <c r="B492" s="2"/>
      <c r="C492" s="626"/>
      <c r="D492" s="2"/>
      <c r="E492" s="2"/>
    </row>
    <row r="493" spans="2:5" ht="14.25" customHeight="1">
      <c r="B493" s="2"/>
      <c r="C493" s="626"/>
      <c r="D493" s="2"/>
      <c r="E493" s="2"/>
    </row>
    <row r="494" spans="2:5" ht="14.25" customHeight="1">
      <c r="B494" s="2"/>
      <c r="C494" s="626"/>
      <c r="D494" s="2"/>
      <c r="E494" s="2"/>
    </row>
    <row r="495" spans="2:5" ht="14.25" customHeight="1">
      <c r="B495" s="2"/>
      <c r="C495" s="626"/>
      <c r="D495" s="2"/>
      <c r="E495" s="2"/>
    </row>
    <row r="496" spans="2:5" ht="14.25" customHeight="1">
      <c r="B496" s="2"/>
      <c r="C496" s="626"/>
      <c r="D496" s="2"/>
      <c r="E496" s="2"/>
    </row>
    <row r="497" spans="2:5" ht="14.25" customHeight="1">
      <c r="B497" s="2"/>
      <c r="C497" s="626"/>
      <c r="D497" s="2"/>
      <c r="E497" s="2"/>
    </row>
    <row r="498" spans="2:5" ht="14.25" customHeight="1">
      <c r="B498" s="2"/>
      <c r="C498" s="626"/>
      <c r="D498" s="2"/>
      <c r="E498" s="2"/>
    </row>
    <row r="499" spans="2:5" ht="14.25" customHeight="1">
      <c r="B499" s="2"/>
      <c r="C499" s="626"/>
      <c r="D499" s="2"/>
      <c r="E499" s="2"/>
    </row>
    <row r="500" spans="2:5" ht="14.25" customHeight="1">
      <c r="B500" s="2"/>
      <c r="C500" s="626"/>
      <c r="D500" s="2"/>
      <c r="E500" s="2"/>
    </row>
    <row r="501" spans="2:5" ht="14.25" customHeight="1">
      <c r="B501" s="2"/>
      <c r="C501" s="626"/>
      <c r="D501" s="2"/>
      <c r="E501" s="2"/>
    </row>
    <row r="502" spans="2:5" ht="14.25" customHeight="1">
      <c r="B502" s="2"/>
      <c r="C502" s="626"/>
      <c r="D502" s="2"/>
      <c r="E502" s="2"/>
    </row>
    <row r="503" spans="2:5" ht="14.25" customHeight="1">
      <c r="B503" s="2"/>
      <c r="C503" s="626"/>
      <c r="D503" s="2"/>
      <c r="E503" s="2"/>
    </row>
    <row r="504" spans="2:5" ht="14.25" customHeight="1">
      <c r="B504" s="2"/>
      <c r="C504" s="626"/>
      <c r="D504" s="2"/>
      <c r="E504" s="2"/>
    </row>
    <row r="505" spans="2:5" ht="14.25" customHeight="1">
      <c r="B505" s="2"/>
      <c r="C505" s="626"/>
      <c r="D505" s="2"/>
      <c r="E505" s="2"/>
    </row>
    <row r="506" spans="2:5" ht="14.25" customHeight="1">
      <c r="B506" s="2"/>
      <c r="C506" s="626"/>
      <c r="D506" s="2"/>
      <c r="E506" s="2"/>
    </row>
    <row r="507" spans="2:5" ht="14.25" customHeight="1">
      <c r="B507" s="2"/>
      <c r="C507" s="626"/>
      <c r="D507" s="2"/>
      <c r="E507" s="2"/>
    </row>
    <row r="508" spans="2:5" ht="14.25" customHeight="1">
      <c r="B508" s="2"/>
      <c r="C508" s="626"/>
      <c r="D508" s="2"/>
      <c r="E508" s="2"/>
    </row>
    <row r="509" spans="2:5" ht="14.25" customHeight="1">
      <c r="B509" s="2"/>
      <c r="C509" s="626"/>
      <c r="D509" s="2"/>
      <c r="E509" s="2"/>
    </row>
    <row r="510" spans="2:5" ht="14.25" customHeight="1">
      <c r="B510" s="2"/>
      <c r="C510" s="626"/>
      <c r="D510" s="2"/>
      <c r="E510" s="2"/>
    </row>
    <row r="511" spans="2:5" ht="14.25" customHeight="1">
      <c r="B511" s="2"/>
      <c r="C511" s="626"/>
      <c r="D511" s="2"/>
      <c r="E511" s="2"/>
    </row>
    <row r="512" spans="2:5" ht="14.25" customHeight="1">
      <c r="B512" s="2"/>
      <c r="C512" s="626"/>
      <c r="D512" s="2"/>
      <c r="E512" s="2"/>
    </row>
    <row r="513" spans="2:5" ht="14.25" customHeight="1">
      <c r="B513" s="2"/>
      <c r="C513" s="626"/>
      <c r="D513" s="2"/>
      <c r="E513" s="2"/>
    </row>
    <row r="514" spans="2:5" ht="14.25" customHeight="1">
      <c r="B514" s="2"/>
      <c r="C514" s="626"/>
      <c r="D514" s="2"/>
      <c r="E514" s="2"/>
    </row>
    <row r="515" spans="2:5" ht="14.25" customHeight="1">
      <c r="B515" s="2"/>
      <c r="C515" s="626"/>
      <c r="D515" s="2"/>
      <c r="E515" s="2"/>
    </row>
    <row r="516" spans="2:5" ht="14.25" customHeight="1">
      <c r="B516" s="2"/>
      <c r="C516" s="626"/>
      <c r="D516" s="2"/>
      <c r="E516" s="2"/>
    </row>
    <row r="517" spans="2:5" ht="14.25" customHeight="1">
      <c r="B517" s="2"/>
      <c r="C517" s="626"/>
      <c r="D517" s="2"/>
      <c r="E517" s="2"/>
    </row>
    <row r="518" spans="2:5" ht="14.25" customHeight="1">
      <c r="B518" s="2"/>
      <c r="C518" s="626"/>
      <c r="D518" s="2"/>
      <c r="E518" s="2"/>
    </row>
    <row r="519" spans="2:5" ht="14.25" customHeight="1">
      <c r="B519" s="2"/>
      <c r="C519" s="626"/>
      <c r="D519" s="2"/>
      <c r="E519" s="2"/>
    </row>
    <row r="520" spans="2:5" ht="14.25" customHeight="1">
      <c r="B520" s="2"/>
      <c r="C520" s="626"/>
      <c r="D520" s="2"/>
      <c r="E520" s="2"/>
    </row>
    <row r="521" spans="2:5" ht="14.25" customHeight="1">
      <c r="B521" s="2"/>
      <c r="C521" s="626"/>
      <c r="D521" s="2"/>
      <c r="E521" s="2"/>
    </row>
    <row r="522" spans="2:5" ht="14.25" customHeight="1">
      <c r="B522" s="2"/>
      <c r="C522" s="626"/>
      <c r="D522" s="2"/>
      <c r="E522" s="2"/>
    </row>
    <row r="523" spans="2:5" ht="14.25" customHeight="1">
      <c r="B523" s="2"/>
      <c r="C523" s="626"/>
      <c r="D523" s="2"/>
      <c r="E523" s="2"/>
    </row>
    <row r="524" spans="2:5" ht="14.25" customHeight="1">
      <c r="B524" s="2"/>
      <c r="C524" s="626"/>
      <c r="D524" s="2"/>
      <c r="E524" s="2"/>
    </row>
    <row r="525" spans="2:5" ht="14.25" customHeight="1">
      <c r="B525" s="2"/>
      <c r="C525" s="626"/>
      <c r="D525" s="2"/>
      <c r="E525" s="2"/>
    </row>
    <row r="526" spans="2:5" ht="14.25" customHeight="1">
      <c r="B526" s="2"/>
      <c r="C526" s="626"/>
      <c r="D526" s="2"/>
      <c r="E526" s="2"/>
    </row>
    <row r="527" spans="2:5" ht="14.25" customHeight="1">
      <c r="B527" s="2"/>
      <c r="C527" s="626"/>
      <c r="D527" s="2"/>
      <c r="E527" s="2"/>
    </row>
    <row r="528" spans="2:5" ht="14.25" customHeight="1">
      <c r="B528" s="2"/>
      <c r="C528" s="626"/>
      <c r="D528" s="2"/>
      <c r="E528" s="2"/>
    </row>
    <row r="529" spans="2:5" ht="14.25" customHeight="1">
      <c r="B529" s="2"/>
      <c r="C529" s="626"/>
      <c r="D529" s="2"/>
      <c r="E529" s="2"/>
    </row>
    <row r="530" spans="2:5" ht="14.25" customHeight="1">
      <c r="B530" s="2"/>
      <c r="C530" s="626"/>
      <c r="D530" s="2"/>
      <c r="E530" s="2"/>
    </row>
    <row r="531" spans="2:5" ht="14.25" customHeight="1">
      <c r="B531" s="2"/>
      <c r="C531" s="626"/>
      <c r="D531" s="2"/>
      <c r="E531" s="2"/>
    </row>
    <row r="532" spans="2:5" ht="14.25" customHeight="1">
      <c r="B532" s="2"/>
      <c r="C532" s="626"/>
      <c r="D532" s="2"/>
      <c r="E532" s="2"/>
    </row>
    <row r="533" spans="2:5" ht="14.25" customHeight="1">
      <c r="B533" s="2"/>
      <c r="C533" s="626"/>
      <c r="D533" s="2"/>
      <c r="E533" s="2"/>
    </row>
    <row r="534" spans="2:5" ht="14.25" customHeight="1">
      <c r="B534" s="2"/>
      <c r="C534" s="626"/>
      <c r="D534" s="2"/>
      <c r="E534" s="2"/>
    </row>
    <row r="535" spans="2:5" ht="14.25" customHeight="1">
      <c r="B535" s="2"/>
      <c r="C535" s="626"/>
      <c r="D535" s="2"/>
      <c r="E535" s="2"/>
    </row>
    <row r="536" spans="2:5" ht="14.25" customHeight="1">
      <c r="B536" s="2"/>
      <c r="C536" s="626"/>
      <c r="D536" s="2"/>
      <c r="E536" s="2"/>
    </row>
    <row r="537" spans="2:5" ht="14.25" customHeight="1">
      <c r="B537" s="2"/>
      <c r="C537" s="626"/>
      <c r="D537" s="2"/>
      <c r="E537" s="2"/>
    </row>
    <row r="538" spans="2:5" ht="14.25" customHeight="1">
      <c r="B538" s="2"/>
      <c r="C538" s="626"/>
      <c r="D538" s="2"/>
      <c r="E538" s="2"/>
    </row>
    <row r="539" spans="2:5" ht="14.25" customHeight="1">
      <c r="B539" s="2"/>
      <c r="C539" s="626"/>
      <c r="D539" s="2"/>
      <c r="E539" s="2"/>
    </row>
    <row r="540" spans="2:5" ht="14.25" customHeight="1">
      <c r="B540" s="2"/>
      <c r="C540" s="626"/>
      <c r="D540" s="2"/>
      <c r="E540" s="2"/>
    </row>
    <row r="541" spans="2:5" ht="14.25" customHeight="1">
      <c r="B541" s="2"/>
      <c r="C541" s="626"/>
      <c r="D541" s="2"/>
      <c r="E541" s="2"/>
    </row>
    <row r="542" spans="2:5" ht="14.25" customHeight="1">
      <c r="B542" s="2"/>
      <c r="C542" s="626"/>
      <c r="D542" s="2"/>
      <c r="E542" s="2"/>
    </row>
    <row r="543" spans="2:5" ht="14.25" customHeight="1">
      <c r="B543" s="2"/>
      <c r="C543" s="626"/>
      <c r="D543" s="2"/>
      <c r="E543" s="2"/>
    </row>
    <row r="544" spans="2:5" ht="14.25" customHeight="1">
      <c r="B544" s="2"/>
      <c r="C544" s="626"/>
      <c r="D544" s="2"/>
      <c r="E544" s="2"/>
    </row>
    <row r="545" spans="2:5" ht="14.25" customHeight="1">
      <c r="B545" s="2"/>
      <c r="C545" s="626"/>
      <c r="D545" s="2"/>
      <c r="E545" s="2"/>
    </row>
    <row r="546" spans="2:5" ht="14.25" customHeight="1">
      <c r="B546" s="2"/>
      <c r="C546" s="626"/>
      <c r="D546" s="2"/>
      <c r="E546" s="2"/>
    </row>
    <row r="547" spans="2:5" ht="14.25" customHeight="1">
      <c r="B547" s="2"/>
      <c r="C547" s="626"/>
      <c r="D547" s="2"/>
      <c r="E547" s="2"/>
    </row>
    <row r="548" spans="2:5" ht="14.25" customHeight="1">
      <c r="B548" s="2"/>
      <c r="C548" s="626"/>
      <c r="D548" s="2"/>
      <c r="E548" s="2"/>
    </row>
    <row r="549" spans="2:5" ht="14.25" customHeight="1">
      <c r="B549" s="2"/>
      <c r="C549" s="626"/>
      <c r="D549" s="2"/>
      <c r="E549" s="2"/>
    </row>
    <row r="550" spans="2:5" ht="14.25" customHeight="1">
      <c r="B550" s="2"/>
      <c r="C550" s="626"/>
      <c r="D550" s="2"/>
      <c r="E550" s="2"/>
    </row>
    <row r="551" spans="2:5" ht="14.25" customHeight="1">
      <c r="B551" s="2"/>
      <c r="C551" s="626"/>
      <c r="D551" s="2"/>
      <c r="E551" s="2"/>
    </row>
    <row r="552" spans="2:5" ht="14.25" customHeight="1">
      <c r="B552" s="2"/>
      <c r="C552" s="626"/>
      <c r="D552" s="2"/>
      <c r="E552" s="2"/>
    </row>
    <row r="553" spans="2:5" ht="14.25" customHeight="1">
      <c r="B553" s="2"/>
      <c r="C553" s="626"/>
      <c r="D553" s="2"/>
      <c r="E553" s="2"/>
    </row>
    <row r="554" spans="2:5" ht="14.25" customHeight="1">
      <c r="B554" s="2"/>
      <c r="C554" s="626"/>
      <c r="D554" s="2"/>
      <c r="E554" s="2"/>
    </row>
    <row r="555" spans="2:5" ht="14.25" customHeight="1">
      <c r="B555" s="2"/>
      <c r="C555" s="626"/>
      <c r="D555" s="2"/>
      <c r="E555" s="2"/>
    </row>
    <row r="556" spans="2:5" ht="14.25" customHeight="1">
      <c r="B556" s="2"/>
      <c r="C556" s="626"/>
      <c r="D556" s="2"/>
      <c r="E556" s="2"/>
    </row>
    <row r="557" spans="2:5" ht="14.25" customHeight="1">
      <c r="B557" s="2"/>
      <c r="C557" s="626"/>
      <c r="D557" s="2"/>
      <c r="E557" s="2"/>
    </row>
    <row r="558" spans="2:5" ht="14.25" customHeight="1">
      <c r="B558" s="2"/>
      <c r="C558" s="626"/>
      <c r="D558" s="2"/>
      <c r="E558" s="2"/>
    </row>
    <row r="559" spans="2:5" ht="14.25" customHeight="1">
      <c r="B559" s="2"/>
      <c r="C559" s="626"/>
      <c r="D559" s="2"/>
      <c r="E559" s="2"/>
    </row>
    <row r="560" spans="2:5" ht="14.25" customHeight="1">
      <c r="B560" s="2"/>
      <c r="C560" s="626"/>
      <c r="D560" s="2"/>
      <c r="E560" s="2"/>
    </row>
    <row r="561" spans="2:5" ht="14.25" customHeight="1">
      <c r="B561" s="2"/>
      <c r="C561" s="626"/>
      <c r="D561" s="2"/>
      <c r="E561" s="2"/>
    </row>
    <row r="562" spans="2:5" ht="14.25" customHeight="1">
      <c r="B562" s="2"/>
      <c r="C562" s="626"/>
      <c r="D562" s="2"/>
      <c r="E562" s="2"/>
    </row>
    <row r="563" spans="2:5" ht="14.25" customHeight="1">
      <c r="B563" s="2"/>
      <c r="C563" s="626"/>
      <c r="D563" s="2"/>
      <c r="E563" s="2"/>
    </row>
    <row r="564" spans="2:5" ht="14.25" customHeight="1">
      <c r="B564" s="2"/>
      <c r="C564" s="626"/>
      <c r="D564" s="2"/>
      <c r="E564" s="2"/>
    </row>
    <row r="565" spans="2:5" ht="14.25" customHeight="1">
      <c r="B565" s="2"/>
      <c r="C565" s="626"/>
      <c r="D565" s="2"/>
      <c r="E565" s="2"/>
    </row>
    <row r="566" spans="2:5" ht="14.25" customHeight="1">
      <c r="B566" s="2"/>
      <c r="C566" s="626"/>
      <c r="D566" s="2"/>
      <c r="E566" s="2"/>
    </row>
    <row r="567" spans="2:5" ht="14.25" customHeight="1">
      <c r="B567" s="2"/>
      <c r="C567" s="626"/>
      <c r="D567" s="2"/>
      <c r="E567" s="2"/>
    </row>
    <row r="568" spans="2:5" ht="14.25" customHeight="1">
      <c r="B568" s="2"/>
      <c r="C568" s="626"/>
      <c r="D568" s="2"/>
      <c r="E568" s="2"/>
    </row>
    <row r="569" spans="2:5" ht="14.25" customHeight="1">
      <c r="B569" s="2"/>
      <c r="C569" s="626"/>
      <c r="D569" s="2"/>
      <c r="E569" s="2"/>
    </row>
    <row r="570" spans="2:5" ht="14.25" customHeight="1">
      <c r="B570" s="2"/>
      <c r="C570" s="626"/>
      <c r="D570" s="2"/>
      <c r="E570" s="2"/>
    </row>
    <row r="571" spans="2:5" ht="14.25" customHeight="1">
      <c r="B571" s="2"/>
      <c r="C571" s="626"/>
      <c r="D571" s="2"/>
      <c r="E571" s="2"/>
    </row>
    <row r="572" spans="2:5" ht="14.25" customHeight="1">
      <c r="B572" s="2"/>
      <c r="C572" s="626"/>
      <c r="D572" s="2"/>
      <c r="E572" s="2"/>
    </row>
    <row r="573" spans="2:5" ht="14.25" customHeight="1">
      <c r="B573" s="2"/>
      <c r="C573" s="626"/>
      <c r="D573" s="2"/>
      <c r="E573" s="2"/>
    </row>
    <row r="574" spans="2:5" ht="14.25" customHeight="1">
      <c r="B574" s="2"/>
      <c r="C574" s="626"/>
      <c r="D574" s="2"/>
      <c r="E574" s="2"/>
    </row>
    <row r="575" spans="2:5" ht="14.25" customHeight="1">
      <c r="B575" s="2"/>
      <c r="C575" s="626"/>
      <c r="D575" s="2"/>
      <c r="E575" s="2"/>
    </row>
    <row r="576" spans="2:5" ht="14.25" customHeight="1">
      <c r="B576" s="2"/>
      <c r="C576" s="626"/>
      <c r="D576" s="2"/>
      <c r="E576" s="2"/>
    </row>
    <row r="577" spans="2:5" ht="14.25" customHeight="1">
      <c r="B577" s="2"/>
      <c r="C577" s="626"/>
      <c r="D577" s="2"/>
      <c r="E577" s="2"/>
    </row>
    <row r="578" spans="2:5" ht="14.25" customHeight="1">
      <c r="B578" s="2"/>
      <c r="C578" s="626"/>
      <c r="D578" s="2"/>
      <c r="E578" s="2"/>
    </row>
    <row r="579" spans="2:5" ht="14.25" customHeight="1">
      <c r="B579" s="2"/>
      <c r="C579" s="626"/>
      <c r="D579" s="2"/>
      <c r="E579" s="2"/>
    </row>
    <row r="580" spans="2:5" ht="14.25" customHeight="1">
      <c r="B580" s="2"/>
      <c r="C580" s="626"/>
      <c r="D580" s="2"/>
      <c r="E580" s="2"/>
    </row>
    <row r="581" spans="2:5" ht="14.25" customHeight="1">
      <c r="B581" s="2"/>
      <c r="C581" s="626"/>
      <c r="D581" s="2"/>
      <c r="E581" s="2"/>
    </row>
    <row r="582" spans="2:5" ht="14.25" customHeight="1">
      <c r="B582" s="2"/>
      <c r="C582" s="626"/>
      <c r="D582" s="2"/>
      <c r="E582" s="2"/>
    </row>
    <row r="583" spans="2:5" ht="14.25" customHeight="1">
      <c r="B583" s="2"/>
      <c r="C583" s="626"/>
      <c r="D583" s="2"/>
      <c r="E583" s="2"/>
    </row>
    <row r="584" spans="2:5" ht="14.25" customHeight="1">
      <c r="B584" s="2"/>
      <c r="C584" s="626"/>
      <c r="D584" s="2"/>
      <c r="E584" s="2"/>
    </row>
    <row r="585" spans="2:5" ht="14.25" customHeight="1">
      <c r="B585" s="2"/>
      <c r="C585" s="626"/>
      <c r="D585" s="2"/>
      <c r="E585" s="2"/>
    </row>
    <row r="586" spans="2:5" ht="14.25" customHeight="1">
      <c r="B586" s="2"/>
      <c r="C586" s="626"/>
      <c r="D586" s="2"/>
      <c r="E586" s="2"/>
    </row>
    <row r="587" spans="2:5" ht="14.25" customHeight="1">
      <c r="B587" s="2"/>
      <c r="C587" s="626"/>
      <c r="D587" s="2"/>
      <c r="E587" s="2"/>
    </row>
    <row r="588" spans="2:5" ht="14.25" customHeight="1">
      <c r="B588" s="2"/>
      <c r="C588" s="626"/>
      <c r="D588" s="2"/>
      <c r="E588" s="2"/>
    </row>
    <row r="589" spans="2:5" ht="14.25" customHeight="1">
      <c r="B589" s="2"/>
      <c r="C589" s="626"/>
      <c r="D589" s="2"/>
      <c r="E589" s="2"/>
    </row>
    <row r="590" spans="2:5" ht="14.25" customHeight="1">
      <c r="B590" s="2"/>
      <c r="C590" s="626"/>
      <c r="D590" s="2"/>
      <c r="E590" s="2"/>
    </row>
    <row r="591" spans="2:5" ht="14.25" customHeight="1">
      <c r="B591" s="2"/>
      <c r="C591" s="626"/>
      <c r="D591" s="2"/>
      <c r="E591" s="2"/>
    </row>
    <row r="592" spans="2:5" ht="14.25" customHeight="1">
      <c r="B592" s="2"/>
      <c r="C592" s="626"/>
      <c r="D592" s="2"/>
      <c r="E592" s="2"/>
    </row>
    <row r="593" spans="2:5" ht="14.25" customHeight="1">
      <c r="B593" s="2"/>
      <c r="C593" s="626"/>
      <c r="D593" s="2"/>
      <c r="E593" s="2"/>
    </row>
    <row r="594" spans="2:5" ht="14.25" customHeight="1">
      <c r="B594" s="2"/>
      <c r="C594" s="626"/>
      <c r="D594" s="2"/>
      <c r="E594" s="2"/>
    </row>
    <row r="595" spans="2:5" ht="14.25" customHeight="1">
      <c r="B595" s="2"/>
      <c r="C595" s="626"/>
      <c r="D595" s="2"/>
      <c r="E595" s="2"/>
    </row>
    <row r="596" spans="2:5" ht="14.25" customHeight="1">
      <c r="B596" s="2"/>
      <c r="C596" s="626"/>
      <c r="D596" s="2"/>
      <c r="E596" s="2"/>
    </row>
    <row r="597" spans="2:5" ht="14.25" customHeight="1">
      <c r="B597" s="2"/>
      <c r="C597" s="626"/>
      <c r="D597" s="2"/>
      <c r="E597" s="2"/>
    </row>
    <row r="598" spans="2:5" ht="14.25" customHeight="1">
      <c r="B598" s="2"/>
      <c r="C598" s="626"/>
      <c r="D598" s="2"/>
      <c r="E598" s="2"/>
    </row>
    <row r="599" spans="2:5" ht="14.25" customHeight="1">
      <c r="B599" s="2"/>
      <c r="C599" s="626"/>
      <c r="D599" s="2"/>
      <c r="E599" s="2"/>
    </row>
    <row r="600" spans="2:5" ht="14.25" customHeight="1">
      <c r="B600" s="2"/>
      <c r="C600" s="626"/>
      <c r="D600" s="2"/>
      <c r="E600" s="2"/>
    </row>
    <row r="601" spans="2:5" ht="14.25" customHeight="1">
      <c r="B601" s="2"/>
      <c r="C601" s="626"/>
      <c r="D601" s="2"/>
      <c r="E601" s="2"/>
    </row>
    <row r="602" spans="2:5" ht="14.25" customHeight="1">
      <c r="B602" s="2"/>
      <c r="C602" s="626"/>
      <c r="D602" s="2"/>
      <c r="E602" s="2"/>
    </row>
    <row r="603" spans="2:5" ht="14.25" customHeight="1">
      <c r="B603" s="2"/>
      <c r="C603" s="626"/>
      <c r="D603" s="2"/>
      <c r="E603" s="2"/>
    </row>
    <row r="604" spans="2:5" ht="14.25" customHeight="1">
      <c r="B604" s="2"/>
      <c r="C604" s="626"/>
      <c r="D604" s="2"/>
      <c r="E604" s="2"/>
    </row>
    <row r="605" spans="2:5" ht="14.25" customHeight="1">
      <c r="B605" s="2"/>
      <c r="C605" s="626"/>
      <c r="D605" s="2"/>
      <c r="E605" s="2"/>
    </row>
    <row r="606" spans="2:5" ht="14.25" customHeight="1">
      <c r="B606" s="2"/>
      <c r="C606" s="626"/>
      <c r="D606" s="2"/>
      <c r="E606" s="2"/>
    </row>
    <row r="607" spans="2:5" ht="14.25" customHeight="1">
      <c r="B607" s="2"/>
      <c r="C607" s="626"/>
      <c r="D607" s="2"/>
      <c r="E607" s="2"/>
    </row>
    <row r="608" spans="2:5" ht="14.25" customHeight="1">
      <c r="B608" s="2"/>
      <c r="C608" s="626"/>
      <c r="D608" s="2"/>
      <c r="E608" s="2"/>
    </row>
    <row r="609" spans="2:5" ht="14.25" customHeight="1">
      <c r="B609" s="2"/>
      <c r="C609" s="626"/>
      <c r="D609" s="2"/>
      <c r="E609" s="2"/>
    </row>
    <row r="610" spans="2:5" ht="14.25" customHeight="1">
      <c r="B610" s="2"/>
      <c r="C610" s="626"/>
      <c r="D610" s="2"/>
      <c r="E610" s="2"/>
    </row>
    <row r="611" spans="2:5" ht="14.25" customHeight="1">
      <c r="B611" s="2"/>
      <c r="C611" s="626"/>
      <c r="D611" s="2"/>
      <c r="E611" s="2"/>
    </row>
    <row r="612" spans="2:5" ht="14.25" customHeight="1">
      <c r="B612" s="2"/>
      <c r="C612" s="626"/>
      <c r="D612" s="2"/>
      <c r="E612" s="2"/>
    </row>
    <row r="613" spans="2:5" ht="14.25" customHeight="1">
      <c r="B613" s="2"/>
      <c r="C613" s="626"/>
      <c r="D613" s="2"/>
      <c r="E613" s="2"/>
    </row>
    <row r="614" spans="2:5" ht="14.25" customHeight="1">
      <c r="B614" s="2"/>
      <c r="C614" s="626"/>
      <c r="D614" s="2"/>
      <c r="E614" s="2"/>
    </row>
    <row r="615" spans="2:5" ht="14.25" customHeight="1">
      <c r="B615" s="2"/>
      <c r="C615" s="626"/>
      <c r="D615" s="2"/>
      <c r="E615" s="2"/>
    </row>
    <row r="616" spans="2:5" ht="14.25" customHeight="1">
      <c r="B616" s="2"/>
      <c r="C616" s="626"/>
      <c r="D616" s="2"/>
      <c r="E616" s="2"/>
    </row>
    <row r="617" spans="2:5" ht="14.25" customHeight="1">
      <c r="B617" s="2"/>
      <c r="C617" s="626"/>
      <c r="D617" s="2"/>
      <c r="E617" s="2"/>
    </row>
    <row r="618" spans="2:5" ht="14.25" customHeight="1">
      <c r="B618" s="2"/>
      <c r="C618" s="626"/>
      <c r="D618" s="2"/>
      <c r="E618" s="2"/>
    </row>
    <row r="619" spans="2:5" ht="14.25" customHeight="1">
      <c r="B619" s="2"/>
      <c r="C619" s="626"/>
      <c r="D619" s="2"/>
      <c r="E619" s="2"/>
    </row>
    <row r="620" spans="2:5" ht="14.25" customHeight="1">
      <c r="B620" s="2"/>
      <c r="C620" s="626"/>
      <c r="D620" s="2"/>
      <c r="E620" s="2"/>
    </row>
    <row r="621" spans="2:5" ht="14.25" customHeight="1">
      <c r="B621" s="2"/>
      <c r="C621" s="626"/>
      <c r="D621" s="2"/>
      <c r="E621" s="2"/>
    </row>
    <row r="622" spans="2:5" ht="14.25" customHeight="1">
      <c r="B622" s="2"/>
      <c r="C622" s="626"/>
      <c r="D622" s="2"/>
      <c r="E622" s="2"/>
    </row>
    <row r="623" spans="2:5" ht="14.25" customHeight="1">
      <c r="B623" s="2"/>
      <c r="C623" s="626"/>
      <c r="D623" s="2"/>
      <c r="E623" s="2"/>
    </row>
    <row r="624" spans="2:5" ht="14.25" customHeight="1">
      <c r="B624" s="2"/>
      <c r="C624" s="626"/>
      <c r="D624" s="2"/>
      <c r="E624" s="2"/>
    </row>
    <row r="625" spans="2:5" ht="14.25" customHeight="1">
      <c r="B625" s="2"/>
      <c r="C625" s="626"/>
      <c r="D625" s="2"/>
      <c r="E625" s="2"/>
    </row>
    <row r="626" spans="2:5" ht="14.25" customHeight="1">
      <c r="B626" s="2"/>
      <c r="C626" s="626"/>
      <c r="D626" s="2"/>
      <c r="E626" s="2"/>
    </row>
    <row r="627" spans="2:5" ht="14.25" customHeight="1">
      <c r="B627" s="2"/>
      <c r="C627" s="626"/>
      <c r="D627" s="2"/>
      <c r="E627" s="2"/>
    </row>
    <row r="628" spans="2:5" ht="14.25" customHeight="1">
      <c r="B628" s="2"/>
      <c r="C628" s="626"/>
      <c r="D628" s="2"/>
      <c r="E628" s="2"/>
    </row>
    <row r="629" spans="2:5" ht="14.25" customHeight="1">
      <c r="B629" s="2"/>
      <c r="C629" s="626"/>
      <c r="D629" s="2"/>
      <c r="E629" s="2"/>
    </row>
    <row r="630" spans="2:5" ht="14.25" customHeight="1">
      <c r="B630" s="2"/>
      <c r="C630" s="626"/>
      <c r="D630" s="2"/>
      <c r="E630" s="2"/>
    </row>
    <row r="631" spans="2:5" ht="14.25" customHeight="1">
      <c r="B631" s="2"/>
      <c r="C631" s="626"/>
      <c r="D631" s="2"/>
      <c r="E631" s="2"/>
    </row>
    <row r="632" spans="2:5" ht="14.25" customHeight="1">
      <c r="B632" s="2"/>
      <c r="C632" s="626"/>
      <c r="D632" s="2"/>
      <c r="E632" s="2"/>
    </row>
    <row r="633" spans="2:5" ht="14.25" customHeight="1">
      <c r="B633" s="2"/>
      <c r="C633" s="626"/>
      <c r="D633" s="2"/>
      <c r="E633" s="2"/>
    </row>
    <row r="634" spans="2:5" ht="14.25" customHeight="1">
      <c r="B634" s="2"/>
      <c r="C634" s="626"/>
      <c r="D634" s="2"/>
      <c r="E634" s="2"/>
    </row>
    <row r="635" spans="2:5" ht="14.25" customHeight="1">
      <c r="B635" s="2"/>
      <c r="C635" s="626"/>
      <c r="D635" s="2"/>
      <c r="E635" s="2"/>
    </row>
    <row r="636" spans="2:5" ht="14.25" customHeight="1">
      <c r="B636" s="2"/>
      <c r="C636" s="626"/>
      <c r="D636" s="2"/>
      <c r="E636" s="2"/>
    </row>
    <row r="637" spans="2:5" ht="14.25" customHeight="1">
      <c r="B637" s="2"/>
      <c r="C637" s="626"/>
      <c r="D637" s="2"/>
      <c r="E637" s="2"/>
    </row>
    <row r="638" spans="2:5" ht="14.25" customHeight="1">
      <c r="B638" s="2"/>
      <c r="C638" s="626"/>
      <c r="D638" s="2"/>
      <c r="E638" s="2"/>
    </row>
    <row r="639" spans="2:5" ht="14.25" customHeight="1">
      <c r="B639" s="2"/>
      <c r="C639" s="626"/>
      <c r="D639" s="2"/>
      <c r="E639" s="2"/>
    </row>
    <row r="640" spans="2:5" ht="14.25" customHeight="1">
      <c r="B640" s="2"/>
      <c r="C640" s="626"/>
      <c r="D640" s="2"/>
      <c r="E640" s="2"/>
    </row>
    <row r="641" spans="2:5" ht="14.25" customHeight="1">
      <c r="B641" s="2"/>
      <c r="C641" s="626"/>
      <c r="D641" s="2"/>
      <c r="E641" s="2"/>
    </row>
    <row r="642" spans="2:5" ht="14.25" customHeight="1">
      <c r="B642" s="2"/>
      <c r="C642" s="626"/>
      <c r="D642" s="2"/>
      <c r="E642" s="2"/>
    </row>
    <row r="643" spans="2:5" ht="14.25" customHeight="1">
      <c r="B643" s="2"/>
      <c r="C643" s="626"/>
      <c r="D643" s="2"/>
      <c r="E643" s="2"/>
    </row>
    <row r="644" spans="2:5" ht="14.25" customHeight="1">
      <c r="B644" s="2"/>
      <c r="C644" s="626"/>
      <c r="D644" s="2"/>
      <c r="E644" s="2"/>
    </row>
    <row r="645" spans="2:5" ht="14.25" customHeight="1">
      <c r="B645" s="2"/>
      <c r="C645" s="626"/>
      <c r="D645" s="2"/>
      <c r="E645" s="2"/>
    </row>
    <row r="646" spans="2:5" ht="14.25" customHeight="1">
      <c r="B646" s="2"/>
      <c r="C646" s="626"/>
      <c r="D646" s="2"/>
      <c r="E646" s="2"/>
    </row>
    <row r="647" spans="2:5" ht="14.25" customHeight="1">
      <c r="B647" s="2"/>
      <c r="C647" s="626"/>
      <c r="D647" s="2"/>
      <c r="E647" s="2"/>
    </row>
    <row r="648" spans="2:5" ht="14.25" customHeight="1">
      <c r="B648" s="2"/>
      <c r="C648" s="626"/>
      <c r="D648" s="2"/>
      <c r="E648" s="2"/>
    </row>
    <row r="649" spans="2:5" ht="14.25" customHeight="1">
      <c r="B649" s="2"/>
      <c r="C649" s="626"/>
      <c r="D649" s="2"/>
      <c r="E649" s="2"/>
    </row>
    <row r="650" spans="2:5" ht="14.25" customHeight="1">
      <c r="B650" s="2"/>
      <c r="C650" s="626"/>
      <c r="D650" s="2"/>
      <c r="E650" s="2"/>
    </row>
    <row r="651" spans="2:5" ht="14.25" customHeight="1">
      <c r="B651" s="2"/>
      <c r="C651" s="626"/>
      <c r="D651" s="2"/>
      <c r="E651" s="2"/>
    </row>
    <row r="652" spans="2:5" ht="14.25" customHeight="1">
      <c r="B652" s="2"/>
      <c r="C652" s="626"/>
      <c r="D652" s="2"/>
      <c r="E652" s="2"/>
    </row>
    <row r="653" spans="2:5" ht="14.25" customHeight="1">
      <c r="B653" s="2"/>
      <c r="C653" s="626"/>
      <c r="D653" s="2"/>
      <c r="E653" s="2"/>
    </row>
    <row r="654" spans="2:5" ht="14.25" customHeight="1">
      <c r="B654" s="2"/>
      <c r="C654" s="626"/>
      <c r="D654" s="2"/>
      <c r="E654" s="2"/>
    </row>
    <row r="655" spans="2:5" ht="14.25" customHeight="1">
      <c r="B655" s="2"/>
      <c r="C655" s="626"/>
      <c r="D655" s="2"/>
      <c r="E655" s="2"/>
    </row>
    <row r="656" spans="2:5" ht="14.25" customHeight="1">
      <c r="B656" s="2"/>
      <c r="C656" s="626"/>
      <c r="D656" s="2"/>
      <c r="E656" s="2"/>
    </row>
    <row r="657" spans="2:5" ht="14.25" customHeight="1">
      <c r="B657" s="2"/>
      <c r="C657" s="626"/>
      <c r="D657" s="2"/>
      <c r="E657" s="2"/>
    </row>
    <row r="658" spans="2:5" ht="14.25" customHeight="1">
      <c r="B658" s="2"/>
      <c r="C658" s="626"/>
      <c r="D658" s="2"/>
      <c r="E658" s="2"/>
    </row>
    <row r="659" spans="2:5" ht="14.25" customHeight="1">
      <c r="B659" s="2"/>
      <c r="C659" s="626"/>
      <c r="D659" s="2"/>
      <c r="E659" s="2"/>
    </row>
    <row r="660" spans="2:5" ht="14.25" customHeight="1">
      <c r="B660" s="2"/>
      <c r="C660" s="626"/>
      <c r="D660" s="2"/>
      <c r="E660" s="2"/>
    </row>
    <row r="661" spans="2:5" ht="14.25" customHeight="1">
      <c r="B661" s="2"/>
      <c r="C661" s="626"/>
      <c r="D661" s="2"/>
      <c r="E661" s="2"/>
    </row>
    <row r="662" spans="2:5" ht="14.25" customHeight="1">
      <c r="B662" s="2"/>
      <c r="C662" s="626"/>
      <c r="D662" s="2"/>
      <c r="E662" s="2"/>
    </row>
    <row r="663" spans="2:5" ht="14.25" customHeight="1">
      <c r="B663" s="2"/>
      <c r="C663" s="626"/>
      <c r="D663" s="2"/>
      <c r="E663" s="2"/>
    </row>
    <row r="664" spans="2:5" ht="14.25" customHeight="1">
      <c r="B664" s="2"/>
      <c r="C664" s="626"/>
      <c r="D664" s="2"/>
      <c r="E664" s="2"/>
    </row>
    <row r="665" spans="2:5" ht="14.25" customHeight="1">
      <c r="B665" s="2"/>
      <c r="C665" s="626"/>
      <c r="D665" s="2"/>
      <c r="E665" s="2"/>
    </row>
    <row r="666" spans="2:5" ht="14.25" customHeight="1">
      <c r="B666" s="2"/>
      <c r="C666" s="626"/>
      <c r="D666" s="2"/>
      <c r="E666" s="2"/>
    </row>
    <row r="667" spans="2:5" ht="14.25" customHeight="1">
      <c r="B667" s="2"/>
      <c r="C667" s="626"/>
      <c r="D667" s="2"/>
      <c r="E667" s="2"/>
    </row>
    <row r="668" spans="2:5" ht="14.25" customHeight="1">
      <c r="B668" s="2"/>
      <c r="C668" s="626"/>
      <c r="D668" s="2"/>
      <c r="E668" s="2"/>
    </row>
    <row r="669" spans="2:5" ht="14.25" customHeight="1">
      <c r="B669" s="2"/>
      <c r="C669" s="626"/>
      <c r="D669" s="2"/>
      <c r="E669" s="2"/>
    </row>
    <row r="670" spans="2:5" ht="14.25" customHeight="1">
      <c r="B670" s="2"/>
      <c r="C670" s="626"/>
      <c r="D670" s="2"/>
      <c r="E670" s="2"/>
    </row>
    <row r="671" spans="2:5" ht="14.25" customHeight="1">
      <c r="B671" s="2"/>
      <c r="C671" s="626"/>
      <c r="D671" s="2"/>
      <c r="E671" s="2"/>
    </row>
    <row r="672" spans="2:5" ht="14.25" customHeight="1">
      <c r="B672" s="2"/>
      <c r="C672" s="626"/>
      <c r="D672" s="2"/>
      <c r="E672" s="2"/>
    </row>
    <row r="673" spans="2:5" ht="14.25" customHeight="1">
      <c r="B673" s="2"/>
      <c r="C673" s="626"/>
      <c r="D673" s="2"/>
      <c r="E673" s="2"/>
    </row>
    <row r="674" spans="2:5" ht="14.25" customHeight="1">
      <c r="B674" s="2"/>
      <c r="C674" s="626"/>
      <c r="D674" s="2"/>
      <c r="E674" s="2"/>
    </row>
    <row r="675" spans="2:5" ht="14.25" customHeight="1">
      <c r="B675" s="2"/>
      <c r="C675" s="626"/>
      <c r="D675" s="2"/>
      <c r="E675" s="2"/>
    </row>
    <row r="676" spans="2:5" ht="14.25" customHeight="1">
      <c r="B676" s="2"/>
      <c r="C676" s="626"/>
      <c r="D676" s="2"/>
      <c r="E676" s="2"/>
    </row>
    <row r="677" spans="2:5" ht="14.25" customHeight="1">
      <c r="B677" s="2"/>
      <c r="C677" s="626"/>
      <c r="D677" s="2"/>
      <c r="E677" s="2"/>
    </row>
    <row r="678" spans="2:5" ht="14.25" customHeight="1">
      <c r="B678" s="2"/>
      <c r="C678" s="626"/>
      <c r="D678" s="2"/>
      <c r="E678" s="2"/>
    </row>
    <row r="679" spans="2:5" ht="14.25" customHeight="1">
      <c r="B679" s="2"/>
      <c r="C679" s="626"/>
      <c r="D679" s="2"/>
      <c r="E679" s="2"/>
    </row>
    <row r="680" spans="2:5" ht="14.25" customHeight="1">
      <c r="B680" s="2"/>
      <c r="C680" s="626"/>
      <c r="D680" s="2"/>
      <c r="E680" s="2"/>
    </row>
    <row r="681" spans="2:5" ht="14.25" customHeight="1">
      <c r="B681" s="2"/>
      <c r="C681" s="626"/>
      <c r="D681" s="2"/>
      <c r="E681" s="2"/>
    </row>
    <row r="682" spans="2:5" ht="14.25" customHeight="1">
      <c r="B682" s="2"/>
      <c r="C682" s="626"/>
      <c r="D682" s="2"/>
      <c r="E682" s="2"/>
    </row>
    <row r="683" spans="2:5" ht="14.25" customHeight="1">
      <c r="B683" s="2"/>
      <c r="C683" s="626"/>
      <c r="D683" s="2"/>
      <c r="E683" s="2"/>
    </row>
    <row r="684" spans="2:5" ht="14.25" customHeight="1">
      <c r="B684" s="2"/>
      <c r="C684" s="626"/>
      <c r="D684" s="2"/>
      <c r="E684" s="2"/>
    </row>
    <row r="685" spans="2:5" ht="14.25" customHeight="1">
      <c r="B685" s="2"/>
      <c r="C685" s="626"/>
      <c r="D685" s="2"/>
      <c r="E685" s="2"/>
    </row>
    <row r="686" spans="2:5" ht="14.25" customHeight="1">
      <c r="B686" s="2"/>
      <c r="C686" s="626"/>
      <c r="D686" s="2"/>
      <c r="E686" s="2"/>
    </row>
    <row r="687" spans="2:5" ht="14.25" customHeight="1">
      <c r="B687" s="2"/>
      <c r="C687" s="626"/>
      <c r="D687" s="2"/>
      <c r="E687" s="2"/>
    </row>
    <row r="688" spans="2:5" ht="14.25" customHeight="1">
      <c r="B688" s="2"/>
      <c r="C688" s="626"/>
      <c r="D688" s="2"/>
      <c r="E688" s="2"/>
    </row>
    <row r="689" spans="2:5" ht="14.25" customHeight="1">
      <c r="B689" s="2"/>
      <c r="C689" s="626"/>
      <c r="D689" s="2"/>
      <c r="E689" s="2"/>
    </row>
    <row r="690" spans="2:5" ht="14.25" customHeight="1">
      <c r="B690" s="2"/>
      <c r="C690" s="626"/>
      <c r="D690" s="2"/>
      <c r="E690" s="2"/>
    </row>
    <row r="691" spans="2:5" ht="14.25" customHeight="1">
      <c r="B691" s="2"/>
      <c r="C691" s="626"/>
      <c r="D691" s="2"/>
      <c r="E691" s="2"/>
    </row>
    <row r="692" spans="2:5" ht="14.25" customHeight="1">
      <c r="B692" s="2"/>
      <c r="C692" s="626"/>
      <c r="D692" s="2"/>
      <c r="E692" s="2"/>
    </row>
    <row r="693" spans="2:5" ht="14.25" customHeight="1">
      <c r="B693" s="2"/>
      <c r="C693" s="626"/>
      <c r="D693" s="2"/>
      <c r="E693" s="2"/>
    </row>
    <row r="694" spans="2:5" ht="14.25" customHeight="1">
      <c r="B694" s="2"/>
      <c r="C694" s="626"/>
      <c r="D694" s="2"/>
      <c r="E694" s="2"/>
    </row>
    <row r="695" spans="2:5" ht="14.25" customHeight="1">
      <c r="B695" s="2"/>
      <c r="C695" s="626"/>
      <c r="D695" s="2"/>
      <c r="E695" s="2"/>
    </row>
    <row r="696" spans="2:5" ht="14.25" customHeight="1">
      <c r="B696" s="2"/>
      <c r="C696" s="626"/>
      <c r="D696" s="2"/>
      <c r="E696" s="2"/>
    </row>
    <row r="697" spans="2:5" ht="14.25" customHeight="1">
      <c r="B697" s="2"/>
      <c r="C697" s="626"/>
      <c r="D697" s="2"/>
      <c r="E697" s="2"/>
    </row>
    <row r="698" spans="2:5" ht="14.25" customHeight="1">
      <c r="B698" s="2"/>
      <c r="C698" s="626"/>
      <c r="D698" s="2"/>
      <c r="E698" s="2"/>
    </row>
    <row r="699" spans="2:5" ht="14.25" customHeight="1">
      <c r="B699" s="2"/>
      <c r="C699" s="626"/>
      <c r="D699" s="2"/>
      <c r="E699" s="2"/>
    </row>
    <row r="700" spans="2:5" ht="14.25" customHeight="1">
      <c r="B700" s="2"/>
      <c r="C700" s="626"/>
      <c r="D700" s="2"/>
      <c r="E700" s="2"/>
    </row>
    <row r="701" spans="2:5" ht="14.25" customHeight="1">
      <c r="B701" s="2"/>
      <c r="C701" s="626"/>
      <c r="D701" s="2"/>
      <c r="E701" s="2"/>
    </row>
    <row r="702" spans="2:5" ht="14.25" customHeight="1">
      <c r="B702" s="2"/>
      <c r="C702" s="626"/>
      <c r="D702" s="2"/>
      <c r="E702" s="2"/>
    </row>
    <row r="703" spans="2:5" ht="14.25" customHeight="1">
      <c r="B703" s="2"/>
      <c r="C703" s="626"/>
      <c r="D703" s="2"/>
      <c r="E703" s="2"/>
    </row>
    <row r="704" spans="2:5" ht="14.25" customHeight="1">
      <c r="B704" s="2"/>
      <c r="C704" s="626"/>
      <c r="D704" s="2"/>
      <c r="E704" s="2"/>
    </row>
    <row r="705" spans="2:5" ht="14.25" customHeight="1">
      <c r="B705" s="2"/>
      <c r="C705" s="626"/>
      <c r="D705" s="2"/>
      <c r="E705" s="2"/>
    </row>
    <row r="706" spans="2:5" ht="14.25" customHeight="1">
      <c r="B706" s="2"/>
      <c r="C706" s="626"/>
      <c r="D706" s="2"/>
      <c r="E706" s="2"/>
    </row>
    <row r="707" spans="2:5" ht="14.25" customHeight="1">
      <c r="B707" s="2"/>
      <c r="C707" s="626"/>
      <c r="D707" s="2"/>
      <c r="E707" s="2"/>
    </row>
    <row r="708" spans="2:5" ht="14.25" customHeight="1">
      <c r="B708" s="2"/>
      <c r="C708" s="626"/>
      <c r="D708" s="2"/>
      <c r="E708" s="2"/>
    </row>
    <row r="709" spans="2:5" ht="14.25" customHeight="1">
      <c r="B709" s="2"/>
      <c r="C709" s="626"/>
      <c r="D709" s="2"/>
      <c r="E709" s="2"/>
    </row>
    <row r="710" spans="2:5" ht="14.25" customHeight="1">
      <c r="B710" s="2"/>
      <c r="C710" s="626"/>
      <c r="D710" s="2"/>
      <c r="E710" s="2"/>
    </row>
    <row r="711" spans="2:5" ht="14.25" customHeight="1">
      <c r="B711" s="2"/>
      <c r="C711" s="626"/>
      <c r="D711" s="2"/>
      <c r="E711" s="2"/>
    </row>
    <row r="712" spans="2:5" ht="14.25" customHeight="1">
      <c r="B712" s="2"/>
      <c r="C712" s="626"/>
      <c r="D712" s="2"/>
      <c r="E712" s="2"/>
    </row>
    <row r="713" spans="2:5" ht="14.25" customHeight="1">
      <c r="B713" s="2"/>
      <c r="C713" s="626"/>
      <c r="D713" s="2"/>
      <c r="E713" s="2"/>
    </row>
    <row r="714" spans="2:5" ht="14.25" customHeight="1">
      <c r="B714" s="2"/>
      <c r="C714" s="626"/>
      <c r="D714" s="2"/>
      <c r="E714" s="2"/>
    </row>
    <row r="715" spans="2:5" ht="14.25" customHeight="1">
      <c r="B715" s="2"/>
      <c r="C715" s="626"/>
      <c r="D715" s="2"/>
      <c r="E715" s="2"/>
    </row>
    <row r="716" spans="2:5" ht="14.25" customHeight="1">
      <c r="B716" s="2"/>
      <c r="C716" s="626"/>
      <c r="D716" s="2"/>
      <c r="E716" s="2"/>
    </row>
    <row r="717" spans="2:5" ht="14.25" customHeight="1">
      <c r="B717" s="2"/>
      <c r="C717" s="626"/>
      <c r="D717" s="2"/>
      <c r="E717" s="2"/>
    </row>
    <row r="718" spans="2:5" ht="14.25" customHeight="1">
      <c r="B718" s="2"/>
      <c r="C718" s="626"/>
      <c r="D718" s="2"/>
      <c r="E718" s="2"/>
    </row>
    <row r="719" spans="2:5" ht="14.25" customHeight="1">
      <c r="B719" s="2"/>
      <c r="C719" s="626"/>
      <c r="D719" s="2"/>
      <c r="E719" s="2"/>
    </row>
    <row r="720" spans="2:5" ht="14.25" customHeight="1">
      <c r="B720" s="2"/>
      <c r="C720" s="626"/>
      <c r="D720" s="2"/>
      <c r="E720" s="2"/>
    </row>
    <row r="721" spans="2:5" ht="14.25" customHeight="1">
      <c r="B721" s="2"/>
      <c r="C721" s="626"/>
      <c r="D721" s="2"/>
      <c r="E721" s="2"/>
    </row>
    <row r="722" spans="2:5" ht="14.25" customHeight="1">
      <c r="B722" s="2"/>
      <c r="C722" s="626"/>
      <c r="D722" s="2"/>
      <c r="E722" s="2"/>
    </row>
    <row r="723" spans="2:5" ht="14.25" customHeight="1">
      <c r="B723" s="2"/>
      <c r="C723" s="626"/>
      <c r="D723" s="2"/>
      <c r="E723" s="2"/>
    </row>
    <row r="724" spans="2:5" ht="14.25" customHeight="1">
      <c r="B724" s="2"/>
      <c r="C724" s="626"/>
      <c r="D724" s="2"/>
      <c r="E724" s="2"/>
    </row>
    <row r="725" spans="2:5" ht="14.25" customHeight="1">
      <c r="B725" s="2"/>
      <c r="C725" s="626"/>
      <c r="D725" s="2"/>
      <c r="E725" s="2"/>
    </row>
    <row r="726" spans="2:5" ht="14.25" customHeight="1">
      <c r="B726" s="2"/>
      <c r="C726" s="626"/>
      <c r="D726" s="2"/>
      <c r="E726" s="2"/>
    </row>
    <row r="727" spans="2:5" ht="14.25" customHeight="1">
      <c r="B727" s="2"/>
      <c r="C727" s="626"/>
      <c r="D727" s="2"/>
      <c r="E727" s="2"/>
    </row>
    <row r="728" spans="2:5" ht="14.25" customHeight="1">
      <c r="B728" s="2"/>
      <c r="C728" s="626"/>
      <c r="D728" s="2"/>
      <c r="E728" s="2"/>
    </row>
    <row r="729" spans="2:5" ht="14.25" customHeight="1">
      <c r="B729" s="2"/>
      <c r="C729" s="626"/>
      <c r="D729" s="2"/>
      <c r="E729" s="2"/>
    </row>
    <row r="730" spans="2:5" ht="14.25" customHeight="1">
      <c r="B730" s="2"/>
      <c r="C730" s="626"/>
      <c r="D730" s="2"/>
      <c r="E730" s="2"/>
    </row>
    <row r="731" spans="2:5" ht="14.25" customHeight="1">
      <c r="B731" s="2"/>
      <c r="C731" s="626"/>
      <c r="D731" s="2"/>
      <c r="E731" s="2"/>
    </row>
    <row r="732" spans="2:5" ht="14.25" customHeight="1">
      <c r="B732" s="2"/>
      <c r="C732" s="626"/>
      <c r="D732" s="2"/>
      <c r="E732" s="2"/>
    </row>
    <row r="733" spans="2:5" ht="14.25" customHeight="1">
      <c r="B733" s="2"/>
      <c r="C733" s="626"/>
      <c r="D733" s="2"/>
      <c r="E733" s="2"/>
    </row>
    <row r="734" spans="2:5" ht="14.25" customHeight="1">
      <c r="B734" s="2"/>
      <c r="C734" s="626"/>
      <c r="D734" s="2"/>
      <c r="E734" s="2"/>
    </row>
    <row r="735" spans="2:5" ht="14.25" customHeight="1">
      <c r="B735" s="2"/>
      <c r="C735" s="626"/>
      <c r="D735" s="2"/>
      <c r="E735" s="2"/>
    </row>
    <row r="736" spans="2:5" ht="14.25" customHeight="1">
      <c r="B736" s="2"/>
      <c r="C736" s="626"/>
      <c r="D736" s="2"/>
      <c r="E736" s="2"/>
    </row>
    <row r="737" spans="2:5" ht="14.25" customHeight="1">
      <c r="B737" s="2"/>
      <c r="C737" s="626"/>
      <c r="D737" s="2"/>
      <c r="E737" s="2"/>
    </row>
    <row r="738" spans="2:5" ht="14.25" customHeight="1">
      <c r="B738" s="2"/>
      <c r="C738" s="626"/>
      <c r="D738" s="2"/>
      <c r="E738" s="2"/>
    </row>
    <row r="739" spans="2:5" ht="14.25" customHeight="1">
      <c r="B739" s="2"/>
      <c r="C739" s="626"/>
      <c r="D739" s="2"/>
      <c r="E739" s="2"/>
    </row>
    <row r="740" spans="2:5" ht="14.25" customHeight="1">
      <c r="B740" s="2"/>
      <c r="C740" s="626"/>
      <c r="D740" s="2"/>
      <c r="E740" s="2"/>
    </row>
    <row r="741" spans="2:5" ht="14.25" customHeight="1">
      <c r="B741" s="2"/>
      <c r="C741" s="626"/>
      <c r="D741" s="2"/>
      <c r="E741" s="2"/>
    </row>
    <row r="742" spans="2:5" ht="14.25" customHeight="1">
      <c r="B742" s="2"/>
      <c r="C742" s="626"/>
      <c r="D742" s="2"/>
      <c r="E742" s="2"/>
    </row>
    <row r="743" spans="2:5" ht="14.25" customHeight="1">
      <c r="B743" s="2"/>
      <c r="C743" s="626"/>
      <c r="D743" s="2"/>
      <c r="E743" s="2"/>
    </row>
    <row r="744" spans="2:5" ht="14.25" customHeight="1">
      <c r="B744" s="2"/>
      <c r="C744" s="626"/>
      <c r="D744" s="2"/>
      <c r="E744" s="2"/>
    </row>
    <row r="745" spans="2:5" ht="14.25" customHeight="1">
      <c r="B745" s="2"/>
      <c r="C745" s="626"/>
      <c r="D745" s="2"/>
      <c r="E745" s="2"/>
    </row>
    <row r="746" spans="2:5" ht="14.25" customHeight="1">
      <c r="B746" s="2"/>
      <c r="C746" s="626"/>
      <c r="D746" s="2"/>
      <c r="E746" s="2"/>
    </row>
    <row r="747" spans="2:5" ht="14.25" customHeight="1">
      <c r="B747" s="2"/>
      <c r="C747" s="626"/>
      <c r="D747" s="2"/>
      <c r="E747" s="2"/>
    </row>
    <row r="748" spans="2:5" ht="14.25" customHeight="1">
      <c r="B748" s="2"/>
      <c r="C748" s="626"/>
      <c r="D748" s="2"/>
      <c r="E748" s="2"/>
    </row>
    <row r="749" spans="2:5" ht="14.25" customHeight="1">
      <c r="B749" s="2"/>
      <c r="C749" s="626"/>
      <c r="D749" s="2"/>
      <c r="E749" s="2"/>
    </row>
    <row r="750" spans="2:5" ht="14.25" customHeight="1">
      <c r="B750" s="2"/>
      <c r="C750" s="626"/>
      <c r="D750" s="2"/>
      <c r="E750" s="2"/>
    </row>
    <row r="751" spans="2:5" ht="14.25" customHeight="1">
      <c r="B751" s="2"/>
      <c r="C751" s="626"/>
      <c r="D751" s="2"/>
      <c r="E751" s="2"/>
    </row>
    <row r="752" spans="2:5" ht="14.25" customHeight="1">
      <c r="B752" s="2"/>
      <c r="C752" s="626"/>
      <c r="D752" s="2"/>
      <c r="E752" s="2"/>
    </row>
    <row r="753" spans="2:5" ht="14.25" customHeight="1">
      <c r="B753" s="2"/>
      <c r="C753" s="626"/>
      <c r="D753" s="2"/>
      <c r="E753" s="2"/>
    </row>
    <row r="754" spans="2:5" ht="14.25" customHeight="1">
      <c r="B754" s="2"/>
      <c r="C754" s="626"/>
      <c r="D754" s="2"/>
      <c r="E754" s="2"/>
    </row>
    <row r="755" spans="2:5" ht="14.25" customHeight="1">
      <c r="B755" s="2"/>
      <c r="C755" s="626"/>
      <c r="D755" s="2"/>
      <c r="E755" s="2"/>
    </row>
    <row r="756" spans="2:5" ht="14.25" customHeight="1">
      <c r="B756" s="2"/>
      <c r="C756" s="626"/>
      <c r="D756" s="2"/>
      <c r="E756" s="2"/>
    </row>
    <row r="757" spans="2:5" ht="14.25" customHeight="1">
      <c r="B757" s="2"/>
      <c r="C757" s="626"/>
      <c r="D757" s="2"/>
      <c r="E757" s="2"/>
    </row>
    <row r="758" spans="2:5" ht="14.25" customHeight="1">
      <c r="B758" s="2"/>
      <c r="C758" s="626"/>
      <c r="D758" s="2"/>
      <c r="E758" s="2"/>
    </row>
    <row r="759" spans="2:5" ht="14.25" customHeight="1">
      <c r="B759" s="2"/>
      <c r="C759" s="626"/>
      <c r="D759" s="2"/>
      <c r="E759" s="2"/>
    </row>
    <row r="760" spans="2:5" ht="14.25" customHeight="1">
      <c r="B760" s="2"/>
      <c r="C760" s="626"/>
      <c r="D760" s="2"/>
      <c r="E760" s="2"/>
    </row>
    <row r="761" spans="2:5" ht="14.25" customHeight="1">
      <c r="B761" s="2"/>
      <c r="C761" s="626"/>
      <c r="D761" s="2"/>
      <c r="E761" s="2"/>
    </row>
    <row r="762" spans="2:5" ht="14.25" customHeight="1">
      <c r="B762" s="2"/>
      <c r="C762" s="626"/>
      <c r="D762" s="2"/>
      <c r="E762" s="2"/>
    </row>
    <row r="763" spans="2:5" ht="14.25" customHeight="1">
      <c r="B763" s="2"/>
      <c r="C763" s="626"/>
      <c r="D763" s="2"/>
      <c r="E763" s="2"/>
    </row>
    <row r="764" spans="2:5" ht="14.25" customHeight="1">
      <c r="B764" s="2"/>
      <c r="C764" s="626"/>
      <c r="D764" s="2"/>
      <c r="E764" s="2"/>
    </row>
    <row r="765" spans="2:5" ht="14.25" customHeight="1">
      <c r="B765" s="2"/>
      <c r="C765" s="626"/>
      <c r="D765" s="2"/>
      <c r="E765" s="2"/>
    </row>
    <row r="766" spans="2:5" ht="14.25" customHeight="1">
      <c r="B766" s="2"/>
      <c r="C766" s="626"/>
      <c r="D766" s="2"/>
      <c r="E766" s="2"/>
    </row>
    <row r="767" spans="2:5" ht="14.25" customHeight="1">
      <c r="B767" s="2"/>
      <c r="C767" s="626"/>
      <c r="D767" s="2"/>
      <c r="E767" s="2"/>
    </row>
    <row r="768" spans="2:5" ht="14.25" customHeight="1">
      <c r="B768" s="2"/>
      <c r="C768" s="626"/>
      <c r="D768" s="2"/>
      <c r="E768" s="2"/>
    </row>
    <row r="769" spans="2:5" ht="14.25" customHeight="1">
      <c r="B769" s="2"/>
      <c r="C769" s="626"/>
      <c r="D769" s="2"/>
      <c r="E769" s="2"/>
    </row>
    <row r="770" spans="2:5" ht="14.25" customHeight="1">
      <c r="B770" s="2"/>
      <c r="C770" s="626"/>
      <c r="D770" s="2"/>
      <c r="E770" s="2"/>
    </row>
    <row r="771" spans="2:5" ht="14.25" customHeight="1">
      <c r="B771" s="2"/>
      <c r="C771" s="626"/>
      <c r="D771" s="2"/>
      <c r="E771" s="2"/>
    </row>
    <row r="772" spans="2:5" ht="14.25" customHeight="1">
      <c r="B772" s="2"/>
      <c r="C772" s="626"/>
      <c r="D772" s="2"/>
      <c r="E772" s="2"/>
    </row>
    <row r="773" spans="2:5" ht="14.25" customHeight="1">
      <c r="B773" s="2"/>
      <c r="C773" s="626"/>
      <c r="D773" s="2"/>
      <c r="E773" s="2"/>
    </row>
    <row r="774" spans="2:5" ht="14.25" customHeight="1">
      <c r="B774" s="2"/>
      <c r="C774" s="626"/>
      <c r="D774" s="2"/>
      <c r="E774" s="2"/>
    </row>
    <row r="775" spans="2:5" ht="14.25" customHeight="1">
      <c r="B775" s="2"/>
      <c r="C775" s="626"/>
      <c r="D775" s="2"/>
      <c r="E775" s="2"/>
    </row>
    <row r="776" spans="2:5" ht="14.25" customHeight="1">
      <c r="B776" s="2"/>
      <c r="C776" s="626"/>
      <c r="D776" s="2"/>
      <c r="E776" s="2"/>
    </row>
    <row r="777" spans="2:5" ht="14.25" customHeight="1">
      <c r="B777" s="2"/>
      <c r="C777" s="626"/>
      <c r="D777" s="2"/>
      <c r="E777" s="2"/>
    </row>
    <row r="778" spans="2:5" ht="14.25" customHeight="1">
      <c r="B778" s="2"/>
      <c r="C778" s="626"/>
      <c r="D778" s="2"/>
      <c r="E778" s="2"/>
    </row>
    <row r="779" spans="2:5" ht="14.25" customHeight="1">
      <c r="B779" s="2"/>
      <c r="C779" s="626"/>
      <c r="D779" s="2"/>
      <c r="E779" s="2"/>
    </row>
    <row r="780" spans="2:5" ht="14.25" customHeight="1">
      <c r="B780" s="2"/>
      <c r="C780" s="626"/>
      <c r="D780" s="2"/>
      <c r="E780" s="2"/>
    </row>
    <row r="781" spans="2:5" ht="14.25" customHeight="1">
      <c r="B781" s="2"/>
      <c r="C781" s="626"/>
      <c r="D781" s="2"/>
      <c r="E781" s="2"/>
    </row>
    <row r="782" spans="2:5" ht="14.25" customHeight="1">
      <c r="B782" s="2"/>
      <c r="C782" s="626"/>
      <c r="D782" s="2"/>
      <c r="E782" s="2"/>
    </row>
    <row r="783" spans="2:5" ht="14.25" customHeight="1">
      <c r="B783" s="2"/>
      <c r="C783" s="626"/>
      <c r="D783" s="2"/>
      <c r="E783" s="2"/>
    </row>
    <row r="784" spans="2:5" ht="14.25" customHeight="1">
      <c r="B784" s="2"/>
      <c r="C784" s="626"/>
      <c r="D784" s="2"/>
      <c r="E784" s="2"/>
    </row>
    <row r="785" spans="2:5" ht="14.25" customHeight="1">
      <c r="B785" s="2"/>
      <c r="C785" s="626"/>
      <c r="D785" s="2"/>
      <c r="E785" s="2"/>
    </row>
    <row r="786" spans="2:5" ht="14.25" customHeight="1">
      <c r="B786" s="2"/>
      <c r="C786" s="626"/>
      <c r="D786" s="2"/>
      <c r="E786" s="2"/>
    </row>
    <row r="787" spans="2:5" ht="14.25" customHeight="1">
      <c r="B787" s="2"/>
      <c r="C787" s="626"/>
      <c r="D787" s="2"/>
      <c r="E787" s="2"/>
    </row>
    <row r="788" spans="2:5" ht="14.25" customHeight="1">
      <c r="B788" s="2"/>
      <c r="C788" s="626"/>
      <c r="D788" s="2"/>
      <c r="E788" s="2"/>
    </row>
    <row r="789" spans="2:5" ht="14.25" customHeight="1">
      <c r="B789" s="2"/>
      <c r="C789" s="626"/>
      <c r="D789" s="2"/>
      <c r="E789" s="2"/>
    </row>
    <row r="790" spans="2:5" ht="14.25" customHeight="1">
      <c r="B790" s="2"/>
      <c r="C790" s="626"/>
      <c r="D790" s="2"/>
      <c r="E790" s="2"/>
    </row>
    <row r="791" spans="2:5" ht="14.25" customHeight="1">
      <c r="B791" s="2"/>
      <c r="C791" s="626"/>
      <c r="D791" s="2"/>
      <c r="E791" s="2"/>
    </row>
    <row r="792" spans="2:5" ht="14.25" customHeight="1">
      <c r="B792" s="2"/>
      <c r="C792" s="626"/>
      <c r="D792" s="2"/>
      <c r="E792" s="2"/>
    </row>
    <row r="793" spans="2:5" ht="14.25" customHeight="1">
      <c r="B793" s="2"/>
      <c r="C793" s="626"/>
      <c r="D793" s="2"/>
      <c r="E793" s="2"/>
    </row>
    <row r="794" spans="2:5" ht="14.25" customHeight="1">
      <c r="B794" s="2"/>
      <c r="C794" s="626"/>
      <c r="D794" s="2"/>
      <c r="E794" s="2"/>
    </row>
    <row r="795" spans="2:5" ht="14.25" customHeight="1">
      <c r="B795" s="2"/>
      <c r="C795" s="626"/>
      <c r="D795" s="2"/>
      <c r="E795" s="2"/>
    </row>
    <row r="796" spans="2:5" ht="14.25" customHeight="1">
      <c r="B796" s="2"/>
      <c r="C796" s="626"/>
      <c r="D796" s="2"/>
      <c r="E796" s="2"/>
    </row>
    <row r="797" spans="2:5" ht="14.25" customHeight="1">
      <c r="B797" s="2"/>
      <c r="C797" s="626"/>
      <c r="D797" s="2"/>
      <c r="E797" s="2"/>
    </row>
    <row r="798" spans="2:5" ht="14.25" customHeight="1">
      <c r="B798" s="2"/>
      <c r="C798" s="626"/>
      <c r="D798" s="2"/>
      <c r="E798" s="2"/>
    </row>
    <row r="799" spans="2:5" ht="14.25" customHeight="1">
      <c r="B799" s="2"/>
      <c r="C799" s="626"/>
      <c r="D799" s="2"/>
      <c r="E799" s="2"/>
    </row>
    <row r="800" spans="2:5" ht="14.25" customHeight="1">
      <c r="B800" s="2"/>
      <c r="C800" s="626"/>
      <c r="D800" s="2"/>
      <c r="E800" s="2"/>
    </row>
    <row r="801" spans="2:5" ht="14.25" customHeight="1">
      <c r="B801" s="2"/>
      <c r="C801" s="626"/>
      <c r="D801" s="2"/>
      <c r="E801" s="2"/>
    </row>
    <row r="802" spans="2:5" ht="14.25" customHeight="1">
      <c r="B802" s="2"/>
      <c r="C802" s="626"/>
      <c r="D802" s="2"/>
      <c r="E802" s="2"/>
    </row>
    <row r="803" spans="2:5" ht="14.25" customHeight="1">
      <c r="B803" s="2"/>
      <c r="C803" s="626"/>
      <c r="D803" s="2"/>
      <c r="E803" s="2"/>
    </row>
    <row r="804" spans="2:5" ht="14.25" customHeight="1">
      <c r="B804" s="2"/>
      <c r="C804" s="626"/>
      <c r="D804" s="2"/>
      <c r="E804" s="2"/>
    </row>
    <row r="805" spans="2:5" ht="14.25" customHeight="1">
      <c r="B805" s="2"/>
      <c r="C805" s="626"/>
      <c r="D805" s="2"/>
      <c r="E805" s="2"/>
    </row>
    <row r="806" spans="2:5" ht="14.25" customHeight="1">
      <c r="B806" s="2"/>
      <c r="C806" s="626"/>
      <c r="D806" s="2"/>
      <c r="E806" s="2"/>
    </row>
    <row r="807" spans="2:5" ht="14.25" customHeight="1">
      <c r="B807" s="2"/>
      <c r="C807" s="626"/>
      <c r="D807" s="2"/>
      <c r="E807" s="2"/>
    </row>
    <row r="808" spans="2:5" ht="14.25" customHeight="1">
      <c r="B808" s="2"/>
      <c r="C808" s="626"/>
      <c r="D808" s="2"/>
      <c r="E808" s="2"/>
    </row>
    <row r="809" spans="2:5" ht="14.25" customHeight="1">
      <c r="B809" s="2"/>
      <c r="C809" s="626"/>
      <c r="D809" s="2"/>
      <c r="E809" s="2"/>
    </row>
    <row r="810" spans="2:5" ht="14.25" customHeight="1">
      <c r="B810" s="2"/>
      <c r="C810" s="626"/>
      <c r="D810" s="2"/>
      <c r="E810" s="2"/>
    </row>
    <row r="811" spans="2:5" ht="14.25" customHeight="1">
      <c r="B811" s="2"/>
      <c r="C811" s="626"/>
      <c r="D811" s="2"/>
      <c r="E811" s="2"/>
    </row>
    <row r="812" spans="2:5" ht="14.25" customHeight="1">
      <c r="B812" s="2"/>
      <c r="C812" s="626"/>
      <c r="D812" s="2"/>
      <c r="E812" s="2"/>
    </row>
    <row r="813" spans="2:5" ht="14.25" customHeight="1">
      <c r="B813" s="2"/>
      <c r="C813" s="626"/>
      <c r="D813" s="2"/>
      <c r="E813" s="2"/>
    </row>
    <row r="814" spans="2:5" ht="14.25" customHeight="1">
      <c r="B814" s="2"/>
      <c r="C814" s="626"/>
      <c r="D814" s="2"/>
      <c r="E814" s="2"/>
    </row>
    <row r="815" spans="2:5" ht="14.25" customHeight="1">
      <c r="B815" s="2"/>
      <c r="C815" s="626"/>
      <c r="D815" s="2"/>
      <c r="E815" s="2"/>
    </row>
    <row r="816" spans="2:5" ht="14.25" customHeight="1">
      <c r="B816" s="2"/>
      <c r="C816" s="626"/>
      <c r="D816" s="2"/>
      <c r="E816" s="2"/>
    </row>
    <row r="817" spans="2:5" ht="14.25" customHeight="1">
      <c r="B817" s="2"/>
      <c r="C817" s="626"/>
      <c r="D817" s="2"/>
      <c r="E817" s="2"/>
    </row>
    <row r="818" spans="2:5" ht="14.25" customHeight="1">
      <c r="B818" s="2"/>
      <c r="C818" s="626"/>
      <c r="D818" s="2"/>
      <c r="E818" s="2"/>
    </row>
    <row r="819" spans="2:5" ht="14.25" customHeight="1">
      <c r="B819" s="2"/>
      <c r="C819" s="626"/>
      <c r="D819" s="2"/>
      <c r="E819" s="2"/>
    </row>
    <row r="820" spans="2:5" ht="14.25" customHeight="1">
      <c r="B820" s="2"/>
      <c r="C820" s="626"/>
      <c r="D820" s="2"/>
      <c r="E820" s="2"/>
    </row>
    <row r="821" spans="2:5" ht="14.25" customHeight="1">
      <c r="B821" s="2"/>
      <c r="C821" s="626"/>
      <c r="D821" s="2"/>
      <c r="E821" s="2"/>
    </row>
    <row r="822" spans="2:5" ht="14.25" customHeight="1">
      <c r="B822" s="2"/>
      <c r="C822" s="626"/>
      <c r="D822" s="2"/>
      <c r="E822" s="2"/>
    </row>
    <row r="823" spans="2:5" ht="14.25" customHeight="1">
      <c r="B823" s="2"/>
      <c r="C823" s="626"/>
      <c r="D823" s="2"/>
      <c r="E823" s="2"/>
    </row>
    <row r="824" spans="2:5" ht="14.25" customHeight="1">
      <c r="B824" s="2"/>
      <c r="C824" s="626"/>
      <c r="D824" s="2"/>
      <c r="E824" s="2"/>
    </row>
    <row r="825" spans="2:5" ht="14.25" customHeight="1">
      <c r="B825" s="2"/>
      <c r="C825" s="626"/>
      <c r="D825" s="2"/>
      <c r="E825" s="2"/>
    </row>
    <row r="826" spans="2:5" ht="14.25" customHeight="1">
      <c r="B826" s="2"/>
      <c r="C826" s="626"/>
      <c r="D826" s="2"/>
      <c r="E826" s="2"/>
    </row>
    <row r="827" spans="2:5" ht="14.25" customHeight="1">
      <c r="B827" s="2"/>
      <c r="C827" s="626"/>
      <c r="D827" s="2"/>
      <c r="E827" s="2"/>
    </row>
    <row r="828" spans="2:5" ht="14.25" customHeight="1">
      <c r="B828" s="2"/>
      <c r="C828" s="626"/>
      <c r="D828" s="2"/>
      <c r="E828" s="2"/>
    </row>
    <row r="829" spans="2:5" ht="14.25" customHeight="1">
      <c r="B829" s="2"/>
      <c r="C829" s="626"/>
      <c r="D829" s="2"/>
      <c r="E829" s="2"/>
    </row>
    <row r="830" spans="2:5" ht="14.25" customHeight="1">
      <c r="B830" s="2"/>
      <c r="C830" s="626"/>
      <c r="D830" s="2"/>
      <c r="E830" s="2"/>
    </row>
    <row r="831" spans="2:5" ht="14.25" customHeight="1">
      <c r="B831" s="2"/>
      <c r="C831" s="626"/>
      <c r="D831" s="2"/>
      <c r="E831" s="2"/>
    </row>
    <row r="832" spans="2:5" ht="14.25" customHeight="1">
      <c r="B832" s="2"/>
      <c r="C832" s="626"/>
      <c r="D832" s="2"/>
      <c r="E832" s="2"/>
    </row>
    <row r="833" spans="2:5" ht="14.25" customHeight="1">
      <c r="B833" s="2"/>
      <c r="C833" s="626"/>
      <c r="D833" s="2"/>
      <c r="E833" s="2"/>
    </row>
    <row r="834" spans="2:5" ht="14.25" customHeight="1">
      <c r="B834" s="2"/>
      <c r="C834" s="626"/>
      <c r="D834" s="2"/>
      <c r="E834" s="2"/>
    </row>
    <row r="835" spans="2:5" ht="14.25" customHeight="1">
      <c r="B835" s="2"/>
      <c r="C835" s="626"/>
      <c r="D835" s="2"/>
      <c r="E835" s="2"/>
    </row>
    <row r="836" spans="2:5" ht="14.25" customHeight="1">
      <c r="B836" s="2"/>
      <c r="C836" s="626"/>
      <c r="D836" s="2"/>
      <c r="E836" s="2"/>
    </row>
    <row r="837" spans="2:5" ht="14.25" customHeight="1">
      <c r="B837" s="2"/>
      <c r="C837" s="626"/>
      <c r="D837" s="2"/>
      <c r="E837" s="2"/>
    </row>
    <row r="838" spans="2:5" ht="14.25" customHeight="1">
      <c r="B838" s="2"/>
      <c r="C838" s="626"/>
      <c r="D838" s="2"/>
      <c r="E838" s="2"/>
    </row>
    <row r="839" spans="2:5" ht="14.25" customHeight="1">
      <c r="B839" s="2"/>
      <c r="C839" s="626"/>
      <c r="D839" s="2"/>
      <c r="E839" s="2"/>
    </row>
    <row r="840" spans="2:5" ht="14.25" customHeight="1">
      <c r="B840" s="2"/>
      <c r="C840" s="626"/>
      <c r="D840" s="2"/>
      <c r="E840" s="2"/>
    </row>
    <row r="841" spans="2:5" ht="14.25" customHeight="1">
      <c r="B841" s="2"/>
      <c r="C841" s="626"/>
      <c r="D841" s="2"/>
      <c r="E841" s="2"/>
    </row>
    <row r="842" spans="2:5" ht="14.25" customHeight="1">
      <c r="B842" s="2"/>
      <c r="C842" s="626"/>
      <c r="D842" s="2"/>
      <c r="E842" s="2"/>
    </row>
    <row r="843" spans="2:5" ht="14.25" customHeight="1">
      <c r="B843" s="2"/>
      <c r="C843" s="626"/>
      <c r="D843" s="2"/>
      <c r="E843" s="2"/>
    </row>
    <row r="844" spans="2:5" ht="14.25" customHeight="1">
      <c r="B844" s="2"/>
      <c r="C844" s="626"/>
      <c r="D844" s="2"/>
      <c r="E844" s="2"/>
    </row>
    <row r="845" spans="2:5" ht="14.25" customHeight="1">
      <c r="B845" s="2"/>
      <c r="C845" s="626"/>
      <c r="D845" s="2"/>
      <c r="E845" s="2"/>
    </row>
    <row r="846" spans="2:5" ht="14.25" customHeight="1">
      <c r="B846" s="2"/>
      <c r="C846" s="626"/>
      <c r="D846" s="2"/>
      <c r="E846" s="2"/>
    </row>
    <row r="847" spans="2:5" ht="14.25" customHeight="1">
      <c r="B847" s="2"/>
      <c r="C847" s="626"/>
      <c r="D847" s="2"/>
      <c r="E847" s="2"/>
    </row>
    <row r="848" spans="2:5" ht="14.25" customHeight="1">
      <c r="B848" s="2"/>
      <c r="C848" s="626"/>
      <c r="D848" s="2"/>
      <c r="E848" s="2"/>
    </row>
    <row r="849" spans="2:5" ht="14.25" customHeight="1">
      <c r="B849" s="2"/>
      <c r="C849" s="626"/>
      <c r="D849" s="2"/>
      <c r="E849" s="2"/>
    </row>
    <row r="850" spans="2:5" ht="14.25" customHeight="1">
      <c r="B850" s="2"/>
      <c r="C850" s="626"/>
      <c r="D850" s="2"/>
      <c r="E850" s="2"/>
    </row>
    <row r="851" spans="2:5" ht="14.25" customHeight="1">
      <c r="B851" s="2"/>
      <c r="C851" s="626"/>
      <c r="D851" s="2"/>
      <c r="E851" s="2"/>
    </row>
    <row r="852" spans="2:5" ht="14.25" customHeight="1">
      <c r="B852" s="2"/>
      <c r="C852" s="626"/>
      <c r="D852" s="2"/>
      <c r="E852" s="2"/>
    </row>
    <row r="853" spans="2:5" ht="14.25" customHeight="1">
      <c r="B853" s="2"/>
      <c r="C853" s="626"/>
      <c r="D853" s="2"/>
      <c r="E853" s="2"/>
    </row>
    <row r="854" spans="2:5" ht="14.25" customHeight="1">
      <c r="B854" s="2"/>
      <c r="C854" s="626"/>
      <c r="D854" s="2"/>
      <c r="E854" s="2"/>
    </row>
    <row r="855" spans="2:5" ht="14.25" customHeight="1">
      <c r="B855" s="2"/>
      <c r="C855" s="626"/>
      <c r="D855" s="2"/>
      <c r="E855" s="2"/>
    </row>
    <row r="856" spans="2:5" ht="14.25" customHeight="1">
      <c r="B856" s="2"/>
      <c r="C856" s="626"/>
      <c r="D856" s="2"/>
      <c r="E856" s="2"/>
    </row>
    <row r="857" spans="2:5" ht="14.25" customHeight="1">
      <c r="B857" s="2"/>
      <c r="C857" s="626"/>
      <c r="D857" s="2"/>
      <c r="E857" s="2"/>
    </row>
    <row r="858" spans="2:5" ht="14.25" customHeight="1">
      <c r="B858" s="2"/>
      <c r="C858" s="626"/>
      <c r="D858" s="2"/>
      <c r="E858" s="2"/>
    </row>
    <row r="859" spans="2:5" ht="14.25" customHeight="1">
      <c r="B859" s="2"/>
      <c r="C859" s="626"/>
      <c r="D859" s="2"/>
      <c r="E859" s="2"/>
    </row>
    <row r="860" spans="2:5" ht="14.25" customHeight="1">
      <c r="B860" s="2"/>
      <c r="C860" s="626"/>
      <c r="D860" s="2"/>
      <c r="E860" s="2"/>
    </row>
    <row r="861" spans="2:5" ht="14.25" customHeight="1">
      <c r="B861" s="2"/>
      <c r="C861" s="626"/>
      <c r="D861" s="2"/>
      <c r="E861" s="2"/>
    </row>
    <row r="862" spans="2:5" ht="14.25" customHeight="1">
      <c r="B862" s="2"/>
      <c r="C862" s="626"/>
      <c r="D862" s="2"/>
      <c r="E862" s="2"/>
    </row>
    <row r="863" spans="2:5" ht="14.25" customHeight="1">
      <c r="B863" s="2"/>
      <c r="C863" s="626"/>
      <c r="D863" s="2"/>
      <c r="E863" s="2"/>
    </row>
    <row r="864" spans="2:5" ht="14.25" customHeight="1">
      <c r="B864" s="2"/>
      <c r="C864" s="626"/>
      <c r="D864" s="2"/>
      <c r="E864" s="2"/>
    </row>
    <row r="865" spans="2:5" ht="14.25" customHeight="1">
      <c r="B865" s="2"/>
      <c r="C865" s="626"/>
      <c r="D865" s="2"/>
      <c r="E865" s="2"/>
    </row>
    <row r="866" spans="2:5" ht="14.25" customHeight="1">
      <c r="B866" s="2"/>
      <c r="C866" s="626"/>
      <c r="D866" s="2"/>
      <c r="E866" s="2"/>
    </row>
    <row r="867" spans="2:5" ht="14.25" customHeight="1">
      <c r="B867" s="2"/>
      <c r="C867" s="626"/>
      <c r="D867" s="2"/>
      <c r="E867" s="2"/>
    </row>
    <row r="868" spans="2:5" ht="14.25" customHeight="1">
      <c r="B868" s="2"/>
      <c r="C868" s="626"/>
      <c r="D868" s="2"/>
      <c r="E868" s="2"/>
    </row>
    <row r="869" spans="2:5" ht="14.25" customHeight="1">
      <c r="B869" s="2"/>
      <c r="C869" s="626"/>
      <c r="D869" s="2"/>
      <c r="E869" s="2"/>
    </row>
    <row r="870" spans="2:5" ht="14.25" customHeight="1">
      <c r="B870" s="2"/>
      <c r="C870" s="626"/>
      <c r="D870" s="2"/>
      <c r="E870" s="2"/>
    </row>
    <row r="871" spans="2:5" ht="14.25" customHeight="1">
      <c r="B871" s="2"/>
      <c r="C871" s="626"/>
      <c r="D871" s="2"/>
      <c r="E871" s="2"/>
    </row>
    <row r="872" spans="2:5" ht="14.25" customHeight="1">
      <c r="B872" s="2"/>
      <c r="C872" s="626"/>
      <c r="D872" s="2"/>
      <c r="E872" s="2"/>
    </row>
    <row r="873" spans="2:5" ht="14.25" customHeight="1">
      <c r="B873" s="2"/>
      <c r="C873" s="626"/>
      <c r="D873" s="2"/>
      <c r="E873" s="2"/>
    </row>
    <row r="874" spans="2:5" ht="14.25" customHeight="1">
      <c r="B874" s="2"/>
      <c r="C874" s="626"/>
      <c r="D874" s="2"/>
      <c r="E874" s="2"/>
    </row>
    <row r="875" spans="2:5" ht="14.25" customHeight="1">
      <c r="B875" s="2"/>
      <c r="C875" s="626"/>
      <c r="D875" s="2"/>
      <c r="E875" s="2"/>
    </row>
    <row r="876" spans="2:5" ht="14.25" customHeight="1">
      <c r="B876" s="2"/>
      <c r="C876" s="626"/>
      <c r="D876" s="2"/>
      <c r="E876" s="2"/>
    </row>
    <row r="877" spans="2:5" ht="14.25" customHeight="1">
      <c r="B877" s="2"/>
      <c r="C877" s="626"/>
      <c r="D877" s="2"/>
      <c r="E877" s="2"/>
    </row>
    <row r="878" spans="2:5" ht="14.25" customHeight="1">
      <c r="B878" s="2"/>
      <c r="C878" s="626"/>
      <c r="D878" s="2"/>
      <c r="E878" s="2"/>
    </row>
    <row r="879" spans="2:5" ht="14.25" customHeight="1">
      <c r="B879" s="2"/>
      <c r="C879" s="626"/>
      <c r="D879" s="2"/>
      <c r="E879" s="2"/>
    </row>
    <row r="880" spans="2:5" ht="14.25" customHeight="1">
      <c r="B880" s="2"/>
      <c r="C880" s="626"/>
      <c r="D880" s="2"/>
      <c r="E880" s="2"/>
    </row>
    <row r="881" spans="2:5" ht="14.25" customHeight="1">
      <c r="B881" s="2"/>
      <c r="C881" s="626"/>
      <c r="D881" s="2"/>
      <c r="E881" s="2"/>
    </row>
    <row r="882" spans="2:5" ht="14.25" customHeight="1">
      <c r="B882" s="2"/>
      <c r="C882" s="626"/>
      <c r="D882" s="2"/>
      <c r="E882" s="2"/>
    </row>
    <row r="883" spans="2:5" ht="14.25" customHeight="1">
      <c r="B883" s="2"/>
      <c r="C883" s="626"/>
      <c r="D883" s="2"/>
      <c r="E883" s="2"/>
    </row>
    <row r="884" spans="2:5" ht="14.25" customHeight="1">
      <c r="B884" s="2"/>
      <c r="C884" s="626"/>
      <c r="D884" s="2"/>
      <c r="E884" s="2"/>
    </row>
    <row r="885" spans="2:5" ht="14.25" customHeight="1">
      <c r="B885" s="2"/>
      <c r="C885" s="626"/>
      <c r="D885" s="2"/>
      <c r="E885" s="2"/>
    </row>
    <row r="886" spans="2:5" ht="14.25" customHeight="1">
      <c r="B886" s="2"/>
      <c r="C886" s="626"/>
      <c r="D886" s="2"/>
      <c r="E886" s="2"/>
    </row>
    <row r="887" spans="2:5" ht="14.25" customHeight="1">
      <c r="B887" s="2"/>
      <c r="C887" s="626"/>
      <c r="D887" s="2"/>
      <c r="E887" s="2"/>
    </row>
    <row r="888" spans="2:5" ht="14.25" customHeight="1">
      <c r="B888" s="2"/>
      <c r="C888" s="626"/>
      <c r="D888" s="2"/>
      <c r="E888" s="2"/>
    </row>
    <row r="889" spans="2:5" ht="14.25" customHeight="1">
      <c r="B889" s="2"/>
      <c r="C889" s="626"/>
      <c r="D889" s="2"/>
      <c r="E889" s="2"/>
    </row>
    <row r="890" spans="2:5" ht="14.25" customHeight="1">
      <c r="B890" s="2"/>
      <c r="C890" s="626"/>
      <c r="D890" s="2"/>
      <c r="E890" s="2"/>
    </row>
    <row r="891" spans="2:5" ht="14.25" customHeight="1">
      <c r="B891" s="2"/>
      <c r="C891" s="626"/>
      <c r="D891" s="2"/>
      <c r="E891" s="2"/>
    </row>
    <row r="892" spans="2:5" ht="14.25" customHeight="1">
      <c r="B892" s="2"/>
      <c r="C892" s="626"/>
      <c r="D892" s="2"/>
      <c r="E892" s="2"/>
    </row>
    <row r="893" spans="2:5" ht="14.25" customHeight="1">
      <c r="B893" s="2"/>
      <c r="C893" s="626"/>
      <c r="D893" s="2"/>
      <c r="E893" s="2"/>
    </row>
    <row r="894" spans="2:5" ht="14.25" customHeight="1">
      <c r="B894" s="2"/>
      <c r="C894" s="626"/>
      <c r="D894" s="2"/>
      <c r="E894" s="2"/>
    </row>
    <row r="895" spans="2:5" ht="14.25" customHeight="1">
      <c r="B895" s="2"/>
      <c r="C895" s="626"/>
      <c r="D895" s="2"/>
      <c r="E895" s="2"/>
    </row>
    <row r="896" spans="2:5" ht="14.25" customHeight="1">
      <c r="B896" s="2"/>
      <c r="C896" s="626"/>
      <c r="D896" s="2"/>
      <c r="E896" s="2"/>
    </row>
    <row r="897" spans="2:5" ht="14.25" customHeight="1">
      <c r="B897" s="2"/>
      <c r="C897" s="626"/>
      <c r="D897" s="2"/>
      <c r="E897" s="2"/>
    </row>
    <row r="898" spans="2:5" ht="14.25" customHeight="1">
      <c r="B898" s="2"/>
      <c r="C898" s="626"/>
      <c r="D898" s="2"/>
      <c r="E898" s="2"/>
    </row>
    <row r="899" spans="2:5" ht="14.25" customHeight="1">
      <c r="B899" s="2"/>
      <c r="C899" s="626"/>
      <c r="D899" s="2"/>
      <c r="E899" s="2"/>
    </row>
    <row r="900" spans="2:5" ht="14.25" customHeight="1">
      <c r="B900" s="2"/>
      <c r="C900" s="626"/>
      <c r="D900" s="2"/>
      <c r="E900" s="2"/>
    </row>
    <row r="901" spans="2:5" ht="14.25" customHeight="1">
      <c r="B901" s="2"/>
      <c r="C901" s="626"/>
      <c r="D901" s="2"/>
      <c r="E901" s="2"/>
    </row>
    <row r="902" spans="2:5" ht="14.25" customHeight="1">
      <c r="B902" s="2"/>
      <c r="C902" s="626"/>
      <c r="D902" s="2"/>
      <c r="E902" s="2"/>
    </row>
    <row r="903" spans="2:5" ht="14.25" customHeight="1">
      <c r="B903" s="2"/>
      <c r="C903" s="626"/>
      <c r="D903" s="2"/>
      <c r="E903" s="2"/>
    </row>
    <row r="904" spans="2:5" ht="14.25" customHeight="1">
      <c r="B904" s="2"/>
      <c r="C904" s="626"/>
      <c r="D904" s="2"/>
      <c r="E904" s="2"/>
    </row>
    <row r="905" spans="2:5" ht="14.25" customHeight="1">
      <c r="B905" s="2"/>
      <c r="C905" s="626"/>
      <c r="D905" s="2"/>
      <c r="E905" s="2"/>
    </row>
    <row r="906" spans="2:5" ht="14.25" customHeight="1">
      <c r="B906" s="2"/>
      <c r="C906" s="626"/>
      <c r="D906" s="2"/>
      <c r="E906" s="2"/>
    </row>
    <row r="907" spans="2:5" ht="14.25" customHeight="1">
      <c r="B907" s="2"/>
      <c r="C907" s="626"/>
      <c r="D907" s="2"/>
      <c r="E907" s="2"/>
    </row>
    <row r="908" spans="2:5" ht="14.25" customHeight="1">
      <c r="B908" s="2"/>
      <c r="C908" s="626"/>
      <c r="D908" s="2"/>
      <c r="E908" s="2"/>
    </row>
    <row r="909" spans="2:5" ht="14.25" customHeight="1">
      <c r="B909" s="2"/>
      <c r="C909" s="626"/>
      <c r="D909" s="2"/>
      <c r="E909" s="2"/>
    </row>
    <row r="910" spans="2:5" ht="14.25" customHeight="1">
      <c r="B910" s="2"/>
      <c r="C910" s="626"/>
      <c r="D910" s="2"/>
      <c r="E910" s="2"/>
    </row>
    <row r="911" spans="2:5" ht="14.25" customHeight="1">
      <c r="B911" s="2"/>
      <c r="C911" s="626"/>
      <c r="D911" s="2"/>
      <c r="E911" s="2"/>
    </row>
    <row r="912" spans="2:5" ht="14.25" customHeight="1">
      <c r="B912" s="2"/>
      <c r="C912" s="626"/>
      <c r="D912" s="2"/>
      <c r="E912" s="2"/>
    </row>
    <row r="913" spans="2:5" ht="14.25" customHeight="1">
      <c r="B913" s="2"/>
      <c r="C913" s="626"/>
      <c r="D913" s="2"/>
      <c r="E913" s="2"/>
    </row>
    <row r="914" spans="2:5" ht="14.25" customHeight="1">
      <c r="B914" s="2"/>
      <c r="C914" s="626"/>
      <c r="D914" s="2"/>
      <c r="E914" s="2"/>
    </row>
    <row r="915" spans="2:5" ht="14.25" customHeight="1">
      <c r="B915" s="2"/>
      <c r="C915" s="626"/>
      <c r="D915" s="2"/>
      <c r="E915" s="2"/>
    </row>
    <row r="916" spans="2:5" ht="14.25" customHeight="1">
      <c r="B916" s="2"/>
      <c r="C916" s="626"/>
      <c r="D916" s="2"/>
      <c r="E916" s="2"/>
    </row>
    <row r="917" spans="2:5" ht="14.25" customHeight="1">
      <c r="B917" s="2"/>
      <c r="C917" s="626"/>
      <c r="D917" s="2"/>
      <c r="E917" s="2"/>
    </row>
    <row r="918" spans="2:5" ht="14.25" customHeight="1">
      <c r="B918" s="2"/>
      <c r="C918" s="626"/>
      <c r="D918" s="2"/>
      <c r="E918" s="2"/>
    </row>
    <row r="919" spans="2:5" ht="14.25" customHeight="1">
      <c r="B919" s="2"/>
      <c r="C919" s="626"/>
      <c r="D919" s="2"/>
      <c r="E919" s="2"/>
    </row>
    <row r="920" spans="2:5" ht="14.25" customHeight="1">
      <c r="B920" s="2"/>
      <c r="C920" s="626"/>
      <c r="D920" s="2"/>
      <c r="E920" s="2"/>
    </row>
    <row r="921" spans="2:5" ht="14.25" customHeight="1">
      <c r="B921" s="2"/>
      <c r="C921" s="626"/>
      <c r="D921" s="2"/>
      <c r="E921" s="2"/>
    </row>
    <row r="922" spans="2:5" ht="14.25" customHeight="1">
      <c r="B922" s="2"/>
      <c r="C922" s="626"/>
      <c r="D922" s="2"/>
      <c r="E922" s="2"/>
    </row>
    <row r="923" spans="2:5" ht="14.25" customHeight="1">
      <c r="B923" s="2"/>
      <c r="C923" s="626"/>
      <c r="D923" s="2"/>
      <c r="E923" s="2"/>
    </row>
    <row r="924" spans="2:5" ht="14.25" customHeight="1">
      <c r="B924" s="2"/>
      <c r="C924" s="626"/>
      <c r="D924" s="2"/>
      <c r="E924" s="2"/>
    </row>
    <row r="925" spans="2:5" ht="14.25" customHeight="1">
      <c r="B925" s="2"/>
      <c r="C925" s="626"/>
      <c r="D925" s="2"/>
      <c r="E925" s="2"/>
    </row>
    <row r="926" spans="2:5" ht="14.25" customHeight="1">
      <c r="B926" s="2"/>
      <c r="C926" s="626"/>
      <c r="D926" s="2"/>
      <c r="E926" s="2"/>
    </row>
    <row r="927" spans="2:5" ht="14.25" customHeight="1">
      <c r="B927" s="2"/>
      <c r="C927" s="626"/>
      <c r="D927" s="2"/>
      <c r="E927" s="2"/>
    </row>
    <row r="928" spans="2:5" ht="14.25" customHeight="1">
      <c r="B928" s="2"/>
      <c r="C928" s="626"/>
      <c r="D928" s="2"/>
      <c r="E928" s="2"/>
    </row>
    <row r="929" spans="2:5" ht="14.25" customHeight="1">
      <c r="B929" s="2"/>
      <c r="C929" s="626"/>
      <c r="D929" s="2"/>
      <c r="E929" s="2"/>
    </row>
    <row r="930" spans="2:5" ht="14.25" customHeight="1">
      <c r="B930" s="2"/>
      <c r="C930" s="626"/>
      <c r="D930" s="2"/>
      <c r="E930" s="2"/>
    </row>
    <row r="931" spans="2:5" ht="14.25" customHeight="1">
      <c r="B931" s="2"/>
      <c r="C931" s="626"/>
      <c r="D931" s="2"/>
      <c r="E931" s="2"/>
    </row>
    <row r="932" spans="2:5" ht="14.25" customHeight="1">
      <c r="B932" s="2"/>
      <c r="C932" s="626"/>
      <c r="D932" s="2"/>
      <c r="E932" s="2"/>
    </row>
    <row r="933" spans="2:5" ht="14.25" customHeight="1">
      <c r="B933" s="2"/>
      <c r="C933" s="626"/>
      <c r="D933" s="2"/>
      <c r="E933" s="2"/>
    </row>
    <row r="934" spans="2:5" ht="14.25" customHeight="1">
      <c r="B934" s="2"/>
      <c r="C934" s="626"/>
      <c r="D934" s="2"/>
      <c r="E934" s="2"/>
    </row>
    <row r="935" spans="2:5" ht="14.25" customHeight="1">
      <c r="B935" s="2"/>
      <c r="C935" s="626"/>
      <c r="D935" s="2"/>
      <c r="E935" s="2"/>
    </row>
    <row r="936" spans="2:5" ht="14.25" customHeight="1">
      <c r="B936" s="2"/>
      <c r="C936" s="626"/>
      <c r="D936" s="2"/>
      <c r="E936" s="2"/>
    </row>
    <row r="937" spans="2:5" ht="14.25" customHeight="1">
      <c r="B937" s="2"/>
      <c r="C937" s="626"/>
      <c r="D937" s="2"/>
      <c r="E937" s="2"/>
    </row>
    <row r="938" spans="2:5" ht="14.25" customHeight="1">
      <c r="B938" s="2"/>
      <c r="C938" s="626"/>
      <c r="D938" s="2"/>
      <c r="E938" s="2"/>
    </row>
    <row r="939" spans="2:5" ht="14.25" customHeight="1">
      <c r="B939" s="2"/>
      <c r="C939" s="626"/>
      <c r="D939" s="2"/>
      <c r="E939" s="2"/>
    </row>
    <row r="940" spans="2:5" ht="14.25" customHeight="1">
      <c r="B940" s="2"/>
      <c r="C940" s="626"/>
      <c r="D940" s="2"/>
      <c r="E940" s="2"/>
    </row>
    <row r="941" spans="2:5" ht="14.25" customHeight="1">
      <c r="B941" s="2"/>
      <c r="C941" s="626"/>
      <c r="D941" s="2"/>
      <c r="E941" s="2"/>
    </row>
    <row r="942" spans="2:5" ht="14.25" customHeight="1">
      <c r="B942" s="2"/>
      <c r="C942" s="626"/>
      <c r="D942" s="2"/>
      <c r="E942" s="2"/>
    </row>
    <row r="943" spans="2:5" ht="14.25" customHeight="1">
      <c r="B943" s="2"/>
      <c r="C943" s="626"/>
      <c r="D943" s="2"/>
      <c r="E943" s="2"/>
    </row>
    <row r="944" spans="2:5" ht="14.25" customHeight="1">
      <c r="B944" s="2"/>
      <c r="C944" s="626"/>
      <c r="D944" s="2"/>
      <c r="E944" s="2"/>
    </row>
    <row r="945" spans="2:5" ht="14.25" customHeight="1">
      <c r="B945" s="2"/>
      <c r="C945" s="626"/>
      <c r="D945" s="2"/>
      <c r="E945" s="2"/>
    </row>
    <row r="946" spans="2:5" ht="14.25" customHeight="1">
      <c r="B946" s="2"/>
      <c r="C946" s="626"/>
      <c r="D946" s="2"/>
      <c r="E946" s="2"/>
    </row>
    <row r="947" spans="2:5" ht="14.25" customHeight="1">
      <c r="B947" s="2"/>
      <c r="C947" s="626"/>
      <c r="D947" s="2"/>
      <c r="E947" s="2"/>
    </row>
    <row r="948" spans="2:5" ht="14.25" customHeight="1">
      <c r="B948" s="2"/>
      <c r="C948" s="626"/>
      <c r="D948" s="2"/>
      <c r="E948" s="2"/>
    </row>
    <row r="949" spans="2:5" ht="14.25" customHeight="1">
      <c r="B949" s="2"/>
      <c r="C949" s="626"/>
      <c r="D949" s="2"/>
      <c r="E949" s="2"/>
    </row>
    <row r="950" spans="2:5" ht="14.25" customHeight="1">
      <c r="B950" s="2"/>
      <c r="C950" s="626"/>
      <c r="D950" s="2"/>
      <c r="E950" s="2"/>
    </row>
    <row r="951" spans="2:5" ht="14.25" customHeight="1">
      <c r="B951" s="2"/>
      <c r="C951" s="626"/>
      <c r="D951" s="2"/>
      <c r="E951" s="2"/>
    </row>
    <row r="952" spans="2:5" ht="14.25" customHeight="1">
      <c r="B952" s="2"/>
      <c r="C952" s="626"/>
      <c r="D952" s="2"/>
      <c r="E952" s="2"/>
    </row>
    <row r="953" spans="2:5" ht="14.25" customHeight="1">
      <c r="B953" s="2"/>
      <c r="C953" s="626"/>
      <c r="D953" s="2"/>
      <c r="E953" s="2"/>
    </row>
    <row r="954" spans="2:5" ht="14.25" customHeight="1">
      <c r="B954" s="2"/>
      <c r="C954" s="626"/>
      <c r="D954" s="2"/>
      <c r="E954" s="2"/>
    </row>
    <row r="955" spans="2:5" ht="14.25" customHeight="1">
      <c r="B955" s="2"/>
      <c r="C955" s="626"/>
      <c r="D955" s="2"/>
      <c r="E955" s="2"/>
    </row>
    <row r="956" spans="2:5" ht="14.25" customHeight="1">
      <c r="B956" s="2"/>
      <c r="C956" s="626"/>
      <c r="D956" s="2"/>
      <c r="E956" s="2"/>
    </row>
    <row r="957" spans="2:5" ht="14.25" customHeight="1">
      <c r="B957" s="2"/>
      <c r="C957" s="626"/>
      <c r="D957" s="2"/>
      <c r="E957" s="2"/>
    </row>
    <row r="958" spans="2:5" ht="14.25" customHeight="1">
      <c r="B958" s="2"/>
      <c r="C958" s="626"/>
      <c r="D958" s="2"/>
      <c r="E958" s="2"/>
    </row>
    <row r="959" spans="2:5" ht="14.25" customHeight="1">
      <c r="B959" s="2"/>
      <c r="C959" s="626"/>
      <c r="D959" s="2"/>
      <c r="E959" s="2"/>
    </row>
    <row r="960" spans="2:5" ht="14.25" customHeight="1">
      <c r="B960" s="2"/>
      <c r="C960" s="626"/>
      <c r="D960" s="2"/>
      <c r="E960" s="2"/>
    </row>
    <row r="961" spans="2:5" ht="14.25" customHeight="1">
      <c r="B961" s="2"/>
      <c r="C961" s="626"/>
      <c r="D961" s="2"/>
      <c r="E961" s="2"/>
    </row>
    <row r="962" spans="2:5" ht="14.25" customHeight="1">
      <c r="B962" s="2"/>
      <c r="C962" s="626"/>
      <c r="D962" s="2"/>
      <c r="E962" s="2"/>
    </row>
    <row r="963" spans="2:5" ht="14.25" customHeight="1">
      <c r="B963" s="2"/>
      <c r="C963" s="626"/>
      <c r="D963" s="2"/>
      <c r="E963" s="2"/>
    </row>
    <row r="964" spans="2:5" ht="14.25" customHeight="1">
      <c r="B964" s="2"/>
      <c r="C964" s="626"/>
      <c r="D964" s="2"/>
      <c r="E964" s="2"/>
    </row>
    <row r="965" spans="2:5" ht="14.25" customHeight="1">
      <c r="B965" s="2"/>
      <c r="C965" s="626"/>
      <c r="D965" s="2"/>
      <c r="E965" s="2"/>
    </row>
    <row r="966" spans="2:5" ht="14.25" customHeight="1">
      <c r="B966" s="2"/>
      <c r="C966" s="626"/>
      <c r="D966" s="2"/>
      <c r="E966" s="2"/>
    </row>
    <row r="967" spans="2:5" ht="14.25" customHeight="1">
      <c r="B967" s="2"/>
      <c r="C967" s="626"/>
      <c r="D967" s="2"/>
      <c r="E967" s="2"/>
    </row>
    <row r="968" spans="2:5" ht="14.25" customHeight="1">
      <c r="B968" s="2"/>
      <c r="C968" s="626"/>
      <c r="D968" s="2"/>
      <c r="E968" s="2"/>
    </row>
    <row r="969" spans="2:5" ht="14.25" customHeight="1">
      <c r="B969" s="2"/>
      <c r="C969" s="626"/>
      <c r="D969" s="2"/>
      <c r="E969" s="2"/>
    </row>
    <row r="970" spans="2:5" ht="14.25" customHeight="1">
      <c r="B970" s="2"/>
      <c r="C970" s="626"/>
      <c r="D970" s="2"/>
      <c r="E970" s="2"/>
    </row>
    <row r="971" spans="2:5" ht="14.25" customHeight="1">
      <c r="B971" s="2"/>
      <c r="C971" s="626"/>
      <c r="D971" s="2"/>
      <c r="E971" s="2"/>
    </row>
    <row r="972" spans="2:5" ht="14.25" customHeight="1">
      <c r="B972" s="2"/>
      <c r="C972" s="626"/>
      <c r="D972" s="2"/>
      <c r="E972" s="2"/>
    </row>
    <row r="973" spans="2:5" ht="14.25" customHeight="1">
      <c r="B973" s="2"/>
      <c r="C973" s="626"/>
      <c r="D973" s="2"/>
      <c r="E973" s="2"/>
    </row>
    <row r="974" spans="2:5" ht="14.25" customHeight="1">
      <c r="B974" s="2"/>
      <c r="C974" s="626"/>
      <c r="D974" s="2"/>
      <c r="E974" s="2"/>
    </row>
    <row r="975" spans="2:5" ht="14.25" customHeight="1">
      <c r="B975" s="2"/>
      <c r="C975" s="626"/>
      <c r="D975" s="2"/>
      <c r="E975" s="2"/>
    </row>
    <row r="976" spans="2:5" ht="14.25" customHeight="1">
      <c r="B976" s="2"/>
      <c r="C976" s="626"/>
      <c r="D976" s="2"/>
      <c r="E976" s="2"/>
    </row>
    <row r="977" spans="2:5" ht="14.25" customHeight="1">
      <c r="B977" s="2"/>
      <c r="C977" s="626"/>
      <c r="D977" s="2"/>
      <c r="E977" s="2"/>
    </row>
    <row r="978" spans="2:5" ht="14.25" customHeight="1">
      <c r="B978" s="2"/>
      <c r="C978" s="626"/>
      <c r="D978" s="2"/>
      <c r="E978" s="2"/>
    </row>
    <row r="979" spans="2:5" ht="14.25" customHeight="1">
      <c r="B979" s="2"/>
      <c r="C979" s="626"/>
      <c r="D979" s="2"/>
      <c r="E979" s="2"/>
    </row>
    <row r="980" spans="2:5" ht="14.25" customHeight="1">
      <c r="B980" s="2"/>
      <c r="C980" s="626"/>
      <c r="D980" s="2"/>
      <c r="E980" s="2"/>
    </row>
    <row r="981" spans="2:5" ht="14.25" customHeight="1">
      <c r="B981" s="2"/>
      <c r="C981" s="626"/>
      <c r="D981" s="2"/>
      <c r="E981" s="2"/>
    </row>
    <row r="982" spans="2:5" ht="14.25" customHeight="1">
      <c r="B982" s="2"/>
      <c r="C982" s="626"/>
      <c r="D982" s="2"/>
      <c r="E982" s="2"/>
    </row>
    <row r="983" spans="2:5" ht="14.25" customHeight="1">
      <c r="B983" s="2"/>
      <c r="C983" s="626"/>
      <c r="D983" s="2"/>
      <c r="E983" s="2"/>
    </row>
    <row r="984" spans="2:5" ht="14.25" customHeight="1">
      <c r="B984" s="2"/>
      <c r="C984" s="626"/>
      <c r="D984" s="2"/>
      <c r="E984" s="2"/>
    </row>
    <row r="985" spans="2:5" ht="14.25" customHeight="1">
      <c r="B985" s="2"/>
      <c r="C985" s="626"/>
      <c r="D985" s="2"/>
      <c r="E985" s="2"/>
    </row>
    <row r="986" spans="2:5" ht="14.25" customHeight="1">
      <c r="B986" s="2"/>
      <c r="C986" s="626"/>
      <c r="D986" s="2"/>
      <c r="E986" s="2"/>
    </row>
    <row r="987" spans="2:5" ht="14.25" customHeight="1">
      <c r="B987" s="2"/>
      <c r="C987" s="626"/>
      <c r="D987" s="2"/>
      <c r="E987" s="2"/>
    </row>
    <row r="988" spans="2:5" ht="14.25" customHeight="1">
      <c r="B988" s="2"/>
      <c r="C988" s="626"/>
      <c r="D988" s="2"/>
      <c r="E988" s="2"/>
    </row>
    <row r="989" spans="2:5" ht="14.25" customHeight="1">
      <c r="B989" s="2"/>
      <c r="C989" s="626"/>
      <c r="D989" s="2"/>
      <c r="E989" s="2"/>
    </row>
    <row r="990" spans="2:5" ht="14.25" customHeight="1">
      <c r="B990" s="2"/>
      <c r="C990" s="626"/>
      <c r="D990" s="2"/>
      <c r="E990" s="2"/>
    </row>
    <row r="991" spans="2:5" ht="14.25" customHeight="1">
      <c r="B991" s="2"/>
      <c r="C991" s="626"/>
      <c r="D991" s="2"/>
      <c r="E991" s="2"/>
    </row>
    <row r="992" spans="2:5" ht="14.25" customHeight="1">
      <c r="B992" s="2"/>
      <c r="C992" s="626"/>
      <c r="D992" s="2"/>
      <c r="E992" s="2"/>
    </row>
    <row r="993" spans="2:5" ht="14.25" customHeight="1">
      <c r="B993" s="2"/>
      <c r="C993" s="626"/>
      <c r="D993" s="2"/>
      <c r="E993" s="2"/>
    </row>
    <row r="994" spans="2:5" ht="14.25" customHeight="1">
      <c r="B994" s="2"/>
      <c r="C994" s="626"/>
      <c r="D994" s="2"/>
      <c r="E994" s="2"/>
    </row>
    <row r="995" spans="2:5" ht="14.25" customHeight="1">
      <c r="B995" s="2"/>
      <c r="C995" s="626"/>
      <c r="D995" s="2"/>
      <c r="E995" s="2"/>
    </row>
    <row r="996" spans="2:5" ht="14.25" customHeight="1">
      <c r="B996" s="2"/>
      <c r="C996" s="626"/>
      <c r="D996" s="2"/>
      <c r="E996" s="2"/>
    </row>
    <row r="997" spans="2:5" ht="14.25" customHeight="1">
      <c r="B997" s="2"/>
      <c r="C997" s="626"/>
      <c r="D997" s="2"/>
      <c r="E997" s="2"/>
    </row>
    <row r="998" spans="2:5" ht="14.25" customHeight="1">
      <c r="B998" s="2"/>
      <c r="C998" s="626"/>
      <c r="D998" s="2"/>
      <c r="E998" s="2"/>
    </row>
    <row r="999" spans="2:5" ht="14.25" customHeight="1">
      <c r="B999" s="2"/>
      <c r="C999" s="626"/>
      <c r="D999" s="2"/>
      <c r="E999" s="2"/>
    </row>
    <row r="1000" spans="2:5" ht="14.25" customHeight="1">
      <c r="B1000" s="2"/>
      <c r="C1000" s="626"/>
      <c r="D1000" s="2"/>
      <c r="E1000" s="2"/>
    </row>
    <row r="1001" spans="2:5" ht="14.25" customHeight="1">
      <c r="B1001" s="2"/>
      <c r="C1001" s="626"/>
      <c r="D1001" s="2"/>
      <c r="E1001" s="2"/>
    </row>
    <row r="1002" spans="2:5" ht="14.25" customHeight="1">
      <c r="B1002" s="2"/>
      <c r="C1002" s="626"/>
      <c r="D1002" s="2"/>
      <c r="E1002" s="2"/>
    </row>
    <row r="1003" spans="2:5" ht="14.25" customHeight="1">
      <c r="B1003" s="2"/>
      <c r="C1003" s="626"/>
      <c r="D1003" s="2"/>
      <c r="E1003" s="2"/>
    </row>
    <row r="1004" spans="2:5" ht="14.25" customHeight="1">
      <c r="B1004" s="2"/>
      <c r="C1004" s="626"/>
      <c r="D1004" s="2"/>
      <c r="E1004" s="2"/>
    </row>
    <row r="1005" spans="2:5" ht="14.25" customHeight="1">
      <c r="B1005" s="2"/>
      <c r="C1005" s="626"/>
      <c r="D1005" s="2"/>
      <c r="E1005" s="2"/>
    </row>
    <row r="1006" spans="2:5" ht="14.25" customHeight="1">
      <c r="B1006" s="2"/>
      <c r="C1006" s="626"/>
      <c r="D1006" s="2"/>
      <c r="E1006" s="2"/>
    </row>
    <row r="1007" spans="2:5" ht="14.25" customHeight="1">
      <c r="B1007" s="2"/>
      <c r="C1007" s="626"/>
      <c r="D1007" s="2"/>
      <c r="E1007" s="2"/>
    </row>
    <row r="1008" spans="2:5" ht="14.25" customHeight="1">
      <c r="B1008" s="2"/>
      <c r="C1008" s="626"/>
      <c r="D1008" s="2"/>
      <c r="E1008" s="2"/>
    </row>
    <row r="1009" spans="2:5" ht="14.25" customHeight="1">
      <c r="B1009" s="2"/>
      <c r="C1009" s="626"/>
      <c r="D1009" s="2"/>
      <c r="E1009" s="2"/>
    </row>
    <row r="1010" spans="2:5" ht="15" customHeight="1">
      <c r="E1010" s="2"/>
    </row>
  </sheetData>
  <mergeCells count="2">
    <mergeCell ref="B2:E3"/>
    <mergeCell ref="I2:J3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4">
    <tabColor rgb="FF7B380B"/>
  </sheetPr>
  <dimension ref="A1:Z997"/>
  <sheetViews>
    <sheetView workbookViewId="0">
      <selection activeCell="G21" sqref="G21"/>
    </sheetView>
  </sheetViews>
  <sheetFormatPr baseColWidth="10" defaultColWidth="12.625" defaultRowHeight="15" customHeight="1"/>
  <cols>
    <col min="1" max="1" width="30.125" bestFit="1" customWidth="1"/>
    <col min="2" max="2" width="15" customWidth="1"/>
    <col min="3" max="3" width="18" bestFit="1" customWidth="1"/>
    <col min="4" max="4" width="9.625" customWidth="1"/>
    <col min="5" max="5" width="6.625" customWidth="1"/>
    <col min="6" max="6" width="28" bestFit="1" customWidth="1"/>
    <col min="7" max="7" width="30.125" bestFit="1" customWidth="1"/>
    <col min="8" max="8" width="12.75" bestFit="1" customWidth="1"/>
    <col min="9" max="9" width="18.125" bestFit="1" customWidth="1"/>
    <col min="10" max="26" width="11" customWidth="1"/>
  </cols>
  <sheetData>
    <row r="1" spans="1:26" ht="14.25" customHeight="1"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756" t="s">
        <v>273</v>
      </c>
      <c r="B2" s="757"/>
      <c r="C2" s="757"/>
      <c r="D2" s="758"/>
      <c r="G2" s="762" t="s">
        <v>1782</v>
      </c>
      <c r="H2" s="76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759"/>
      <c r="B3" s="759"/>
      <c r="C3" s="759"/>
      <c r="D3" s="760"/>
      <c r="G3" s="762"/>
      <c r="H3" s="76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thickBot="1">
      <c r="A5" s="92" t="s">
        <v>271</v>
      </c>
      <c r="B5" s="131">
        <f>INDEX(Mineralization!C21:E26,MATCH(SOM,Mineralization!B21:B26,1),MATCH(VLOOKUP(soil_texture,SoilData,2,0),Mineralization!C20:E20,0))</f>
        <v>40</v>
      </c>
      <c r="G5" s="92" t="s">
        <v>272</v>
      </c>
      <c r="H5" s="133">
        <f>B5*B8</f>
        <v>24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thickTop="1" thickBot="1">
      <c r="A6" s="92" t="s">
        <v>57</v>
      </c>
      <c r="B6" s="131" t="str">
        <f>water_supply</f>
        <v>Irrigated</v>
      </c>
      <c r="C6" s="144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thickTop="1" thickBot="1">
      <c r="A7" s="92" t="s">
        <v>61</v>
      </c>
      <c r="B7" s="131" t="str">
        <f>'Input F3'!B34</f>
        <v>southern_zone</v>
      </c>
      <c r="C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thickTop="1">
      <c r="A8" s="92" t="s">
        <v>201</v>
      </c>
      <c r="B8" s="132">
        <f>VLOOKUP(B7,'Inputs asociation '!A40:B44,2)</f>
        <v>0.6</v>
      </c>
      <c r="C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C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B10" s="2"/>
      <c r="C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761" t="s">
        <v>71</v>
      </c>
      <c r="B11" s="349" t="s">
        <v>33</v>
      </c>
      <c r="C11" s="344">
        <v>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761"/>
      <c r="B12" s="349" t="s">
        <v>1744</v>
      </c>
      <c r="C12" s="344">
        <v>0.5</v>
      </c>
      <c r="D12" s="144"/>
      <c r="E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E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289"/>
      <c r="E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s="289" customFormat="1" ht="14.25" customHeight="1">
      <c r="B15" s="348"/>
      <c r="C15" s="348"/>
      <c r="D15" s="348"/>
      <c r="E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289"/>
      <c r="G16" s="762" t="s">
        <v>1783</v>
      </c>
      <c r="H16" s="76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92" t="s">
        <v>1779</v>
      </c>
      <c r="C17" s="144"/>
      <c r="G17" s="762"/>
      <c r="H17" s="76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144"/>
      <c r="B18" s="144"/>
      <c r="C18" s="144"/>
      <c r="D18" s="144"/>
      <c r="E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144"/>
      <c r="B19" s="144"/>
      <c r="C19" s="753" t="s">
        <v>277</v>
      </c>
      <c r="D19" s="754"/>
      <c r="E19" s="755"/>
      <c r="F19" s="144"/>
      <c r="G19" s="92" t="s">
        <v>272</v>
      </c>
      <c r="H19" s="133">
        <f>B5*B8</f>
        <v>24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92" t="s">
        <v>278</v>
      </c>
      <c r="B20" s="92" t="s">
        <v>233</v>
      </c>
      <c r="C20" s="349">
        <v>1</v>
      </c>
      <c r="D20" s="349">
        <v>2</v>
      </c>
      <c r="E20" s="349">
        <v>3</v>
      </c>
      <c r="F20" s="144"/>
      <c r="G20" s="144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349" t="s">
        <v>279</v>
      </c>
      <c r="B21" s="350">
        <v>0</v>
      </c>
      <c r="C21" s="145">
        <v>13</v>
      </c>
      <c r="D21" s="145">
        <v>10</v>
      </c>
      <c r="E21" s="145">
        <v>8</v>
      </c>
      <c r="F21" s="144"/>
      <c r="G21" s="92" t="s">
        <v>270</v>
      </c>
      <c r="H21" s="133">
        <f>Fertilizers!BE108</f>
        <v>4.583956453217505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349" t="s">
        <v>280</v>
      </c>
      <c r="B22" s="349">
        <v>0.5</v>
      </c>
      <c r="C22" s="145">
        <v>25</v>
      </c>
      <c r="D22" s="145">
        <v>20</v>
      </c>
      <c r="E22" s="145">
        <v>15</v>
      </c>
      <c r="F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A23" s="349" t="s">
        <v>281</v>
      </c>
      <c r="B23" s="349">
        <f t="shared" ref="B23:B26" si="0">B22+0.5</f>
        <v>1</v>
      </c>
      <c r="C23" s="145">
        <v>38</v>
      </c>
      <c r="D23" s="145">
        <v>30</v>
      </c>
      <c r="E23" s="145">
        <v>23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349" t="s">
        <v>282</v>
      </c>
      <c r="B24" s="349">
        <f t="shared" si="0"/>
        <v>1.5</v>
      </c>
      <c r="C24" s="145">
        <v>50</v>
      </c>
      <c r="D24" s="145">
        <v>40</v>
      </c>
      <c r="E24" s="145">
        <v>30</v>
      </c>
      <c r="G24" s="535" t="s">
        <v>1</v>
      </c>
      <c r="H24" s="536">
        <f>SUM(H19+H21)</f>
        <v>28.583956453217503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349" t="s">
        <v>283</v>
      </c>
      <c r="B25" s="349">
        <f t="shared" si="0"/>
        <v>2</v>
      </c>
      <c r="C25" s="145">
        <v>68</v>
      </c>
      <c r="D25" s="145">
        <v>50</v>
      </c>
      <c r="E25" s="145">
        <v>38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349" t="s">
        <v>284</v>
      </c>
      <c r="B26" s="349">
        <f t="shared" si="0"/>
        <v>2.5</v>
      </c>
      <c r="C26" s="145">
        <v>83</v>
      </c>
      <c r="D26" s="145">
        <v>65</v>
      </c>
      <c r="E26" s="145">
        <v>50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D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2"/>
      <c r="B28" s="2"/>
      <c r="C28" s="2"/>
      <c r="D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92" t="s">
        <v>1776</v>
      </c>
      <c r="B29" s="92" t="s">
        <v>277</v>
      </c>
      <c r="C29" s="343" t="s">
        <v>271</v>
      </c>
      <c r="D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thickBot="1">
      <c r="A30" s="349">
        <f>MATCH(SOM,Mineralization!B21:B26,1)</f>
        <v>4</v>
      </c>
      <c r="B30" s="349">
        <f>MATCH(VLOOKUP(soil_texture,'Inputs asociation '!F5:G16,2,),Mineralization!C20:E20,0)</f>
        <v>2</v>
      </c>
      <c r="C30" s="131">
        <f>INDEX(C21:E26,A30,B30)</f>
        <v>40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thickTop="1"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mergeCells count="5">
    <mergeCell ref="C19:E19"/>
    <mergeCell ref="A2:D3"/>
    <mergeCell ref="A11:A12"/>
    <mergeCell ref="G2:H3"/>
    <mergeCell ref="G16:H17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5">
    <tabColor theme="8" tint="-0.249977111117893"/>
  </sheetPr>
  <dimension ref="A1:AA1011"/>
  <sheetViews>
    <sheetView topLeftCell="A10" workbookViewId="0">
      <selection activeCell="G14" sqref="G14"/>
    </sheetView>
  </sheetViews>
  <sheetFormatPr baseColWidth="10" defaultColWidth="12.625" defaultRowHeight="15" customHeight="1"/>
  <cols>
    <col min="1" max="2" width="10.625" customWidth="1"/>
    <col min="3" max="3" width="22" customWidth="1"/>
    <col min="4" max="6" width="10.625" customWidth="1"/>
    <col min="7" max="7" width="10.625" style="289" customWidth="1"/>
    <col min="8" max="8" width="10.625" customWidth="1"/>
    <col min="9" max="9" width="15.625" customWidth="1"/>
    <col min="10" max="11" width="10.625" customWidth="1"/>
    <col min="12" max="12" width="15.625" customWidth="1"/>
    <col min="13" max="14" width="10.625" customWidth="1"/>
    <col min="15" max="15" width="17.125" customWidth="1"/>
    <col min="16" max="16" width="20.75" customWidth="1"/>
    <col min="17" max="26" width="10.625" customWidth="1"/>
  </cols>
  <sheetData>
    <row r="1" spans="1:27" s="289" customFormat="1" ht="15" customHeight="1"/>
    <row r="2" spans="1:27" ht="14.25" customHeight="1">
      <c r="A2" s="2"/>
      <c r="B2" s="289"/>
      <c r="C2" s="289"/>
      <c r="D2" s="289"/>
      <c r="E2" s="28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s="289" customFormat="1" ht="14.25" customHeight="1">
      <c r="A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4.25" customHeight="1">
      <c r="A4" s="2"/>
      <c r="B4" s="769" t="s">
        <v>1799</v>
      </c>
      <c r="C4" s="770"/>
      <c r="D4" s="770"/>
      <c r="E4" s="771"/>
      <c r="F4" s="2"/>
      <c r="G4" s="2"/>
      <c r="H4" s="2"/>
      <c r="I4" s="763" t="s">
        <v>1798</v>
      </c>
      <c r="J4" s="764"/>
      <c r="K4" s="764"/>
      <c r="L4" s="764"/>
      <c r="M4" s="765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4.25" customHeight="1">
      <c r="A5" s="2"/>
      <c r="B5" s="772"/>
      <c r="C5" s="773"/>
      <c r="D5" s="773"/>
      <c r="E5" s="774"/>
      <c r="F5" s="2"/>
      <c r="G5" s="2"/>
      <c r="H5" s="2"/>
      <c r="I5" s="766"/>
      <c r="J5" s="767"/>
      <c r="K5" s="767"/>
      <c r="L5" s="767"/>
      <c r="M5" s="768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s="289" customFormat="1" ht="14.25" customHeight="1">
      <c r="A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4.2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4.25" customHeight="1">
      <c r="A8" s="2"/>
      <c r="B8" s="345" t="s">
        <v>22</v>
      </c>
      <c r="C8" s="593" t="str">
        <f>crop_type</f>
        <v>BARLEY_6_ROW</v>
      </c>
      <c r="D8" s="2"/>
      <c r="E8" s="2"/>
      <c r="F8" s="2"/>
      <c r="G8" s="2"/>
      <c r="H8" s="2"/>
      <c r="I8" s="92" t="s">
        <v>345</v>
      </c>
      <c r="J8" s="150">
        <f>VLOOKUP(crop_type,CropData,15,FALSE)/100</f>
        <v>4.1999999999999997E-3</v>
      </c>
      <c r="K8" s="2"/>
      <c r="L8" s="92" t="s">
        <v>346</v>
      </c>
      <c r="M8" s="150">
        <f>VLOOKUP(crop_type,CropData,16,FALSE)/100</f>
        <v>5.4000000000000003E-3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4.25" customHeight="1">
      <c r="A9" s="2"/>
      <c r="B9" s="345" t="s">
        <v>25</v>
      </c>
      <c r="C9" s="594">
        <f>y</f>
        <v>10000</v>
      </c>
      <c r="D9" s="2"/>
      <c r="E9" s="2"/>
      <c r="F9" s="2"/>
      <c r="G9" s="2"/>
      <c r="H9" s="2"/>
      <c r="I9" s="92" t="s">
        <v>347</v>
      </c>
      <c r="J9" s="150">
        <f>VLOOKUP(crop_type,CropData,25,FALSE)/100</f>
        <v>1E-3</v>
      </c>
      <c r="K9" s="2"/>
      <c r="L9" s="92" t="s">
        <v>348</v>
      </c>
      <c r="M9" s="150">
        <f>VLOOKUP(crop_type,CropData,26,FALSE)/100</f>
        <v>1.8000000000000002E-2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4.25" customHeight="1">
      <c r="A10" s="2"/>
      <c r="B10" s="345" t="s">
        <v>27</v>
      </c>
      <c r="C10" s="595">
        <f>cv</f>
        <v>0.2</v>
      </c>
      <c r="D10" s="2"/>
      <c r="E10" s="2"/>
      <c r="F10" s="2"/>
      <c r="G10" s="2"/>
      <c r="H10" s="2"/>
      <c r="I10" s="92" t="s">
        <v>49</v>
      </c>
      <c r="J10" s="269">
        <f>Pc_si*VLOOKUP(Pc_method,Pc_method_table,2,0)</f>
        <v>11</v>
      </c>
      <c r="K10" s="357" t="s">
        <v>50</v>
      </c>
      <c r="L10" s="92" t="s">
        <v>53</v>
      </c>
      <c r="M10" s="269">
        <f>Kc_s</f>
        <v>163</v>
      </c>
      <c r="N10" s="357" t="s">
        <v>50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4.25" customHeight="1">
      <c r="A11" s="2"/>
      <c r="B11" s="2"/>
      <c r="C11" s="360"/>
      <c r="D11" s="2"/>
      <c r="E11" s="2"/>
      <c r="F11" s="2"/>
      <c r="G11" s="2"/>
      <c r="H11" s="2"/>
      <c r="I11" s="2"/>
      <c r="J11" s="2"/>
      <c r="K11" s="357"/>
      <c r="L11" s="2"/>
      <c r="M11" s="2"/>
      <c r="N11" s="35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4.25" customHeight="1">
      <c r="A12" s="2"/>
      <c r="B12" s="92" t="s">
        <v>349</v>
      </c>
      <c r="C12" s="361">
        <f>VLOOKUP(crop_type,CropData,11,FALSE)/100</f>
        <v>0.88500000000000001</v>
      </c>
      <c r="D12" s="2"/>
      <c r="E12" s="2"/>
      <c r="F12" s="2"/>
      <c r="G12" s="2"/>
      <c r="H12" s="2"/>
      <c r="I12" s="92" t="s">
        <v>350</v>
      </c>
      <c r="J12" s="134">
        <f>VLOOKUP(soil_texture,SoilData,25,0)</f>
        <v>10</v>
      </c>
      <c r="K12" s="357" t="s">
        <v>50</v>
      </c>
      <c r="L12" s="92" t="s">
        <v>351</v>
      </c>
      <c r="M12" s="134">
        <f>VLOOKUP(soil_texture,SoilData,28,0)</f>
        <v>150</v>
      </c>
      <c r="N12" s="357" t="s">
        <v>50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4.25" customHeight="1">
      <c r="B13" s="2"/>
      <c r="C13" s="360"/>
      <c r="D13" s="2"/>
      <c r="E13" s="2"/>
      <c r="F13" s="2"/>
      <c r="G13" s="2"/>
      <c r="H13" s="2"/>
      <c r="I13" s="92" t="s">
        <v>352</v>
      </c>
      <c r="J13" s="134">
        <f>IF(Pc_s&lt;Pc_s_thres_min,1,0)</f>
        <v>0</v>
      </c>
      <c r="K13" s="357"/>
      <c r="L13" s="92" t="s">
        <v>352</v>
      </c>
      <c r="M13" s="134">
        <f>IF(Kc_s&lt;Kc_s_thres_min,1,0)</f>
        <v>0</v>
      </c>
      <c r="N13" s="35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4.25" customHeight="1">
      <c r="B14" s="2"/>
      <c r="C14" s="360"/>
      <c r="D14" s="2"/>
      <c r="E14" s="2"/>
      <c r="F14" s="2"/>
      <c r="G14" s="2"/>
      <c r="H14" s="2"/>
      <c r="I14" s="92" t="s">
        <v>353</v>
      </c>
      <c r="J14" s="153">
        <f>IF(Pc_s&gt;2*Pc_s_thres_min,0.5,1)</f>
        <v>1</v>
      </c>
      <c r="K14" s="357"/>
      <c r="L14" s="92" t="s">
        <v>353</v>
      </c>
      <c r="M14" s="153">
        <f>IF(Kc_s&gt;2*Kc_s_thres_min,0.5,1)</f>
        <v>1</v>
      </c>
      <c r="N14" s="35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4.25" customHeight="1">
      <c r="A15" s="2"/>
      <c r="B15" s="92" t="s">
        <v>179</v>
      </c>
      <c r="C15" s="362">
        <v>0.1</v>
      </c>
      <c r="D15" s="2"/>
      <c r="E15" s="2"/>
      <c r="F15" s="2"/>
      <c r="G15" s="2"/>
      <c r="H15" s="2"/>
      <c r="I15" s="92" t="s">
        <v>354</v>
      </c>
      <c r="J15" s="6">
        <f>J31*$J$14+10*$C$22*depth_s*(Pc_s_thres_min-Pc_s)*$J$13</f>
        <v>48.453749999999992</v>
      </c>
      <c r="K15" s="532"/>
      <c r="L15" s="92" t="s">
        <v>355</v>
      </c>
      <c r="M15" s="6">
        <f>M31*$M$14+10*$C$22*depth_s*(Kc_s_thres_min-Kc_s)*$M$28*$M$13</f>
        <v>250.89750000000001</v>
      </c>
      <c r="N15" s="53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4.25" customHeight="1">
      <c r="A16" s="2"/>
      <c r="B16" s="2"/>
      <c r="C16" s="360"/>
      <c r="D16" s="2"/>
      <c r="E16" s="2"/>
      <c r="F16" s="2"/>
      <c r="G16" s="2"/>
      <c r="H16" s="2"/>
      <c r="I16" s="92" t="s">
        <v>356</v>
      </c>
      <c r="J16" s="7">
        <f>IF(J15&gt;P_crop_max,ROUNDUP(J15/P_crop_max,0),1)</f>
        <v>1</v>
      </c>
      <c r="K16" s="357"/>
      <c r="L16" s="92" t="s">
        <v>357</v>
      </c>
      <c r="M16" s="7">
        <f>IF(M15&gt;K_crop_max,ROUNDUP(M15/K_crop_max,0),1)</f>
        <v>1</v>
      </c>
      <c r="N16" s="35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4.25" customHeight="1">
      <c r="A17" s="2"/>
      <c r="B17" s="92" t="s">
        <v>358</v>
      </c>
      <c r="C17" s="361">
        <f>VLOOKUP(crop_type,CropData,9,FALSE)/100</f>
        <v>0.4</v>
      </c>
      <c r="D17" s="2"/>
      <c r="E17" s="2"/>
      <c r="F17" s="2"/>
      <c r="G17" s="2"/>
      <c r="H17" s="2"/>
      <c r="I17" s="2"/>
      <c r="J17" s="2"/>
      <c r="K17" s="357"/>
      <c r="L17" s="2"/>
      <c r="M17" s="2"/>
      <c r="N17" s="357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4.25" customHeight="1">
      <c r="A18" s="2"/>
      <c r="B18" s="2"/>
      <c r="C18" s="360"/>
      <c r="D18" s="2"/>
      <c r="E18" s="2"/>
      <c r="F18" s="2"/>
      <c r="G18" s="2"/>
      <c r="H18" s="2"/>
      <c r="I18" s="92" t="s">
        <v>359</v>
      </c>
      <c r="J18" s="134">
        <f>VLOOKUP(soil_texture,SoilData,26,0)</f>
        <v>12</v>
      </c>
      <c r="K18" s="357" t="s">
        <v>50</v>
      </c>
      <c r="L18" s="92" t="s">
        <v>360</v>
      </c>
      <c r="M18" s="134">
        <f>VLOOKUP(soil_texture,SoilData,29,0)</f>
        <v>175</v>
      </c>
      <c r="N18" s="357" t="s">
        <v>50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4.25" customHeight="1">
      <c r="A19" s="2"/>
      <c r="B19" s="92" t="s">
        <v>361</v>
      </c>
      <c r="C19" s="363">
        <f>VLOOKUP(crop_type,CropData,14,FALSE)/100</f>
        <v>1.6E-2</v>
      </c>
      <c r="D19" s="2"/>
      <c r="E19" s="2"/>
      <c r="F19" s="2"/>
      <c r="G19" s="2"/>
      <c r="H19" s="2"/>
      <c r="I19" s="92" t="s">
        <v>362</v>
      </c>
      <c r="J19" s="134">
        <f>IF(Pc_s&lt;Pc_s_thres_max,1,0)</f>
        <v>1</v>
      </c>
      <c r="K19" s="357"/>
      <c r="L19" s="92" t="s">
        <v>362</v>
      </c>
      <c r="M19" s="134">
        <f>IF(Kc_s&lt;Kc_s_thres_max,1,0)</f>
        <v>1</v>
      </c>
      <c r="N19" s="13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4.25" customHeight="1">
      <c r="A20" s="2"/>
      <c r="B20" s="92" t="s">
        <v>363</v>
      </c>
      <c r="C20" s="363">
        <f>VLOOKUP(crop_type,CropData,24,FALSE)/100</f>
        <v>6.9999999999999993E-3</v>
      </c>
      <c r="D20" s="2"/>
      <c r="E20" s="2"/>
      <c r="F20" s="2"/>
      <c r="G20" s="2"/>
      <c r="H20" s="2"/>
      <c r="I20" s="92" t="s">
        <v>364</v>
      </c>
      <c r="J20" s="153">
        <f>IF(Pc_s&gt;2*Pc_s_thres_max,0.5,1)</f>
        <v>1</v>
      </c>
      <c r="K20" s="357"/>
      <c r="L20" s="92" t="s">
        <v>364</v>
      </c>
      <c r="M20" s="153">
        <f>IF(Kc_s&gt;2*Kc_s_thres_max,0.5,1)</f>
        <v>1</v>
      </c>
      <c r="N20" s="13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4.25" customHeight="1">
      <c r="A21" s="2"/>
      <c r="B21" s="2"/>
      <c r="C21" s="27"/>
      <c r="D21" s="2"/>
      <c r="E21" s="2"/>
      <c r="F21" s="2"/>
      <c r="G21" s="2"/>
      <c r="H21" s="2"/>
      <c r="I21" s="92" t="s">
        <v>365</v>
      </c>
      <c r="J21" s="6">
        <f>J31*$J$20+10*$C$22*depth_s*(Pc_s_thres_max-Pc_s)*$J$19</f>
        <v>55.553749999999994</v>
      </c>
      <c r="K21" s="357"/>
      <c r="L21" s="92" t="s">
        <v>366</v>
      </c>
      <c r="M21" s="6">
        <f>M40*$M$20+10*$C$22*depth_s*(Kc_s_thres_max-Kc_s)*$M$28*$M$19</f>
        <v>387.21749999999997</v>
      </c>
      <c r="N21" s="13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4.25" customHeight="1">
      <c r="A22" s="2"/>
      <c r="B22" s="92" t="s">
        <v>367</v>
      </c>
      <c r="C22" s="364">
        <f>VLOOKUP(soil_texture,SoilData,21,0)</f>
        <v>1.42</v>
      </c>
      <c r="D22" s="357" t="s">
        <v>368</v>
      </c>
      <c r="E22" s="2"/>
      <c r="F22" s="2"/>
      <c r="G22" s="2"/>
      <c r="H22" s="2"/>
      <c r="I22" s="92" t="s">
        <v>369</v>
      </c>
      <c r="J22" s="7">
        <f>IF(J21&gt;P_crop_max,ROUNDUP(J21/P_crop_max,0),1)</f>
        <v>1</v>
      </c>
      <c r="K22" s="357"/>
      <c r="L22" s="92" t="s">
        <v>370</v>
      </c>
      <c r="M22" s="7">
        <f>IF(M21&gt;K_crop_max,ROUNDUP(M21/K_crop_max,0),1)</f>
        <v>2</v>
      </c>
      <c r="N22" s="13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s="289" customFormat="1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s="289" customFormat="1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s="289" customFormat="1" ht="14.25" customHeight="1">
      <c r="A25" s="2"/>
      <c r="B25" s="763" t="s">
        <v>1800</v>
      </c>
      <c r="C25" s="764"/>
      <c r="D25" s="764"/>
      <c r="E25" s="764"/>
      <c r="F25" s="765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s="289" customFormat="1" ht="14.25" customHeight="1">
      <c r="A26" s="2"/>
      <c r="B26" s="766"/>
      <c r="C26" s="767"/>
      <c r="D26" s="767"/>
      <c r="E26" s="767"/>
      <c r="F26" s="768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4.25" customHeight="1">
      <c r="A28" s="2"/>
      <c r="B28" s="92" t="s">
        <v>371</v>
      </c>
      <c r="C28" s="92" t="s">
        <v>372</v>
      </c>
      <c r="D28" s="92" t="s">
        <v>373</v>
      </c>
      <c r="E28" s="92" t="s">
        <v>374</v>
      </c>
      <c r="F28" s="92" t="s">
        <v>375</v>
      </c>
      <c r="G28" s="2"/>
      <c r="H28" s="2"/>
      <c r="I28" s="2"/>
      <c r="J28" s="2"/>
      <c r="K28" s="2"/>
      <c r="L28" s="92" t="s">
        <v>102</v>
      </c>
      <c r="M28" s="153">
        <f>VLOOKUP(soil_texture,SoilData,24,0)</f>
        <v>1.6</v>
      </c>
      <c r="N28" s="2"/>
      <c r="O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4.25" customHeight="1">
      <c r="A29" s="2"/>
      <c r="B29" s="7">
        <f t="shared" ref="B29:B37" si="0">(C29*$C$19+D29*$C$20)*(1+fnr)</f>
        <v>257.97750000000002</v>
      </c>
      <c r="C29" s="6">
        <f>y*$C$12*(1+cv*E29)</f>
        <v>8850</v>
      </c>
      <c r="D29" s="6">
        <f t="shared" ref="D29:D37" si="1">C29*(1-$C$17)/$C$17</f>
        <v>13275</v>
      </c>
      <c r="E29" s="154">
        <v>0</v>
      </c>
      <c r="F29" s="155">
        <v>0.5</v>
      </c>
      <c r="G29" s="2"/>
      <c r="H29" s="2"/>
      <c r="I29" s="2"/>
      <c r="J29" s="2"/>
      <c r="K29" s="2"/>
      <c r="L29" s="2"/>
      <c r="M29" s="2"/>
      <c r="N29" s="2"/>
      <c r="O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4.25" customHeight="1">
      <c r="A30" s="2"/>
      <c r="B30" s="7">
        <f t="shared" si="0"/>
        <v>191.93526</v>
      </c>
      <c r="C30" s="6">
        <f t="shared" ref="C30:C37" si="2">y*$C$12*(1+cv*E30)</f>
        <v>6584.4</v>
      </c>
      <c r="D30" s="6">
        <f t="shared" si="1"/>
        <v>9876.5999999999985</v>
      </c>
      <c r="E30" s="156">
        <v>-1.28</v>
      </c>
      <c r="F30" s="157">
        <v>0.10027256795444205</v>
      </c>
      <c r="G30" s="2"/>
      <c r="H30" s="2"/>
      <c r="I30" s="2"/>
      <c r="J30" s="2"/>
      <c r="K30" s="2"/>
      <c r="L30" s="2"/>
      <c r="M30" s="2"/>
      <c r="N30" s="2"/>
      <c r="O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4.25" customHeight="1">
      <c r="A31" s="2"/>
      <c r="B31" s="7">
        <f t="shared" si="0"/>
        <v>214.63728</v>
      </c>
      <c r="C31" s="6">
        <f t="shared" si="2"/>
        <v>7363.2</v>
      </c>
      <c r="D31" s="6">
        <f t="shared" si="1"/>
        <v>11044.8</v>
      </c>
      <c r="E31" s="156">
        <v>-0.84</v>
      </c>
      <c r="F31" s="155">
        <v>0.20045419326044964</v>
      </c>
      <c r="G31" s="2"/>
      <c r="H31" s="2"/>
      <c r="I31" s="92" t="s">
        <v>376</v>
      </c>
      <c r="J31" s="6">
        <f>$C29*$J$8+$D29*(1-fmc_r)*$J$9*export_r</f>
        <v>48.453749999999992</v>
      </c>
      <c r="K31" s="2"/>
      <c r="L31" s="92" t="s">
        <v>377</v>
      </c>
      <c r="M31" s="6">
        <f>$C29*$M$8+$D29*(1-fmc_r)*$M$9*export_r</f>
        <v>250.89750000000001</v>
      </c>
      <c r="N31" s="2"/>
      <c r="O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4.25" customHeight="1">
      <c r="A32" s="2"/>
      <c r="B32" s="7">
        <f t="shared" si="0"/>
        <v>230.88986249999999</v>
      </c>
      <c r="C32" s="6">
        <f t="shared" si="2"/>
        <v>7920.75</v>
      </c>
      <c r="D32" s="6">
        <f t="shared" si="1"/>
        <v>11881.124999999998</v>
      </c>
      <c r="E32" s="156">
        <v>-0.52500000000000002</v>
      </c>
      <c r="F32" s="157">
        <v>0.29979159546869583</v>
      </c>
      <c r="G32" s="2"/>
      <c r="H32" s="2"/>
      <c r="I32" s="2"/>
      <c r="J32" s="2"/>
      <c r="K32" s="2"/>
      <c r="L32" s="2"/>
      <c r="M32" s="2"/>
      <c r="N32" s="2"/>
      <c r="O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4.25" customHeight="1">
      <c r="A33" s="2"/>
      <c r="B33" s="7">
        <f t="shared" si="0"/>
        <v>244.92383849999999</v>
      </c>
      <c r="C33" s="6">
        <f t="shared" si="2"/>
        <v>8402.19</v>
      </c>
      <c r="D33" s="6">
        <f t="shared" si="1"/>
        <v>12603.285</v>
      </c>
      <c r="E33" s="156">
        <v>-0.253</v>
      </c>
      <c r="F33" s="157">
        <v>0.40013410659859483</v>
      </c>
      <c r="G33" s="2"/>
      <c r="H33" s="2"/>
      <c r="I33" s="2"/>
      <c r="J33" s="2"/>
      <c r="K33" s="2"/>
      <c r="L33" s="2"/>
      <c r="M33" s="2"/>
      <c r="N33" s="2"/>
      <c r="O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4.25" customHeight="1">
      <c r="A34" s="2"/>
      <c r="B34" s="7">
        <f t="shared" si="0"/>
        <v>271.0311615</v>
      </c>
      <c r="C34" s="6">
        <f t="shared" si="2"/>
        <v>9297.81</v>
      </c>
      <c r="D34" s="6">
        <f t="shared" si="1"/>
        <v>13946.714999999998</v>
      </c>
      <c r="E34" s="156">
        <v>0.253</v>
      </c>
      <c r="F34" s="157">
        <v>0.59986589340140517</v>
      </c>
      <c r="G34" s="2"/>
      <c r="H34" s="2"/>
      <c r="I34" s="2"/>
      <c r="J34" s="2"/>
      <c r="K34" s="2"/>
      <c r="L34" s="2"/>
      <c r="M34" s="2"/>
      <c r="N34" s="2"/>
      <c r="O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4.25" customHeight="1">
      <c r="A35" s="2"/>
      <c r="B35" s="7">
        <f t="shared" si="0"/>
        <v>285.06513750000005</v>
      </c>
      <c r="C35" s="6">
        <f t="shared" si="2"/>
        <v>9779.25</v>
      </c>
      <c r="D35" s="6">
        <f t="shared" si="1"/>
        <v>14668.875</v>
      </c>
      <c r="E35" s="156">
        <v>0.52500000000000002</v>
      </c>
      <c r="F35" s="157">
        <v>0.70020840453130417</v>
      </c>
      <c r="G35" s="2"/>
      <c r="H35" s="2"/>
      <c r="I35" s="763" t="s">
        <v>1797</v>
      </c>
      <c r="J35" s="764"/>
      <c r="K35" s="764"/>
      <c r="L35" s="764"/>
      <c r="M35" s="765"/>
      <c r="N35" s="2"/>
      <c r="O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4.25" customHeight="1">
      <c r="A36" s="2"/>
      <c r="B36" s="7">
        <f t="shared" si="0"/>
        <v>301.31772000000001</v>
      </c>
      <c r="C36" s="6">
        <f t="shared" si="2"/>
        <v>10336.799999999999</v>
      </c>
      <c r="D36" s="6">
        <f t="shared" si="1"/>
        <v>15505.199999999997</v>
      </c>
      <c r="E36" s="156">
        <v>0.84</v>
      </c>
      <c r="F36" s="155">
        <v>0.79954580673955034</v>
      </c>
      <c r="G36" s="2"/>
      <c r="H36" s="2"/>
      <c r="I36" s="766"/>
      <c r="J36" s="767"/>
      <c r="K36" s="767"/>
      <c r="L36" s="767"/>
      <c r="M36" s="768"/>
      <c r="N36" s="2"/>
      <c r="O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4.25" customHeight="1">
      <c r="A37" s="2"/>
      <c r="B37" s="7">
        <f t="shared" si="0"/>
        <v>324.01974000000001</v>
      </c>
      <c r="C37" s="6">
        <f t="shared" si="2"/>
        <v>11115.6</v>
      </c>
      <c r="D37" s="6">
        <f t="shared" si="1"/>
        <v>16673.399999999998</v>
      </c>
      <c r="E37" s="156">
        <v>1.28</v>
      </c>
      <c r="F37" s="157">
        <v>0.89972743204555794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4.25" customHeight="1">
      <c r="A38" s="2"/>
      <c r="B38" s="2"/>
      <c r="C38" s="151"/>
      <c r="D38" s="2"/>
      <c r="E38" s="2"/>
      <c r="F38" s="2"/>
      <c r="G38" s="2"/>
      <c r="H38" s="2"/>
      <c r="I38" s="358" t="s">
        <v>378</v>
      </c>
      <c r="J38" s="2"/>
      <c r="K38" s="2"/>
      <c r="L38" s="359" t="s">
        <v>378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4.25" hidden="1" customHeight="1">
      <c r="A39" s="2"/>
      <c r="B39" s="2"/>
      <c r="C39" s="151"/>
      <c r="D39" s="2"/>
      <c r="E39" s="2"/>
      <c r="F39" s="2"/>
      <c r="G39" s="2"/>
      <c r="H39" s="2"/>
      <c r="I39" s="353" t="s">
        <v>13</v>
      </c>
      <c r="J39" s="352">
        <f>10*$C$22*depth_s*(Pc_s_thres_min-Pc_s)*$J$13/J16</f>
        <v>0</v>
      </c>
      <c r="K39" s="2"/>
      <c r="L39" s="353" t="s">
        <v>13</v>
      </c>
      <c r="M39" s="7">
        <f>10*$C$22*depth_s*(Kc_s_thres_min-Kc_s)*$M$28*$M$13/M16</f>
        <v>0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4.25" hidden="1" customHeight="1">
      <c r="A40" s="2"/>
      <c r="B40" s="2"/>
      <c r="C40" s="151"/>
      <c r="D40" s="2"/>
      <c r="E40" s="2"/>
      <c r="F40" s="2"/>
      <c r="G40" s="2"/>
      <c r="H40" s="2"/>
      <c r="I40" s="354" t="s">
        <v>14</v>
      </c>
      <c r="J40" s="352">
        <f>(J31*$J$14+10*$C$22*depth_s*(Pc_s_thres_min-Pc_s)*$J$13)/J16</f>
        <v>48.453749999999992</v>
      </c>
      <c r="K40" s="2"/>
      <c r="L40" s="354" t="s">
        <v>14</v>
      </c>
      <c r="M40" s="7">
        <f>(M31*$M$14+10*$C$22*depth_s*(Kc_s_thres_min-Kc_s)*$M$28*$M$13)/M16</f>
        <v>250.89750000000001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4.25" hidden="1" customHeight="1">
      <c r="A41" s="2"/>
      <c r="B41" s="2"/>
      <c r="C41" s="151"/>
      <c r="D41" s="2"/>
      <c r="E41" s="2"/>
      <c r="F41" s="2"/>
      <c r="G41" s="2"/>
      <c r="H41" s="2"/>
      <c r="I41" s="355" t="s">
        <v>15</v>
      </c>
      <c r="J41" s="352">
        <f>(J31*$J$20+10*$C$22*depth_s*(Pc_s_thres_max-Pc_s)*$J$19)/J22</f>
        <v>55.553749999999994</v>
      </c>
      <c r="K41" s="2"/>
      <c r="L41" s="355" t="s">
        <v>15</v>
      </c>
      <c r="M41" s="7">
        <f>(M31*$M$20+10*$C$22*depth_s*(Kc_s_thres_max-Kc_s)*$M$28*$M$19)/M22</f>
        <v>193.60874999999999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4.25" customHeight="1">
      <c r="A42" s="2"/>
      <c r="B42" s="2"/>
      <c r="C42" s="151"/>
      <c r="D42" s="2"/>
      <c r="E42" s="2"/>
      <c r="F42" s="2"/>
      <c r="G42" s="2"/>
      <c r="H42" s="2"/>
      <c r="I42" s="356" t="s">
        <v>16</v>
      </c>
      <c r="J42" s="352">
        <f>J31</f>
        <v>48.453749999999992</v>
      </c>
      <c r="K42" s="2"/>
      <c r="L42" s="356" t="s">
        <v>16</v>
      </c>
      <c r="M42" s="7">
        <f>M31</f>
        <v>250.89750000000001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4.25" customHeight="1">
      <c r="A43" s="2"/>
      <c r="B43" s="2"/>
      <c r="C43" s="15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4.25" customHeight="1">
      <c r="A44" s="2"/>
      <c r="B44" s="2"/>
      <c r="C44" s="15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4.25" customHeight="1">
      <c r="A45" s="2"/>
      <c r="B45" s="2"/>
      <c r="C45" s="15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4.25" customHeight="1">
      <c r="A46" s="2"/>
      <c r="B46" s="2"/>
      <c r="C46" s="15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4.25" customHeight="1">
      <c r="A47" s="2"/>
      <c r="B47" s="2"/>
      <c r="C47" s="15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4.25" customHeight="1">
      <c r="A48" s="147" t="s">
        <v>342</v>
      </c>
      <c r="B48" s="148"/>
      <c r="C48" s="149"/>
      <c r="D48" s="149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4.25" customHeight="1">
      <c r="A49" s="147" t="s">
        <v>343</v>
      </c>
      <c r="B49" s="148"/>
      <c r="C49" s="149"/>
      <c r="D49" s="149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4.25" customHeight="1">
      <c r="A50" s="147" t="s">
        <v>344</v>
      </c>
      <c r="B50" s="148"/>
      <c r="C50" s="149"/>
      <c r="D50" s="149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4.25" customHeight="1">
      <c r="A51" s="365"/>
      <c r="B51" s="366"/>
      <c r="C51" s="351"/>
      <c r="D51" s="35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4.25" customHeight="1">
      <c r="A52" s="2"/>
      <c r="B52" s="2"/>
      <c r="C52" s="15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4.25" customHeight="1">
      <c r="A53" s="2"/>
      <c r="B53" s="2"/>
      <c r="C53" s="15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4.25" customHeight="1">
      <c r="A54" s="2"/>
      <c r="B54" s="2"/>
      <c r="C54" s="15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4.25" customHeight="1">
      <c r="A55" s="2"/>
      <c r="B55" s="2"/>
      <c r="C55" s="15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4.25" customHeight="1">
      <c r="A56" s="2"/>
      <c r="B56" s="2"/>
      <c r="C56" s="15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4.25" customHeight="1">
      <c r="A57" s="2"/>
      <c r="B57" s="2"/>
      <c r="C57" s="15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4.25" customHeight="1">
      <c r="A58" s="2"/>
      <c r="B58" s="2"/>
      <c r="C58" s="15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4.25" customHeight="1">
      <c r="A59" s="2"/>
      <c r="B59" s="2"/>
      <c r="C59" s="15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4.25" customHeight="1">
      <c r="A60" s="2"/>
      <c r="B60" s="2"/>
      <c r="C60" s="15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4.25" customHeight="1">
      <c r="A61" s="2"/>
      <c r="B61" s="2"/>
      <c r="C61" s="15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4.25" customHeight="1">
      <c r="A62" s="2"/>
      <c r="B62" s="2"/>
      <c r="C62" s="15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4.25" customHeight="1">
      <c r="A63" s="2"/>
      <c r="B63" s="2"/>
      <c r="C63" s="15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4.25" customHeight="1">
      <c r="A64" s="2"/>
      <c r="B64" s="2"/>
      <c r="C64" s="15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4.25" customHeight="1">
      <c r="A65" s="2"/>
      <c r="B65" s="2"/>
      <c r="C65" s="15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4.25" customHeight="1">
      <c r="A66" s="2"/>
      <c r="B66" s="2"/>
      <c r="C66" s="15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4.25" customHeight="1">
      <c r="A67" s="2"/>
      <c r="B67" s="2"/>
      <c r="C67" s="15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4.25" customHeight="1">
      <c r="A68" s="2"/>
      <c r="B68" s="2"/>
      <c r="C68" s="15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4.25" customHeight="1">
      <c r="A69" s="2"/>
      <c r="B69" s="2"/>
      <c r="C69" s="15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4.25" customHeight="1">
      <c r="A70" s="2"/>
      <c r="B70" s="2"/>
      <c r="C70" s="15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4.25" customHeight="1">
      <c r="A71" s="2"/>
      <c r="B71" s="2"/>
      <c r="C71" s="15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4.25" customHeight="1">
      <c r="A72" s="2"/>
      <c r="B72" s="2"/>
      <c r="C72" s="15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4.25" customHeight="1">
      <c r="A73" s="2"/>
      <c r="B73" s="2"/>
      <c r="C73" s="15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4.25" customHeight="1">
      <c r="A74" s="2"/>
      <c r="B74" s="2"/>
      <c r="C74" s="15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4.25" customHeight="1">
      <c r="A75" s="2"/>
      <c r="B75" s="2"/>
      <c r="C75" s="15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4.25" customHeight="1">
      <c r="A76" s="2"/>
      <c r="B76" s="2"/>
      <c r="C76" s="15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4.25" customHeight="1">
      <c r="A77" s="2"/>
      <c r="B77" s="2"/>
      <c r="C77" s="15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4.25" customHeight="1">
      <c r="A78" s="2"/>
      <c r="B78" s="2"/>
      <c r="C78" s="15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4.25" customHeight="1">
      <c r="A79" s="2"/>
      <c r="B79" s="2"/>
      <c r="C79" s="15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4.25" customHeight="1">
      <c r="A80" s="2"/>
      <c r="B80" s="2"/>
      <c r="C80" s="15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4.25" customHeight="1">
      <c r="A81" s="2"/>
      <c r="B81" s="2"/>
      <c r="C81" s="15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4.25" customHeight="1">
      <c r="A82" s="2"/>
      <c r="B82" s="2"/>
      <c r="C82" s="15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4.25" customHeight="1">
      <c r="A83" s="2"/>
      <c r="B83" s="2"/>
      <c r="C83" s="15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4.25" customHeight="1">
      <c r="A84" s="2"/>
      <c r="B84" s="2"/>
      <c r="C84" s="15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4.25" customHeight="1">
      <c r="A85" s="2"/>
      <c r="B85" s="2"/>
      <c r="C85" s="15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4.25" customHeight="1">
      <c r="A86" s="2"/>
      <c r="B86" s="2"/>
      <c r="C86" s="15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4.25" customHeight="1">
      <c r="A87" s="2"/>
      <c r="B87" s="2"/>
      <c r="C87" s="15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4.25" customHeight="1">
      <c r="A88" s="2"/>
      <c r="B88" s="2"/>
      <c r="C88" s="15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4.25" customHeight="1">
      <c r="A89" s="2"/>
      <c r="B89" s="2"/>
      <c r="C89" s="15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4.25" customHeight="1">
      <c r="A90" s="2"/>
      <c r="B90" s="2"/>
      <c r="C90" s="15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4.25" customHeight="1">
      <c r="A91" s="2"/>
      <c r="B91" s="2"/>
      <c r="C91" s="15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4.25" customHeight="1">
      <c r="A92" s="2"/>
      <c r="B92" s="2"/>
      <c r="C92" s="15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4.25" customHeight="1">
      <c r="A93" s="2"/>
      <c r="B93" s="2"/>
      <c r="C93" s="15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4.25" customHeight="1">
      <c r="A94" s="2"/>
      <c r="B94" s="2"/>
      <c r="C94" s="15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4.25" customHeight="1">
      <c r="A95" s="2"/>
      <c r="B95" s="2"/>
      <c r="C95" s="15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4.25" customHeight="1">
      <c r="A96" s="2"/>
      <c r="B96" s="2"/>
      <c r="C96" s="15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4.25" customHeight="1">
      <c r="A97" s="2"/>
      <c r="B97" s="2"/>
      <c r="C97" s="15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4.25" customHeight="1">
      <c r="A98" s="2"/>
      <c r="B98" s="2"/>
      <c r="C98" s="15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4.25" customHeight="1">
      <c r="A99" s="2"/>
      <c r="B99" s="2"/>
      <c r="C99" s="15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4.25" customHeight="1">
      <c r="A100" s="2"/>
      <c r="B100" s="2"/>
      <c r="C100" s="15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4.25" customHeight="1">
      <c r="A101" s="2"/>
      <c r="B101" s="2"/>
      <c r="C101" s="15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4.25" customHeight="1">
      <c r="A102" s="2"/>
      <c r="B102" s="2"/>
      <c r="C102" s="15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4.25" customHeight="1">
      <c r="A103" s="2"/>
      <c r="B103" s="2"/>
      <c r="C103" s="15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4.25" customHeight="1">
      <c r="A104" s="2"/>
      <c r="B104" s="2"/>
      <c r="C104" s="15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4.25" customHeight="1">
      <c r="A105" s="2"/>
      <c r="B105" s="2"/>
      <c r="C105" s="15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4.25" customHeight="1">
      <c r="A106" s="2"/>
      <c r="B106" s="2"/>
      <c r="C106" s="15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4.25" customHeight="1">
      <c r="A107" s="2"/>
      <c r="B107" s="2"/>
      <c r="C107" s="15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4.25" customHeight="1">
      <c r="A108" s="2"/>
      <c r="B108" s="2"/>
      <c r="C108" s="15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4.25" customHeight="1">
      <c r="A109" s="2"/>
      <c r="B109" s="2"/>
      <c r="C109" s="15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4.25" customHeight="1">
      <c r="A110" s="2"/>
      <c r="B110" s="2"/>
      <c r="C110" s="15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4.25" customHeight="1">
      <c r="A111" s="2"/>
      <c r="B111" s="2"/>
      <c r="C111" s="15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4.25" customHeight="1">
      <c r="A112" s="2"/>
      <c r="B112" s="2"/>
      <c r="C112" s="15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4.25" customHeight="1">
      <c r="A113" s="2"/>
      <c r="B113" s="2"/>
      <c r="C113" s="15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4.25" customHeight="1">
      <c r="A114" s="2"/>
      <c r="B114" s="2"/>
      <c r="C114" s="15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4.25" customHeight="1">
      <c r="A115" s="2"/>
      <c r="B115" s="2"/>
      <c r="C115" s="15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4.25" customHeight="1">
      <c r="A116" s="2"/>
      <c r="B116" s="2"/>
      <c r="C116" s="15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4.25" customHeight="1">
      <c r="A117" s="2"/>
      <c r="B117" s="2"/>
      <c r="C117" s="15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4.25" customHeight="1">
      <c r="A118" s="2"/>
      <c r="B118" s="2"/>
      <c r="C118" s="15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4.25" customHeight="1">
      <c r="A119" s="2"/>
      <c r="B119" s="2"/>
      <c r="C119" s="15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4.25" customHeight="1">
      <c r="A120" s="2"/>
      <c r="B120" s="2"/>
      <c r="C120" s="15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4.25" customHeight="1">
      <c r="A121" s="2"/>
      <c r="B121" s="2"/>
      <c r="C121" s="15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4.25" customHeight="1">
      <c r="A122" s="2"/>
      <c r="B122" s="2"/>
      <c r="C122" s="15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4.25" customHeight="1">
      <c r="A123" s="2"/>
      <c r="B123" s="2"/>
      <c r="C123" s="15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4.25" customHeight="1">
      <c r="A124" s="2"/>
      <c r="B124" s="2"/>
      <c r="C124" s="15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4.25" customHeight="1">
      <c r="A125" s="2"/>
      <c r="B125" s="2"/>
      <c r="C125" s="15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4.25" customHeight="1">
      <c r="A126" s="2"/>
      <c r="B126" s="2"/>
      <c r="C126" s="15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4.25" customHeight="1">
      <c r="A127" s="2"/>
      <c r="B127" s="2"/>
      <c r="C127" s="15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4.25" customHeight="1">
      <c r="A128" s="2"/>
      <c r="B128" s="2"/>
      <c r="C128" s="15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4.25" customHeight="1">
      <c r="A129" s="2"/>
      <c r="B129" s="2"/>
      <c r="C129" s="15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4.25" customHeight="1">
      <c r="A130" s="2"/>
      <c r="B130" s="2"/>
      <c r="C130" s="15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4.25" customHeight="1">
      <c r="A131" s="2"/>
      <c r="B131" s="2"/>
      <c r="C131" s="15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4.25" customHeight="1">
      <c r="A132" s="2"/>
      <c r="B132" s="2"/>
      <c r="C132" s="15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4.25" customHeight="1">
      <c r="A133" s="2"/>
      <c r="B133" s="2"/>
      <c r="C133" s="15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4.25" customHeight="1">
      <c r="A134" s="2"/>
      <c r="B134" s="2"/>
      <c r="C134" s="15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4.25" customHeight="1">
      <c r="A135" s="2"/>
      <c r="B135" s="2"/>
      <c r="C135" s="15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4.25" customHeight="1">
      <c r="A136" s="2"/>
      <c r="B136" s="2"/>
      <c r="C136" s="15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4.25" customHeight="1">
      <c r="A137" s="2"/>
      <c r="B137" s="2"/>
      <c r="C137" s="15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4.25" customHeight="1">
      <c r="A138" s="2"/>
      <c r="B138" s="2"/>
      <c r="C138" s="15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4.25" customHeight="1">
      <c r="A139" s="2"/>
      <c r="B139" s="2"/>
      <c r="C139" s="15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4.25" customHeight="1">
      <c r="A140" s="2"/>
      <c r="B140" s="2"/>
      <c r="C140" s="15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4.25" customHeight="1">
      <c r="A141" s="2"/>
      <c r="B141" s="2"/>
      <c r="C141" s="15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4.25" customHeight="1">
      <c r="A142" s="2"/>
      <c r="B142" s="2"/>
      <c r="C142" s="15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4.25" customHeight="1">
      <c r="A143" s="2"/>
      <c r="B143" s="2"/>
      <c r="C143" s="15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4.25" customHeight="1">
      <c r="A144" s="2"/>
      <c r="B144" s="2"/>
      <c r="C144" s="15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4.25" customHeight="1">
      <c r="A145" s="2"/>
      <c r="B145" s="2"/>
      <c r="C145" s="15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4.25" customHeight="1">
      <c r="A146" s="2"/>
      <c r="B146" s="2"/>
      <c r="C146" s="15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4.25" customHeight="1">
      <c r="A147" s="2"/>
      <c r="B147" s="2"/>
      <c r="C147" s="15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4.25" customHeight="1">
      <c r="A148" s="2"/>
      <c r="B148" s="2"/>
      <c r="C148" s="15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4.25" customHeight="1">
      <c r="A149" s="2"/>
      <c r="B149" s="2"/>
      <c r="C149" s="15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4.25" customHeight="1">
      <c r="A150" s="2"/>
      <c r="B150" s="2"/>
      <c r="C150" s="15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4.25" customHeight="1">
      <c r="A151" s="2"/>
      <c r="B151" s="2"/>
      <c r="C151" s="15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4.25" customHeight="1">
      <c r="A152" s="2"/>
      <c r="B152" s="2"/>
      <c r="C152" s="15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4.25" customHeight="1">
      <c r="A153" s="2"/>
      <c r="B153" s="2"/>
      <c r="C153" s="15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4.25" customHeight="1">
      <c r="A154" s="2"/>
      <c r="B154" s="2"/>
      <c r="C154" s="15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4.25" customHeight="1">
      <c r="A155" s="2"/>
      <c r="B155" s="2"/>
      <c r="C155" s="15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4.25" customHeight="1">
      <c r="A156" s="2"/>
      <c r="B156" s="2"/>
      <c r="C156" s="15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4.25" customHeight="1">
      <c r="A157" s="2"/>
      <c r="B157" s="2"/>
      <c r="C157" s="15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4.25" customHeight="1">
      <c r="A158" s="2"/>
      <c r="B158" s="2"/>
      <c r="C158" s="15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4.25" customHeight="1">
      <c r="A159" s="2"/>
      <c r="B159" s="2"/>
      <c r="C159" s="15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4.25" customHeight="1">
      <c r="A160" s="2"/>
      <c r="B160" s="2"/>
      <c r="C160" s="15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4.25" customHeight="1">
      <c r="A161" s="2"/>
      <c r="B161" s="2"/>
      <c r="C161" s="15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4.25" customHeight="1">
      <c r="A162" s="2"/>
      <c r="B162" s="2"/>
      <c r="C162" s="15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4.25" customHeight="1">
      <c r="A163" s="2"/>
      <c r="B163" s="2"/>
      <c r="C163" s="15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4.25" customHeight="1">
      <c r="A164" s="2"/>
      <c r="B164" s="2"/>
      <c r="C164" s="15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4.25" customHeight="1">
      <c r="A165" s="2"/>
      <c r="B165" s="2"/>
      <c r="C165" s="15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4.25" customHeight="1">
      <c r="A166" s="2"/>
      <c r="B166" s="2"/>
      <c r="C166" s="15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4.25" customHeight="1">
      <c r="A167" s="2"/>
      <c r="B167" s="2"/>
      <c r="C167" s="15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4.25" customHeight="1">
      <c r="A168" s="2"/>
      <c r="B168" s="2"/>
      <c r="C168" s="15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4.25" customHeight="1">
      <c r="A169" s="2"/>
      <c r="B169" s="2"/>
      <c r="C169" s="15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4.25" customHeight="1">
      <c r="A170" s="2"/>
      <c r="B170" s="2"/>
      <c r="C170" s="15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4.25" customHeight="1">
      <c r="A171" s="2"/>
      <c r="B171" s="2"/>
      <c r="C171" s="15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4.25" customHeight="1">
      <c r="A172" s="2"/>
      <c r="B172" s="2"/>
      <c r="C172" s="15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4.25" customHeight="1">
      <c r="A173" s="2"/>
      <c r="B173" s="2"/>
      <c r="C173" s="15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4.25" customHeight="1">
      <c r="A174" s="2"/>
      <c r="B174" s="2"/>
      <c r="C174" s="15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4.25" customHeight="1">
      <c r="A175" s="2"/>
      <c r="B175" s="2"/>
      <c r="C175" s="15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4.25" customHeight="1">
      <c r="A176" s="2"/>
      <c r="B176" s="2"/>
      <c r="C176" s="15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4.25" customHeight="1">
      <c r="A177" s="2"/>
      <c r="B177" s="2"/>
      <c r="C177" s="15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4.25" customHeight="1">
      <c r="A178" s="2"/>
      <c r="B178" s="2"/>
      <c r="C178" s="15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4.25" customHeight="1">
      <c r="A179" s="2"/>
      <c r="B179" s="2"/>
      <c r="C179" s="15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4.25" customHeight="1">
      <c r="A180" s="2"/>
      <c r="B180" s="2"/>
      <c r="C180" s="15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4.25" customHeight="1">
      <c r="A181" s="2"/>
      <c r="B181" s="2"/>
      <c r="C181" s="15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4.25" customHeight="1">
      <c r="A182" s="2"/>
      <c r="B182" s="2"/>
      <c r="C182" s="15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4.25" customHeight="1">
      <c r="A183" s="2"/>
      <c r="B183" s="2"/>
      <c r="C183" s="15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4.25" customHeight="1">
      <c r="A184" s="2"/>
      <c r="B184" s="2"/>
      <c r="C184" s="15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4.25" customHeight="1">
      <c r="A185" s="2"/>
      <c r="B185" s="2"/>
      <c r="C185" s="15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4.25" customHeight="1">
      <c r="A186" s="2"/>
      <c r="B186" s="2"/>
      <c r="C186" s="15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4.25" customHeight="1">
      <c r="A187" s="2"/>
      <c r="B187" s="2"/>
      <c r="C187" s="15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4.25" customHeight="1">
      <c r="A188" s="2"/>
      <c r="B188" s="2"/>
      <c r="C188" s="15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4.25" customHeight="1">
      <c r="A189" s="2"/>
      <c r="B189" s="2"/>
      <c r="C189" s="15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4.25" customHeight="1">
      <c r="A190" s="2"/>
      <c r="B190" s="2"/>
      <c r="C190" s="15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4.25" customHeight="1">
      <c r="A191" s="2"/>
      <c r="B191" s="2"/>
      <c r="C191" s="15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4.25" customHeight="1">
      <c r="A192" s="2"/>
      <c r="B192" s="2"/>
      <c r="C192" s="15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4.25" customHeight="1">
      <c r="A193" s="2"/>
      <c r="B193" s="2"/>
      <c r="C193" s="151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4.25" customHeight="1">
      <c r="A194" s="2"/>
      <c r="B194" s="2"/>
      <c r="C194" s="15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4.25" customHeight="1">
      <c r="A195" s="2"/>
      <c r="B195" s="2"/>
      <c r="C195" s="151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4.25" customHeight="1">
      <c r="A196" s="2"/>
      <c r="B196" s="2"/>
      <c r="C196" s="151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4.25" customHeight="1">
      <c r="A197" s="2"/>
      <c r="B197" s="2"/>
      <c r="C197" s="151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4.25" customHeight="1">
      <c r="A198" s="2"/>
      <c r="B198" s="2"/>
      <c r="C198" s="151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4.25" customHeight="1">
      <c r="A199" s="2"/>
      <c r="B199" s="2"/>
      <c r="C199" s="151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4.25" customHeight="1">
      <c r="A200" s="2"/>
      <c r="B200" s="2"/>
      <c r="C200" s="151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4.25" customHeight="1">
      <c r="A201" s="2"/>
      <c r="B201" s="2"/>
      <c r="C201" s="151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4.25" customHeight="1">
      <c r="A202" s="2"/>
      <c r="B202" s="2"/>
      <c r="C202" s="151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4.25" customHeight="1">
      <c r="A203" s="2"/>
      <c r="B203" s="2"/>
      <c r="C203" s="151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4.25" customHeight="1">
      <c r="A204" s="2"/>
      <c r="B204" s="2"/>
      <c r="C204" s="151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4.25" customHeight="1">
      <c r="A205" s="2"/>
      <c r="B205" s="2"/>
      <c r="C205" s="15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4.25" customHeight="1">
      <c r="A206" s="2"/>
      <c r="B206" s="2"/>
      <c r="C206" s="15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4.25" customHeight="1">
      <c r="A207" s="2"/>
      <c r="B207" s="2"/>
      <c r="C207" s="151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4.25" customHeight="1">
      <c r="A208" s="2"/>
      <c r="B208" s="2"/>
      <c r="C208" s="151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4.25" customHeight="1">
      <c r="A209" s="2"/>
      <c r="B209" s="2"/>
      <c r="C209" s="15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4.25" customHeight="1">
      <c r="A210" s="2"/>
      <c r="B210" s="2"/>
      <c r="C210" s="15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4.25" customHeight="1">
      <c r="A211" s="2"/>
      <c r="B211" s="2"/>
      <c r="C211" s="151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4.25" customHeight="1">
      <c r="A212" s="2"/>
      <c r="B212" s="2"/>
      <c r="C212" s="15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4.25" customHeight="1">
      <c r="A213" s="2"/>
      <c r="B213" s="2"/>
      <c r="C213" s="15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4.25" customHeight="1">
      <c r="A214" s="2"/>
      <c r="B214" s="2"/>
      <c r="C214" s="15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4.25" customHeight="1">
      <c r="A215" s="2"/>
      <c r="B215" s="2"/>
      <c r="C215" s="15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4.25" customHeight="1">
      <c r="A216" s="2"/>
      <c r="B216" s="2"/>
      <c r="C216" s="15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4.25" customHeight="1">
      <c r="A217" s="2"/>
      <c r="B217" s="2"/>
      <c r="C217" s="15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4.25" customHeight="1">
      <c r="A218" s="2"/>
      <c r="B218" s="2"/>
      <c r="C218" s="15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4.25" customHeight="1">
      <c r="A219" s="2"/>
      <c r="B219" s="2"/>
      <c r="C219" s="15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4.25" customHeight="1">
      <c r="A220" s="2"/>
      <c r="B220" s="2"/>
      <c r="C220" s="15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4.25" customHeight="1">
      <c r="A221" s="2"/>
      <c r="B221" s="2"/>
      <c r="C221" s="15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4.25" customHeight="1">
      <c r="A222" s="2"/>
      <c r="B222" s="2"/>
      <c r="C222" s="15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4.25" customHeight="1">
      <c r="A223" s="2"/>
      <c r="B223" s="2"/>
      <c r="C223" s="15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4.25" customHeight="1">
      <c r="A224" s="2"/>
      <c r="B224" s="2"/>
      <c r="C224" s="15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4.25" customHeight="1">
      <c r="A225" s="2"/>
      <c r="B225" s="2"/>
      <c r="C225" s="15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4.25" customHeight="1">
      <c r="A226" s="2"/>
      <c r="B226" s="2"/>
      <c r="C226" s="15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4.25" customHeight="1">
      <c r="A227" s="2"/>
      <c r="B227" s="2"/>
      <c r="C227" s="15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4.25" customHeight="1">
      <c r="A228" s="2"/>
      <c r="B228" s="2"/>
      <c r="C228" s="15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4.25" customHeight="1">
      <c r="A229" s="2"/>
      <c r="B229" s="2"/>
      <c r="C229" s="15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4.25" customHeight="1">
      <c r="A230" s="2"/>
      <c r="B230" s="2"/>
      <c r="C230" s="15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4.25" customHeight="1">
      <c r="A231" s="2"/>
      <c r="B231" s="2"/>
      <c r="C231" s="15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4.25" customHeight="1">
      <c r="A232" s="2"/>
      <c r="B232" s="2"/>
      <c r="C232" s="15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4.25" customHeight="1">
      <c r="A233" s="2"/>
      <c r="B233" s="2"/>
      <c r="C233" s="15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4.25" customHeight="1">
      <c r="A234" s="2"/>
      <c r="B234" s="2"/>
      <c r="C234" s="15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customHeight="1">
      <c r="A235" s="2"/>
      <c r="B235" s="2"/>
      <c r="C235" s="15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customHeight="1">
      <c r="A236" s="2"/>
      <c r="B236" s="2"/>
      <c r="C236" s="15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customHeight="1">
      <c r="A237" s="2"/>
      <c r="B237" s="2"/>
      <c r="C237" s="15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customHeight="1">
      <c r="A238" s="2"/>
      <c r="B238" s="2"/>
      <c r="C238" s="15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customHeight="1">
      <c r="A239" s="2"/>
      <c r="B239" s="2"/>
      <c r="C239" s="15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customHeight="1">
      <c r="A240" s="2"/>
      <c r="B240" s="2"/>
      <c r="C240" s="15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customHeight="1">
      <c r="A241" s="2"/>
      <c r="B241" s="2"/>
      <c r="C241" s="15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customHeight="1">
      <c r="A242" s="2"/>
      <c r="B242" s="2"/>
      <c r="C242" s="15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customHeight="1">
      <c r="A243" s="2"/>
      <c r="B243" s="2"/>
      <c r="C243" s="15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customHeight="1">
      <c r="A244" s="2"/>
      <c r="B244" s="2"/>
      <c r="C244" s="15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customHeight="1">
      <c r="A245" s="2"/>
      <c r="B245" s="2"/>
      <c r="C245" s="15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customHeight="1">
      <c r="A246" s="2"/>
      <c r="B246" s="2"/>
      <c r="C246" s="15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customHeight="1">
      <c r="A247" s="2"/>
      <c r="B247" s="2"/>
      <c r="C247" s="15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customHeight="1">
      <c r="A248" s="2"/>
      <c r="B248" s="2"/>
      <c r="C248" s="15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customHeight="1">
      <c r="A249" s="2"/>
      <c r="B249" s="2"/>
      <c r="C249" s="15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customHeight="1">
      <c r="A250" s="2"/>
      <c r="B250" s="2"/>
      <c r="C250" s="15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 spans="1:27" ht="1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</row>
    <row r="993" spans="1:20" ht="1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</row>
    <row r="994" spans="1:20" ht="1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</row>
    <row r="995" spans="1:20" ht="1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</row>
    <row r="996" spans="1:20" ht="1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</row>
    <row r="997" spans="1:20" ht="1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</row>
    <row r="998" spans="1:20" ht="1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</row>
    <row r="999" spans="1:20" ht="1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</row>
    <row r="1000" spans="1:20" ht="1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</row>
    <row r="1001" spans="1:20" ht="1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</row>
    <row r="1002" spans="1:20" ht="1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</row>
    <row r="1003" spans="1:20" ht="1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</row>
    <row r="1004" spans="1:20" ht="1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</row>
    <row r="1005" spans="1:20" ht="1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</row>
    <row r="1006" spans="1:20" ht="1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</row>
    <row r="1007" spans="1:20" ht="15" customHeight="1">
      <c r="I1007" s="2"/>
      <c r="J1007" s="2"/>
      <c r="K1007" s="2"/>
      <c r="L1007" s="2"/>
      <c r="M1007" s="2"/>
    </row>
    <row r="1008" spans="1:20" ht="15" customHeight="1">
      <c r="I1008" s="2"/>
      <c r="J1008" s="2"/>
      <c r="K1008" s="2"/>
      <c r="L1008" s="2"/>
      <c r="M1008" s="2"/>
    </row>
    <row r="1009" spans="9:13" ht="15" customHeight="1">
      <c r="I1009" s="2"/>
      <c r="J1009" s="2"/>
      <c r="K1009" s="2"/>
      <c r="L1009" s="2"/>
      <c r="M1009" s="2"/>
    </row>
    <row r="1010" spans="9:13" ht="15" customHeight="1">
      <c r="I1010" s="2"/>
      <c r="J1010" s="2"/>
      <c r="K1010" s="2"/>
      <c r="L1010" s="2"/>
      <c r="M1010" s="2"/>
    </row>
    <row r="1011" spans="9:13" ht="15" customHeight="1">
      <c r="I1011" s="2"/>
      <c r="J1011" s="2"/>
      <c r="K1011" s="2"/>
      <c r="L1011" s="2"/>
      <c r="M1011" s="2"/>
    </row>
  </sheetData>
  <mergeCells count="4">
    <mergeCell ref="I4:M5"/>
    <mergeCell ref="I35:M36"/>
    <mergeCell ref="B25:F26"/>
    <mergeCell ref="B4:E5"/>
  </mergeCells>
  <pageMargins left="0.7" right="0.7" top="0.75" bottom="0.75" header="0" footer="0"/>
  <pageSetup orientation="landscape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7">
    <tabColor theme="9" tint="-0.249977111117893"/>
  </sheetPr>
  <dimension ref="A1:Y993"/>
  <sheetViews>
    <sheetView workbookViewId="0"/>
  </sheetViews>
  <sheetFormatPr baseColWidth="10" defaultColWidth="12.625" defaultRowHeight="15" customHeight="1"/>
  <cols>
    <col min="1" max="1" width="15.875" customWidth="1"/>
    <col min="2" max="2" width="17.25" customWidth="1"/>
    <col min="3" max="3" width="11.75" customWidth="1"/>
    <col min="4" max="4" width="18.875" customWidth="1"/>
    <col min="5" max="5" width="16.25" customWidth="1"/>
    <col min="6" max="6" width="20.5" customWidth="1"/>
    <col min="7" max="7" width="16.25" customWidth="1"/>
    <col min="8" max="8" width="9.375" customWidth="1"/>
    <col min="9" max="9" width="13.125" customWidth="1"/>
    <col min="10" max="10" width="27.625" customWidth="1"/>
    <col min="11" max="16" width="9.375" customWidth="1"/>
    <col min="17" max="17" width="11.25" bestFit="1" customWidth="1"/>
    <col min="18" max="22" width="9.375" customWidth="1"/>
  </cols>
  <sheetData>
    <row r="1" spans="1:25" s="289" customFormat="1" ht="15" customHeight="1"/>
    <row r="2" spans="1:25" ht="13.5" customHeight="1">
      <c r="B2" s="775" t="s">
        <v>1801</v>
      </c>
      <c r="C2" s="776"/>
      <c r="D2" s="776"/>
      <c r="E2" s="776"/>
      <c r="F2" s="776"/>
      <c r="G2" s="776"/>
      <c r="H2" s="777"/>
      <c r="I2" s="289"/>
      <c r="J2" s="289"/>
      <c r="K2" s="289"/>
      <c r="L2" s="289"/>
    </row>
    <row r="3" spans="1:25" s="289" customFormat="1" ht="15" customHeight="1">
      <c r="B3" s="778"/>
      <c r="C3" s="779"/>
      <c r="D3" s="779"/>
      <c r="E3" s="779"/>
      <c r="F3" s="779"/>
      <c r="G3" s="779"/>
      <c r="H3" s="780"/>
    </row>
    <row r="4" spans="1:25" s="289" customFormat="1" ht="15" customHeight="1"/>
    <row r="5" spans="1:25" ht="15" customHeight="1">
      <c r="B5" s="289"/>
      <c r="C5" s="289"/>
      <c r="D5" s="289"/>
      <c r="E5" s="289"/>
      <c r="F5" s="289"/>
      <c r="G5" s="289"/>
      <c r="H5" s="289"/>
      <c r="I5" s="289"/>
      <c r="J5" s="289"/>
      <c r="K5" s="289"/>
      <c r="L5" s="289"/>
      <c r="M5" s="289"/>
      <c r="N5" s="289"/>
      <c r="O5" s="289"/>
    </row>
    <row r="6" spans="1:25" ht="15" customHeight="1">
      <c r="A6" s="371" t="s">
        <v>383</v>
      </c>
      <c r="B6" s="128" t="s">
        <v>179</v>
      </c>
      <c r="C6" s="128" t="s">
        <v>384</v>
      </c>
      <c r="D6" s="128" t="s">
        <v>385</v>
      </c>
      <c r="E6" s="128" t="s">
        <v>386</v>
      </c>
      <c r="F6" s="167" t="s">
        <v>387</v>
      </c>
      <c r="G6" s="167" t="s">
        <v>388</v>
      </c>
      <c r="H6" s="167" t="s">
        <v>25</v>
      </c>
      <c r="I6" s="167" t="s">
        <v>22</v>
      </c>
      <c r="J6" s="167" t="s">
        <v>349</v>
      </c>
      <c r="K6" s="167" t="s">
        <v>389</v>
      </c>
      <c r="L6" s="276" t="s">
        <v>1742</v>
      </c>
      <c r="M6" s="168" t="s">
        <v>391</v>
      </c>
      <c r="N6" s="168" t="s">
        <v>392</v>
      </c>
      <c r="O6" s="168" t="s">
        <v>393</v>
      </c>
      <c r="P6" s="168" t="s">
        <v>374</v>
      </c>
      <c r="Q6" s="92" t="s">
        <v>375</v>
      </c>
    </row>
    <row r="7" spans="1:25" ht="15" customHeight="1">
      <c r="A7" s="367">
        <f t="shared" ref="A7:A15" si="0">IF($B$19="non_legume",10,(1+$B$7)*(C7+D7)*$E$7)</f>
        <v>10</v>
      </c>
      <c r="B7" s="129">
        <v>0.1</v>
      </c>
      <c r="C7" s="169">
        <f t="shared" ref="C7:C15" si="1">G7*$M$7</f>
        <v>141.6</v>
      </c>
      <c r="D7" s="169">
        <f t="shared" ref="D7:D15" si="2">F7*$N$7</f>
        <v>92.924999999999997</v>
      </c>
      <c r="E7" s="129">
        <f>F19</f>
        <v>0</v>
      </c>
      <c r="F7" s="169">
        <f t="shared" ref="F7:F15" si="3">(G7*(1-$L$7))/$L$7</f>
        <v>13275</v>
      </c>
      <c r="G7" s="169">
        <f t="shared" ref="G7:G15" si="4">$J$7*($H$7*(1+$O$7*P7))</f>
        <v>8850</v>
      </c>
      <c r="H7" s="170">
        <f>'Input F3'!B4</f>
        <v>10000</v>
      </c>
      <c r="I7" s="131" t="str">
        <f>'Input F3'!B3</f>
        <v>BARLEY_6_ROW</v>
      </c>
      <c r="J7" s="368">
        <f>VLOOKUP(crop_type,CropData,11,FALSE)/100</f>
        <v>0.88500000000000001</v>
      </c>
      <c r="K7" s="368">
        <f>VLOOKUP(crop_type,CropData,21,FALSE)/100</f>
        <v>0.9</v>
      </c>
      <c r="L7" s="369">
        <f>'Input F3'!B10/100</f>
        <v>0.4</v>
      </c>
      <c r="M7" s="370">
        <f>VLOOKUP(crop_type,CropData,14,FALSE)/100</f>
        <v>1.6E-2</v>
      </c>
      <c r="N7" s="370">
        <f>VLOOKUP(crop_type,CropData,24,FALSE)/100</f>
        <v>6.9999999999999993E-3</v>
      </c>
      <c r="O7" s="171">
        <f>'Input F3'!B5</f>
        <v>0.2</v>
      </c>
      <c r="P7" s="172">
        <v>0</v>
      </c>
      <c r="Q7" s="155">
        <v>0.5</v>
      </c>
      <c r="R7" s="11"/>
      <c r="S7" s="11"/>
      <c r="U7" s="11"/>
      <c r="V7" s="11"/>
      <c r="W7" s="11"/>
      <c r="X7" s="11"/>
      <c r="Y7" s="11"/>
    </row>
    <row r="8" spans="1:25" ht="15" customHeight="1">
      <c r="A8" s="367">
        <f t="shared" si="0"/>
        <v>10</v>
      </c>
      <c r="C8" s="169">
        <f t="shared" si="1"/>
        <v>105.0672</v>
      </c>
      <c r="D8" s="169">
        <f t="shared" si="2"/>
        <v>68.950349999999972</v>
      </c>
      <c r="E8" s="3"/>
      <c r="F8" s="169">
        <f t="shared" si="3"/>
        <v>9850.0499999999975</v>
      </c>
      <c r="G8" s="169">
        <f t="shared" si="4"/>
        <v>6566.7</v>
      </c>
      <c r="H8" s="3"/>
      <c r="O8" s="173"/>
      <c r="P8" s="172">
        <v>-1.29</v>
      </c>
      <c r="Q8" s="157">
        <v>0.10027256795444205</v>
      </c>
      <c r="R8" s="11"/>
      <c r="S8" s="11"/>
      <c r="U8" s="11"/>
      <c r="V8" s="11"/>
      <c r="W8" s="11"/>
      <c r="X8" s="11"/>
      <c r="Y8" s="11"/>
    </row>
    <row r="9" spans="1:25" ht="15" customHeight="1">
      <c r="A9" s="367">
        <f t="shared" si="0"/>
        <v>10</v>
      </c>
      <c r="C9" s="169">
        <f t="shared" si="1"/>
        <v>117.8112</v>
      </c>
      <c r="D9" s="169">
        <f t="shared" si="2"/>
        <v>77.313599999999994</v>
      </c>
      <c r="E9" s="3"/>
      <c r="F9" s="169">
        <f t="shared" si="3"/>
        <v>11044.8</v>
      </c>
      <c r="G9" s="169">
        <f t="shared" si="4"/>
        <v>7363.2</v>
      </c>
      <c r="H9" s="3"/>
      <c r="M9" s="173"/>
      <c r="N9" s="11"/>
      <c r="O9" s="173"/>
      <c r="P9" s="172">
        <v>-0.84</v>
      </c>
      <c r="Q9" s="155">
        <v>0.20045419326044964</v>
      </c>
      <c r="R9" s="11"/>
      <c r="S9" s="11"/>
      <c r="U9" s="11"/>
      <c r="V9" s="11"/>
      <c r="W9" s="11"/>
      <c r="X9" s="11"/>
      <c r="Y9" s="11"/>
    </row>
    <row r="10" spans="1:25" ht="15" customHeight="1">
      <c r="A10" s="367">
        <f t="shared" si="0"/>
        <v>10</v>
      </c>
      <c r="C10" s="169">
        <f t="shared" si="1"/>
        <v>126.732</v>
      </c>
      <c r="D10" s="169">
        <f t="shared" si="2"/>
        <v>83.167874999999981</v>
      </c>
      <c r="E10" s="3"/>
      <c r="F10" s="169">
        <f t="shared" si="3"/>
        <v>11881.124999999998</v>
      </c>
      <c r="G10" s="169">
        <f t="shared" si="4"/>
        <v>7920.75</v>
      </c>
      <c r="H10" s="3"/>
      <c r="J10" s="174"/>
      <c r="K10" s="26"/>
      <c r="M10" s="173"/>
      <c r="N10" s="11"/>
      <c r="O10" s="173"/>
      <c r="P10" s="172">
        <v>-0.52500000000000002</v>
      </c>
      <c r="Q10" s="157">
        <v>0.29979159546869583</v>
      </c>
      <c r="R10" s="11"/>
      <c r="S10" s="11"/>
      <c r="U10" s="11"/>
      <c r="V10" s="11"/>
      <c r="W10" s="11"/>
      <c r="X10" s="11"/>
      <c r="Y10" s="11"/>
    </row>
    <row r="11" spans="1:25" ht="15" customHeight="1">
      <c r="A11" s="367">
        <f t="shared" si="0"/>
        <v>10</v>
      </c>
      <c r="C11" s="169">
        <f t="shared" si="1"/>
        <v>134.52000000000001</v>
      </c>
      <c r="D11" s="169">
        <f t="shared" si="2"/>
        <v>88.278749999999988</v>
      </c>
      <c r="E11" s="3"/>
      <c r="F11" s="169">
        <f t="shared" si="3"/>
        <v>12611.25</v>
      </c>
      <c r="G11" s="169">
        <f t="shared" si="4"/>
        <v>8407.5</v>
      </c>
      <c r="H11" s="3"/>
      <c r="J11" s="174"/>
      <c r="K11" s="26"/>
      <c r="M11" s="173"/>
      <c r="N11" s="11"/>
      <c r="O11" s="173"/>
      <c r="P11" s="172">
        <v>-0.25</v>
      </c>
      <c r="Q11" s="157">
        <v>0.40013410659859483</v>
      </c>
      <c r="R11" s="11"/>
      <c r="S11" s="11"/>
      <c r="U11" s="11"/>
      <c r="V11" s="11"/>
      <c r="W11" s="11"/>
      <c r="X11" s="11"/>
      <c r="Y11" s="11"/>
    </row>
    <row r="12" spans="1:25" ht="15" customHeight="1">
      <c r="A12" s="367">
        <f t="shared" si="0"/>
        <v>10</v>
      </c>
      <c r="C12" s="169">
        <f t="shared" si="1"/>
        <v>148.68</v>
      </c>
      <c r="D12" s="169">
        <f t="shared" si="2"/>
        <v>97.571249999999992</v>
      </c>
      <c r="E12" s="3"/>
      <c r="F12" s="169">
        <f t="shared" si="3"/>
        <v>13938.75</v>
      </c>
      <c r="G12" s="169">
        <f t="shared" si="4"/>
        <v>9292.5</v>
      </c>
      <c r="H12" s="3"/>
      <c r="J12" s="174"/>
      <c r="K12" s="26"/>
      <c r="M12" s="173"/>
      <c r="N12" s="11"/>
      <c r="O12" s="173"/>
      <c r="P12" s="172">
        <v>0.25</v>
      </c>
      <c r="Q12" s="157">
        <v>0.59986589340140517</v>
      </c>
      <c r="R12" s="11"/>
      <c r="S12" s="11"/>
      <c r="U12" s="11"/>
      <c r="V12" s="11"/>
      <c r="W12" s="11"/>
      <c r="X12" s="11"/>
      <c r="Y12" s="11"/>
    </row>
    <row r="13" spans="1:25" ht="15" customHeight="1">
      <c r="A13" s="367">
        <f t="shared" si="0"/>
        <v>10</v>
      </c>
      <c r="C13" s="169">
        <f t="shared" si="1"/>
        <v>156.46799999999999</v>
      </c>
      <c r="D13" s="169">
        <f t="shared" si="2"/>
        <v>102.68212499999998</v>
      </c>
      <c r="E13" s="3"/>
      <c r="F13" s="169">
        <f t="shared" si="3"/>
        <v>14668.875</v>
      </c>
      <c r="G13" s="169">
        <f t="shared" si="4"/>
        <v>9779.25</v>
      </c>
      <c r="H13" s="3"/>
      <c r="J13" s="174"/>
      <c r="K13" s="26"/>
      <c r="M13" s="173"/>
      <c r="N13" s="11"/>
      <c r="O13" s="173"/>
      <c r="P13" s="172">
        <v>0.52500000000000002</v>
      </c>
      <c r="Q13" s="157">
        <v>0.70020840453130417</v>
      </c>
      <c r="R13" s="11"/>
      <c r="S13" s="11"/>
      <c r="U13" s="11"/>
      <c r="V13" s="11"/>
      <c r="W13" s="11"/>
      <c r="X13" s="11"/>
      <c r="Y13" s="11"/>
    </row>
    <row r="14" spans="1:25" ht="15" customHeight="1">
      <c r="A14" s="367">
        <f t="shared" si="0"/>
        <v>10</v>
      </c>
      <c r="C14" s="169">
        <f t="shared" si="1"/>
        <v>165.3888</v>
      </c>
      <c r="D14" s="169">
        <f t="shared" si="2"/>
        <v>108.53639999999997</v>
      </c>
      <c r="E14" s="3"/>
      <c r="F14" s="169">
        <f t="shared" si="3"/>
        <v>15505.199999999997</v>
      </c>
      <c r="G14" s="169">
        <f t="shared" si="4"/>
        <v>10336.799999999999</v>
      </c>
      <c r="H14" s="3"/>
      <c r="J14" s="174"/>
      <c r="K14" s="26"/>
      <c r="P14" s="172">
        <v>0.84</v>
      </c>
      <c r="Q14" s="155">
        <v>0.79954580673955034</v>
      </c>
    </row>
    <row r="15" spans="1:25" ht="15" customHeight="1">
      <c r="A15" s="367">
        <f t="shared" si="0"/>
        <v>10</v>
      </c>
      <c r="C15" s="169">
        <f t="shared" si="1"/>
        <v>178.1328</v>
      </c>
      <c r="D15" s="169">
        <f t="shared" si="2"/>
        <v>116.89964999999997</v>
      </c>
      <c r="E15" s="3"/>
      <c r="F15" s="169">
        <f t="shared" si="3"/>
        <v>16699.949999999997</v>
      </c>
      <c r="G15" s="169">
        <f t="shared" si="4"/>
        <v>11133.3</v>
      </c>
      <c r="H15" s="3"/>
      <c r="J15" s="174"/>
      <c r="K15" s="26"/>
      <c r="P15" s="172">
        <v>1.29</v>
      </c>
      <c r="Q15" s="157">
        <v>0.89972743204555794</v>
      </c>
    </row>
    <row r="16" spans="1:25" ht="15" customHeight="1">
      <c r="J16" s="174"/>
      <c r="K16" s="26"/>
    </row>
    <row r="17" spans="1:16" ht="15" customHeight="1">
      <c r="J17" s="174"/>
      <c r="K17" s="26"/>
    </row>
    <row r="18" spans="1:16" ht="14.25" customHeight="1">
      <c r="A18" s="128" t="s">
        <v>22</v>
      </c>
      <c r="B18" s="282" t="s">
        <v>31</v>
      </c>
      <c r="C18" s="128" t="s">
        <v>233</v>
      </c>
      <c r="D18" s="128" t="s">
        <v>32</v>
      </c>
      <c r="E18" s="128" t="s">
        <v>231</v>
      </c>
      <c r="F18" s="128" t="s">
        <v>232</v>
      </c>
      <c r="J18" s="174"/>
      <c r="K18" s="26"/>
    </row>
    <row r="19" spans="1:16" ht="14.25" customHeight="1">
      <c r="A19" s="135" t="str">
        <f>'Input F3'!B3</f>
        <v>BARLEY_6_ROW</v>
      </c>
      <c r="B19" s="175" t="str">
        <f>VLOOKUP(A19,'Concentration NPK_crop'!A8:G153,7,FALSE)</f>
        <v>Non_legume</v>
      </c>
      <c r="C19" s="135" t="str">
        <f>IF(SOM&lt;=3,"&lt;=3","&gt;3")</f>
        <v>&lt;=3</v>
      </c>
      <c r="D19" s="135">
        <f>IF(B19="non_legume",0,VLOOKUP(A19,'Concentration NPK_crop'!A8:H153,8,FALSE))</f>
        <v>0</v>
      </c>
      <c r="E19" s="176" t="str">
        <f>CONCATENATE(B19,C19,D19)</f>
        <v>Non_legume&lt;=30</v>
      </c>
      <c r="F19" s="155">
        <f>IF(B19="non_legume",0,VLOOKUP(E19,n_fix_per!A5:B8,2,FALSE))</f>
        <v>0</v>
      </c>
      <c r="J19" s="174"/>
      <c r="K19" s="26"/>
    </row>
    <row r="20" spans="1:16" s="289" customFormat="1" ht="14.25" customHeight="1">
      <c r="J20" s="174"/>
      <c r="K20" s="26"/>
    </row>
    <row r="21" spans="1:16" s="289" customFormat="1" ht="14.25" customHeight="1">
      <c r="J21" s="174"/>
      <c r="K21" s="26"/>
    </row>
    <row r="22" spans="1:16" ht="14.25" customHeight="1">
      <c r="A22" s="289"/>
      <c r="B22" s="289"/>
      <c r="C22" s="289"/>
      <c r="D22" s="289"/>
      <c r="E22" s="289"/>
      <c r="F22" s="289"/>
      <c r="G22" s="289"/>
      <c r="H22" s="289"/>
      <c r="I22" s="289"/>
      <c r="J22" s="174"/>
      <c r="K22" s="26"/>
      <c r="L22" s="289"/>
    </row>
    <row r="23" spans="1:16" ht="16.5" customHeight="1">
      <c r="A23" s="289"/>
      <c r="B23" s="289"/>
      <c r="C23" s="289"/>
      <c r="D23" s="289"/>
      <c r="E23" s="289"/>
      <c r="F23" s="289"/>
      <c r="G23" s="289"/>
      <c r="H23" s="289"/>
      <c r="I23" s="289"/>
      <c r="J23" s="174"/>
      <c r="K23" s="26"/>
      <c r="L23" s="289"/>
    </row>
    <row r="24" spans="1:16">
      <c r="A24" s="289"/>
      <c r="B24" s="289"/>
      <c r="C24" s="289"/>
      <c r="D24" s="289"/>
      <c r="E24" s="289"/>
      <c r="F24" s="289"/>
      <c r="G24" s="289"/>
      <c r="H24" s="289"/>
      <c r="I24" s="289"/>
      <c r="J24" s="174"/>
      <c r="K24" s="26"/>
      <c r="L24" s="289"/>
      <c r="M24" s="4"/>
    </row>
    <row r="25" spans="1:16" ht="15.75" customHeight="1">
      <c r="A25" s="289"/>
      <c r="B25" s="289"/>
      <c r="C25" s="289"/>
      <c r="D25" s="289"/>
      <c r="E25" s="289"/>
      <c r="F25" s="289"/>
      <c r="G25" s="289"/>
      <c r="H25" s="289"/>
      <c r="I25" s="289"/>
      <c r="J25" s="174"/>
      <c r="K25" s="26"/>
      <c r="L25" s="289"/>
      <c r="M25" s="4"/>
    </row>
    <row r="26" spans="1:16" ht="14.25" customHeight="1">
      <c r="A26" s="289"/>
      <c r="B26" s="289"/>
      <c r="C26" s="289"/>
      <c r="D26" s="289"/>
      <c r="E26" s="289"/>
      <c r="F26" s="289"/>
      <c r="G26" s="289"/>
      <c r="H26" s="289"/>
      <c r="I26" s="289"/>
      <c r="J26" s="174"/>
      <c r="K26" s="26"/>
      <c r="L26" s="289"/>
    </row>
    <row r="27" spans="1:16" ht="14.25" customHeight="1">
      <c r="A27" s="166" t="s">
        <v>382</v>
      </c>
      <c r="B27" s="166"/>
      <c r="C27" s="166"/>
      <c r="D27" s="166"/>
      <c r="E27" s="289"/>
      <c r="F27" s="289"/>
      <c r="G27" s="289"/>
      <c r="H27" s="289"/>
      <c r="I27" s="289"/>
      <c r="J27" s="174"/>
      <c r="K27" s="26"/>
      <c r="L27" s="289"/>
    </row>
    <row r="28" spans="1:16" ht="8.25" customHeight="1">
      <c r="A28" s="289"/>
      <c r="B28" s="289"/>
      <c r="C28" s="289"/>
      <c r="D28" s="289"/>
      <c r="E28" s="289"/>
      <c r="F28" s="289"/>
      <c r="G28" s="289"/>
      <c r="H28" s="289"/>
      <c r="I28" s="289"/>
      <c r="J28" s="174"/>
      <c r="K28" s="26"/>
      <c r="L28" s="289"/>
    </row>
    <row r="29" spans="1:16" ht="17.25" customHeight="1">
      <c r="A29" s="289"/>
      <c r="B29" s="289"/>
      <c r="C29" s="289"/>
      <c r="D29" s="289"/>
      <c r="E29" s="289"/>
      <c r="F29" s="289"/>
      <c r="G29" s="289"/>
      <c r="H29" s="289"/>
      <c r="I29" s="289"/>
      <c r="J29" s="174"/>
      <c r="K29" s="26"/>
      <c r="L29" s="289"/>
      <c r="M29" s="4"/>
      <c r="N29" s="4"/>
      <c r="P29" s="4"/>
    </row>
    <row r="30" spans="1:16" ht="14.25" customHeight="1">
      <c r="A30" s="289"/>
      <c r="B30" s="289"/>
      <c r="C30" s="289"/>
      <c r="D30" s="289"/>
      <c r="E30" s="289"/>
      <c r="F30" s="289"/>
      <c r="G30" s="289"/>
      <c r="H30" s="289"/>
      <c r="I30" s="289"/>
      <c r="J30" s="174"/>
      <c r="K30" s="26"/>
      <c r="L30" s="289"/>
    </row>
    <row r="31" spans="1:16" ht="14.25" customHeight="1">
      <c r="A31" s="289"/>
      <c r="B31" s="289"/>
      <c r="C31" s="289"/>
      <c r="D31" s="289"/>
      <c r="E31" s="289"/>
      <c r="F31" s="289"/>
      <c r="G31" s="289"/>
      <c r="H31" s="289"/>
      <c r="I31" s="289"/>
      <c r="J31" s="174"/>
      <c r="K31" s="26"/>
      <c r="L31" s="289"/>
    </row>
    <row r="32" spans="1:16" ht="14.25" customHeight="1"/>
    <row r="33" spans="1:20" ht="14.25" customHeight="1">
      <c r="A33" s="138" t="s">
        <v>379</v>
      </c>
      <c r="B33" s="139" t="s">
        <v>274</v>
      </c>
      <c r="C33" s="138" t="s">
        <v>275</v>
      </c>
      <c r="D33" s="177"/>
      <c r="E33" s="177"/>
      <c r="F33" s="177"/>
      <c r="G33" s="177"/>
      <c r="H33" s="177"/>
      <c r="I33" s="178"/>
    </row>
    <row r="34" spans="1:20" ht="14.25" customHeight="1">
      <c r="A34" s="179" t="s">
        <v>394</v>
      </c>
      <c r="B34" s="180" t="s">
        <v>383</v>
      </c>
      <c r="C34" s="181" t="s">
        <v>395</v>
      </c>
      <c r="D34" s="182"/>
      <c r="E34" s="182"/>
      <c r="F34" s="182"/>
      <c r="G34" s="182"/>
      <c r="H34" s="182"/>
      <c r="I34" s="183"/>
      <c r="K34" s="4"/>
      <c r="L34" s="4"/>
    </row>
    <row r="35" spans="1:20" ht="14.25" customHeight="1">
      <c r="A35" s="163" t="s">
        <v>179</v>
      </c>
      <c r="B35" s="163" t="s">
        <v>179</v>
      </c>
      <c r="C35" s="185" t="s">
        <v>396</v>
      </c>
      <c r="D35" s="4"/>
      <c r="E35" s="4"/>
      <c r="F35" s="4"/>
      <c r="G35" s="4"/>
      <c r="H35" s="4"/>
      <c r="I35" s="184"/>
      <c r="K35" s="4"/>
      <c r="L35" s="4"/>
    </row>
    <row r="36" spans="1:20" ht="14.25" customHeight="1">
      <c r="A36" s="186" t="s">
        <v>397</v>
      </c>
      <c r="B36" s="186" t="s">
        <v>384</v>
      </c>
      <c r="C36" s="187" t="s">
        <v>384</v>
      </c>
      <c r="D36" s="140" t="s">
        <v>398</v>
      </c>
      <c r="E36" s="11"/>
      <c r="F36" s="141"/>
      <c r="G36" s="11"/>
      <c r="H36" s="11"/>
      <c r="I36" s="188"/>
    </row>
    <row r="37" spans="1:20" ht="14.25" customHeight="1">
      <c r="A37" s="186" t="s">
        <v>399</v>
      </c>
      <c r="B37" s="186" t="s">
        <v>385</v>
      </c>
      <c r="C37" s="187" t="s">
        <v>385</v>
      </c>
      <c r="D37" s="141" t="s">
        <v>400</v>
      </c>
      <c r="E37" s="11"/>
      <c r="F37" s="11"/>
      <c r="G37" s="142"/>
      <c r="H37" s="11"/>
      <c r="I37" s="188"/>
    </row>
    <row r="38" spans="1:20" ht="14.25" customHeight="1">
      <c r="A38" s="189" t="s">
        <v>386</v>
      </c>
      <c r="B38" s="190" t="s">
        <v>386</v>
      </c>
      <c r="C38" s="185" t="s">
        <v>401</v>
      </c>
      <c r="D38" s="4"/>
      <c r="E38" s="4"/>
      <c r="F38" s="4"/>
      <c r="G38" s="4"/>
      <c r="H38" s="4"/>
      <c r="I38" s="184"/>
    </row>
    <row r="39" spans="1:20" ht="14.25" customHeight="1">
      <c r="A39" s="186" t="s">
        <v>387</v>
      </c>
      <c r="B39" s="186" t="s">
        <v>387</v>
      </c>
      <c r="C39" s="185" t="s">
        <v>402</v>
      </c>
      <c r="D39" s="4"/>
      <c r="E39" s="4"/>
      <c r="F39" s="4"/>
      <c r="G39" s="4"/>
      <c r="H39" s="4"/>
      <c r="I39" s="184"/>
      <c r="L39" s="4"/>
    </row>
    <row r="40" spans="1:20" ht="14.25" customHeight="1">
      <c r="A40" s="186" t="s">
        <v>388</v>
      </c>
      <c r="B40" s="186" t="s">
        <v>388</v>
      </c>
      <c r="C40" s="185" t="s">
        <v>403</v>
      </c>
      <c r="D40" s="4"/>
      <c r="E40" s="4"/>
      <c r="F40" s="4"/>
      <c r="G40" s="4"/>
      <c r="H40" s="4"/>
      <c r="I40" s="184"/>
      <c r="L40" s="4"/>
    </row>
    <row r="41" spans="1:20" ht="14.25" customHeight="1">
      <c r="A41" s="163" t="s">
        <v>25</v>
      </c>
      <c r="B41" s="163" t="s">
        <v>25</v>
      </c>
      <c r="C41" s="185" t="s">
        <v>404</v>
      </c>
      <c r="D41" s="4"/>
      <c r="E41" s="4"/>
      <c r="F41" s="4"/>
      <c r="G41" s="4"/>
      <c r="H41" s="4"/>
      <c r="I41" s="184"/>
      <c r="L41" s="4"/>
    </row>
    <row r="42" spans="1:20" ht="14.25" customHeight="1">
      <c r="A42" s="163" t="s">
        <v>405</v>
      </c>
      <c r="B42" s="163" t="s">
        <v>22</v>
      </c>
      <c r="C42" s="185" t="s">
        <v>406</v>
      </c>
      <c r="D42" s="4"/>
      <c r="E42" s="4"/>
      <c r="F42" s="4"/>
      <c r="G42" s="4"/>
      <c r="H42" s="4"/>
      <c r="I42" s="184"/>
      <c r="L42" s="4"/>
      <c r="T42" s="26" t="s">
        <v>418</v>
      </c>
    </row>
    <row r="43" spans="1:20" ht="14.25" customHeight="1">
      <c r="A43" s="163" t="s">
        <v>349</v>
      </c>
      <c r="B43" s="163" t="s">
        <v>349</v>
      </c>
      <c r="C43" s="185" t="s">
        <v>407</v>
      </c>
      <c r="D43" s="4"/>
      <c r="E43" s="4"/>
      <c r="F43" s="4"/>
      <c r="G43" s="4"/>
      <c r="H43" s="4"/>
      <c r="I43" s="184"/>
    </row>
    <row r="44" spans="1:20" ht="14.25" customHeight="1">
      <c r="A44" s="163" t="s">
        <v>389</v>
      </c>
      <c r="B44" s="163" t="s">
        <v>389</v>
      </c>
      <c r="C44" s="185" t="s">
        <v>408</v>
      </c>
      <c r="D44" s="4"/>
      <c r="E44" s="4"/>
      <c r="F44" s="4"/>
      <c r="G44" s="4"/>
      <c r="H44" s="4"/>
      <c r="I44" s="184"/>
    </row>
    <row r="45" spans="1:20" ht="14.25" customHeight="1">
      <c r="A45" s="163" t="s">
        <v>380</v>
      </c>
      <c r="B45" s="163" t="s">
        <v>390</v>
      </c>
      <c r="C45" s="185" t="s">
        <v>409</v>
      </c>
      <c r="D45" s="4"/>
      <c r="E45" s="4"/>
      <c r="F45" s="4"/>
      <c r="G45" s="4"/>
      <c r="H45" s="4"/>
      <c r="I45" s="184"/>
    </row>
    <row r="46" spans="1:20" ht="14.25" customHeight="1">
      <c r="A46" s="163" t="s">
        <v>410</v>
      </c>
      <c r="B46" s="163" t="s">
        <v>411</v>
      </c>
      <c r="C46" s="185" t="s">
        <v>412</v>
      </c>
      <c r="D46" s="4"/>
      <c r="E46" s="4"/>
      <c r="F46" s="4"/>
      <c r="G46" s="4"/>
      <c r="H46" s="4"/>
      <c r="I46" s="184"/>
    </row>
    <row r="47" spans="1:20" ht="14.25" customHeight="1">
      <c r="A47" s="163" t="s">
        <v>413</v>
      </c>
      <c r="B47" s="163" t="s">
        <v>414</v>
      </c>
      <c r="C47" s="185" t="s">
        <v>415</v>
      </c>
      <c r="D47" s="4"/>
      <c r="E47" s="4"/>
      <c r="F47" s="4"/>
      <c r="G47" s="4"/>
      <c r="H47" s="4"/>
      <c r="I47" s="184"/>
    </row>
    <row r="48" spans="1:20" ht="14.25" customHeight="1">
      <c r="A48" s="163" t="s">
        <v>416</v>
      </c>
      <c r="B48" s="163" t="s">
        <v>393</v>
      </c>
      <c r="C48" s="191" t="s">
        <v>417</v>
      </c>
      <c r="D48" s="143"/>
      <c r="E48" s="143"/>
      <c r="F48" s="143"/>
      <c r="G48" s="143"/>
      <c r="H48" s="143"/>
      <c r="I48" s="192"/>
    </row>
    <row r="49" spans="1:20" ht="14.25" customHeight="1"/>
    <row r="50" spans="1:20" ht="14.25" customHeight="1"/>
    <row r="51" spans="1:20" ht="14.25" customHeight="1">
      <c r="A51" s="91" t="s">
        <v>381</v>
      </c>
      <c r="B51" s="91"/>
    </row>
    <row r="52" spans="1:20" ht="14.25" customHeight="1"/>
    <row r="53" spans="1:20" ht="14.25" customHeight="1"/>
    <row r="54" spans="1:20" ht="14.25" customHeight="1">
      <c r="T54" s="26" t="s">
        <v>419</v>
      </c>
    </row>
    <row r="55" spans="1:20" ht="14.25" customHeight="1"/>
    <row r="56" spans="1:20" ht="14.25" customHeight="1"/>
    <row r="57" spans="1:20" ht="14.25" customHeight="1"/>
    <row r="58" spans="1:20" ht="14.25" customHeight="1"/>
    <row r="59" spans="1:20" ht="14.25" customHeight="1"/>
    <row r="60" spans="1:20" ht="14.25" customHeight="1"/>
    <row r="61" spans="1:20" ht="14.25" customHeight="1"/>
    <row r="62" spans="1:20" ht="14.25" customHeight="1"/>
    <row r="63" spans="1:20" ht="14.25" customHeight="1">
      <c r="T63" s="26" t="s">
        <v>420</v>
      </c>
    </row>
    <row r="64" spans="1:20" ht="14.25" customHeight="1">
      <c r="T64" s="26" t="s">
        <v>421</v>
      </c>
    </row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1">
    <mergeCell ref="B2:H3"/>
  </mergeCells>
  <pageMargins left="0.7" right="0.7" top="0.75" bottom="0.75" header="0" footer="0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J U O i U p 1 0 q A 6 j A A A A 9 Q A A A B I A H A B D b 2 5 m a W c v U G F j a 2 F n Z S 5 4 b W w g o h g A K K A U A A A A A A A A A A A A A A A A A A A A A A A A A A A A h Y 8 x D o I w G I W v Q r r T l r o o + S m D c Z P E h M S 4 N q V C I 7 S G F s v d H D y S V x C j q J v j + 9 4 3 v H e / 3 i A f u z a 6 q N 5 p a z K U Y I o i Z a S t t K k z N P h j v E Q 5 h 5 2 Q J 1 G r a J K N S 0 d X Z a j x / p w S E k L A Y Y F t X x N G a U I O x b a U j e o E + s j 6 v x x r 4 7 w w U i E O + 9 c Y z v A q w Y w y T I H M D A p t v j 2 b 5 j 7 b H w j r o f V D r 7 h y 8 a Y E M k c g 7 w v 8 A V B L A w Q U A A I A C A A l Q 6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U O i U i i K R 7 g O A A A A E Q A A A B M A H A B G b 3 J t d W x h c y 9 T Z W N 0 a W 9 u M S 5 t I K I Y A C i g F A A A A A A A A A A A A A A A A A A A A A A A A A A A A C t O T S 7 J z M 9 T C I b Q h t Y A U E s B A i 0 A F A A C A A g A J U O i U p 1 0 q A 6 j A A A A 9 Q A A A B I A A A A A A A A A A A A A A A A A A A A A A E N v b m Z p Z y 9 Q Y W N r Y W d l L n h t b F B L A Q I t A B Q A A g A I A C V D o l I P y u m r p A A A A O k A A A A T A A A A A A A A A A A A A A A A A O 8 A A A B b Q 2 9 u d G V u d F 9 U e X B l c 1 0 u e G 1 s U E s B A i 0 A F A A C A A g A J U O i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U 1 3 9 j 0 B m 1 I m p p 3 O B O C 4 h E A A A A A A g A A A A A A E G Y A A A A B A A A g A A A A n 6 T V c P m + e T Q F t U L x 6 2 K q R 9 G E c j Z z B o n R + t H Z I 3 / c 0 Z 0 A A A A A D o A A A A A C A A A g A A A A K c q X 9 7 T h c 6 0 S L v n 4 E J y a C c 9 u N X E 1 K G G r z 0 I / J a I s v 7 h Q A A A A q r d D s K 8 g 3 g A 0 t N f B R I O 8 8 L J X g 0 G 7 6 V V O I a Q B t M Z e z A P e G b l M i H r k s U 2 V l 9 B w g O 8 E u p J T J Y I T d d j P r A C 6 h 3 W 3 5 Q I C + P M 3 p q 6 c y Z U P P 8 l R r z 1 A A A A A Z A q p 4 q 7 v D k b + B P V Y u u p o S C d C f h q V n o W i c a J 6 3 Z Y j f p y q + O u d 6 c K o a Q U 9 c D K n a v m F Y H K 2 y A M f / m u q A p 5 U e O w Y 8 g = = < / D a t a M a s h u p > 
</file>

<file path=customXml/itemProps1.xml><?xml version="1.0" encoding="utf-8"?>
<ds:datastoreItem xmlns:ds="http://schemas.openxmlformats.org/officeDocument/2006/customXml" ds:itemID="{AE93E65C-3403-4509-8A0D-BB014F8D00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38</vt:i4>
      </vt:variant>
    </vt:vector>
  </HeadingPairs>
  <TitlesOfParts>
    <vt:vector size="53" baseType="lpstr">
      <vt:lpstr>General Balance</vt:lpstr>
      <vt:lpstr>Input F4</vt:lpstr>
      <vt:lpstr>Input F3</vt:lpstr>
      <vt:lpstr>Inputs asociation </vt:lpstr>
      <vt:lpstr>Fertilizers</vt:lpstr>
      <vt:lpstr>Data vol</vt:lpstr>
      <vt:lpstr>Mineralization</vt:lpstr>
      <vt:lpstr>N&amp;P&amp;K</vt:lpstr>
      <vt:lpstr>Nc_fixation</vt:lpstr>
      <vt:lpstr>n_fix_per</vt:lpstr>
      <vt:lpstr>Nc_irrigation</vt:lpstr>
      <vt:lpstr>Leaching</vt:lpstr>
      <vt:lpstr>Data Deni</vt:lpstr>
      <vt:lpstr>Concentration NPK_crop</vt:lpstr>
      <vt:lpstr>Legend</vt:lpstr>
      <vt:lpstr>CEC</vt:lpstr>
      <vt:lpstr>COVER1</vt:lpstr>
      <vt:lpstr>'Input F4'!crop_type</vt:lpstr>
      <vt:lpstr>crop_type</vt:lpstr>
      <vt:lpstr>CropData</vt:lpstr>
      <vt:lpstr>'Input F4'!cv</vt:lpstr>
      <vt:lpstr>cv</vt:lpstr>
      <vt:lpstr>Data_Deni</vt:lpstr>
      <vt:lpstr>depth_s</vt:lpstr>
      <vt:lpstr>export_r</vt:lpstr>
      <vt:lpstr>fmc_r</vt:lpstr>
      <vt:lpstr>fnr</vt:lpstr>
      <vt:lpstr>K_crop_max</vt:lpstr>
      <vt:lpstr>Kc_s</vt:lpstr>
      <vt:lpstr>Kc_s_thres_max</vt:lpstr>
      <vt:lpstr>Kc_s_thres_min</vt:lpstr>
      <vt:lpstr>Nc_s_end</vt:lpstr>
      <vt:lpstr>Nc_s_initial</vt:lpstr>
      <vt:lpstr>OF_data</vt:lpstr>
      <vt:lpstr>P_crop_max</vt:lpstr>
      <vt:lpstr>Pc_method</vt:lpstr>
      <vt:lpstr>Pc_method_table</vt:lpstr>
      <vt:lpstr>Pc_s</vt:lpstr>
      <vt:lpstr>Pc_s_thres_max</vt:lpstr>
      <vt:lpstr>Pc_s_thres_min</vt:lpstr>
      <vt:lpstr>Pc_si</vt:lpstr>
      <vt:lpstr>pH</vt:lpstr>
      <vt:lpstr>PK_R</vt:lpstr>
      <vt:lpstr>PK_strategy</vt:lpstr>
      <vt:lpstr>soil_texture</vt:lpstr>
      <vt:lpstr>SoilData</vt:lpstr>
      <vt:lpstr>SOM</vt:lpstr>
      <vt:lpstr>Tilled</vt:lpstr>
      <vt:lpstr>Vol_coef</vt:lpstr>
      <vt:lpstr>'Input F4'!water_supply</vt:lpstr>
      <vt:lpstr>water_supply</vt:lpstr>
      <vt:lpstr>'Input F4'!y</vt:lpstr>
      <vt:lpstr>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Almudena O.</cp:lastModifiedBy>
  <dcterms:created xsi:type="dcterms:W3CDTF">2021-02-23T10:14:07Z</dcterms:created>
  <dcterms:modified xsi:type="dcterms:W3CDTF">2021-06-09T11:55:09Z</dcterms:modified>
</cp:coreProperties>
</file>