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1100" firstSheet="2" activeTab="8"/>
  </bookViews>
  <sheets>
    <sheet name="Colour code" sheetId="16" r:id="rId1"/>
    <sheet name="Standard data" sheetId="9" r:id="rId2"/>
    <sheet name="Crops" sheetId="8" r:id="rId3"/>
    <sheet name="Grassland" sheetId="15" r:id="rId4"/>
    <sheet name="Carbon cycle_grassland" sheetId="14" r:id="rId5"/>
    <sheet name="Carbon cycle_crops" sheetId="11" r:id="rId6"/>
    <sheet name="Carbon cycle_trees" sheetId="13" r:id="rId7"/>
    <sheet name="Results" sheetId="7" r:id="rId8"/>
    <sheet name="CropsRef" sheetId="10" r:id="rId9"/>
  </sheets>
  <externalReferences>
    <externalReference r:id="rId10"/>
    <externalReference r:id="rId11"/>
  </externalReferences>
  <definedNames>
    <definedName name="_xlnm._FilterDatabase" localSheetId="8" hidden="1">CropsRef!#REF!</definedName>
    <definedName name="climate">'Standard data'!$B$35:$B$40</definedName>
    <definedName name="complexfeedcows">'[1]Standard data'!$C$140:$C$154</definedName>
    <definedName name="complexfeedpigs">'[1]Standard data'!$C$165:$C$176</definedName>
    <definedName name="complexfeedpoultry">'[1]Standard data'!$C$187:$C$190</definedName>
    <definedName name="complexfeedrum">'[1]Standard data'!$C$207:$C$208</definedName>
    <definedName name="crop_ID_annual">CropsRef!$B$8:$B$125</definedName>
    <definedName name="crop_ID_grassland">CropsRef!$B$150:$B$159</definedName>
    <definedName name="crop_ID_trees">CropsRef!$B$128:$B$146</definedName>
    <definedName name="fertilizer_ID_lime">'Standard data'!$B$285:$B$286</definedName>
    <definedName name="fertilizer_ID_N">'Standard data'!$B$210:$B$266</definedName>
    <definedName name="fertilizer_ID_other">'Standard data'!$B$267:$B$284</definedName>
    <definedName name="Forage">'[1]Standard data'!$C$80:$C$98</definedName>
    <definedName name="fuel_mach">'Standard data'!$B$307:$B$315</definedName>
    <definedName name="grassland">CropsRef!$B$150:$B$159</definedName>
    <definedName name="mixedfeed">'[1]Standard data'!#REF!</definedName>
    <definedName name="MMSdairy">'[1]Standard data'!$B$334:$B$350</definedName>
    <definedName name="MMSgoat">'[1]Standard data'!$F$334:$F$349</definedName>
    <definedName name="MMShens">'[1]Standard data'!$J$334:$J$341</definedName>
    <definedName name="MMSmeatcattle">'[1]Standard data'!$C$334:$C$350</definedName>
    <definedName name="MMSmilksheep">'[1]Standard data'!$D$334:$D$349</definedName>
    <definedName name="MMSpig">'[1]Standard data'!$H$334:$H$351</definedName>
    <definedName name="MMSpoultry">'[1]Standard data'!$I$334:$I$341</definedName>
    <definedName name="MMSrum">'[1]Standard data'!$G$334:$G$342</definedName>
    <definedName name="moist_regi">'Standard data'!#REF!</definedName>
    <definedName name="simplefeedstuff">'[1]Standard data'!$C$110:$C$127</definedName>
    <definedName name="soil">'Standard data'!$B$47:$B$69</definedName>
    <definedName name="temp_regi">'Standard data'!#REF!</definedName>
    <definedName name="trees">CropsRef!$B$83:$B$109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 i="14" l="1"/>
  <c r="V16" i="14"/>
  <c r="V17" i="14"/>
  <c r="V18" i="14"/>
  <c r="V19" i="14"/>
  <c r="V20" i="14"/>
  <c r="V21" i="14"/>
  <c r="V22" i="14"/>
  <c r="V23" i="14"/>
  <c r="V24" i="14"/>
  <c r="V25" i="14"/>
  <c r="V26" i="14"/>
  <c r="V27" i="14"/>
  <c r="V28" i="14"/>
  <c r="V29" i="14"/>
  <c r="V14" i="14"/>
  <c r="Q15" i="14"/>
  <c r="Q16" i="14"/>
  <c r="Q17" i="14"/>
  <c r="Q18" i="14"/>
  <c r="Q19" i="14"/>
  <c r="Q20" i="14"/>
  <c r="Q21" i="14"/>
  <c r="Q22" i="14"/>
  <c r="Q23" i="14"/>
  <c r="Q24" i="14"/>
  <c r="Q25" i="14"/>
  <c r="Q26" i="14"/>
  <c r="Q27" i="14"/>
  <c r="Q28" i="14"/>
  <c r="Q29" i="14"/>
  <c r="Q14" i="14"/>
  <c r="BC17" i="15"/>
  <c r="BC18" i="15"/>
  <c r="BC19" i="15"/>
  <c r="BC20" i="15"/>
  <c r="BC21" i="15"/>
  <c r="BC22" i="15"/>
  <c r="BC23" i="15"/>
  <c r="BC24" i="15"/>
  <c r="BC25" i="15"/>
  <c r="BC26" i="15"/>
  <c r="BC27" i="15"/>
  <c r="BC28" i="15"/>
  <c r="BC29" i="15"/>
  <c r="BC30" i="15"/>
  <c r="BC31" i="15"/>
  <c r="BB17" i="15"/>
  <c r="BB18" i="15"/>
  <c r="BB19" i="15"/>
  <c r="BB20" i="15"/>
  <c r="BB21" i="15"/>
  <c r="BB22" i="15"/>
  <c r="BB23" i="15"/>
  <c r="BB24" i="15"/>
  <c r="BB25" i="15"/>
  <c r="BB26" i="15"/>
  <c r="BB27" i="15"/>
  <c r="BB28" i="15"/>
  <c r="BB29" i="15"/>
  <c r="BB30" i="15"/>
  <c r="BB31" i="15"/>
  <c r="BC16" i="15"/>
  <c r="BB16" i="15"/>
  <c r="BA17" i="15"/>
  <c r="BA18" i="15"/>
  <c r="BA19" i="15"/>
  <c r="BA20" i="15"/>
  <c r="BA21" i="15"/>
  <c r="BA22" i="15"/>
  <c r="BA23" i="15"/>
  <c r="BA24" i="15"/>
  <c r="BA25" i="15"/>
  <c r="BA26" i="15"/>
  <c r="BA27" i="15"/>
  <c r="BA28" i="15"/>
  <c r="BA29" i="15"/>
  <c r="BA30" i="15"/>
  <c r="BA31" i="15"/>
  <c r="BA16" i="15"/>
  <c r="AA17" i="15"/>
  <c r="AA18" i="15"/>
  <c r="AA19" i="15"/>
  <c r="AA20" i="15"/>
  <c r="AA21" i="15"/>
  <c r="AA22" i="15"/>
  <c r="AA23" i="15"/>
  <c r="AA24" i="15"/>
  <c r="AA25" i="15"/>
  <c r="AA26" i="15"/>
  <c r="AA27" i="15"/>
  <c r="AA28" i="15"/>
  <c r="AA29" i="15"/>
  <c r="AA30" i="15"/>
  <c r="AA31" i="15"/>
  <c r="AA16" i="15"/>
  <c r="BE44" i="8"/>
  <c r="BE45" i="8"/>
  <c r="BE46" i="8"/>
  <c r="BE47" i="8"/>
  <c r="BE48" i="8"/>
  <c r="BE49" i="8"/>
  <c r="BE50" i="8"/>
  <c r="BE51" i="8"/>
  <c r="BE52" i="8"/>
  <c r="BE53" i="8"/>
  <c r="BE43" i="8"/>
  <c r="BE18" i="8"/>
  <c r="BE19" i="8"/>
  <c r="BE20" i="8"/>
  <c r="BE21" i="8"/>
  <c r="BE22" i="8"/>
  <c r="BE23" i="8"/>
  <c r="BE24" i="8"/>
  <c r="BE25" i="8"/>
  <c r="BE26" i="8"/>
  <c r="BE27" i="8"/>
  <c r="BE28" i="8"/>
  <c r="BE29" i="8"/>
  <c r="BE30" i="8"/>
  <c r="BE31" i="8"/>
  <c r="BE32" i="8"/>
  <c r="BE33" i="8"/>
  <c r="BE34" i="8"/>
  <c r="BE35" i="8"/>
  <c r="BE36" i="8"/>
  <c r="BE37" i="8"/>
  <c r="BE38" i="8"/>
  <c r="BE39" i="8"/>
  <c r="BE17" i="8"/>
  <c r="BD44" i="8"/>
  <c r="BD45" i="8"/>
  <c r="BD46" i="8"/>
  <c r="BD47" i="8"/>
  <c r="BD48" i="8"/>
  <c r="BD49" i="8"/>
  <c r="BD50" i="8"/>
  <c r="BD51" i="8"/>
  <c r="BD52" i="8"/>
  <c r="BD53" i="8"/>
  <c r="BD43" i="8"/>
  <c r="BC44" i="8"/>
  <c r="BC45" i="8"/>
  <c r="BC46" i="8"/>
  <c r="BC47" i="8"/>
  <c r="BC48" i="8"/>
  <c r="BC49" i="8"/>
  <c r="BC50" i="8"/>
  <c r="BC51" i="8"/>
  <c r="BC52" i="8"/>
  <c r="BC53" i="8"/>
  <c r="BC43" i="8"/>
  <c r="BD18" i="8"/>
  <c r="BD19" i="8"/>
  <c r="BD20" i="8"/>
  <c r="BD21" i="8"/>
  <c r="BD22" i="8"/>
  <c r="BD23" i="8"/>
  <c r="BD24" i="8"/>
  <c r="BD25" i="8"/>
  <c r="BD26" i="8"/>
  <c r="BD27" i="8"/>
  <c r="BD28" i="8"/>
  <c r="BD29" i="8"/>
  <c r="BD30" i="8"/>
  <c r="BD31" i="8"/>
  <c r="BD32" i="8"/>
  <c r="BD33" i="8"/>
  <c r="BD34" i="8"/>
  <c r="BD35" i="8"/>
  <c r="BD36" i="8"/>
  <c r="BD37" i="8"/>
  <c r="BD38" i="8"/>
  <c r="BD39" i="8"/>
  <c r="BD17" i="8"/>
  <c r="AB44" i="8"/>
  <c r="AB45" i="8"/>
  <c r="AB46" i="8"/>
  <c r="AB47" i="8"/>
  <c r="AB48" i="8"/>
  <c r="AB49" i="8"/>
  <c r="AB50" i="8"/>
  <c r="AB51" i="8"/>
  <c r="AB52" i="8"/>
  <c r="AB53" i="8"/>
  <c r="AB43" i="8"/>
  <c r="AB18" i="8"/>
  <c r="AB19" i="8"/>
  <c r="AB20" i="8"/>
  <c r="AB21" i="8"/>
  <c r="AB22" i="8"/>
  <c r="AB23" i="8"/>
  <c r="AB24" i="8"/>
  <c r="AB25" i="8"/>
  <c r="AB26" i="8"/>
  <c r="AB27" i="8"/>
  <c r="AB28" i="8"/>
  <c r="AB29" i="8"/>
  <c r="AB30" i="8"/>
  <c r="AB31" i="8"/>
  <c r="AB32" i="8"/>
  <c r="AB33" i="8"/>
  <c r="AB34" i="8"/>
  <c r="AB35" i="8"/>
  <c r="AB36" i="8"/>
  <c r="AB37" i="8"/>
  <c r="AB38" i="8"/>
  <c r="AB39" i="8"/>
  <c r="AB40" i="8"/>
  <c r="AB17" i="8"/>
  <c r="BC18" i="8"/>
  <c r="BF18" i="8" s="1"/>
  <c r="BC19" i="8"/>
  <c r="BF19" i="8" s="1"/>
  <c r="BC20" i="8"/>
  <c r="BF20" i="8" s="1"/>
  <c r="BC21" i="8"/>
  <c r="BF21" i="8" s="1"/>
  <c r="BC22" i="8"/>
  <c r="BF22" i="8" s="1"/>
  <c r="BC23" i="8"/>
  <c r="BF23" i="8" s="1"/>
  <c r="BC24" i="8"/>
  <c r="BF24" i="8" s="1"/>
  <c r="BC25" i="8"/>
  <c r="BF25" i="8" s="1"/>
  <c r="BC26" i="8"/>
  <c r="BF26" i="8" s="1"/>
  <c r="BC27" i="8"/>
  <c r="BF27" i="8" s="1"/>
  <c r="BC28" i="8"/>
  <c r="BF28" i="8" s="1"/>
  <c r="BC29" i="8"/>
  <c r="BF29" i="8" s="1"/>
  <c r="BC30" i="8"/>
  <c r="BF30" i="8" s="1"/>
  <c r="BC31" i="8"/>
  <c r="BF31" i="8" s="1"/>
  <c r="BC32" i="8"/>
  <c r="BF32" i="8" s="1"/>
  <c r="BC33" i="8"/>
  <c r="BF33" i="8" s="1"/>
  <c r="BC34" i="8"/>
  <c r="BF34" i="8" s="1"/>
  <c r="BC35" i="8"/>
  <c r="BF35" i="8" s="1"/>
  <c r="BC36" i="8"/>
  <c r="BF36" i="8" s="1"/>
  <c r="BC37" i="8"/>
  <c r="BF37" i="8" s="1"/>
  <c r="BC38" i="8"/>
  <c r="BF38" i="8" s="1"/>
  <c r="BC39" i="8"/>
  <c r="BF39" i="8" s="1"/>
  <c r="BC17" i="8"/>
  <c r="Z122" i="10" l="1"/>
  <c r="Z106" i="10"/>
  <c r="Z135" i="10" l="1"/>
  <c r="Z108" i="10"/>
  <c r="Z100" i="10"/>
  <c r="Z119" i="10"/>
  <c r="D119" i="10"/>
  <c r="Z118" i="10"/>
  <c r="D118" i="10"/>
  <c r="Z120" i="10"/>
  <c r="D120" i="10"/>
  <c r="Z113" i="10"/>
  <c r="Z104" i="10"/>
  <c r="Z44" i="10"/>
  <c r="D44" i="10"/>
  <c r="Z90" i="10"/>
  <c r="Z88" i="10"/>
  <c r="Z79" i="10"/>
  <c r="Z77" i="10"/>
  <c r="Z57" i="10"/>
  <c r="Z75" i="10"/>
  <c r="Z32" i="10"/>
  <c r="Z111" i="10"/>
  <c r="Z112" i="10"/>
  <c r="Z16" i="10"/>
  <c r="E315" i="9" l="1"/>
  <c r="H315" i="9" s="1"/>
  <c r="H313" i="9"/>
  <c r="H314" i="9"/>
  <c r="AY17" i="15" l="1"/>
  <c r="AY18" i="15"/>
  <c r="AY19" i="15"/>
  <c r="AY20" i="15"/>
  <c r="AY21" i="15"/>
  <c r="AY22" i="15"/>
  <c r="AY23" i="15"/>
  <c r="AY24" i="15"/>
  <c r="AY25" i="15"/>
  <c r="AY26" i="15"/>
  <c r="AY27" i="15"/>
  <c r="AY28" i="15"/>
  <c r="AY29" i="15"/>
  <c r="AY30" i="15"/>
  <c r="AY31" i="15"/>
  <c r="AY16" i="15"/>
  <c r="AX17" i="15"/>
  <c r="AX18" i="15"/>
  <c r="AX19" i="15"/>
  <c r="AX20" i="15"/>
  <c r="AX21" i="15"/>
  <c r="AX22" i="15"/>
  <c r="AX23" i="15"/>
  <c r="AX24" i="15"/>
  <c r="AX25" i="15"/>
  <c r="AX26" i="15"/>
  <c r="AX27" i="15"/>
  <c r="AX28" i="15"/>
  <c r="AX29" i="15"/>
  <c r="AX30" i="15"/>
  <c r="AX31" i="15"/>
  <c r="AX16" i="15"/>
  <c r="BB44" i="8"/>
  <c r="BB45" i="8"/>
  <c r="BB46" i="8"/>
  <c r="BB47" i="8"/>
  <c r="BB48" i="8"/>
  <c r="BB49" i="8"/>
  <c r="BB50" i="8"/>
  <c r="BB51" i="8"/>
  <c r="BB52" i="8"/>
  <c r="BB53" i="8"/>
  <c r="AZ18" i="8" l="1"/>
  <c r="AZ19" i="8"/>
  <c r="AZ20" i="8"/>
  <c r="AZ21" i="8"/>
  <c r="AZ22" i="8"/>
  <c r="AZ23" i="8"/>
  <c r="AZ24" i="8"/>
  <c r="AZ25" i="8"/>
  <c r="AZ26" i="8"/>
  <c r="AZ27" i="8"/>
  <c r="AZ28" i="8"/>
  <c r="AZ29" i="8"/>
  <c r="AZ30" i="8"/>
  <c r="AZ31" i="8"/>
  <c r="AZ32" i="8"/>
  <c r="AZ33" i="8"/>
  <c r="AZ34" i="8"/>
  <c r="AZ35" i="8"/>
  <c r="AZ36" i="8"/>
  <c r="AZ37" i="8"/>
  <c r="AZ38" i="8"/>
  <c r="AZ39" i="8"/>
  <c r="AZ17" i="8"/>
  <c r="AY18" i="8"/>
  <c r="AY19" i="8"/>
  <c r="AY20" i="8"/>
  <c r="AY21" i="8"/>
  <c r="AY22" i="8"/>
  <c r="AY23" i="8"/>
  <c r="AY24" i="8"/>
  <c r="AY25" i="8"/>
  <c r="AY26" i="8"/>
  <c r="AY27" i="8"/>
  <c r="AY28" i="8"/>
  <c r="AY29" i="8"/>
  <c r="AY30" i="8"/>
  <c r="AY31" i="8"/>
  <c r="AY32" i="8"/>
  <c r="AY33" i="8"/>
  <c r="AY34" i="8"/>
  <c r="AY35" i="8"/>
  <c r="AY36" i="8"/>
  <c r="AY37" i="8"/>
  <c r="AY38" i="8"/>
  <c r="AY39" i="8"/>
  <c r="AY17" i="8"/>
  <c r="AQ17" i="15"/>
  <c r="AQ18" i="15"/>
  <c r="AQ19" i="15"/>
  <c r="AQ20" i="15"/>
  <c r="AQ21" i="15"/>
  <c r="AQ22" i="15"/>
  <c r="AQ23" i="15"/>
  <c r="AQ24" i="15"/>
  <c r="AQ25" i="15"/>
  <c r="AQ26" i="15"/>
  <c r="AQ27" i="15"/>
  <c r="AQ28" i="15"/>
  <c r="AQ29" i="15"/>
  <c r="AQ30" i="15"/>
  <c r="AQ31" i="15"/>
  <c r="AQ16" i="15"/>
  <c r="AP17" i="15"/>
  <c r="AP18" i="15"/>
  <c r="AP19" i="15"/>
  <c r="AP20" i="15"/>
  <c r="AP21" i="15"/>
  <c r="AP22" i="15"/>
  <c r="AP23" i="15"/>
  <c r="AP24" i="15"/>
  <c r="AP25" i="15"/>
  <c r="AP26" i="15"/>
  <c r="AP27" i="15"/>
  <c r="AP28" i="15"/>
  <c r="AP29" i="15"/>
  <c r="AP30" i="15"/>
  <c r="AP31" i="15"/>
  <c r="AP16" i="15"/>
  <c r="AO17" i="15"/>
  <c r="AO18" i="15"/>
  <c r="AO19" i="15"/>
  <c r="AO20" i="15"/>
  <c r="AO21" i="15"/>
  <c r="AO22" i="15"/>
  <c r="AO23" i="15"/>
  <c r="AO24" i="15"/>
  <c r="AO25" i="15"/>
  <c r="AO26" i="15"/>
  <c r="AO27" i="15"/>
  <c r="AO28" i="15"/>
  <c r="AO29" i="15"/>
  <c r="AO30" i="15"/>
  <c r="AO31" i="15"/>
  <c r="AO16" i="15"/>
  <c r="AN17" i="15"/>
  <c r="AN18" i="15"/>
  <c r="AN19" i="15"/>
  <c r="AN20" i="15"/>
  <c r="AN21" i="15"/>
  <c r="AN22" i="15"/>
  <c r="AN23" i="15"/>
  <c r="AN24" i="15"/>
  <c r="AN25" i="15"/>
  <c r="AN26" i="15"/>
  <c r="AN27" i="15"/>
  <c r="AN28" i="15"/>
  <c r="AN29" i="15"/>
  <c r="AN30" i="15"/>
  <c r="AN31" i="15"/>
  <c r="AN16" i="15"/>
  <c r="AM17" i="15"/>
  <c r="AM18" i="15"/>
  <c r="AM19" i="15"/>
  <c r="AM20" i="15"/>
  <c r="AM21" i="15"/>
  <c r="AM22" i="15"/>
  <c r="AM23" i="15"/>
  <c r="AM24" i="15"/>
  <c r="AM25" i="15"/>
  <c r="AM26" i="15"/>
  <c r="AM27" i="15"/>
  <c r="AM28" i="15"/>
  <c r="AM29" i="15"/>
  <c r="AM30" i="15"/>
  <c r="AM31" i="15"/>
  <c r="AM16" i="15"/>
  <c r="AX32" i="15" l="1"/>
  <c r="AY32" i="15"/>
  <c r="D19" i="7" s="1"/>
  <c r="AL17" i="15" l="1"/>
  <c r="AL18" i="15"/>
  <c r="AL19" i="15"/>
  <c r="AL20" i="15"/>
  <c r="AL21" i="15"/>
  <c r="AL22" i="15"/>
  <c r="AL23" i="15"/>
  <c r="AL24" i="15"/>
  <c r="AL25" i="15"/>
  <c r="AL26" i="15"/>
  <c r="AL27" i="15"/>
  <c r="AL28" i="15"/>
  <c r="AL29" i="15"/>
  <c r="AL30" i="15"/>
  <c r="AL31" i="15"/>
  <c r="AL16" i="15"/>
  <c r="AK17" i="15"/>
  <c r="AK18" i="15"/>
  <c r="AK19" i="15"/>
  <c r="AK20" i="15"/>
  <c r="AK21" i="15"/>
  <c r="AK22" i="15"/>
  <c r="AK23" i="15"/>
  <c r="AK24" i="15"/>
  <c r="AK25" i="15"/>
  <c r="AK26" i="15"/>
  <c r="AK27" i="15"/>
  <c r="AK28" i="15"/>
  <c r="AK29" i="15"/>
  <c r="AK30" i="15"/>
  <c r="AK31" i="15"/>
  <c r="AK16" i="15"/>
  <c r="AJ17" i="15"/>
  <c r="AJ18" i="15"/>
  <c r="AJ19" i="15"/>
  <c r="AJ20" i="15"/>
  <c r="AJ21" i="15"/>
  <c r="AR21" i="15" s="1"/>
  <c r="AS21" i="15" s="1"/>
  <c r="AJ22" i="15"/>
  <c r="AJ23" i="15"/>
  <c r="AJ24" i="15"/>
  <c r="AJ25" i="15"/>
  <c r="AR25" i="15" s="1"/>
  <c r="AS25" i="15" s="1"/>
  <c r="AJ26" i="15"/>
  <c r="AJ27" i="15"/>
  <c r="AJ28" i="15"/>
  <c r="AJ29" i="15"/>
  <c r="AJ30" i="15"/>
  <c r="AJ31" i="15"/>
  <c r="AJ16" i="15"/>
  <c r="AI17" i="15"/>
  <c r="AI18" i="15"/>
  <c r="AI19" i="15"/>
  <c r="AI20" i="15"/>
  <c r="AI21" i="15"/>
  <c r="AI22" i="15"/>
  <c r="AI23" i="15"/>
  <c r="AI24" i="15"/>
  <c r="AI25" i="15"/>
  <c r="AI26" i="15"/>
  <c r="AI27" i="15"/>
  <c r="AI28" i="15"/>
  <c r="AI29" i="15"/>
  <c r="AI30" i="15"/>
  <c r="AI31" i="15"/>
  <c r="AI16" i="15"/>
  <c r="AR29" i="15" l="1"/>
  <c r="AS29" i="15" s="1"/>
  <c r="AT29" i="15" s="1"/>
  <c r="AR27" i="15"/>
  <c r="AS27" i="15" s="1"/>
  <c r="AR20" i="15"/>
  <c r="AS20" i="15" s="1"/>
  <c r="AT20" i="15" s="1"/>
  <c r="AR28" i="15"/>
  <c r="AS28" i="15" s="1"/>
  <c r="AR23" i="15"/>
  <c r="AS23" i="15" s="1"/>
  <c r="AR19" i="15"/>
  <c r="AS19" i="15" s="1"/>
  <c r="AT19" i="15" s="1"/>
  <c r="AR17" i="15"/>
  <c r="AS17" i="15" s="1"/>
  <c r="AT17" i="15" s="1"/>
  <c r="AR18" i="15"/>
  <c r="AS18" i="15" s="1"/>
  <c r="AR26" i="15"/>
  <c r="AS26" i="15" s="1"/>
  <c r="AT26" i="15" s="1"/>
  <c r="AR30" i="15"/>
  <c r="AS30" i="15" s="1"/>
  <c r="AT30" i="15" s="1"/>
  <c r="AR16" i="15"/>
  <c r="AS16" i="15" s="1"/>
  <c r="AT16" i="15" s="1"/>
  <c r="AR24" i="15"/>
  <c r="AS24" i="15" s="1"/>
  <c r="AT24" i="15" s="1"/>
  <c r="AR31" i="15"/>
  <c r="AS31" i="15" s="1"/>
  <c r="AT31" i="15" s="1"/>
  <c r="AR22" i="15"/>
  <c r="AS22" i="15" s="1"/>
  <c r="AU30" i="15"/>
  <c r="AV30" i="15" s="1"/>
  <c r="AU22" i="15"/>
  <c r="AV22" i="15" s="1"/>
  <c r="AU29" i="15"/>
  <c r="AV29" i="15" s="1"/>
  <c r="AU21" i="15"/>
  <c r="AV21" i="15" s="1"/>
  <c r="AU28" i="15"/>
  <c r="AV28" i="15" s="1"/>
  <c r="AU20" i="15"/>
  <c r="AV20" i="15" s="1"/>
  <c r="AU27" i="15"/>
  <c r="AV27" i="15" s="1"/>
  <c r="AU19" i="15"/>
  <c r="AV19" i="15" s="1"/>
  <c r="AU26" i="15"/>
  <c r="AV26" i="15" s="1"/>
  <c r="AU18" i="15"/>
  <c r="AV18" i="15" s="1"/>
  <c r="AU16" i="15"/>
  <c r="AV16" i="15" s="1"/>
  <c r="AU25" i="15"/>
  <c r="AV25" i="15" s="1"/>
  <c r="AU17" i="15"/>
  <c r="AV17" i="15" s="1"/>
  <c r="AU24" i="15"/>
  <c r="AV24" i="15" s="1"/>
  <c r="AU31" i="15"/>
  <c r="AV31" i="15" s="1"/>
  <c r="AU23" i="15"/>
  <c r="AV23" i="15" s="1"/>
  <c r="AT21" i="15"/>
  <c r="AT25" i="15"/>
  <c r="D14" i="13"/>
  <c r="D15" i="13"/>
  <c r="D16" i="13"/>
  <c r="D17" i="13"/>
  <c r="D18" i="13"/>
  <c r="D19" i="13"/>
  <c r="D20" i="13"/>
  <c r="D21" i="13"/>
  <c r="D22" i="13"/>
  <c r="D23" i="13"/>
  <c r="C14" i="13"/>
  <c r="C15" i="13"/>
  <c r="C16" i="13"/>
  <c r="C17" i="13"/>
  <c r="C18" i="13"/>
  <c r="C19" i="13"/>
  <c r="C20" i="13"/>
  <c r="C21" i="13"/>
  <c r="C22" i="13"/>
  <c r="C23" i="13"/>
  <c r="B14" i="13"/>
  <c r="B15" i="13"/>
  <c r="B16" i="13"/>
  <c r="B17" i="13"/>
  <c r="B18" i="13"/>
  <c r="B19" i="13"/>
  <c r="B20" i="13"/>
  <c r="B21" i="13"/>
  <c r="B22" i="13"/>
  <c r="B23" i="13"/>
  <c r="A14" i="13"/>
  <c r="A15" i="13"/>
  <c r="A16" i="13"/>
  <c r="A17" i="13"/>
  <c r="A18" i="13"/>
  <c r="A19" i="13"/>
  <c r="A20" i="13"/>
  <c r="A21" i="13"/>
  <c r="A22" i="13"/>
  <c r="A23" i="13"/>
  <c r="A8" i="13"/>
  <c r="A7" i="13"/>
  <c r="B6" i="13"/>
  <c r="A6" i="13"/>
  <c r="B5" i="13"/>
  <c r="A5" i="13"/>
  <c r="B4" i="13"/>
  <c r="A4" i="13"/>
  <c r="B3" i="13"/>
  <c r="A3" i="13"/>
  <c r="AW24" i="15" l="1"/>
  <c r="AW21" i="15"/>
  <c r="AW31" i="15"/>
  <c r="AW22" i="15"/>
  <c r="AW27" i="15"/>
  <c r="AT27" i="15"/>
  <c r="AW23" i="15"/>
  <c r="AT23" i="15"/>
  <c r="AW30" i="15"/>
  <c r="AW29" i="15"/>
  <c r="AT22" i="15"/>
  <c r="AW28" i="15"/>
  <c r="AW19" i="15"/>
  <c r="AW20" i="15"/>
  <c r="AW26" i="15"/>
  <c r="AW16" i="15"/>
  <c r="AT28" i="15"/>
  <c r="AW25" i="15"/>
  <c r="AW17" i="15"/>
  <c r="AW18" i="15"/>
  <c r="AT18" i="15"/>
  <c r="A29" i="11"/>
  <c r="A30" i="11"/>
  <c r="A31" i="11"/>
  <c r="A32" i="11"/>
  <c r="A33" i="11"/>
  <c r="A34" i="11"/>
  <c r="A35" i="11"/>
  <c r="A14" i="11"/>
  <c r="A15" i="11"/>
  <c r="A16" i="11"/>
  <c r="A17" i="11"/>
  <c r="A18" i="11"/>
  <c r="A19" i="11"/>
  <c r="A20" i="11"/>
  <c r="A21" i="11"/>
  <c r="A22" i="11"/>
  <c r="A23" i="11"/>
  <c r="A24" i="11"/>
  <c r="A25" i="11"/>
  <c r="A26" i="11"/>
  <c r="A27" i="11"/>
  <c r="A28" i="11"/>
  <c r="A8" i="11"/>
  <c r="A7" i="11"/>
  <c r="B6" i="11"/>
  <c r="A6" i="11"/>
  <c r="B5" i="11"/>
  <c r="A5" i="11"/>
  <c r="B4" i="11"/>
  <c r="A4" i="11"/>
  <c r="B3" i="11"/>
  <c r="A3" i="11"/>
  <c r="AF17" i="15" l="1"/>
  <c r="AF18" i="15"/>
  <c r="AF19" i="15"/>
  <c r="AF20" i="15"/>
  <c r="AF21" i="15"/>
  <c r="AF22" i="15"/>
  <c r="AF23" i="15"/>
  <c r="AF24" i="15"/>
  <c r="AF25" i="15"/>
  <c r="AF26" i="15"/>
  <c r="AF27" i="15"/>
  <c r="AF28" i="15"/>
  <c r="AF29" i="15"/>
  <c r="AF30" i="15"/>
  <c r="AF31" i="15"/>
  <c r="AF16" i="15"/>
  <c r="AD17" i="15"/>
  <c r="AD18" i="15"/>
  <c r="AD19" i="15"/>
  <c r="AD20" i="15"/>
  <c r="AD21" i="15"/>
  <c r="AD22" i="15"/>
  <c r="AD23" i="15"/>
  <c r="AD24" i="15"/>
  <c r="AD25" i="15"/>
  <c r="AD26" i="15"/>
  <c r="AD27" i="15"/>
  <c r="AD28" i="15"/>
  <c r="AD29" i="15"/>
  <c r="AD30" i="15"/>
  <c r="AD31" i="15"/>
  <c r="AD16" i="15"/>
  <c r="A8" i="14"/>
  <c r="B10" i="15"/>
  <c r="C9" i="8"/>
  <c r="B6" i="15"/>
  <c r="C6" i="15"/>
  <c r="D6" i="15"/>
  <c r="B7" i="15"/>
  <c r="C7" i="15"/>
  <c r="B8" i="15"/>
  <c r="C8" i="15"/>
  <c r="B9" i="15"/>
  <c r="C5" i="15"/>
  <c r="D5" i="15"/>
  <c r="B5" i="15"/>
  <c r="A7" i="14"/>
  <c r="A6" i="14"/>
  <c r="A5" i="14"/>
  <c r="A4" i="14"/>
  <c r="A3" i="14"/>
  <c r="B8" i="14" l="1"/>
  <c r="B8" i="13"/>
  <c r="B8" i="11"/>
  <c r="C10" i="15"/>
  <c r="A15" i="14" l="1"/>
  <c r="A16" i="14"/>
  <c r="A17" i="14"/>
  <c r="A18" i="14"/>
  <c r="A19" i="14"/>
  <c r="A20" i="14"/>
  <c r="A21" i="14"/>
  <c r="A22" i="14"/>
  <c r="A23" i="14"/>
  <c r="A24" i="14"/>
  <c r="A25" i="14"/>
  <c r="A26" i="14"/>
  <c r="A27" i="14"/>
  <c r="A28" i="14"/>
  <c r="A29" i="14"/>
  <c r="A14" i="14"/>
  <c r="K15" i="14" l="1"/>
  <c r="K16" i="14"/>
  <c r="K17" i="14"/>
  <c r="K18" i="14"/>
  <c r="K19" i="14"/>
  <c r="K20" i="14"/>
  <c r="K21" i="14"/>
  <c r="K22" i="14"/>
  <c r="K23" i="14"/>
  <c r="K24" i="14"/>
  <c r="K25" i="14"/>
  <c r="K26" i="14"/>
  <c r="K27" i="14"/>
  <c r="K28" i="14"/>
  <c r="K29" i="14"/>
  <c r="J15" i="14"/>
  <c r="J16" i="14"/>
  <c r="J17" i="14"/>
  <c r="J18" i="14"/>
  <c r="J19" i="14"/>
  <c r="J20" i="14"/>
  <c r="J21" i="14"/>
  <c r="J22" i="14"/>
  <c r="J23" i="14"/>
  <c r="J24" i="14"/>
  <c r="J25" i="14"/>
  <c r="J26" i="14"/>
  <c r="J27" i="14"/>
  <c r="J28" i="14"/>
  <c r="J29" i="14"/>
  <c r="I15" i="14"/>
  <c r="I16" i="14"/>
  <c r="I17" i="14"/>
  <c r="I18" i="14"/>
  <c r="I19" i="14"/>
  <c r="I20" i="14"/>
  <c r="I21" i="14"/>
  <c r="I22" i="14"/>
  <c r="I23" i="14"/>
  <c r="I24" i="14"/>
  <c r="I25" i="14"/>
  <c r="I26" i="14"/>
  <c r="I27" i="14"/>
  <c r="I28" i="14"/>
  <c r="I29" i="14"/>
  <c r="H15" i="14"/>
  <c r="H16" i="14"/>
  <c r="H17" i="14"/>
  <c r="H18" i="14"/>
  <c r="H19" i="14"/>
  <c r="H20" i="14"/>
  <c r="H21" i="14"/>
  <c r="H22" i="14"/>
  <c r="H23" i="14"/>
  <c r="H24" i="14"/>
  <c r="H25" i="14"/>
  <c r="H26" i="14"/>
  <c r="H27" i="14"/>
  <c r="H28" i="14"/>
  <c r="H29" i="14"/>
  <c r="G15" i="14"/>
  <c r="G16" i="14"/>
  <c r="G17" i="14"/>
  <c r="G18" i="14"/>
  <c r="G19" i="14"/>
  <c r="G20" i="14"/>
  <c r="G21" i="14"/>
  <c r="G22" i="14"/>
  <c r="G23" i="14"/>
  <c r="G24" i="14"/>
  <c r="G25" i="14"/>
  <c r="G26" i="14"/>
  <c r="G27" i="14"/>
  <c r="G28" i="14"/>
  <c r="G29" i="14"/>
  <c r="F15" i="14"/>
  <c r="F16" i="14"/>
  <c r="F17" i="14"/>
  <c r="F18" i="14"/>
  <c r="F19" i="14"/>
  <c r="F20" i="14"/>
  <c r="F21" i="14"/>
  <c r="F22" i="14"/>
  <c r="F23" i="14"/>
  <c r="F24" i="14"/>
  <c r="F25" i="14"/>
  <c r="F26" i="14"/>
  <c r="F27" i="14"/>
  <c r="F28" i="14"/>
  <c r="F29" i="14"/>
  <c r="E15" i="14"/>
  <c r="E16" i="14"/>
  <c r="E17" i="14"/>
  <c r="E18" i="14"/>
  <c r="E19" i="14"/>
  <c r="E20" i="14"/>
  <c r="E21" i="14"/>
  <c r="E22" i="14"/>
  <c r="E23" i="14"/>
  <c r="E24" i="14"/>
  <c r="E25" i="14"/>
  <c r="E26" i="14"/>
  <c r="E27" i="14"/>
  <c r="E28" i="14"/>
  <c r="E29" i="14"/>
  <c r="D15" i="14"/>
  <c r="D16" i="14"/>
  <c r="D17" i="14"/>
  <c r="D18" i="14"/>
  <c r="D19" i="14"/>
  <c r="D20" i="14"/>
  <c r="D21" i="14"/>
  <c r="D22" i="14"/>
  <c r="W22" i="14" s="1"/>
  <c r="D23" i="14"/>
  <c r="D24" i="14"/>
  <c r="D25" i="14"/>
  <c r="D26" i="14"/>
  <c r="D27" i="14"/>
  <c r="D28" i="14"/>
  <c r="D29" i="14"/>
  <c r="B15" i="14"/>
  <c r="B16" i="14"/>
  <c r="B17" i="14"/>
  <c r="B18" i="14"/>
  <c r="B19" i="14"/>
  <c r="B20" i="14"/>
  <c r="B21" i="14"/>
  <c r="B22" i="14"/>
  <c r="B23" i="14"/>
  <c r="B24" i="14"/>
  <c r="B25" i="14"/>
  <c r="B26" i="14"/>
  <c r="B27" i="14"/>
  <c r="C27" i="14" s="1"/>
  <c r="B28" i="14"/>
  <c r="B29" i="14"/>
  <c r="C29" i="14" s="1"/>
  <c r="I14" i="14"/>
  <c r="H14" i="14"/>
  <c r="G14" i="14"/>
  <c r="F14" i="14"/>
  <c r="B14" i="14"/>
  <c r="K14" i="14"/>
  <c r="J14" i="14"/>
  <c r="D14" i="14"/>
  <c r="E14" i="14"/>
  <c r="BE31" i="15"/>
  <c r="AG31" i="15"/>
  <c r="AB31" i="15"/>
  <c r="BE30" i="15"/>
  <c r="AG30" i="15"/>
  <c r="AB30" i="15"/>
  <c r="BE29" i="15"/>
  <c r="AG29" i="15"/>
  <c r="AB29" i="15"/>
  <c r="BE28" i="15"/>
  <c r="AG28" i="15"/>
  <c r="AB28" i="15"/>
  <c r="BE27" i="15"/>
  <c r="AG27" i="15"/>
  <c r="AB27" i="15"/>
  <c r="BE26" i="15"/>
  <c r="AG26" i="15"/>
  <c r="AB26" i="15"/>
  <c r="BE25" i="15"/>
  <c r="AG25" i="15"/>
  <c r="AB25" i="15"/>
  <c r="BE24" i="15"/>
  <c r="AG24" i="15"/>
  <c r="AB24" i="15"/>
  <c r="BE23" i="15"/>
  <c r="AG23" i="15"/>
  <c r="AB23" i="15"/>
  <c r="BE22" i="15"/>
  <c r="AG22" i="15"/>
  <c r="AB22" i="15"/>
  <c r="BE21" i="15"/>
  <c r="AG21" i="15"/>
  <c r="AB21" i="15"/>
  <c r="BE20" i="15"/>
  <c r="AG20" i="15"/>
  <c r="AB20" i="15"/>
  <c r="BE19" i="15"/>
  <c r="AG19" i="15"/>
  <c r="AB19" i="15"/>
  <c r="BE18" i="15"/>
  <c r="AG18" i="15"/>
  <c r="AB18" i="15"/>
  <c r="BE17" i="15"/>
  <c r="AG17" i="15"/>
  <c r="AB17" i="15"/>
  <c r="BE16" i="15"/>
  <c r="AG16" i="15"/>
  <c r="AB16" i="15"/>
  <c r="FH1" i="15"/>
  <c r="FG1" i="15"/>
  <c r="FF1" i="15"/>
  <c r="BE32" i="15" l="1"/>
  <c r="W16" i="14"/>
  <c r="W24" i="14"/>
  <c r="AH16" i="15"/>
  <c r="AH24" i="15"/>
  <c r="AH28" i="15"/>
  <c r="AH25" i="15"/>
  <c r="AH17" i="15"/>
  <c r="AH20" i="15"/>
  <c r="AH21" i="15"/>
  <c r="AH29" i="15"/>
  <c r="AH18" i="15"/>
  <c r="AH26" i="15"/>
  <c r="AH23" i="15"/>
  <c r="AH31" i="15"/>
  <c r="AH22" i="15"/>
  <c r="AH30" i="15"/>
  <c r="AH19" i="15"/>
  <c r="AH27" i="15"/>
  <c r="BD26" i="15"/>
  <c r="W29" i="14"/>
  <c r="W21" i="14"/>
  <c r="W26" i="14"/>
  <c r="W18" i="14"/>
  <c r="W23" i="14"/>
  <c r="W15" i="14"/>
  <c r="C26" i="14"/>
  <c r="S26" i="14" s="1"/>
  <c r="N26" i="14"/>
  <c r="M26" i="14"/>
  <c r="C18" i="14"/>
  <c r="R18" i="14" s="1"/>
  <c r="N18" i="14"/>
  <c r="M18" i="14"/>
  <c r="M21" i="14"/>
  <c r="N21" i="14"/>
  <c r="C20" i="14"/>
  <c r="Z20" i="14" s="1"/>
  <c r="N20" i="14"/>
  <c r="M20" i="14"/>
  <c r="M14" i="14"/>
  <c r="N14" i="14"/>
  <c r="C25" i="14"/>
  <c r="R25" i="14" s="1"/>
  <c r="M25" i="14"/>
  <c r="N25" i="14"/>
  <c r="W20" i="14"/>
  <c r="C28" i="14"/>
  <c r="U28" i="14" s="1"/>
  <c r="N28" i="14"/>
  <c r="M28" i="14"/>
  <c r="C17" i="14"/>
  <c r="U17" i="14" s="1"/>
  <c r="N17" i="14"/>
  <c r="M17" i="14"/>
  <c r="W28" i="14"/>
  <c r="C24" i="14"/>
  <c r="R24" i="14" s="1"/>
  <c r="N24" i="14"/>
  <c r="M24" i="14"/>
  <c r="C16" i="14"/>
  <c r="S16" i="14" s="1"/>
  <c r="M16" i="14"/>
  <c r="N16" i="14"/>
  <c r="W27" i="14"/>
  <c r="W19" i="14"/>
  <c r="C21" i="14"/>
  <c r="U21" i="14" s="1"/>
  <c r="C23" i="14"/>
  <c r="Z23" i="14" s="1"/>
  <c r="N23" i="14"/>
  <c r="M23" i="14"/>
  <c r="C15" i="14"/>
  <c r="S15" i="14" s="1"/>
  <c r="N15" i="14"/>
  <c r="M15" i="14"/>
  <c r="C22" i="14"/>
  <c r="R22" i="14" s="1"/>
  <c r="N22" i="14"/>
  <c r="M22" i="14"/>
  <c r="W25" i="14"/>
  <c r="W17" i="14"/>
  <c r="N29" i="14"/>
  <c r="M29" i="14"/>
  <c r="M27" i="14"/>
  <c r="N27" i="14"/>
  <c r="M19" i="14"/>
  <c r="N19" i="14"/>
  <c r="C19" i="14"/>
  <c r="U19" i="14" s="1"/>
  <c r="Z29" i="14"/>
  <c r="U29" i="14"/>
  <c r="S29" i="14"/>
  <c r="R29" i="14"/>
  <c r="U27" i="14"/>
  <c r="Z27" i="14"/>
  <c r="R27" i="14"/>
  <c r="S27" i="14"/>
  <c r="W14" i="14"/>
  <c r="BD21" i="15"/>
  <c r="BD24" i="15"/>
  <c r="BD25" i="15"/>
  <c r="BD29" i="15"/>
  <c r="BD20" i="15"/>
  <c r="BD28" i="15"/>
  <c r="BD18" i="15"/>
  <c r="BD19" i="15"/>
  <c r="BD23" i="15"/>
  <c r="BD31" i="15"/>
  <c r="BD16" i="15"/>
  <c r="BD27" i="15"/>
  <c r="BD17" i="15"/>
  <c r="BD22" i="15"/>
  <c r="BD30" i="15"/>
  <c r="Z15" i="14" l="1"/>
  <c r="Z17" i="14"/>
  <c r="R17" i="14"/>
  <c r="AH32" i="15"/>
  <c r="C19" i="7" s="1"/>
  <c r="E19" i="7" s="1"/>
  <c r="BD32" i="15"/>
  <c r="B20" i="7" s="1"/>
  <c r="E20" i="7" s="1"/>
  <c r="S25" i="14"/>
  <c r="Z24" i="14"/>
  <c r="R16" i="14"/>
  <c r="Z16" i="14"/>
  <c r="S24" i="14"/>
  <c r="R23" i="14"/>
  <c r="U16" i="14"/>
  <c r="Z26" i="14"/>
  <c r="Z28" i="14"/>
  <c r="R28" i="14"/>
  <c r="S28" i="14"/>
  <c r="S17" i="14"/>
  <c r="Z22" i="14"/>
  <c r="U25" i="14"/>
  <c r="U15" i="14"/>
  <c r="Z25" i="14"/>
  <c r="U22" i="14"/>
  <c r="R15" i="14"/>
  <c r="S23" i="14"/>
  <c r="Z19" i="14"/>
  <c r="Z18" i="14"/>
  <c r="S22" i="14"/>
  <c r="U26" i="14"/>
  <c r="R26" i="14"/>
  <c r="U23" i="14"/>
  <c r="S20" i="14"/>
  <c r="R20" i="14"/>
  <c r="U20" i="14"/>
  <c r="S19" i="14"/>
  <c r="S18" i="14"/>
  <c r="R19" i="14"/>
  <c r="U24" i="14"/>
  <c r="U18" i="14"/>
  <c r="R21" i="14"/>
  <c r="S21" i="14"/>
  <c r="Z21" i="14"/>
  <c r="G14" i="11" l="1"/>
  <c r="G15" i="11"/>
  <c r="G16" i="11"/>
  <c r="G17" i="11"/>
  <c r="G18" i="11"/>
  <c r="G19" i="11"/>
  <c r="G20" i="11"/>
  <c r="G21" i="11"/>
  <c r="G22" i="11"/>
  <c r="G23" i="11"/>
  <c r="G24" i="11"/>
  <c r="G25" i="11"/>
  <c r="G26" i="11"/>
  <c r="G27" i="11"/>
  <c r="G28" i="11"/>
  <c r="G29" i="11"/>
  <c r="G30" i="11"/>
  <c r="G31" i="11"/>
  <c r="G32" i="11"/>
  <c r="G33" i="11"/>
  <c r="G34" i="11"/>
  <c r="G35" i="11"/>
  <c r="H14" i="11"/>
  <c r="H15" i="11"/>
  <c r="H16" i="11"/>
  <c r="H17" i="11"/>
  <c r="H18" i="11"/>
  <c r="H19" i="11"/>
  <c r="H20" i="11"/>
  <c r="H21" i="11"/>
  <c r="H22" i="11"/>
  <c r="H23" i="11"/>
  <c r="H24" i="11"/>
  <c r="H25" i="11"/>
  <c r="H26" i="11"/>
  <c r="H27" i="11"/>
  <c r="H28" i="11"/>
  <c r="H29" i="11"/>
  <c r="H30" i="11"/>
  <c r="H31" i="11"/>
  <c r="H32" i="11"/>
  <c r="H33" i="11"/>
  <c r="H34" i="11"/>
  <c r="H35" i="11"/>
  <c r="D13" i="13"/>
  <c r="C13" i="13"/>
  <c r="B13" i="13"/>
  <c r="B6" i="14"/>
  <c r="B5" i="14"/>
  <c r="B4" i="14"/>
  <c r="B3" i="14"/>
  <c r="A13" i="13"/>
  <c r="H13" i="11"/>
  <c r="G13" i="11"/>
  <c r="E14" i="11"/>
  <c r="E15" i="11"/>
  <c r="E16" i="11"/>
  <c r="E17" i="11"/>
  <c r="E18" i="11"/>
  <c r="E19" i="11"/>
  <c r="E20" i="11"/>
  <c r="E21" i="11"/>
  <c r="E22" i="11"/>
  <c r="E23" i="11"/>
  <c r="E24" i="11"/>
  <c r="E25" i="11"/>
  <c r="E26" i="11"/>
  <c r="E27" i="11"/>
  <c r="E28" i="11"/>
  <c r="E29" i="11"/>
  <c r="E30" i="11"/>
  <c r="E31" i="11"/>
  <c r="E32" i="11"/>
  <c r="E33" i="11"/>
  <c r="E34" i="11"/>
  <c r="E35" i="11"/>
  <c r="E13" i="11"/>
  <c r="C14" i="11"/>
  <c r="L14" i="11" s="1"/>
  <c r="D14" i="11"/>
  <c r="C15" i="11"/>
  <c r="L15" i="11" s="1"/>
  <c r="D15" i="11"/>
  <c r="C16" i="11"/>
  <c r="L16" i="11" s="1"/>
  <c r="D16" i="11"/>
  <c r="C17" i="11"/>
  <c r="L17" i="11" s="1"/>
  <c r="D17" i="11"/>
  <c r="C18" i="11"/>
  <c r="L18" i="11" s="1"/>
  <c r="D18" i="11"/>
  <c r="C19" i="11"/>
  <c r="L19" i="11" s="1"/>
  <c r="D19" i="11"/>
  <c r="C20" i="11"/>
  <c r="L20" i="11" s="1"/>
  <c r="D20" i="11"/>
  <c r="C21" i="11"/>
  <c r="L21" i="11" s="1"/>
  <c r="D21" i="11"/>
  <c r="C22" i="11"/>
  <c r="L22" i="11" s="1"/>
  <c r="D22" i="11"/>
  <c r="C23" i="11"/>
  <c r="L23" i="11" s="1"/>
  <c r="D23" i="11"/>
  <c r="C24" i="11"/>
  <c r="L24" i="11" s="1"/>
  <c r="D24" i="11"/>
  <c r="C25" i="11"/>
  <c r="L25" i="11" s="1"/>
  <c r="D25" i="11"/>
  <c r="C26" i="11"/>
  <c r="L26" i="11" s="1"/>
  <c r="D26" i="11"/>
  <c r="C27" i="11"/>
  <c r="L27" i="11" s="1"/>
  <c r="D27" i="11"/>
  <c r="C28" i="11"/>
  <c r="L28" i="11" s="1"/>
  <c r="D28" i="11"/>
  <c r="C29" i="11"/>
  <c r="L29" i="11" s="1"/>
  <c r="D29" i="11"/>
  <c r="C30" i="11"/>
  <c r="L30" i="11" s="1"/>
  <c r="D30" i="11"/>
  <c r="C31" i="11"/>
  <c r="L31" i="11" s="1"/>
  <c r="D31" i="11"/>
  <c r="C32" i="11"/>
  <c r="L32" i="11" s="1"/>
  <c r="D32" i="11"/>
  <c r="C33" i="11"/>
  <c r="L33" i="11" s="1"/>
  <c r="D33" i="11"/>
  <c r="C34" i="11"/>
  <c r="L34" i="11" s="1"/>
  <c r="D34" i="11"/>
  <c r="C35" i="11"/>
  <c r="L35" i="11" s="1"/>
  <c r="D35" i="11"/>
  <c r="F14" i="11"/>
  <c r="F15" i="11"/>
  <c r="F16" i="11"/>
  <c r="F17" i="11"/>
  <c r="F18" i="11"/>
  <c r="F19" i="11"/>
  <c r="F20" i="11"/>
  <c r="F21" i="11"/>
  <c r="F22" i="11"/>
  <c r="F23" i="11"/>
  <c r="F24" i="11"/>
  <c r="F25" i="11"/>
  <c r="F26" i="11"/>
  <c r="F27" i="11"/>
  <c r="F28" i="11"/>
  <c r="F29" i="11"/>
  <c r="F30" i="11"/>
  <c r="F31" i="11"/>
  <c r="F32" i="11"/>
  <c r="F33" i="11"/>
  <c r="F34" i="11"/>
  <c r="F35" i="11"/>
  <c r="F13" i="11"/>
  <c r="D13" i="11"/>
  <c r="C13" i="11"/>
  <c r="L13" i="11" s="1"/>
  <c r="B14" i="11"/>
  <c r="J14" i="11" s="1"/>
  <c r="B15" i="11"/>
  <c r="J15" i="11" s="1"/>
  <c r="B16" i="11"/>
  <c r="J16" i="11" s="1"/>
  <c r="B17" i="11"/>
  <c r="J17" i="11" s="1"/>
  <c r="B18" i="11"/>
  <c r="J18" i="11" s="1"/>
  <c r="B19" i="11"/>
  <c r="J19" i="11" s="1"/>
  <c r="B20" i="11"/>
  <c r="J20" i="11" s="1"/>
  <c r="B21" i="11"/>
  <c r="J21" i="11" s="1"/>
  <c r="B22" i="11"/>
  <c r="J22" i="11" s="1"/>
  <c r="B23" i="11"/>
  <c r="J23" i="11" s="1"/>
  <c r="B24" i="11"/>
  <c r="J24" i="11" s="1"/>
  <c r="B25" i="11"/>
  <c r="J25" i="11" s="1"/>
  <c r="B26" i="11"/>
  <c r="J26" i="11" s="1"/>
  <c r="B27" i="11"/>
  <c r="J27" i="11" s="1"/>
  <c r="B28" i="11"/>
  <c r="J28" i="11" s="1"/>
  <c r="B29" i="11"/>
  <c r="J29" i="11" s="1"/>
  <c r="B30" i="11"/>
  <c r="J30" i="11" s="1"/>
  <c r="B31" i="11"/>
  <c r="J31" i="11" s="1"/>
  <c r="B32" i="11"/>
  <c r="J32" i="11" s="1"/>
  <c r="B33" i="11"/>
  <c r="J33" i="11" s="1"/>
  <c r="B34" i="11"/>
  <c r="J34" i="11" s="1"/>
  <c r="B35" i="11"/>
  <c r="J35" i="11" s="1"/>
  <c r="B13" i="11"/>
  <c r="J13" i="11" s="1"/>
  <c r="A13" i="11"/>
  <c r="T29" i="11" l="1"/>
  <c r="N13" i="11"/>
  <c r="O13" i="11" s="1"/>
  <c r="K26" i="11"/>
  <c r="K34" i="11"/>
  <c r="N29" i="11"/>
  <c r="O29" i="11" s="1"/>
  <c r="T20" i="11"/>
  <c r="T21" i="11"/>
  <c r="T28" i="11"/>
  <c r="T30" i="11"/>
  <c r="T22" i="11"/>
  <c r="T14" i="11"/>
  <c r="K18" i="11"/>
  <c r="K32" i="11"/>
  <c r="T16" i="14"/>
  <c r="T28" i="14"/>
  <c r="T27" i="14"/>
  <c r="T15" i="14"/>
  <c r="T21" i="14"/>
  <c r="T22" i="14"/>
  <c r="T23" i="14"/>
  <c r="T20" i="14"/>
  <c r="T29" i="14"/>
  <c r="T17" i="14"/>
  <c r="T25" i="14"/>
  <c r="T19" i="14"/>
  <c r="T18" i="14"/>
  <c r="T24" i="14"/>
  <c r="T26" i="14"/>
  <c r="K23" i="11"/>
  <c r="M31" i="11"/>
  <c r="M19" i="11"/>
  <c r="K24" i="11"/>
  <c r="N31" i="11"/>
  <c r="O31" i="11" s="1"/>
  <c r="K31" i="11"/>
  <c r="K30" i="11"/>
  <c r="K22" i="11"/>
  <c r="K14" i="11"/>
  <c r="N34" i="11"/>
  <c r="O34" i="11" s="1"/>
  <c r="N30" i="11"/>
  <c r="O30" i="11" s="1"/>
  <c r="N26" i="11"/>
  <c r="O26" i="11" s="1"/>
  <c r="N22" i="11"/>
  <c r="O22" i="11" s="1"/>
  <c r="N18" i="11"/>
  <c r="O18" i="11" s="1"/>
  <c r="N14" i="11"/>
  <c r="O14" i="11" s="1"/>
  <c r="K16" i="11"/>
  <c r="N23" i="11"/>
  <c r="O23" i="11" s="1"/>
  <c r="N15" i="11"/>
  <c r="O15" i="11" s="1"/>
  <c r="K15" i="11"/>
  <c r="M35" i="11"/>
  <c r="M27" i="11"/>
  <c r="M23" i="11"/>
  <c r="M15" i="11"/>
  <c r="K29" i="11"/>
  <c r="K21" i="11"/>
  <c r="M34" i="11"/>
  <c r="M30" i="11"/>
  <c r="M26" i="11"/>
  <c r="M22" i="11"/>
  <c r="M18" i="11"/>
  <c r="M14" i="11"/>
  <c r="I20" i="13"/>
  <c r="K28" i="11"/>
  <c r="K20" i="11"/>
  <c r="I16" i="13"/>
  <c r="T31" i="11"/>
  <c r="T23" i="11"/>
  <c r="T15" i="11"/>
  <c r="K13" i="11"/>
  <c r="N21" i="11"/>
  <c r="O21" i="11" s="1"/>
  <c r="N35" i="11"/>
  <c r="O35" i="11" s="1"/>
  <c r="N27" i="11"/>
  <c r="O27" i="11" s="1"/>
  <c r="T32" i="11"/>
  <c r="T24" i="11"/>
  <c r="T16" i="11"/>
  <c r="N17" i="11"/>
  <c r="O17" i="11" s="1"/>
  <c r="N33" i="11"/>
  <c r="O33" i="11" s="1"/>
  <c r="N25" i="11"/>
  <c r="O25" i="11" s="1"/>
  <c r="K35" i="11"/>
  <c r="K27" i="11"/>
  <c r="K19" i="11"/>
  <c r="M33" i="11"/>
  <c r="M29" i="11"/>
  <c r="M25" i="11"/>
  <c r="M21" i="11"/>
  <c r="M17" i="11"/>
  <c r="N28" i="11"/>
  <c r="O28" i="11" s="1"/>
  <c r="N20" i="11"/>
  <c r="O20" i="11" s="1"/>
  <c r="T35" i="11"/>
  <c r="T27" i="11"/>
  <c r="T19" i="11"/>
  <c r="N32" i="11"/>
  <c r="O32" i="11" s="1"/>
  <c r="N24" i="11"/>
  <c r="O24" i="11" s="1"/>
  <c r="N16" i="11"/>
  <c r="O16" i="11" s="1"/>
  <c r="K33" i="11"/>
  <c r="K25" i="11"/>
  <c r="K17" i="11"/>
  <c r="M13" i="11"/>
  <c r="M32" i="11"/>
  <c r="M28" i="11"/>
  <c r="M24" i="11"/>
  <c r="M20" i="11"/>
  <c r="M16" i="11"/>
  <c r="T34" i="11"/>
  <c r="T26" i="11"/>
  <c r="T18" i="11"/>
  <c r="N19" i="11"/>
  <c r="O19" i="11" s="1"/>
  <c r="T33" i="11"/>
  <c r="T25" i="11"/>
  <c r="T17" i="11"/>
  <c r="C14" i="14"/>
  <c r="I15" i="13"/>
  <c r="I17" i="13"/>
  <c r="I19" i="13"/>
  <c r="I22" i="13"/>
  <c r="I14" i="13"/>
  <c r="I23" i="13"/>
  <c r="I21" i="13"/>
  <c r="I18" i="13"/>
  <c r="I13" i="13"/>
  <c r="T13" i="11"/>
  <c r="T36" i="11" l="1"/>
  <c r="B16" i="7" s="1"/>
  <c r="E16" i="7" s="1"/>
  <c r="I24" i="13"/>
  <c r="B30" i="7" s="1"/>
  <c r="E30" i="7" s="1"/>
  <c r="P26" i="11"/>
  <c r="Q26" i="11" s="1"/>
  <c r="P20" i="11"/>
  <c r="Q20" i="11" s="1"/>
  <c r="P27" i="11"/>
  <c r="Q27" i="11" s="1"/>
  <c r="P15" i="11"/>
  <c r="Q15" i="11" s="1"/>
  <c r="P34" i="11"/>
  <c r="Q34" i="11" s="1"/>
  <c r="P30" i="11"/>
  <c r="Q30" i="11" s="1"/>
  <c r="P28" i="11"/>
  <c r="Q28" i="11" s="1"/>
  <c r="P35" i="11"/>
  <c r="Q35" i="11" s="1"/>
  <c r="P23" i="11"/>
  <c r="Q23" i="11" s="1"/>
  <c r="P29" i="11"/>
  <c r="Q29" i="11" s="1"/>
  <c r="P16" i="11"/>
  <c r="Q16" i="11" s="1"/>
  <c r="P25" i="11"/>
  <c r="Q25" i="11" s="1"/>
  <c r="P21" i="11"/>
  <c r="Q21" i="11" s="1"/>
  <c r="P24" i="11"/>
  <c r="Q24" i="11" s="1"/>
  <c r="P33" i="11"/>
  <c r="Q33" i="11" s="1"/>
  <c r="P14" i="11"/>
  <c r="Q14" i="11" s="1"/>
  <c r="P17" i="11"/>
  <c r="Q17" i="11" s="1"/>
  <c r="P13" i="11"/>
  <c r="Q13" i="11" s="1"/>
  <c r="P32" i="11"/>
  <c r="Q32" i="11" s="1"/>
  <c r="P18" i="11"/>
  <c r="Q18" i="11" s="1"/>
  <c r="P19" i="11"/>
  <c r="Q19" i="11" s="1"/>
  <c r="P22" i="11"/>
  <c r="Q22" i="11" s="1"/>
  <c r="P31" i="11"/>
  <c r="Q31" i="11" s="1"/>
  <c r="R14" i="14"/>
  <c r="S14" i="14" s="1"/>
  <c r="T14" i="14" s="1"/>
  <c r="U14" i="14" s="1"/>
  <c r="Z14" i="14"/>
  <c r="Z30" i="14" s="1"/>
  <c r="B23" i="7" s="1"/>
  <c r="E23" i="7" s="1"/>
  <c r="C8" i="8" l="1"/>
  <c r="E4" i="8"/>
  <c r="C38" i="9"/>
  <c r="C37" i="9"/>
  <c r="C36" i="9"/>
  <c r="C35" i="9"/>
  <c r="F297" i="9"/>
  <c r="F298" i="9"/>
  <c r="F299" i="9"/>
  <c r="F296" i="9"/>
  <c r="H311" i="9"/>
  <c r="H310" i="9"/>
  <c r="H309" i="9"/>
  <c r="H308" i="9"/>
  <c r="H307" i="9"/>
  <c r="AG18" i="8"/>
  <c r="AG19" i="8"/>
  <c r="AG20" i="8"/>
  <c r="AG21" i="8"/>
  <c r="AG22" i="8"/>
  <c r="AG23" i="8"/>
  <c r="AG24" i="8"/>
  <c r="AG25" i="8"/>
  <c r="AG26" i="8"/>
  <c r="AG27" i="8"/>
  <c r="AG28" i="8"/>
  <c r="AG29" i="8"/>
  <c r="AG30" i="8"/>
  <c r="AG31" i="8"/>
  <c r="AG32" i="8"/>
  <c r="AG33" i="8"/>
  <c r="AG34" i="8"/>
  <c r="AG35" i="8"/>
  <c r="AG36" i="8"/>
  <c r="AG37" i="8"/>
  <c r="AG38" i="8"/>
  <c r="AG39" i="8"/>
  <c r="AG43" i="8"/>
  <c r="AG44" i="8"/>
  <c r="AG45" i="8"/>
  <c r="AG46" i="8"/>
  <c r="AG47" i="8"/>
  <c r="AG48" i="8"/>
  <c r="AG49" i="8"/>
  <c r="AG50" i="8"/>
  <c r="AG51" i="8"/>
  <c r="AG52" i="8"/>
  <c r="AG53" i="8"/>
  <c r="AG17" i="8"/>
  <c r="BF31" i="15" l="1"/>
  <c r="BF30" i="15"/>
  <c r="BM25" i="8"/>
  <c r="BF29" i="15"/>
  <c r="BF21" i="15"/>
  <c r="BM51" i="8"/>
  <c r="BM43" i="8"/>
  <c r="BM32" i="8"/>
  <c r="BM24" i="8"/>
  <c r="BF20" i="15"/>
  <c r="BM50" i="8"/>
  <c r="BM39" i="8"/>
  <c r="BM31" i="8"/>
  <c r="BM23" i="8"/>
  <c r="BF19" i="15"/>
  <c r="BM49" i="8"/>
  <c r="BM38" i="8"/>
  <c r="BM30" i="8"/>
  <c r="BF18" i="15"/>
  <c r="BM48" i="8"/>
  <c r="BF28" i="15"/>
  <c r="BM22" i="8"/>
  <c r="BM29" i="8"/>
  <c r="BF27" i="15"/>
  <c r="BF26" i="15"/>
  <c r="BM37" i="8"/>
  <c r="BF25" i="15"/>
  <c r="BF17" i="15"/>
  <c r="BM47" i="8"/>
  <c r="BM36" i="8"/>
  <c r="BM28" i="8"/>
  <c r="BM20" i="8"/>
  <c r="BF16" i="15"/>
  <c r="BM46" i="8"/>
  <c r="BM35" i="8"/>
  <c r="BM27" i="8"/>
  <c r="BM19" i="8"/>
  <c r="BF23" i="15"/>
  <c r="BM53" i="8"/>
  <c r="BM45" i="8"/>
  <c r="BM34" i="8"/>
  <c r="BM26" i="8"/>
  <c r="BM18" i="8"/>
  <c r="BF22" i="15"/>
  <c r="BM52" i="8"/>
  <c r="BM33" i="8"/>
  <c r="BM17" i="8"/>
  <c r="BF24" i="15"/>
  <c r="BM44" i="8"/>
  <c r="BM21" i="8"/>
  <c r="C9" i="15"/>
  <c r="B7" i="13"/>
  <c r="B7" i="11"/>
  <c r="E5" i="15"/>
  <c r="B7" i="14"/>
  <c r="E5" i="8"/>
  <c r="L28" i="14" s="1"/>
  <c r="I13" i="11" l="1"/>
  <c r="R13" i="11" s="1"/>
  <c r="E21" i="13"/>
  <c r="G21" i="13" s="1"/>
  <c r="H21" i="13" s="1"/>
  <c r="E16" i="13"/>
  <c r="G16" i="13" s="1"/>
  <c r="H16" i="13" s="1"/>
  <c r="E20" i="13"/>
  <c r="G20" i="13" s="1"/>
  <c r="H20" i="13" s="1"/>
  <c r="E18" i="13"/>
  <c r="G18" i="13" s="1"/>
  <c r="H18" i="13" s="1"/>
  <c r="E23" i="13"/>
  <c r="G23" i="13" s="1"/>
  <c r="H23" i="13" s="1"/>
  <c r="E13" i="13"/>
  <c r="G13" i="13" s="1"/>
  <c r="H13" i="13" s="1"/>
  <c r="E15" i="13"/>
  <c r="G15" i="13" s="1"/>
  <c r="H15" i="13" s="1"/>
  <c r="E19" i="13"/>
  <c r="G19" i="13" s="1"/>
  <c r="H19" i="13" s="1"/>
  <c r="E22" i="13"/>
  <c r="G22" i="13" s="1"/>
  <c r="H22" i="13" s="1"/>
  <c r="E17" i="13"/>
  <c r="G17" i="13" s="1"/>
  <c r="H17" i="13" s="1"/>
  <c r="E14" i="13"/>
  <c r="G14" i="13" s="1"/>
  <c r="H14" i="13" s="1"/>
  <c r="O28" i="14"/>
  <c r="P28" i="14" s="1"/>
  <c r="X28" i="14"/>
  <c r="Y28" i="14" s="1"/>
  <c r="I14" i="11"/>
  <c r="R14" i="11" s="1"/>
  <c r="S14" i="11" s="1"/>
  <c r="L16" i="14"/>
  <c r="L17" i="14"/>
  <c r="I20" i="11"/>
  <c r="R20" i="11" s="1"/>
  <c r="S20" i="11" s="1"/>
  <c r="L14" i="14"/>
  <c r="L24" i="14"/>
  <c r="I26" i="11"/>
  <c r="R26" i="11" s="1"/>
  <c r="S26" i="11" s="1"/>
  <c r="L26" i="14"/>
  <c r="I23" i="11"/>
  <c r="R23" i="11" s="1"/>
  <c r="S23" i="11" s="1"/>
  <c r="E6" i="15"/>
  <c r="I25" i="11"/>
  <c r="R25" i="11" s="1"/>
  <c r="S25" i="11" s="1"/>
  <c r="L20" i="14"/>
  <c r="L27" i="14"/>
  <c r="I24" i="11"/>
  <c r="R24" i="11" s="1"/>
  <c r="S24" i="11" s="1"/>
  <c r="L22" i="14"/>
  <c r="L25" i="14"/>
  <c r="I29" i="11"/>
  <c r="R29" i="11" s="1"/>
  <c r="S29" i="11" s="1"/>
  <c r="L15" i="14"/>
  <c r="L21" i="14"/>
  <c r="I15" i="11"/>
  <c r="R15" i="11" s="1"/>
  <c r="S15" i="11" s="1"/>
  <c r="L23" i="14"/>
  <c r="L19" i="14"/>
  <c r="L29" i="14"/>
  <c r="L18" i="14"/>
  <c r="I21" i="11"/>
  <c r="R21" i="11" s="1"/>
  <c r="S21" i="11" s="1"/>
  <c r="I33" i="11"/>
  <c r="R33" i="11" s="1"/>
  <c r="S33" i="11" s="1"/>
  <c r="I32" i="11"/>
  <c r="R32" i="11" s="1"/>
  <c r="S32" i="11" s="1"/>
  <c r="I34" i="11"/>
  <c r="R34" i="11" s="1"/>
  <c r="S34" i="11" s="1"/>
  <c r="I17" i="11"/>
  <c r="R17" i="11" s="1"/>
  <c r="S17" i="11" s="1"/>
  <c r="I16" i="11"/>
  <c r="R16" i="11" s="1"/>
  <c r="S16" i="11" s="1"/>
  <c r="I35" i="11"/>
  <c r="R35" i="11" s="1"/>
  <c r="S35" i="11" s="1"/>
  <c r="I18" i="11"/>
  <c r="R18" i="11" s="1"/>
  <c r="S18" i="11" s="1"/>
  <c r="I30" i="11"/>
  <c r="R30" i="11" s="1"/>
  <c r="S30" i="11" s="1"/>
  <c r="I27" i="11"/>
  <c r="R27" i="11" s="1"/>
  <c r="S27" i="11" s="1"/>
  <c r="I31" i="11"/>
  <c r="R31" i="11" s="1"/>
  <c r="S31" i="11" s="1"/>
  <c r="I22" i="11"/>
  <c r="R22" i="11" s="1"/>
  <c r="S22" i="11" s="1"/>
  <c r="I19" i="11"/>
  <c r="R19" i="11" s="1"/>
  <c r="S19" i="11" s="1"/>
  <c r="I28" i="11"/>
  <c r="R28" i="11" s="1"/>
  <c r="S28" i="11" s="1"/>
  <c r="BL18" i="8"/>
  <c r="BL19" i="8"/>
  <c r="BL20" i="8"/>
  <c r="BL21" i="8"/>
  <c r="BL22" i="8"/>
  <c r="BL23" i="8"/>
  <c r="BL24" i="8"/>
  <c r="BL25" i="8"/>
  <c r="BL26" i="8"/>
  <c r="BL27" i="8"/>
  <c r="BL28" i="8"/>
  <c r="BL29" i="8"/>
  <c r="BL30" i="8"/>
  <c r="BL31" i="8"/>
  <c r="BL32" i="8"/>
  <c r="BL33" i="8"/>
  <c r="BL34" i="8"/>
  <c r="BL35" i="8"/>
  <c r="BL36" i="8"/>
  <c r="BL37" i="8"/>
  <c r="BL38" i="8"/>
  <c r="BL39" i="8"/>
  <c r="BL43" i="8"/>
  <c r="BL44" i="8"/>
  <c r="BL45" i="8"/>
  <c r="BL46" i="8"/>
  <c r="BL47" i="8"/>
  <c r="BL48" i="8"/>
  <c r="BL49" i="8"/>
  <c r="BL50" i="8"/>
  <c r="BL51" i="8"/>
  <c r="BL52" i="8"/>
  <c r="BL53" i="8"/>
  <c r="BL17" i="8"/>
  <c r="BJ18" i="8"/>
  <c r="BJ19" i="8"/>
  <c r="BJ20" i="8"/>
  <c r="BJ21" i="8"/>
  <c r="BJ22" i="8"/>
  <c r="BJ23" i="8"/>
  <c r="BJ24" i="8"/>
  <c r="BJ25" i="8"/>
  <c r="BJ26" i="8"/>
  <c r="BJ27" i="8"/>
  <c r="BJ28" i="8"/>
  <c r="BJ29" i="8"/>
  <c r="BJ30" i="8"/>
  <c r="BJ31" i="8"/>
  <c r="BJ32" i="8"/>
  <c r="BJ33" i="8"/>
  <c r="BJ34" i="8"/>
  <c r="BJ35" i="8"/>
  <c r="BJ36" i="8"/>
  <c r="BJ37" i="8"/>
  <c r="BJ38" i="8"/>
  <c r="BJ39" i="8"/>
  <c r="BJ43" i="8"/>
  <c r="BJ44" i="8"/>
  <c r="BJ45" i="8"/>
  <c r="BJ46" i="8"/>
  <c r="BJ47" i="8"/>
  <c r="BJ48" i="8"/>
  <c r="BJ49" i="8"/>
  <c r="BJ50" i="8"/>
  <c r="BJ51" i="8"/>
  <c r="BJ52" i="8"/>
  <c r="BJ53" i="8"/>
  <c r="BJ17" i="8"/>
  <c r="BI18" i="8"/>
  <c r="BI19" i="8"/>
  <c r="BI20" i="8"/>
  <c r="BI21" i="8"/>
  <c r="BI22" i="8"/>
  <c r="BI23" i="8"/>
  <c r="BI24" i="8"/>
  <c r="BI25" i="8"/>
  <c r="BI26" i="8"/>
  <c r="BI27" i="8"/>
  <c r="BI28" i="8"/>
  <c r="BI29" i="8"/>
  <c r="BI30" i="8"/>
  <c r="BI31" i="8"/>
  <c r="BI32" i="8"/>
  <c r="BI33" i="8"/>
  <c r="BI34" i="8"/>
  <c r="BI35" i="8"/>
  <c r="BI36" i="8"/>
  <c r="BI37" i="8"/>
  <c r="BI38" i="8"/>
  <c r="BI39" i="8"/>
  <c r="BI43" i="8"/>
  <c r="BI44" i="8"/>
  <c r="BI45" i="8"/>
  <c r="BI46" i="8"/>
  <c r="BI47" i="8"/>
  <c r="BI48" i="8"/>
  <c r="BI49" i="8"/>
  <c r="BI50" i="8"/>
  <c r="BI51" i="8"/>
  <c r="BI52" i="8"/>
  <c r="BI53" i="8"/>
  <c r="BG18" i="8"/>
  <c r="BG19" i="8"/>
  <c r="BG20" i="8"/>
  <c r="BG21" i="8"/>
  <c r="BG22" i="8"/>
  <c r="BG23" i="8"/>
  <c r="BG24" i="8"/>
  <c r="BG25" i="8"/>
  <c r="BG26" i="8"/>
  <c r="BG27" i="8"/>
  <c r="BG28" i="8"/>
  <c r="BG29" i="8"/>
  <c r="BG30" i="8"/>
  <c r="BG31" i="8"/>
  <c r="BG32" i="8"/>
  <c r="BG33" i="8"/>
  <c r="BG34" i="8"/>
  <c r="BG35" i="8"/>
  <c r="BG36" i="8"/>
  <c r="BG37" i="8"/>
  <c r="BG38" i="8"/>
  <c r="BG39" i="8"/>
  <c r="BG43" i="8"/>
  <c r="BG44" i="8"/>
  <c r="BG45" i="8"/>
  <c r="BG46" i="8"/>
  <c r="BG47" i="8"/>
  <c r="BG48" i="8"/>
  <c r="BG49" i="8"/>
  <c r="BG50" i="8"/>
  <c r="BG51" i="8"/>
  <c r="BG52" i="8"/>
  <c r="BG53" i="8"/>
  <c r="BI17" i="8"/>
  <c r="BH17" i="8"/>
  <c r="BG17" i="8"/>
  <c r="BM40" i="8" l="1"/>
  <c r="B14" i="7" s="1"/>
  <c r="E14" i="7" s="1"/>
  <c r="BM54" i="8"/>
  <c r="B28" i="7" s="1"/>
  <c r="E28" i="7" s="1"/>
  <c r="BL54" i="8"/>
  <c r="BL40" i="8"/>
  <c r="H24" i="13"/>
  <c r="B29" i="7" s="1"/>
  <c r="E29" i="7" s="1"/>
  <c r="BF32" i="15"/>
  <c r="B21" i="7" s="1"/>
  <c r="E21" i="7" s="1"/>
  <c r="O24" i="14"/>
  <c r="P24" i="14" s="1"/>
  <c r="X24" i="14"/>
  <c r="Y24" i="14" s="1"/>
  <c r="O27" i="14"/>
  <c r="P27" i="14" s="1"/>
  <c r="X27" i="14"/>
  <c r="Y27" i="14" s="1"/>
  <c r="O14" i="14"/>
  <c r="P14" i="14" s="1"/>
  <c r="X14" i="14"/>
  <c r="Y14" i="14" s="1"/>
  <c r="O18" i="14"/>
  <c r="P18" i="14" s="1"/>
  <c r="X18" i="14"/>
  <c r="Y18" i="14" s="1"/>
  <c r="O20" i="14"/>
  <c r="P20" i="14" s="1"/>
  <c r="X20" i="14"/>
  <c r="Y20" i="14" s="1"/>
  <c r="X29" i="14"/>
  <c r="Y29" i="14" s="1"/>
  <c r="O29" i="14"/>
  <c r="P29" i="14" s="1"/>
  <c r="O21" i="14"/>
  <c r="P21" i="14" s="1"/>
  <c r="X21" i="14"/>
  <c r="Y21" i="14" s="1"/>
  <c r="X17" i="14"/>
  <c r="Y17" i="14" s="1"/>
  <c r="O17" i="14"/>
  <c r="P17" i="14" s="1"/>
  <c r="O15" i="14"/>
  <c r="P15" i="14" s="1"/>
  <c r="X15" i="14"/>
  <c r="Y15" i="14" s="1"/>
  <c r="O16" i="14"/>
  <c r="P16" i="14" s="1"/>
  <c r="X16" i="14"/>
  <c r="Y16" i="14" s="1"/>
  <c r="X19" i="14"/>
  <c r="Y19" i="14" s="1"/>
  <c r="O19" i="14"/>
  <c r="P19" i="14" s="1"/>
  <c r="X25" i="14"/>
  <c r="Y25" i="14" s="1"/>
  <c r="O25" i="14"/>
  <c r="P25" i="14" s="1"/>
  <c r="O26" i="14"/>
  <c r="P26" i="14" s="1"/>
  <c r="X26" i="14"/>
  <c r="Y26" i="14" s="1"/>
  <c r="O23" i="14"/>
  <c r="P23" i="14" s="1"/>
  <c r="X23" i="14"/>
  <c r="Y23" i="14" s="1"/>
  <c r="O22" i="14"/>
  <c r="P22" i="14" s="1"/>
  <c r="X22" i="14"/>
  <c r="Y22" i="14" s="1"/>
  <c r="BF50" i="8"/>
  <c r="BF48" i="8"/>
  <c r="BF47" i="8"/>
  <c r="BF17" i="8"/>
  <c r="BF46" i="8"/>
  <c r="BF45" i="8"/>
  <c r="BF52" i="8"/>
  <c r="BF44" i="8"/>
  <c r="BF51" i="8"/>
  <c r="BF43" i="8"/>
  <c r="BF49" i="8"/>
  <c r="BF53" i="8"/>
  <c r="BF54" i="8" l="1"/>
  <c r="BF40" i="8"/>
  <c r="Y30" i="14"/>
  <c r="P30" i="14"/>
  <c r="AR18" i="8"/>
  <c r="AR19" i="8"/>
  <c r="AR20" i="8"/>
  <c r="AR21" i="8"/>
  <c r="AR22" i="8"/>
  <c r="AR23" i="8"/>
  <c r="AR24" i="8"/>
  <c r="AR25" i="8"/>
  <c r="AR26" i="8"/>
  <c r="AR27" i="8"/>
  <c r="AR28" i="8"/>
  <c r="AR29" i="8"/>
  <c r="AR30" i="8"/>
  <c r="AR31" i="8"/>
  <c r="AR32" i="8"/>
  <c r="AR33" i="8"/>
  <c r="AR34" i="8"/>
  <c r="AR35" i="8"/>
  <c r="AR36" i="8"/>
  <c r="AR37" i="8"/>
  <c r="AR38" i="8"/>
  <c r="AR39" i="8"/>
  <c r="AR17" i="8"/>
  <c r="AQ18" i="8"/>
  <c r="AQ19" i="8"/>
  <c r="AQ20" i="8"/>
  <c r="AQ21" i="8"/>
  <c r="AQ22" i="8"/>
  <c r="AQ23" i="8"/>
  <c r="AQ24" i="8"/>
  <c r="AQ25" i="8"/>
  <c r="AQ26" i="8"/>
  <c r="AQ27" i="8"/>
  <c r="AQ28" i="8"/>
  <c r="AQ29" i="8"/>
  <c r="AQ30" i="8"/>
  <c r="AQ31" i="8"/>
  <c r="AQ32" i="8"/>
  <c r="AQ33" i="8"/>
  <c r="AQ34" i="8"/>
  <c r="AQ35" i="8"/>
  <c r="AQ36" i="8"/>
  <c r="AQ37" i="8"/>
  <c r="AQ38" i="8"/>
  <c r="AQ39" i="8"/>
  <c r="AQ17" i="8"/>
  <c r="AP18" i="8"/>
  <c r="AP19" i="8"/>
  <c r="AP20" i="8"/>
  <c r="AP21" i="8"/>
  <c r="AP22" i="8"/>
  <c r="AP23" i="8"/>
  <c r="AP24" i="8"/>
  <c r="AP25" i="8"/>
  <c r="AP26" i="8"/>
  <c r="AP27" i="8"/>
  <c r="AP28" i="8"/>
  <c r="AP29" i="8"/>
  <c r="AP30" i="8"/>
  <c r="AP31" i="8"/>
  <c r="AP32" i="8"/>
  <c r="AP33" i="8"/>
  <c r="AP34" i="8"/>
  <c r="AP35" i="8"/>
  <c r="AP36" i="8"/>
  <c r="AP37" i="8"/>
  <c r="AP38" i="8"/>
  <c r="AP39" i="8"/>
  <c r="AP17" i="8"/>
  <c r="AM18" i="8"/>
  <c r="AM19" i="8"/>
  <c r="AM20" i="8"/>
  <c r="AM21" i="8"/>
  <c r="AM22" i="8"/>
  <c r="AM23" i="8"/>
  <c r="AM24" i="8"/>
  <c r="AM25" i="8"/>
  <c r="AM26" i="8"/>
  <c r="AM27" i="8"/>
  <c r="AM28" i="8"/>
  <c r="AM29" i="8"/>
  <c r="AM30" i="8"/>
  <c r="AM31" i="8"/>
  <c r="AM32" i="8"/>
  <c r="AM33" i="8"/>
  <c r="AM34" i="8"/>
  <c r="AM35" i="8"/>
  <c r="AM36" i="8"/>
  <c r="AM37" i="8"/>
  <c r="AM38" i="8"/>
  <c r="AM39" i="8"/>
  <c r="AM17" i="8"/>
  <c r="AL18" i="8"/>
  <c r="AL19" i="8"/>
  <c r="AL20" i="8"/>
  <c r="AL21" i="8"/>
  <c r="AL22" i="8"/>
  <c r="AL23" i="8"/>
  <c r="AL24" i="8"/>
  <c r="AL25" i="8"/>
  <c r="AL26" i="8"/>
  <c r="AL27" i="8"/>
  <c r="AL28" i="8"/>
  <c r="AL29" i="8"/>
  <c r="AL30" i="8"/>
  <c r="AL31" i="8"/>
  <c r="AL32" i="8"/>
  <c r="AL33" i="8"/>
  <c r="AL34" i="8"/>
  <c r="AL35" i="8"/>
  <c r="AL36" i="8"/>
  <c r="AL37" i="8"/>
  <c r="AL38" i="8"/>
  <c r="AL39" i="8"/>
  <c r="AL17" i="8"/>
  <c r="AK17" i="8"/>
  <c r="AK18" i="8"/>
  <c r="AK19" i="8"/>
  <c r="AK20" i="8"/>
  <c r="AK21" i="8"/>
  <c r="AK22" i="8"/>
  <c r="AK23" i="8"/>
  <c r="AK24" i="8"/>
  <c r="AK25" i="8"/>
  <c r="AK26" i="8"/>
  <c r="AK27" i="8"/>
  <c r="AK28" i="8"/>
  <c r="AK29" i="8"/>
  <c r="AK30" i="8"/>
  <c r="AK31" i="8"/>
  <c r="AK32" i="8"/>
  <c r="AK33" i="8"/>
  <c r="AK34" i="8"/>
  <c r="AK35" i="8"/>
  <c r="AK36" i="8"/>
  <c r="AK37" i="8"/>
  <c r="AK38" i="8"/>
  <c r="AK39" i="8"/>
  <c r="AJ18" i="8"/>
  <c r="AJ19" i="8"/>
  <c r="AJ20" i="8"/>
  <c r="AJ21" i="8"/>
  <c r="AJ22" i="8"/>
  <c r="AJ23" i="8"/>
  <c r="AJ24" i="8"/>
  <c r="AJ25" i="8"/>
  <c r="AJ26" i="8"/>
  <c r="AJ27" i="8"/>
  <c r="AJ28" i="8"/>
  <c r="AJ29" i="8"/>
  <c r="AJ30" i="8"/>
  <c r="AJ31" i="8"/>
  <c r="AJ32" i="8"/>
  <c r="AJ33" i="8"/>
  <c r="AJ34" i="8"/>
  <c r="AJ35" i="8"/>
  <c r="AJ36" i="8"/>
  <c r="AJ37" i="8"/>
  <c r="AJ38" i="8"/>
  <c r="AJ39" i="8"/>
  <c r="AJ17" i="8"/>
  <c r="Z223" i="10"/>
  <c r="Z222" i="10"/>
  <c r="Z221" i="10"/>
  <c r="Z220" i="10"/>
  <c r="Z219" i="10"/>
  <c r="Z218" i="10"/>
  <c r="Z217" i="10"/>
  <c r="Z216" i="10"/>
  <c r="Z215" i="10"/>
  <c r="Z214" i="10"/>
  <c r="Z213" i="10"/>
  <c r="Z212" i="10"/>
  <c r="Z211" i="10"/>
  <c r="Z210" i="10"/>
  <c r="Z209" i="10"/>
  <c r="Z208" i="10"/>
  <c r="Z207" i="10"/>
  <c r="Z206" i="10"/>
  <c r="Z205" i="10"/>
  <c r="Z204" i="10"/>
  <c r="Z203" i="10"/>
  <c r="Z202" i="10"/>
  <c r="Z201" i="10"/>
  <c r="Z200" i="10"/>
  <c r="Z199" i="10"/>
  <c r="Z198" i="10"/>
  <c r="Z197" i="10"/>
  <c r="Z196" i="10"/>
  <c r="Z195" i="10"/>
  <c r="Z194" i="10"/>
  <c r="Z193" i="10"/>
  <c r="Z192" i="10"/>
  <c r="Z191" i="10"/>
  <c r="Z190" i="10"/>
  <c r="Z189" i="10"/>
  <c r="Z188" i="10"/>
  <c r="Z187" i="10"/>
  <c r="Z186" i="10"/>
  <c r="Z185" i="10"/>
  <c r="Z184" i="10"/>
  <c r="Z183" i="10"/>
  <c r="Z182" i="10"/>
  <c r="Z181" i="10"/>
  <c r="Z180" i="10"/>
  <c r="Z179" i="10"/>
  <c r="Z178" i="10"/>
  <c r="Z177" i="10"/>
  <c r="Z176" i="10"/>
  <c r="Z175" i="10"/>
  <c r="Z174" i="10"/>
  <c r="Z173" i="10"/>
  <c r="Z172" i="10"/>
  <c r="Z171" i="10"/>
  <c r="Z170" i="10"/>
  <c r="Z169" i="10"/>
  <c r="Z168" i="10"/>
  <c r="Z167" i="10"/>
  <c r="Z166" i="10"/>
  <c r="Z165" i="10"/>
  <c r="Z164" i="10"/>
  <c r="Z163" i="10"/>
  <c r="Z162" i="10"/>
  <c r="Z161" i="10"/>
  <c r="Z160" i="10"/>
  <c r="Z152" i="10"/>
  <c r="K152" i="10"/>
  <c r="Z151" i="10"/>
  <c r="K151" i="10"/>
  <c r="K150" i="10"/>
  <c r="Z107" i="10"/>
  <c r="Z98" i="10"/>
  <c r="Z121" i="10"/>
  <c r="Z146" i="10"/>
  <c r="Z117" i="10"/>
  <c r="D117" i="10"/>
  <c r="Z115" i="10"/>
  <c r="Z295" i="10"/>
  <c r="Z294" i="10"/>
  <c r="Z95" i="10"/>
  <c r="Z105" i="10"/>
  <c r="Z103" i="10"/>
  <c r="Z102" i="10"/>
  <c r="Z43" i="10"/>
  <c r="D43" i="10"/>
  <c r="Z97" i="10"/>
  <c r="Z299" i="10"/>
  <c r="Z96" i="10"/>
  <c r="D96" i="10"/>
  <c r="Z123" i="10"/>
  <c r="Z58" i="10"/>
  <c r="Z300" i="10"/>
  <c r="Z92" i="10"/>
  <c r="Z91" i="10"/>
  <c r="Z89" i="10"/>
  <c r="Z293" i="10"/>
  <c r="Z87" i="10"/>
  <c r="Z292" i="10"/>
  <c r="Z291" i="10"/>
  <c r="Z134" i="10"/>
  <c r="Z85" i="10"/>
  <c r="Z83" i="10"/>
  <c r="Z155" i="10"/>
  <c r="Z154" i="10"/>
  <c r="Z153" i="10"/>
  <c r="Z81" i="10"/>
  <c r="Z69" i="10"/>
  <c r="Z144" i="10"/>
  <c r="Z78" i="10"/>
  <c r="Z80" i="10"/>
  <c r="Z73" i="10"/>
  <c r="D73" i="10"/>
  <c r="Z143" i="10"/>
  <c r="Z76" i="10"/>
  <c r="Z142" i="10"/>
  <c r="Z301" i="10"/>
  <c r="Z72" i="10"/>
  <c r="Z141" i="10"/>
  <c r="Z68" i="10"/>
  <c r="Z46" i="10"/>
  <c r="Z45" i="10"/>
  <c r="Z140" i="10"/>
  <c r="Z159" i="10"/>
  <c r="Z66" i="10"/>
  <c r="Z158" i="10"/>
  <c r="Z298" i="10"/>
  <c r="Z302" i="10"/>
  <c r="Z59" i="10"/>
  <c r="R59" i="10"/>
  <c r="Z157" i="10"/>
  <c r="Z82" i="10"/>
  <c r="R82" i="10"/>
  <c r="Z56" i="10"/>
  <c r="Z55" i="10"/>
  <c r="Z139" i="10"/>
  <c r="Z54" i="10"/>
  <c r="Z290" i="10"/>
  <c r="Z138" i="10"/>
  <c r="Z137" i="10"/>
  <c r="Z124" i="10"/>
  <c r="Z86" i="10"/>
  <c r="Z74" i="10"/>
  <c r="Z18" i="10"/>
  <c r="Z136" i="10"/>
  <c r="Z93" i="10"/>
  <c r="Z51" i="10"/>
  <c r="R51" i="10"/>
  <c r="Z42" i="10"/>
  <c r="Z116" i="10"/>
  <c r="Z94" i="10"/>
  <c r="Z19" i="10"/>
  <c r="Z50" i="10"/>
  <c r="Z156" i="10"/>
  <c r="Z133" i="10"/>
  <c r="Z304" i="10"/>
  <c r="R304" i="10"/>
  <c r="Z303" i="10"/>
  <c r="Z40" i="10"/>
  <c r="R40" i="10"/>
  <c r="Z39" i="10"/>
  <c r="Z289" i="10"/>
  <c r="Z288" i="10"/>
  <c r="Z287" i="10"/>
  <c r="R287" i="10"/>
  <c r="Z33" i="10"/>
  <c r="Z31" i="10"/>
  <c r="Z296" i="10"/>
  <c r="Z132" i="10"/>
  <c r="Z30" i="10"/>
  <c r="Z29" i="10"/>
  <c r="R29" i="10"/>
  <c r="Z28" i="10"/>
  <c r="Z22" i="10"/>
  <c r="R22" i="10"/>
  <c r="Z26" i="10"/>
  <c r="R26" i="10"/>
  <c r="Z24" i="10"/>
  <c r="R24" i="10"/>
  <c r="Z17" i="10"/>
  <c r="Z25" i="10"/>
  <c r="Z297" i="10"/>
  <c r="Z15" i="10"/>
  <c r="Z131" i="10"/>
  <c r="Z41" i="10"/>
  <c r="R41" i="10"/>
  <c r="Z14" i="10"/>
  <c r="Z13" i="10"/>
  <c r="R13" i="10"/>
  <c r="Z12" i="10"/>
  <c r="Z130" i="10"/>
  <c r="Z129" i="10"/>
  <c r="Z128" i="10"/>
  <c r="Z6" i="10"/>
  <c r="M6" i="10"/>
  <c r="BH53" i="8"/>
  <c r="BK53" i="8" s="1"/>
  <c r="AC53" i="8"/>
  <c r="AI53" i="8"/>
  <c r="BH52" i="8"/>
  <c r="BK52" i="8" s="1"/>
  <c r="AC52" i="8"/>
  <c r="AI52" i="8"/>
  <c r="BH51" i="8"/>
  <c r="BK51" i="8" s="1"/>
  <c r="AC51" i="8"/>
  <c r="AI51" i="8"/>
  <c r="BH50" i="8"/>
  <c r="BK50" i="8" s="1"/>
  <c r="AC50" i="8"/>
  <c r="AI50" i="8"/>
  <c r="BH49" i="8"/>
  <c r="BK49" i="8" s="1"/>
  <c r="AC49" i="8"/>
  <c r="AI49" i="8"/>
  <c r="BH48" i="8"/>
  <c r="BK48" i="8" s="1"/>
  <c r="AC48" i="8"/>
  <c r="AI48" i="8"/>
  <c r="BH47" i="8"/>
  <c r="BK47" i="8" s="1"/>
  <c r="AC47" i="8"/>
  <c r="AI47" i="8"/>
  <c r="BH46" i="8"/>
  <c r="BK46" i="8" s="1"/>
  <c r="AC46" i="8"/>
  <c r="AI46" i="8"/>
  <c r="BH45" i="8"/>
  <c r="BK45" i="8" s="1"/>
  <c r="AC45" i="8"/>
  <c r="AI45" i="8"/>
  <c r="BH44" i="8"/>
  <c r="BK44" i="8" s="1"/>
  <c r="AC44" i="8"/>
  <c r="AI44" i="8"/>
  <c r="BH43" i="8"/>
  <c r="BK43" i="8" s="1"/>
  <c r="AC43" i="8"/>
  <c r="AI43" i="8"/>
  <c r="BB43" i="8"/>
  <c r="BB54" i="8" s="1"/>
  <c r="D26" i="7" s="1"/>
  <c r="BH39" i="8"/>
  <c r="BK39" i="8" s="1"/>
  <c r="AC39" i="8"/>
  <c r="AI39" i="8"/>
  <c r="BB39" i="8"/>
  <c r="AO39" i="8"/>
  <c r="BH38" i="8"/>
  <c r="BK38" i="8" s="1"/>
  <c r="AC38" i="8"/>
  <c r="AI38" i="8"/>
  <c r="BB38" i="8"/>
  <c r="AO38" i="8"/>
  <c r="BH37" i="8"/>
  <c r="BK37" i="8" s="1"/>
  <c r="AC37" i="8"/>
  <c r="AI37" i="8"/>
  <c r="BB37" i="8"/>
  <c r="AO37" i="8"/>
  <c r="BH36" i="8"/>
  <c r="BK36" i="8" s="1"/>
  <c r="AC36" i="8"/>
  <c r="AI36" i="8"/>
  <c r="BB36" i="8"/>
  <c r="AO36" i="8"/>
  <c r="BH35" i="8"/>
  <c r="BK35" i="8" s="1"/>
  <c r="AC35" i="8"/>
  <c r="AI35" i="8"/>
  <c r="BB35" i="8"/>
  <c r="AO35" i="8"/>
  <c r="BH34" i="8"/>
  <c r="BK34" i="8" s="1"/>
  <c r="AC34" i="8"/>
  <c r="AI34" i="8"/>
  <c r="BB34" i="8"/>
  <c r="AO34" i="8"/>
  <c r="BH33" i="8"/>
  <c r="BK33" i="8" s="1"/>
  <c r="AC33" i="8"/>
  <c r="AI33" i="8"/>
  <c r="BB33" i="8"/>
  <c r="AO33" i="8"/>
  <c r="BH32" i="8"/>
  <c r="BK32" i="8" s="1"/>
  <c r="AC32" i="8"/>
  <c r="AI32" i="8"/>
  <c r="BB32" i="8"/>
  <c r="AO32" i="8"/>
  <c r="BH31" i="8"/>
  <c r="BK31" i="8" s="1"/>
  <c r="AC31" i="8"/>
  <c r="AI31" i="8"/>
  <c r="BB31" i="8"/>
  <c r="AO31" i="8"/>
  <c r="BH30" i="8"/>
  <c r="BK30" i="8" s="1"/>
  <c r="AC30" i="8"/>
  <c r="AI30" i="8"/>
  <c r="BB30" i="8"/>
  <c r="AO30" i="8"/>
  <c r="BH29" i="8"/>
  <c r="BK29" i="8" s="1"/>
  <c r="AC29" i="8"/>
  <c r="AI29" i="8"/>
  <c r="BB29" i="8"/>
  <c r="AO29" i="8"/>
  <c r="BH28" i="8"/>
  <c r="BK28" i="8" s="1"/>
  <c r="AC28" i="8"/>
  <c r="AI28" i="8"/>
  <c r="BB28" i="8"/>
  <c r="AO28" i="8"/>
  <c r="BH27" i="8"/>
  <c r="BK27" i="8" s="1"/>
  <c r="AC27" i="8"/>
  <c r="AI27" i="8"/>
  <c r="BB27" i="8"/>
  <c r="AO27" i="8"/>
  <c r="BH26" i="8"/>
  <c r="BK26" i="8" s="1"/>
  <c r="AC26" i="8"/>
  <c r="AI26" i="8"/>
  <c r="BB26" i="8"/>
  <c r="AO26" i="8"/>
  <c r="BH25" i="8"/>
  <c r="BK25" i="8" s="1"/>
  <c r="AC25" i="8"/>
  <c r="AI25" i="8"/>
  <c r="BB25" i="8"/>
  <c r="AO25" i="8"/>
  <c r="BH24" i="8"/>
  <c r="BK24" i="8" s="1"/>
  <c r="AC24" i="8"/>
  <c r="AI24" i="8"/>
  <c r="BB24" i="8"/>
  <c r="AO24" i="8"/>
  <c r="BH23" i="8"/>
  <c r="BK23" i="8" s="1"/>
  <c r="AC23" i="8"/>
  <c r="AI23" i="8"/>
  <c r="BB23" i="8"/>
  <c r="AO23" i="8"/>
  <c r="BH22" i="8"/>
  <c r="BK22" i="8" s="1"/>
  <c r="AC22" i="8"/>
  <c r="AI22" i="8"/>
  <c r="BB22" i="8"/>
  <c r="AO22" i="8"/>
  <c r="BH21" i="8"/>
  <c r="BK21" i="8" s="1"/>
  <c r="AC21" i="8"/>
  <c r="AI21" i="8"/>
  <c r="BB21" i="8"/>
  <c r="AO21" i="8"/>
  <c r="BH20" i="8"/>
  <c r="BK20" i="8" s="1"/>
  <c r="AC20" i="8"/>
  <c r="AI20" i="8"/>
  <c r="BB20" i="8"/>
  <c r="AO20" i="8"/>
  <c r="BH19" i="8"/>
  <c r="BK19" i="8" s="1"/>
  <c r="AC19" i="8"/>
  <c r="AI19" i="8"/>
  <c r="BB19" i="8"/>
  <c r="AO19" i="8"/>
  <c r="BH18" i="8"/>
  <c r="AC18" i="8"/>
  <c r="AI18" i="8"/>
  <c r="BB18" i="8"/>
  <c r="AO18" i="8"/>
  <c r="AI17" i="8"/>
  <c r="BB17" i="8"/>
  <c r="AO17" i="8"/>
  <c r="FO1" i="8"/>
  <c r="FN1" i="8"/>
  <c r="FM1" i="8"/>
  <c r="B22" i="7" l="1"/>
  <c r="E22" i="7" s="1"/>
  <c r="BB40" i="8"/>
  <c r="D12" i="7" s="1"/>
  <c r="BK54" i="8"/>
  <c r="B27" i="7" s="1"/>
  <c r="E27" i="7" s="1"/>
  <c r="BK18" i="8"/>
  <c r="AS22" i="8"/>
  <c r="AC17" i="8"/>
  <c r="BK17" i="8"/>
  <c r="AS24" i="8"/>
  <c r="AS36" i="8"/>
  <c r="BK40" i="8" l="1"/>
  <c r="B13" i="7" s="1"/>
  <c r="E13" i="7" s="1"/>
  <c r="AV36" i="8"/>
  <c r="AW36" i="8" s="1"/>
  <c r="AV31" i="8"/>
  <c r="AW31" i="8" s="1"/>
  <c r="AV28" i="8"/>
  <c r="AW28" i="8" s="1"/>
  <c r="AV20" i="8"/>
  <c r="AW20" i="8" s="1"/>
  <c r="AV39" i="8"/>
  <c r="AW39" i="8" s="1"/>
  <c r="AV26" i="8"/>
  <c r="AW26" i="8" s="1"/>
  <c r="AV32" i="8"/>
  <c r="AW32" i="8" s="1"/>
  <c r="AS19" i="8"/>
  <c r="AT24" i="8"/>
  <c r="AV19" i="8"/>
  <c r="AW19" i="8" s="1"/>
  <c r="AV30" i="8"/>
  <c r="AW30" i="8" s="1"/>
  <c r="AV35" i="8"/>
  <c r="AW35" i="8" s="1"/>
  <c r="AV27" i="8"/>
  <c r="AW27" i="8" s="1"/>
  <c r="AS35" i="8"/>
  <c r="AS29" i="8"/>
  <c r="AS39" i="8"/>
  <c r="AS20" i="8"/>
  <c r="AS30" i="8"/>
  <c r="AS23" i="8"/>
  <c r="AS28" i="8"/>
  <c r="AV22" i="8"/>
  <c r="AW22" i="8" s="1"/>
  <c r="AV34" i="8"/>
  <c r="AW34" i="8" s="1"/>
  <c r="AS21" i="8"/>
  <c r="AS27" i="8"/>
  <c r="AV25" i="8"/>
  <c r="AW25" i="8" s="1"/>
  <c r="AS17" i="8"/>
  <c r="AV38" i="8"/>
  <c r="AW38" i="8" s="1"/>
  <c r="AV37" i="8"/>
  <c r="AW37" i="8" s="1"/>
  <c r="AS38" i="8"/>
  <c r="AS26" i="8"/>
  <c r="AS18" i="8"/>
  <c r="AS31" i="8"/>
  <c r="AV23" i="8"/>
  <c r="AW23" i="8" s="1"/>
  <c r="AS34" i="8"/>
  <c r="AV18" i="8"/>
  <c r="AW18" i="8" s="1"/>
  <c r="AS33" i="8"/>
  <c r="AV33" i="8"/>
  <c r="AW33" i="8" s="1"/>
  <c r="AS37" i="8"/>
  <c r="AS32" i="8"/>
  <c r="AS25" i="8"/>
  <c r="AT22" i="8" l="1"/>
  <c r="AX22" i="8" s="1"/>
  <c r="AT36" i="8"/>
  <c r="AU36" i="8" s="1"/>
  <c r="AH36" i="8" s="1"/>
  <c r="AT32" i="8"/>
  <c r="AU32" i="8" s="1"/>
  <c r="AH32" i="8" s="1"/>
  <c r="AE27" i="8"/>
  <c r="AT20" i="8"/>
  <c r="AU20" i="8" s="1"/>
  <c r="AH20" i="8" s="1"/>
  <c r="AV24" i="8"/>
  <c r="AW24" i="8" s="1"/>
  <c r="AE19" i="8"/>
  <c r="AH48" i="8"/>
  <c r="AT19" i="8"/>
  <c r="AX19" i="8" s="1"/>
  <c r="AT29" i="8"/>
  <c r="AU29" i="8" s="1"/>
  <c r="AE28" i="8"/>
  <c r="AH45" i="8"/>
  <c r="AT21" i="8"/>
  <c r="AU21" i="8" s="1"/>
  <c r="AT35" i="8"/>
  <c r="AU35" i="8" s="1"/>
  <c r="AH35" i="8" s="1"/>
  <c r="AT30" i="8"/>
  <c r="AX30" i="8" s="1"/>
  <c r="AT39" i="8"/>
  <c r="AX39" i="8" s="1"/>
  <c r="AH53" i="8"/>
  <c r="AV21" i="8"/>
  <c r="AW21" i="8" s="1"/>
  <c r="AE53" i="8"/>
  <c r="BA53" i="8" s="1"/>
  <c r="AE34" i="8"/>
  <c r="AE36" i="8"/>
  <c r="AT28" i="8"/>
  <c r="AT23" i="8"/>
  <c r="AU23" i="8" s="1"/>
  <c r="AH23" i="8" s="1"/>
  <c r="AT17" i="8"/>
  <c r="AV29" i="8"/>
  <c r="AW29" i="8" s="1"/>
  <c r="AU24" i="8"/>
  <c r="AT31" i="8"/>
  <c r="AT18" i="8"/>
  <c r="AT25" i="8"/>
  <c r="AV17" i="8"/>
  <c r="AT26" i="8"/>
  <c r="AT27" i="8"/>
  <c r="AT34" i="8"/>
  <c r="AT33" i="8"/>
  <c r="AT37" i="8"/>
  <c r="AT38" i="8"/>
  <c r="AE45" i="8"/>
  <c r="BA45" i="8" s="1"/>
  <c r="BA36" i="8" l="1"/>
  <c r="AX36" i="8"/>
  <c r="AU22" i="8"/>
  <c r="AH22" i="8" s="1"/>
  <c r="AX32" i="8"/>
  <c r="S13" i="11"/>
  <c r="S36" i="11" s="1"/>
  <c r="B15" i="7" s="1"/>
  <c r="E15" i="7" s="1"/>
  <c r="AU19" i="8"/>
  <c r="AH19" i="8" s="1"/>
  <c r="BA19" i="8" s="1"/>
  <c r="AE52" i="8"/>
  <c r="BA52" i="8" s="1"/>
  <c r="AE20" i="8"/>
  <c r="BA20" i="8" s="1"/>
  <c r="AX20" i="8"/>
  <c r="AH52" i="8"/>
  <c r="AX24" i="8"/>
  <c r="AH24" i="8"/>
  <c r="AU30" i="8"/>
  <c r="AH30" i="8" s="1"/>
  <c r="AH51" i="8"/>
  <c r="AH44" i="8"/>
  <c r="AE43" i="8"/>
  <c r="AE24" i="8"/>
  <c r="AU39" i="8"/>
  <c r="AH39" i="8" s="1"/>
  <c r="AX35" i="8"/>
  <c r="AE44" i="8"/>
  <c r="AH47" i="8"/>
  <c r="AE47" i="8"/>
  <c r="AH49" i="8"/>
  <c r="AE32" i="8"/>
  <c r="BA32" i="8" s="1"/>
  <c r="AE37" i="8"/>
  <c r="AE26" i="8"/>
  <c r="AE23" i="8"/>
  <c r="BA23" i="8" s="1"/>
  <c r="AE21" i="8"/>
  <c r="AX28" i="8"/>
  <c r="AU28" i="8"/>
  <c r="AH28" i="8" s="1"/>
  <c r="BA28" i="8" s="1"/>
  <c r="AH21" i="8"/>
  <c r="AX21" i="8"/>
  <c r="AX23" i="8"/>
  <c r="AE22" i="8"/>
  <c r="AH43" i="8"/>
  <c r="AE25" i="8"/>
  <c r="AE46" i="8"/>
  <c r="AH46" i="8"/>
  <c r="AE29" i="8"/>
  <c r="AE33" i="8"/>
  <c r="AH29" i="8"/>
  <c r="AX38" i="8"/>
  <c r="AU38" i="8"/>
  <c r="AH38" i="8" s="1"/>
  <c r="AX33" i="8"/>
  <c r="AU33" i="8"/>
  <c r="AH33" i="8" s="1"/>
  <c r="AE30" i="8"/>
  <c r="AE31" i="8"/>
  <c r="AE38" i="8"/>
  <c r="AX29" i="8"/>
  <c r="AX37" i="8"/>
  <c r="AU37" i="8"/>
  <c r="AH37" i="8" s="1"/>
  <c r="AX34" i="8"/>
  <c r="AU34" i="8"/>
  <c r="AH34" i="8" s="1"/>
  <c r="BA34" i="8" s="1"/>
  <c r="AX27" i="8"/>
  <c r="AU27" i="8"/>
  <c r="AH27" i="8" s="1"/>
  <c r="BA27" i="8" s="1"/>
  <c r="AH50" i="8"/>
  <c r="AX26" i="8"/>
  <c r="AU26" i="8"/>
  <c r="AH26" i="8" s="1"/>
  <c r="AU18" i="8"/>
  <c r="AH18" i="8" s="1"/>
  <c r="AX18" i="8"/>
  <c r="AX17" i="8"/>
  <c r="AU17" i="8"/>
  <c r="AE18" i="8"/>
  <c r="AE48" i="8"/>
  <c r="BA48" i="8" s="1"/>
  <c r="AW17" i="8"/>
  <c r="AE35" i="8"/>
  <c r="BA35" i="8" s="1"/>
  <c r="AU31" i="8"/>
  <c r="AH31" i="8" s="1"/>
  <c r="AX31" i="8"/>
  <c r="AE49" i="8"/>
  <c r="AE51" i="8"/>
  <c r="BA51" i="8" s="1"/>
  <c r="AE39" i="8"/>
  <c r="AE50" i="8"/>
  <c r="BA50" i="8" s="1"/>
  <c r="AU25" i="8"/>
  <c r="AH25" i="8" s="1"/>
  <c r="AX25" i="8"/>
  <c r="BA47" i="8" l="1"/>
  <c r="BA49" i="8"/>
  <c r="BA46" i="8"/>
  <c r="BA44" i="8"/>
  <c r="BA25" i="8"/>
  <c r="AH17" i="8"/>
  <c r="BA31" i="8"/>
  <c r="BA18" i="8"/>
  <c r="BA38" i="8"/>
  <c r="BA43" i="8"/>
  <c r="BA24" i="8"/>
  <c r="BA21" i="8"/>
  <c r="BA29" i="8"/>
  <c r="BA37" i="8"/>
  <c r="BA33" i="8"/>
  <c r="BA22" i="8"/>
  <c r="BA39" i="8"/>
  <c r="BA30" i="8"/>
  <c r="BA26" i="8"/>
  <c r="BA54" i="8" l="1"/>
  <c r="C26" i="7" s="1"/>
  <c r="E26" i="7" s="1"/>
  <c r="AE17" i="8"/>
  <c r="BA17" i="8" l="1"/>
  <c r="BA40" i="8" s="1"/>
  <c r="C12" i="7" s="1"/>
  <c r="E12" i="7" s="1"/>
  <c r="E32" i="7" s="1"/>
</calcChain>
</file>

<file path=xl/comments1.xml><?xml version="1.0" encoding="utf-8"?>
<comments xmlns="http://schemas.openxmlformats.org/spreadsheetml/2006/main">
  <authors>
    <author>Autor</author>
  </authors>
  <commentList>
    <comment ref="L10" authorId="0" shapeId="0">
      <text>
        <r>
          <rPr>
            <b/>
            <sz val="9"/>
            <color indexed="81"/>
            <rFont val="Segoe UI"/>
            <family val="2"/>
          </rPr>
          <t>Autor:</t>
        </r>
        <r>
          <rPr>
            <sz val="9"/>
            <color indexed="81"/>
            <rFont val="Segoe UI"/>
            <family val="2"/>
          </rPr>
          <t xml:space="preserve">
sollte nochmal geprüft werden</t>
        </r>
      </text>
    </comment>
    <comment ref="S14" authorId="0" shapeId="0">
      <text>
        <r>
          <rPr>
            <b/>
            <sz val="9"/>
            <color indexed="81"/>
            <rFont val="Segoe UI"/>
            <family val="2"/>
          </rPr>
          <t>Autor:</t>
        </r>
        <r>
          <rPr>
            <sz val="9"/>
            <color indexed="81"/>
            <rFont val="Segoe UI"/>
            <family val="2"/>
          </rPr>
          <t xml:space="preserve">
warum 0 wenn pasture? Stock change factor gilt doch eigentlich f. alles grassland</t>
        </r>
      </text>
    </comment>
  </commentList>
</comments>
</file>

<file path=xl/comments2.xml><?xml version="1.0" encoding="utf-8"?>
<comments xmlns="http://schemas.openxmlformats.org/spreadsheetml/2006/main">
  <authors>
    <author>Autor</author>
  </authors>
  <commentList>
    <comment ref="N24" authorId="0" shapeId="0">
      <text>
        <r>
          <rPr>
            <b/>
            <sz val="8"/>
            <color indexed="81"/>
            <rFont val="Tahoma"/>
            <family val="2"/>
          </rPr>
          <t>Autor:</t>
        </r>
        <r>
          <rPr>
            <sz val="8"/>
            <color indexed="81"/>
            <rFont val="Tahoma"/>
            <family val="2"/>
          </rPr>
          <t xml:space="preserve">
chou chinois
</t>
        </r>
      </text>
    </comment>
    <comment ref="N26" authorId="0" shapeId="0">
      <text>
        <r>
          <rPr>
            <b/>
            <sz val="8"/>
            <color indexed="81"/>
            <rFont val="Tahoma"/>
            <family val="2"/>
          </rPr>
          <t>Autor:</t>
        </r>
        <r>
          <rPr>
            <sz val="8"/>
            <color indexed="81"/>
            <rFont val="Tahoma"/>
            <family val="2"/>
          </rPr>
          <t xml:space="preserve">
chou chinois
</t>
        </r>
      </text>
    </comment>
    <comment ref="N40" authorId="0" shapeId="0">
      <text>
        <r>
          <rPr>
            <b/>
            <sz val="8"/>
            <color indexed="81"/>
            <rFont val="Tahoma"/>
            <family val="2"/>
          </rPr>
          <t>Autor:</t>
        </r>
        <r>
          <rPr>
            <sz val="8"/>
            <color indexed="81"/>
            <rFont val="Tahoma"/>
            <family val="2"/>
          </rPr>
          <t xml:space="preserve">
idem poivrons
</t>
        </r>
      </text>
    </comment>
    <comment ref="N43" authorId="0" shapeId="0">
      <text>
        <r>
          <rPr>
            <b/>
            <sz val="9"/>
            <color indexed="81"/>
            <rFont val="Segoe UI"/>
            <charset val="1"/>
          </rPr>
          <t>Autor:</t>
        </r>
        <r>
          <rPr>
            <sz val="9"/>
            <color indexed="81"/>
            <rFont val="Segoe UI"/>
            <charset val="1"/>
          </rPr>
          <t xml:space="preserve">
bei Flagolett war das 0,36</t>
        </r>
      </text>
    </comment>
    <comment ref="O43" authorId="0" shapeId="0">
      <text>
        <r>
          <rPr>
            <b/>
            <sz val="9"/>
            <color indexed="81"/>
            <rFont val="Segoe UI"/>
            <charset val="1"/>
          </rPr>
          <t>Autor:</t>
        </r>
        <r>
          <rPr>
            <sz val="9"/>
            <color indexed="81"/>
            <rFont val="Segoe UI"/>
            <charset val="1"/>
          </rPr>
          <t xml:space="preserve">
bei Flagolett war das 0,68</t>
        </r>
      </text>
    </comment>
    <comment ref="Q44" authorId="0" shapeId="0">
      <text>
        <r>
          <rPr>
            <b/>
            <sz val="9"/>
            <color indexed="81"/>
            <rFont val="Segoe UI"/>
            <charset val="1"/>
          </rPr>
          <t>Autor:</t>
        </r>
        <r>
          <rPr>
            <sz val="9"/>
            <color indexed="81"/>
            <rFont val="Segoe UI"/>
            <charset val="1"/>
          </rPr>
          <t xml:space="preserve">
Lupine: 0,0088</t>
        </r>
      </text>
    </comment>
    <comment ref="B45" authorId="0" shapeId="0">
      <text>
        <r>
          <rPr>
            <b/>
            <sz val="9"/>
            <color indexed="81"/>
            <rFont val="Segoe UI"/>
            <family val="2"/>
          </rPr>
          <t>Autor:</t>
        </r>
        <r>
          <rPr>
            <sz val="9"/>
            <color indexed="81"/>
            <rFont val="Segoe UI"/>
            <family val="2"/>
          </rPr>
          <t xml:space="preserve">
not included in Nutrient module!</t>
        </r>
      </text>
    </comment>
    <comment ref="N51" authorId="0" shapeId="0">
      <text>
        <r>
          <rPr>
            <b/>
            <sz val="8"/>
            <color indexed="81"/>
            <rFont val="Tahoma"/>
            <family val="2"/>
          </rPr>
          <t>Autor:</t>
        </r>
        <r>
          <rPr>
            <sz val="8"/>
            <color indexed="81"/>
            <rFont val="Tahoma"/>
            <family val="2"/>
          </rPr>
          <t xml:space="preserve">
idem Oignons
</t>
        </r>
      </text>
    </comment>
    <comment ref="N56" authorId="0" shapeId="0">
      <text>
        <r>
          <rPr>
            <b/>
            <sz val="8"/>
            <color indexed="81"/>
            <rFont val="Tahoma"/>
            <family val="2"/>
          </rPr>
          <t>Autor:</t>
        </r>
        <r>
          <rPr>
            <sz val="8"/>
            <color indexed="81"/>
            <rFont val="Tahoma"/>
            <family val="2"/>
          </rPr>
          <t xml:space="preserve">
type romaine
</t>
        </r>
      </text>
    </comment>
    <comment ref="N57" authorId="0" shapeId="0">
      <text>
        <r>
          <rPr>
            <b/>
            <sz val="8"/>
            <color indexed="81"/>
            <rFont val="Tahoma"/>
            <family val="2"/>
          </rPr>
          <t>Autor:</t>
        </r>
        <r>
          <rPr>
            <sz val="8"/>
            <color indexed="81"/>
            <rFont val="Tahoma"/>
            <family val="2"/>
          </rPr>
          <t xml:space="preserve">
type romaine
</t>
        </r>
      </text>
    </comment>
    <comment ref="N59" authorId="0" shapeId="0">
      <text>
        <r>
          <rPr>
            <b/>
            <sz val="8"/>
            <color indexed="81"/>
            <rFont val="Tahoma"/>
            <family val="2"/>
          </rPr>
          <t>Autor:</t>
        </r>
        <r>
          <rPr>
            <sz val="8"/>
            <color indexed="81"/>
            <rFont val="Tahoma"/>
            <family val="2"/>
          </rPr>
          <t xml:space="preserve">
type melons d'eau</t>
        </r>
      </text>
    </comment>
    <comment ref="N82" authorId="0" shapeId="0">
      <text>
        <r>
          <rPr>
            <b/>
            <sz val="8"/>
            <color indexed="81"/>
            <rFont val="Tahoma"/>
            <family val="2"/>
          </rPr>
          <t>Autor:</t>
        </r>
        <r>
          <rPr>
            <sz val="8"/>
            <color indexed="81"/>
            <rFont val="Tahoma"/>
            <family val="2"/>
          </rPr>
          <t xml:space="preserve">
idem poivrons
</t>
        </r>
      </text>
    </comment>
    <comment ref="N98" authorId="0" shapeId="0">
      <text>
        <r>
          <rPr>
            <b/>
            <sz val="8"/>
            <color indexed="81"/>
            <rFont val="Tahoma"/>
            <family val="2"/>
          </rPr>
          <t>Autor:</t>
        </r>
        <r>
          <rPr>
            <sz val="8"/>
            <color indexed="81"/>
            <rFont val="Tahoma"/>
            <family val="2"/>
          </rPr>
          <t xml:space="preserve">
idem poivrons
</t>
        </r>
      </text>
    </comment>
    <comment ref="N100" authorId="0" shapeId="0">
      <text>
        <r>
          <rPr>
            <b/>
            <sz val="8"/>
            <color indexed="81"/>
            <rFont val="Tahoma"/>
            <family val="2"/>
          </rPr>
          <t>Autor:</t>
        </r>
        <r>
          <rPr>
            <sz val="8"/>
            <color indexed="81"/>
            <rFont val="Tahoma"/>
            <family val="2"/>
          </rPr>
          <t xml:space="preserve">
idem poivrons
</t>
        </r>
      </text>
    </comment>
    <comment ref="N113" authorId="0" shapeId="0">
      <text>
        <r>
          <rPr>
            <b/>
            <sz val="8"/>
            <color indexed="81"/>
            <rFont val="Tahoma"/>
            <family val="2"/>
          </rPr>
          <t>Autor:</t>
        </r>
        <r>
          <rPr>
            <sz val="8"/>
            <color indexed="81"/>
            <rFont val="Tahoma"/>
            <family val="2"/>
          </rPr>
          <t xml:space="preserve">
idem poivrons
</t>
        </r>
      </text>
    </comment>
    <comment ref="N121" authorId="0" shapeId="0">
      <text>
        <r>
          <rPr>
            <b/>
            <sz val="8"/>
            <color indexed="81"/>
            <rFont val="Tahoma"/>
            <family val="2"/>
          </rPr>
          <t>Autor:</t>
        </r>
        <r>
          <rPr>
            <sz val="8"/>
            <color indexed="81"/>
            <rFont val="Tahoma"/>
            <family val="2"/>
          </rPr>
          <t xml:space="preserve">
type melons d'eau</t>
        </r>
      </text>
    </comment>
    <comment ref="N287" authorId="0" shapeId="0">
      <text>
        <r>
          <rPr>
            <b/>
            <sz val="8"/>
            <color indexed="81"/>
            <rFont val="Tahoma"/>
            <family val="2"/>
          </rPr>
          <t>Autor:</t>
        </r>
        <r>
          <rPr>
            <sz val="8"/>
            <color indexed="81"/>
            <rFont val="Tahoma"/>
            <family val="2"/>
          </rPr>
          <t xml:space="preserve">
idem poivrons
</t>
        </r>
      </text>
    </comment>
  </commentList>
</comments>
</file>

<file path=xl/sharedStrings.xml><?xml version="1.0" encoding="utf-8"?>
<sst xmlns="http://schemas.openxmlformats.org/spreadsheetml/2006/main" count="3353" uniqueCount="1016">
  <si>
    <t>Temperature regime</t>
  </si>
  <si>
    <t>moisture regime</t>
  </si>
  <si>
    <t>PESTICIDES</t>
  </si>
  <si>
    <t>MACHINERY</t>
  </si>
  <si>
    <t>Frac renew (T)</t>
  </si>
  <si>
    <t>Frac remove (T)</t>
  </si>
  <si>
    <t>Crop name</t>
  </si>
  <si>
    <t>Herbicides</t>
  </si>
  <si>
    <t>Fungicides</t>
  </si>
  <si>
    <t>Insecticides</t>
  </si>
  <si>
    <t>Other treatments</t>
  </si>
  <si>
    <t>Organic matter spread</t>
  </si>
  <si>
    <t>Crop residues</t>
  </si>
  <si>
    <t xml:space="preserve">Share of below-ground crop biomass / total biomass </t>
  </si>
  <si>
    <t xml:space="preserve">N content in above-ground crop residues </t>
  </si>
  <si>
    <t xml:space="preserve">N content in below-ground crop residues </t>
  </si>
  <si>
    <t>% Dry matter</t>
  </si>
  <si>
    <t>Above-ground residue dry matter</t>
  </si>
  <si>
    <t>Total Quantity N crop residues tonnes N-N2O</t>
  </si>
  <si>
    <t>N2O from drained and managed organic soil</t>
  </si>
  <si>
    <t>N2O from leaching and runoff</t>
  </si>
  <si>
    <t>Total N2O emissions (direct+indirect) from managed soils</t>
  </si>
  <si>
    <t>Total CH4 emissions from managed soils</t>
  </si>
  <si>
    <t>SOC ST</t>
  </si>
  <si>
    <t>land use name FLU</t>
  </si>
  <si>
    <t>FLU</t>
  </si>
  <si>
    <t>land use name FMG</t>
  </si>
  <si>
    <t>FMG</t>
  </si>
  <si>
    <t xml:space="preserve">input level choice </t>
  </si>
  <si>
    <t>input level</t>
  </si>
  <si>
    <t>Fi intermediary calc</t>
  </si>
  <si>
    <t>FI</t>
  </si>
  <si>
    <t>SOC /ha(mineral soils) for annual crops</t>
  </si>
  <si>
    <t>SOC total for annual crops</t>
  </si>
  <si>
    <t>L organic</t>
  </si>
  <si>
    <t>fertilisation</t>
  </si>
  <si>
    <t>grassland level</t>
  </si>
  <si>
    <t>land management FMG</t>
  </si>
  <si>
    <t>SOC /ha(mineral soils) for permanent grasslands</t>
  </si>
  <si>
    <t>SOC total for permanent grasslands</t>
  </si>
  <si>
    <t>L organic grasslands</t>
  </si>
  <si>
    <t>ha</t>
  </si>
  <si>
    <t>YES/NO</t>
  </si>
  <si>
    <t>incorporated/removed/burnt</t>
  </si>
  <si>
    <t>full tillage/reduced tillage/no tillage</t>
  </si>
  <si>
    <t>t/ha</t>
  </si>
  <si>
    <t>t</t>
  </si>
  <si>
    <t>tN/unit</t>
  </si>
  <si>
    <t>tN/tdM</t>
  </si>
  <si>
    <t>%DM</t>
  </si>
  <si>
    <t>tMS/ha</t>
  </si>
  <si>
    <t>ton N-N2O</t>
  </si>
  <si>
    <t>kg N2O</t>
  </si>
  <si>
    <t>kg CH4</t>
  </si>
  <si>
    <t>kg N/ha</t>
  </si>
  <si>
    <t>tC/ha</t>
  </si>
  <si>
    <t>tC</t>
  </si>
  <si>
    <t>no</t>
  </si>
  <si>
    <t>incorporated</t>
  </si>
  <si>
    <t>full tillage</t>
  </si>
  <si>
    <t>yes</t>
  </si>
  <si>
    <t>low</t>
  </si>
  <si>
    <t>Source: IPCC 2006</t>
  </si>
  <si>
    <t>T11: Land-use factors (FLU)</t>
  </si>
  <si>
    <t>T12: Land management factors for cropland (FMG)</t>
  </si>
  <si>
    <t>T13: Input level identification</t>
  </si>
  <si>
    <t>Land-use</t>
  </si>
  <si>
    <t>Moisture regime</t>
  </si>
  <si>
    <t>full name</t>
  </si>
  <si>
    <t>Land use factors</t>
  </si>
  <si>
    <t>Land-use management</t>
  </si>
  <si>
    <t>Land management factors (IPCC default)</t>
  </si>
  <si>
    <t>crop residues</t>
  </si>
  <si>
    <t>organic amendment</t>
  </si>
  <si>
    <t>CH4</t>
  </si>
  <si>
    <t>N2O</t>
  </si>
  <si>
    <t>burnt</t>
  </si>
  <si>
    <t>annual crop</t>
  </si>
  <si>
    <t>temperate boreal</t>
  </si>
  <si>
    <t>dry</t>
  </si>
  <si>
    <t>annual crop temperate boreal dry</t>
  </si>
  <si>
    <t>full tillage temperate boreal dry</t>
  </si>
  <si>
    <t>burnt yes yes</t>
  </si>
  <si>
    <t>high man</t>
  </si>
  <si>
    <t>tropical</t>
  </si>
  <si>
    <t>removed</t>
  </si>
  <si>
    <t>temporary grassland</t>
  </si>
  <si>
    <t>temporary grassland temperate boreal dry</t>
  </si>
  <si>
    <t>full tillage tropical dry</t>
  </si>
  <si>
    <t>burnt yes no</t>
  </si>
  <si>
    <t>medium</t>
  </si>
  <si>
    <t>moist</t>
  </si>
  <si>
    <t>tropical montane</t>
  </si>
  <si>
    <t>annual crop temperate boreal moist</t>
  </si>
  <si>
    <t>full tillage tropical montane dry</t>
  </si>
  <si>
    <t>burnt no yes</t>
  </si>
  <si>
    <t>temporary grassland temperate boreal moist</t>
  </si>
  <si>
    <t>full tillage temperate boreal moist</t>
  </si>
  <si>
    <t>burnt no no</t>
  </si>
  <si>
    <t>annual crop tropical dry</t>
  </si>
  <si>
    <t>full tillage tropical moist</t>
  </si>
  <si>
    <t>removed yes yes</t>
  </si>
  <si>
    <t>no tillage</t>
  </si>
  <si>
    <t>temporary grassland tropical dry</t>
  </si>
  <si>
    <t>full tillage tropical montane moist</t>
  </si>
  <si>
    <t>removed yes no</t>
  </si>
  <si>
    <t>reduced tillage</t>
  </si>
  <si>
    <t>annual crop tropical moist</t>
  </si>
  <si>
    <t>reduced tillage temperate boreal dry</t>
  </si>
  <si>
    <t>removed no yes</t>
  </si>
  <si>
    <t>temporary grassland tropical moist</t>
  </si>
  <si>
    <t>reduced tillage temperate boreal moist</t>
  </si>
  <si>
    <t>removed no no</t>
  </si>
  <si>
    <t xml:space="preserve">annual crop tropical montane </t>
  </si>
  <si>
    <t>reduced tillage tropical dry</t>
  </si>
  <si>
    <t>incorporated yes yes</t>
  </si>
  <si>
    <t xml:space="preserve">temporary grassland tropical montane </t>
  </si>
  <si>
    <t>reduced tillage tropical moist</t>
  </si>
  <si>
    <t>incorporated yes no</t>
  </si>
  <si>
    <t>Paddy rice</t>
  </si>
  <si>
    <t>Paddy rice tropical montane dry</t>
  </si>
  <si>
    <t xml:space="preserve">reduced tillage tropical montane </t>
  </si>
  <si>
    <t>incorporated no yes</t>
  </si>
  <si>
    <t xml:space="preserve">high </t>
  </si>
  <si>
    <t>Paddy rice tropical montane moist</t>
  </si>
  <si>
    <t>no tillage temperate boreal dry</t>
  </si>
  <si>
    <t>incorporated no no</t>
  </si>
  <si>
    <t>Paddy rice tropical dry</t>
  </si>
  <si>
    <t>no tillage temperate boreal moist</t>
  </si>
  <si>
    <t>Paddy rice tropical moist</t>
  </si>
  <si>
    <t>no tillage tropical dry</t>
  </si>
  <si>
    <t>Paddy rice temperate boreal dry</t>
  </si>
  <si>
    <t>no tillage tropical moist</t>
  </si>
  <si>
    <t>Paddy rice temperate boreal moist</t>
  </si>
  <si>
    <t xml:space="preserve">no tillage tropical montane </t>
  </si>
  <si>
    <t>tree crop</t>
  </si>
  <si>
    <t>tree crop tropical montane dry</t>
  </si>
  <si>
    <t>tree crop tropical montane moist</t>
  </si>
  <si>
    <t>tree crop tropical dry</t>
  </si>
  <si>
    <t>tree crop tropical moist</t>
  </si>
  <si>
    <t>tree crop temperate boreal dry</t>
  </si>
  <si>
    <t>tree crop temperate boreal moist</t>
  </si>
  <si>
    <t>vineyard</t>
  </si>
  <si>
    <t>vineyard tropical montane dry</t>
  </si>
  <si>
    <t>vineyard tropical montane moist</t>
  </si>
  <si>
    <t>vineyard tropical dry</t>
  </si>
  <si>
    <t>vineyard tropical moist</t>
  </si>
  <si>
    <t>vineyard temperate boreal dry</t>
  </si>
  <si>
    <t>vineyard temperate boreal moist</t>
  </si>
  <si>
    <t>set aside</t>
  </si>
  <si>
    <t>set aside tropical dry</t>
  </si>
  <si>
    <t>set aside temperate boreal dry</t>
  </si>
  <si>
    <t>set aside tropical moist</t>
  </si>
  <si>
    <t>set aside temperate boreal moist</t>
  </si>
  <si>
    <t xml:space="preserve">set aside tropical montane </t>
  </si>
  <si>
    <t>ORGANIC FERTILIZER</t>
  </si>
  <si>
    <t>Organic soil</t>
  </si>
  <si>
    <t>SEEDS</t>
  </si>
  <si>
    <t>l / ha</t>
  </si>
  <si>
    <t>CO2</t>
  </si>
  <si>
    <t>CO2 equ.</t>
  </si>
  <si>
    <t>TOTAL SUM</t>
  </si>
  <si>
    <t xml:space="preserve">report from MANURE : </t>
  </si>
  <si>
    <t>Total GHGE (report from Inputs)</t>
  </si>
  <si>
    <t>Crop type</t>
  </si>
  <si>
    <t>Pasture</t>
  </si>
  <si>
    <t>Crop code</t>
  </si>
  <si>
    <t>species</t>
  </si>
  <si>
    <t>kg N / ha</t>
  </si>
  <si>
    <t>STORAGE</t>
  </si>
  <si>
    <t>LOSS</t>
  </si>
  <si>
    <t>severely degrated</t>
  </si>
  <si>
    <t>ca</t>
  </si>
  <si>
    <t>cp</t>
  </si>
  <si>
    <t>pt</t>
  </si>
  <si>
    <t>sth</t>
  </si>
  <si>
    <t>COP</t>
  </si>
  <si>
    <t>indus</t>
  </si>
  <si>
    <t>fruit</t>
  </si>
  <si>
    <t>legu</t>
  </si>
  <si>
    <t>FG</t>
  </si>
  <si>
    <t>fallow</t>
  </si>
  <si>
    <t>SOURCE Energie et GES : Diaterre v1 2010</t>
  </si>
  <si>
    <t>Source: IPCC 2006 (table 11.1)</t>
  </si>
  <si>
    <t xml:space="preserve">Source: IPCC 2006 </t>
  </si>
  <si>
    <t>T14: Input level factors for cropland (FI)</t>
  </si>
  <si>
    <t>T15: Annual emission factors for cultivated organic soils</t>
  </si>
  <si>
    <t>T16: Land use (FLU) for grasslands</t>
  </si>
  <si>
    <t>T17: Selection of stock change factors for grassland</t>
  </si>
  <si>
    <t>T18: Land management factors for grassland</t>
  </si>
  <si>
    <t>T19: Annual emission factor for drained grassland organic soils</t>
  </si>
  <si>
    <t>T20: Default reference (under native vegetation) soil organic C stocks (SOCREF) for mineral soils (tonnes C ha-1 in 0-30 cm depth)</t>
  </si>
  <si>
    <t>T23: Default emission leaching factor for indirect N2O soil emissions</t>
  </si>
  <si>
    <t>Active Matter/treatment</t>
  </si>
  <si>
    <t>kg CO2</t>
  </si>
  <si>
    <t>Level</t>
  </si>
  <si>
    <t>Input level factors (IPCC default)</t>
  </si>
  <si>
    <t>Climatic temperature regime</t>
  </si>
  <si>
    <t>IPCC default (t C ha-1 yr-1)</t>
  </si>
  <si>
    <t>Climate regime</t>
  </si>
  <si>
    <t>IPCC default</t>
  </si>
  <si>
    <t>over grazing</t>
  </si>
  <si>
    <t>major long-term loss of productivity</t>
  </si>
  <si>
    <t>fertilisation (mineral, organic, pasture)</t>
  </si>
  <si>
    <t>Climate region</t>
  </si>
  <si>
    <t>HAC soils</t>
  </si>
  <si>
    <t>herbicides</t>
  </si>
  <si>
    <t>low temperate boreal dry</t>
  </si>
  <si>
    <t>boreal cool temperate</t>
  </si>
  <si>
    <t>Permanent grassland</t>
  </si>
  <si>
    <t>All</t>
  </si>
  <si>
    <t>yes yes yes</t>
  </si>
  <si>
    <t>nominally managed</t>
  </si>
  <si>
    <t>Improved grassland</t>
  </si>
  <si>
    <t>Medium</t>
  </si>
  <si>
    <t>boreal</t>
  </si>
  <si>
    <t>N additions from mineral fertilisers (kg N2O-N /kg N input)</t>
  </si>
  <si>
    <t>EF (L) leaching and runoff (kg N2O-N/kg N)</t>
  </si>
  <si>
    <t>insecticides</t>
  </si>
  <si>
    <t>low temperate boreal moist</t>
  </si>
  <si>
    <t>warm temperate</t>
  </si>
  <si>
    <t>yes no no</t>
  </si>
  <si>
    <t>moderately degrated</t>
  </si>
  <si>
    <t>High</t>
  </si>
  <si>
    <t>cool temperate dry</t>
  </si>
  <si>
    <t>Organic amendements (kg N2O-N /kg N input)</t>
  </si>
  <si>
    <t>none</t>
  </si>
  <si>
    <t>yes yes no</t>
  </si>
  <si>
    <t>nominally managed temperate boreal</t>
  </si>
  <si>
    <t>cool temperate moist</t>
  </si>
  <si>
    <t>Crop residues (kg N2O-N /kg N input)</t>
  </si>
  <si>
    <t>other treatments</t>
  </si>
  <si>
    <t>yes no yes</t>
  </si>
  <si>
    <t>moderately degrated temperate boreal</t>
  </si>
  <si>
    <t>warm temperate dry</t>
  </si>
  <si>
    <t>N mineralised from mineral soil as a result of loss of soil carbon  (kg N2O-N /kg N input)</t>
  </si>
  <si>
    <t>Calcium ammonium nitrate (N 26.5%)</t>
  </si>
  <si>
    <t>no yes yes</t>
  </si>
  <si>
    <t>improved</t>
  </si>
  <si>
    <t>warm temperate moist</t>
  </si>
  <si>
    <t>Temperate organic crop and grassland soil (kg N2O-N/ha/year)</t>
  </si>
  <si>
    <t>Dolomite (CaO 30%, MgO 20%)</t>
  </si>
  <si>
    <t>medium temperate boreal dry</t>
  </si>
  <si>
    <t>no no no</t>
  </si>
  <si>
    <t>Flooded rice fields (kg N2O-N /kgN)</t>
  </si>
  <si>
    <t>Lime (CaO 52%)</t>
  </si>
  <si>
    <t>no no yes</t>
  </si>
  <si>
    <t>Cattle, poultry and pigs (kg N2O-N /kg N input)</t>
  </si>
  <si>
    <t>no yes no</t>
  </si>
  <si>
    <t>Sheep and other animals (kg N2O-N /kg N input)</t>
  </si>
  <si>
    <t>NPK compound (N 15%, P 15%, K 15%)</t>
  </si>
  <si>
    <t>medium temperate boreal moist</t>
  </si>
  <si>
    <t>severely degrated temperate boreal</t>
  </si>
  <si>
    <t>improved temperate boreal</t>
  </si>
  <si>
    <t>high  temperate boreal dry</t>
  </si>
  <si>
    <t>Phosphate fertilisers</t>
  </si>
  <si>
    <t>high  temperate boreal moist</t>
  </si>
  <si>
    <t>high man temperate boreal dry</t>
  </si>
  <si>
    <t>high man temperate boreal moist</t>
  </si>
  <si>
    <t>nbcodcultur</t>
  </si>
  <si>
    <t>aaucune</t>
  </si>
  <si>
    <t>almond tree</t>
  </si>
  <si>
    <t>apple tree</t>
  </si>
  <si>
    <t>apricot</t>
  </si>
  <si>
    <t>artichoke</t>
  </si>
  <si>
    <t>asparagus</t>
  </si>
  <si>
    <t>aubergine</t>
  </si>
  <si>
    <t>avocado</t>
  </si>
  <si>
    <t>barley</t>
  </si>
  <si>
    <t>bean</t>
  </si>
  <si>
    <t>beet</t>
  </si>
  <si>
    <t>blackcurrant</t>
  </si>
  <si>
    <t>blackwheat</t>
  </si>
  <si>
    <t>broad bean</t>
  </si>
  <si>
    <t>cabbage</t>
  </si>
  <si>
    <t>cabbage broccoli</t>
  </si>
  <si>
    <t>carot</t>
  </si>
  <si>
    <t>celery</t>
  </si>
  <si>
    <t>cherry tree</t>
  </si>
  <si>
    <t>chestnut</t>
  </si>
  <si>
    <t>chicory</t>
  </si>
  <si>
    <t>chili</t>
  </si>
  <si>
    <t>chive</t>
  </si>
  <si>
    <t>coriander</t>
  </si>
  <si>
    <t>cucumber</t>
  </si>
  <si>
    <t>dill</t>
  </si>
  <si>
    <t>durum wheat</t>
  </si>
  <si>
    <t>endive</t>
  </si>
  <si>
    <t>fallow permanent</t>
  </si>
  <si>
    <t>fennel</t>
  </si>
  <si>
    <t xml:space="preserve">field bean </t>
  </si>
  <si>
    <t>fig tree</t>
  </si>
  <si>
    <t>flax</t>
  </si>
  <si>
    <t>garlic</t>
  </si>
  <si>
    <t xml:space="preserve">grapefruit </t>
  </si>
  <si>
    <t>green pea</t>
  </si>
  <si>
    <t>hazelnut tree</t>
  </si>
  <si>
    <t>kiwi</t>
  </si>
  <si>
    <t>lavender</t>
  </si>
  <si>
    <t>leek</t>
  </si>
  <si>
    <t xml:space="preserve">lemon </t>
  </si>
  <si>
    <t>lentil</t>
  </si>
  <si>
    <t>lettuce</t>
  </si>
  <si>
    <t>Lucerne</t>
  </si>
  <si>
    <t>maize</t>
  </si>
  <si>
    <t>marrow</t>
  </si>
  <si>
    <t>meadow</t>
  </si>
  <si>
    <t>melon</t>
  </si>
  <si>
    <t>mint</t>
  </si>
  <si>
    <t>miscanthus</t>
  </si>
  <si>
    <t>mixed meadow</t>
  </si>
  <si>
    <t>natural pasture</t>
  </si>
  <si>
    <t>oat</t>
  </si>
  <si>
    <t>ochard meadow</t>
  </si>
  <si>
    <t>olive</t>
  </si>
  <si>
    <t>onion</t>
  </si>
  <si>
    <t>orange</t>
  </si>
  <si>
    <t>others grasses meadow</t>
  </si>
  <si>
    <t>parsley</t>
  </si>
  <si>
    <t xml:space="preserve">parsnip </t>
  </si>
  <si>
    <t>pea</t>
  </si>
  <si>
    <t>peach tree</t>
  </si>
  <si>
    <t xml:space="preserve">peanut </t>
  </si>
  <si>
    <t>pear tree</t>
  </si>
  <si>
    <t xml:space="preserve">persimmon </t>
  </si>
  <si>
    <t>pimento</t>
  </si>
  <si>
    <t>plum tree</t>
  </si>
  <si>
    <t xml:space="preserve">poppy </t>
  </si>
  <si>
    <t>potato</t>
  </si>
  <si>
    <t>quince</t>
  </si>
  <si>
    <t>radish</t>
  </si>
  <si>
    <t>rape</t>
  </si>
  <si>
    <t>raspberry</t>
  </si>
  <si>
    <t xml:space="preserve">redcurrant </t>
  </si>
  <si>
    <t>rice</t>
  </si>
  <si>
    <t xml:space="preserve">rosemary </t>
  </si>
  <si>
    <t>rye</t>
  </si>
  <si>
    <t>ryegrass</t>
  </si>
  <si>
    <t>safflower</t>
  </si>
  <si>
    <t>salsify</t>
  </si>
  <si>
    <t>soft wheat</t>
  </si>
  <si>
    <t>sorghum</t>
  </si>
  <si>
    <t>soya</t>
  </si>
  <si>
    <t>spelt</t>
  </si>
  <si>
    <t>spinach</t>
  </si>
  <si>
    <t>strawberry</t>
  </si>
  <si>
    <t>sunflower</t>
  </si>
  <si>
    <t>switchgrass</t>
  </si>
  <si>
    <t>thyme</t>
  </si>
  <si>
    <t>tobacco</t>
  </si>
  <si>
    <t>tomato</t>
  </si>
  <si>
    <t>triticale</t>
  </si>
  <si>
    <t>turnip</t>
  </si>
  <si>
    <t>vetch</t>
  </si>
  <si>
    <t>walnut tree</t>
  </si>
  <si>
    <t xml:space="preserve">watermelon </t>
  </si>
  <si>
    <t xml:space="preserve">zucchini </t>
  </si>
  <si>
    <t>Mineral fertilizer</t>
  </si>
  <si>
    <t>Organic fertilizer</t>
  </si>
  <si>
    <t>Soil organic carbon loss</t>
  </si>
  <si>
    <t>Flooded rice fields</t>
  </si>
  <si>
    <t>Pasture (cattle, poultry,  pigs)</t>
  </si>
  <si>
    <t>Pasture (sheep, others)</t>
  </si>
  <si>
    <t>N-fertilizer</t>
  </si>
  <si>
    <t>Amount</t>
  </si>
  <si>
    <t>kg / ha</t>
  </si>
  <si>
    <t>MINERAL FERTILISER</t>
  </si>
  <si>
    <t>Direct N2O from organic fertilizer</t>
  </si>
  <si>
    <t>Organic fertilizer type</t>
  </si>
  <si>
    <t>liquid</t>
  </si>
  <si>
    <t>T101 : Crops value table</t>
  </si>
  <si>
    <t>MJ /kg (brut ou MS selon cas)</t>
  </si>
  <si>
    <t>Source Diaterre v1 2010</t>
  </si>
  <si>
    <t>symbiotic fixation kg N/ u</t>
  </si>
  <si>
    <t>N export</t>
  </si>
  <si>
    <t>P2O5 export</t>
  </si>
  <si>
    <t>K2O export</t>
  </si>
  <si>
    <t>unit</t>
  </si>
  <si>
    <t>observations</t>
  </si>
  <si>
    <t>coeff energy</t>
  </si>
  <si>
    <t>DM/U</t>
  </si>
  <si>
    <t>crop categ</t>
  </si>
  <si>
    <t>export unit of DM</t>
  </si>
  <si>
    <t>Residues coefficient of A surface (slope)</t>
  </si>
  <si>
    <t>Residues coefficient of B surface (intercept)</t>
  </si>
  <si>
    <t xml:space="preserve">below-ground part of residues on the total biomass </t>
  </si>
  <si>
    <t>N content in above-ground residues (t N/unit)</t>
  </si>
  <si>
    <t>N content in below-ground residues (t N/tDM)</t>
  </si>
  <si>
    <t>Conversion coeff unit harvest/tonne</t>
  </si>
  <si>
    <t>Emission factor of crop seed (kgeqCO2/kg seeds)</t>
  </si>
  <si>
    <t>Land use category (SOC calculation)</t>
  </si>
  <si>
    <t>Soil cover during winter (default value)</t>
  </si>
  <si>
    <t>% of legumes in the crop (default value)</t>
  </si>
  <si>
    <t>Cf (combustion factor)</t>
  </si>
  <si>
    <t>Type</t>
  </si>
  <si>
    <t>null</t>
  </si>
  <si>
    <t>solagro</t>
  </si>
  <si>
    <t>non</t>
  </si>
  <si>
    <t>données internet - cédric</t>
  </si>
  <si>
    <t>bilan minéraux IE</t>
  </si>
  <si>
    <t>corpen</t>
  </si>
  <si>
    <t>Hartman et Al (FAB PACA)</t>
  </si>
  <si>
    <t>CTIFL</t>
  </si>
  <si>
    <t>Cornillon 71 (FAB PACA) + données internet cédric</t>
  </si>
  <si>
    <t>http://www.nal.usda.gov/fnic/foodcomp/cgi-bin/list_nut_edit.pl</t>
  </si>
  <si>
    <t>t (RH 15%)</t>
  </si>
  <si>
    <t>cop</t>
  </si>
  <si>
    <t>Blackcurrant</t>
  </si>
  <si>
    <t>Données internet - cédric + NPK blé tendre</t>
  </si>
  <si>
    <t>t (RH 19%)</t>
  </si>
  <si>
    <t>ca31</t>
  </si>
  <si>
    <t>Données internet - cédric + FAB PACA</t>
  </si>
  <si>
    <t>N. Rosssier Migros 91 (FAB PACA) + données internet Cédric</t>
  </si>
  <si>
    <t>Chaux et Foury</t>
  </si>
  <si>
    <t>Chestnut</t>
  </si>
  <si>
    <t>Données internet - cédric</t>
  </si>
  <si>
    <t>CTIFL (FAB PACA) + Données internet cédric</t>
  </si>
  <si>
    <t>Chilli cultivated under greenhouse</t>
  </si>
  <si>
    <t>Chive</t>
  </si>
  <si>
    <t>Coriander</t>
  </si>
  <si>
    <t>CA31</t>
  </si>
  <si>
    <t>Dill</t>
  </si>
  <si>
    <t>Fennel</t>
  </si>
  <si>
    <t>Anstett (FAB PACA) + Données internet - cédric</t>
  </si>
  <si>
    <t>t DM</t>
  </si>
  <si>
    <t>tDMFG</t>
  </si>
  <si>
    <t>INRA</t>
  </si>
  <si>
    <t>CRABretagne légumes2008</t>
  </si>
  <si>
    <t>Lavender</t>
  </si>
  <si>
    <t>FAB PACA + NRJ et MS thym</t>
  </si>
  <si>
    <t>fleur</t>
  </si>
  <si>
    <t>t (RH 14%)</t>
  </si>
  <si>
    <t>climagri</t>
  </si>
  <si>
    <t>permanent grassland</t>
  </si>
  <si>
    <t>Mint</t>
  </si>
  <si>
    <t>Miscanthus</t>
  </si>
  <si>
    <t>unifa</t>
  </si>
  <si>
    <t>Données Internet - Cédric</t>
  </si>
  <si>
    <t>rien</t>
  </si>
  <si>
    <t xml:space="preserve">Parsnip </t>
  </si>
  <si>
    <t>Liwerant 1953</t>
  </si>
  <si>
    <t>Données internet cédric + NPK Tournesol</t>
  </si>
  <si>
    <t>CDDM</t>
  </si>
  <si>
    <t>t (RH 11%)</t>
  </si>
  <si>
    <t>Raspberry</t>
  </si>
  <si>
    <t xml:space="preserve">Redcurrant </t>
  </si>
  <si>
    <t>t (RH 13%)</t>
  </si>
  <si>
    <t xml:space="preserve">Rosemary </t>
  </si>
  <si>
    <t>données internet - cédric + NPK tournesol</t>
  </si>
  <si>
    <t>Salsify</t>
  </si>
  <si>
    <t>Données internet cédric + ADASEA 45</t>
  </si>
  <si>
    <t>t (RH 16%)</t>
  </si>
  <si>
    <t>Spelt</t>
  </si>
  <si>
    <t>idem blé</t>
  </si>
  <si>
    <t>Switchgrass</t>
  </si>
  <si>
    <t>Thyme</t>
  </si>
  <si>
    <t>Données internet - cédric + NPK lavande</t>
  </si>
  <si>
    <t>Lefevre 74 (FAB PACA)</t>
  </si>
  <si>
    <t>idem pois</t>
  </si>
  <si>
    <t>HL</t>
  </si>
  <si>
    <t>diaterre</t>
  </si>
  <si>
    <t>Climagri</t>
  </si>
  <si>
    <t>From nutrient module!</t>
  </si>
  <si>
    <t>UPSTREAM EMISSIONS</t>
  </si>
  <si>
    <t>kg CO2eq / kg</t>
  </si>
  <si>
    <t>kgCO2eq</t>
  </si>
  <si>
    <t xml:space="preserve">Fungicides </t>
  </si>
  <si>
    <t>INPUTS</t>
  </si>
  <si>
    <t>MANAGEMENT</t>
  </si>
  <si>
    <t>Area</t>
  </si>
  <si>
    <t>Yield</t>
  </si>
  <si>
    <t>DRAINED SOIL</t>
  </si>
  <si>
    <t>DIRECT FIELD EMISSIONS</t>
  </si>
  <si>
    <t>N-FERTILIZER</t>
  </si>
  <si>
    <t>N2O from crop residues</t>
  </si>
  <si>
    <t>BURNT CROP RESIDUES</t>
  </si>
  <si>
    <t>Combustion factor (Cf)</t>
  </si>
  <si>
    <t>Coefficient of above-ground residues A
(Slope (T))</t>
  </si>
  <si>
    <t>Coefficient of above-ground residues B (intercept (T))</t>
  </si>
  <si>
    <t>CH4  from burnt crop residues</t>
  </si>
  <si>
    <t>N2O from burnt crop residues</t>
  </si>
  <si>
    <t>MINERAL FERTILIZER</t>
  </si>
  <si>
    <t>N content of above-ground residues (ton N-N2O)</t>
  </si>
  <si>
    <t>Share of above-ground residues emissions (kg N2O)</t>
  </si>
  <si>
    <t>N content of below-ground residues (tons N-N2O)</t>
  </si>
  <si>
    <t>Share of below-ground residues emissions kg N2O</t>
  </si>
  <si>
    <t>ORGANIC SOIL</t>
  </si>
  <si>
    <t>T24: Default emission volatilisation factor for indirect N2O soil emissions</t>
  </si>
  <si>
    <t>EF(atd) (N volatilisation and redeposition) (kg N2O-N /kg NH3-N + NOx_N volatilised)</t>
  </si>
  <si>
    <t>Amount of N volatilised (organic, mineral fertilizer)</t>
  </si>
  <si>
    <t>Amount of N going to leaching and runoff (organic, mineral fertilizer</t>
  </si>
  <si>
    <t>N2O from volatilisation</t>
  </si>
  <si>
    <t>Energies</t>
  </si>
  <si>
    <t>Unit</t>
  </si>
  <si>
    <t>kg eqCO2/GJ</t>
  </si>
  <si>
    <t>Density</t>
  </si>
  <si>
    <t>calculation</t>
  </si>
  <si>
    <t>Litres</t>
  </si>
  <si>
    <t>kg/Litre</t>
  </si>
  <si>
    <t>Diesel</t>
  </si>
  <si>
    <t>Global Warming potentials</t>
  </si>
  <si>
    <t>Manufacturing emissions pesticides</t>
  </si>
  <si>
    <t>fungicides</t>
  </si>
  <si>
    <t>Emission factors pesticides</t>
  </si>
  <si>
    <t>T3: Climate zones</t>
  </si>
  <si>
    <t>DD list Climate zones</t>
  </si>
  <si>
    <t>climate zone (SOC LT)</t>
  </si>
  <si>
    <t>climate zone (organic factor)</t>
  </si>
  <si>
    <t>temperature regime</t>
  </si>
  <si>
    <t>boreal moist</t>
  </si>
  <si>
    <t>boreal dry</t>
  </si>
  <si>
    <t>T4: Dominant soils</t>
  </si>
  <si>
    <t>DD list Dominant soil</t>
  </si>
  <si>
    <t>soil categories</t>
  </si>
  <si>
    <t>Acrisol</t>
  </si>
  <si>
    <t>LAC soils</t>
  </si>
  <si>
    <t>Albeluvisol</t>
  </si>
  <si>
    <t>Andosol</t>
  </si>
  <si>
    <t>Volcanic soils</t>
  </si>
  <si>
    <t>Anthrosol</t>
  </si>
  <si>
    <t>Arenosol</t>
  </si>
  <si>
    <t>Sandy soils</t>
  </si>
  <si>
    <t>Calcisol</t>
  </si>
  <si>
    <t>Cambisol</t>
  </si>
  <si>
    <t>Chernozem</t>
  </si>
  <si>
    <t>Cryosol</t>
  </si>
  <si>
    <t>Fluvisol</t>
  </si>
  <si>
    <t>Gleysol</t>
  </si>
  <si>
    <t>Wetland soils</t>
  </si>
  <si>
    <t>Gypsisol</t>
  </si>
  <si>
    <t>Kastanozem</t>
  </si>
  <si>
    <t>Leptosol</t>
  </si>
  <si>
    <t>Luvisol</t>
  </si>
  <si>
    <t>Phaeozem</t>
  </si>
  <si>
    <t>Planosol</t>
  </si>
  <si>
    <t>Podzol</t>
  </si>
  <si>
    <t>Spodic soils</t>
  </si>
  <si>
    <t>Regosol</t>
  </si>
  <si>
    <t>Solonchak</t>
  </si>
  <si>
    <t>Solonetz</t>
  </si>
  <si>
    <t>Umbrisol</t>
  </si>
  <si>
    <t>Vertisol</t>
  </si>
  <si>
    <t>CLIMATE AND SOIL</t>
  </si>
  <si>
    <t>Climate</t>
  </si>
  <si>
    <t>Soil</t>
  </si>
  <si>
    <t>Row climate</t>
  </si>
  <si>
    <t>Column soil</t>
  </si>
  <si>
    <t>Dominant soil</t>
  </si>
  <si>
    <t>Parcel N°</t>
  </si>
  <si>
    <t>CROPLAND</t>
  </si>
  <si>
    <t>Management type</t>
  </si>
  <si>
    <t>Cover crops removed</t>
  </si>
  <si>
    <t>green covers and residues stay on field</t>
  </si>
  <si>
    <t>Climate zone (organic soil factor)</t>
  </si>
  <si>
    <t>GRASSLAND</t>
  </si>
  <si>
    <t>Grassland</t>
  </si>
  <si>
    <t>Trees, bushes, vineyards</t>
  </si>
  <si>
    <t>SOC /ha(mineral soils)</t>
  </si>
  <si>
    <t>PASTURE over grazed?</t>
  </si>
  <si>
    <t>PASTURE longterm productivity loss?</t>
  </si>
  <si>
    <t>Overgrazed?</t>
  </si>
  <si>
    <t>Productivity loss?</t>
  </si>
  <si>
    <t>Irrigation</t>
  </si>
  <si>
    <t>Seeding productive grass varieties or legumes in recent years</t>
  </si>
  <si>
    <t>Productive species</t>
  </si>
  <si>
    <t>Input level factor for grassland (FI)</t>
  </si>
  <si>
    <t>CROPLAND (Fallow semi permanent)</t>
  </si>
  <si>
    <t>stock change factor grassland</t>
  </si>
  <si>
    <t>CLIMATE DATA</t>
  </si>
  <si>
    <t>Legend</t>
  </si>
  <si>
    <t>User input</t>
  </si>
  <si>
    <t>Associated or linked data</t>
  </si>
  <si>
    <t>Output</t>
  </si>
  <si>
    <t>Notes</t>
  </si>
  <si>
    <t>Estimate/calculation</t>
  </si>
  <si>
    <t>Check</t>
  </si>
  <si>
    <t>CLIMATE AND SOIL (from Crops_Input)</t>
  </si>
  <si>
    <t>Tillage</t>
  </si>
  <si>
    <t>TILLAGE</t>
  </si>
  <si>
    <t>GRASSLAND IMPROVEMENT</t>
  </si>
  <si>
    <t>PASTURE</t>
  </si>
  <si>
    <t>GRASSLAND (temporary, permanent) &amp; PASTURE</t>
  </si>
  <si>
    <t>TOTAL</t>
  </si>
  <si>
    <t>GHG Fertilizer</t>
  </si>
  <si>
    <t>GHG Seeds</t>
  </si>
  <si>
    <t>GHG Machinery</t>
  </si>
  <si>
    <t>CROPLAND AND TREES</t>
  </si>
  <si>
    <t>Residues wieder einfügrn!</t>
  </si>
  <si>
    <t>TREES</t>
  </si>
  <si>
    <t>Residues</t>
  </si>
  <si>
    <t>SOIL</t>
  </si>
  <si>
    <t xml:space="preserve">Organic </t>
  </si>
  <si>
    <t>Drained</t>
  </si>
  <si>
    <t>Total pesticides</t>
  </si>
  <si>
    <t xml:space="preserve"> Other treatments</t>
  </si>
  <si>
    <t>Total fertilizer</t>
  </si>
  <si>
    <t>gwp_ch4</t>
  </si>
  <si>
    <t>gwp_n2o</t>
  </si>
  <si>
    <t>Default EF for direct N2O emissions from managed soils</t>
  </si>
  <si>
    <t>EF_dN_minfert</t>
  </si>
  <si>
    <t>EF_dN_orgfert</t>
  </si>
  <si>
    <t>EF_dN_res</t>
  </si>
  <si>
    <t>EF_dN_SOCloss</t>
  </si>
  <si>
    <t>EF_dN_SOC</t>
  </si>
  <si>
    <t>EF_dN_rice</t>
  </si>
  <si>
    <t>EF_dN_pastC</t>
  </si>
  <si>
    <t>EF_dN_pastO</t>
  </si>
  <si>
    <t>EF_leach</t>
  </si>
  <si>
    <t>EF_vol</t>
  </si>
  <si>
    <t>EF_up_herb</t>
  </si>
  <si>
    <t>EF_up_fung</t>
  </si>
  <si>
    <t>EF_up_ins</t>
  </si>
  <si>
    <t>EF_up_oth</t>
  </si>
  <si>
    <t>EF_en_fue</t>
  </si>
  <si>
    <t>EF_en_die</t>
  </si>
  <si>
    <t>EF_en_pet</t>
  </si>
  <si>
    <t>climate</t>
  </si>
  <si>
    <t>soil</t>
  </si>
  <si>
    <t>temp_reg</t>
  </si>
  <si>
    <t>moist_reg</t>
  </si>
  <si>
    <t>soil_dom</t>
  </si>
  <si>
    <t>clim_zon</t>
  </si>
  <si>
    <t>crop_orgfert_yn</t>
  </si>
  <si>
    <t>crop_herb</t>
  </si>
  <si>
    <t>crop_fung</t>
  </si>
  <si>
    <t>crop_insect</t>
  </si>
  <si>
    <t>crop_otreat</t>
  </si>
  <si>
    <t>crop_seed</t>
  </si>
  <si>
    <t>crop_mach_type</t>
  </si>
  <si>
    <t>crop_mach_am</t>
  </si>
  <si>
    <t>crop_man_res</t>
  </si>
  <si>
    <t>crop_man_cc</t>
  </si>
  <si>
    <t>crop_man_til</t>
  </si>
  <si>
    <t>crop_soil_org</t>
  </si>
  <si>
    <t>crop_soil_drai</t>
  </si>
  <si>
    <t>variables</t>
  </si>
  <si>
    <t>crop_no_parc</t>
  </si>
  <si>
    <t>crop_area</t>
  </si>
  <si>
    <t>grass_no_parc</t>
  </si>
  <si>
    <t>grass_area</t>
  </si>
  <si>
    <t>grass_orgfert_yn</t>
  </si>
  <si>
    <t>grass_seed</t>
  </si>
  <si>
    <t>grass_mach_type</t>
  </si>
  <si>
    <t>grass_mach_am</t>
  </si>
  <si>
    <t>grass_man_til</t>
  </si>
  <si>
    <t>grass_man_irr</t>
  </si>
  <si>
    <t>grass_man_prod</t>
  </si>
  <si>
    <t>grass_man_og</t>
  </si>
  <si>
    <t>grass_man_pl</t>
  </si>
  <si>
    <t>grass_soil_org</t>
  </si>
  <si>
    <t>grass_soil_drai</t>
  </si>
  <si>
    <t>SOC_bor</t>
  </si>
  <si>
    <t>SOC__ctd</t>
  </si>
  <si>
    <t>SOC_ctm</t>
  </si>
  <si>
    <t>SOC_wtd</t>
  </si>
  <si>
    <t>SOC_wtm</t>
  </si>
  <si>
    <t>soil_hac</t>
  </si>
  <si>
    <t>soil_lac</t>
  </si>
  <si>
    <t>soil_sand</t>
  </si>
  <si>
    <t>soil_spod</t>
  </si>
  <si>
    <t>soil_vol</t>
  </si>
  <si>
    <t>soil_wet</t>
  </si>
  <si>
    <t>flu_actbd</t>
  </si>
  <si>
    <t>flu_tgtbd</t>
  </si>
  <si>
    <t>flu_actbm</t>
  </si>
  <si>
    <t>flu_tgtbm</t>
  </si>
  <si>
    <t>flu_prtbd</t>
  </si>
  <si>
    <t>flu_prtbm</t>
  </si>
  <si>
    <t>flu_tctbd</t>
  </si>
  <si>
    <t>flu_tctbm</t>
  </si>
  <si>
    <t>flu_vtbd</t>
  </si>
  <si>
    <t>flu_vtbm</t>
  </si>
  <si>
    <t>flu_satbd</t>
  </si>
  <si>
    <t>flu_satbm</t>
  </si>
  <si>
    <t>not used</t>
  </si>
  <si>
    <t>Number / information that is not needed is faded:</t>
  </si>
  <si>
    <t>fmg_fttbd</t>
  </si>
  <si>
    <t>fmg_fttbm</t>
  </si>
  <si>
    <t>fmg_rttbd</t>
  </si>
  <si>
    <t>fmg_rttbm</t>
  </si>
  <si>
    <t>fmg_nttbd</t>
  </si>
  <si>
    <t>fmg_nttbm</t>
  </si>
  <si>
    <t>fi_ltbd</t>
  </si>
  <si>
    <t>fi_ltbm</t>
  </si>
  <si>
    <t>fi_mtbd</t>
  </si>
  <si>
    <t>fi_mtbm</t>
  </si>
  <si>
    <t>fi_htbd</t>
  </si>
  <si>
    <t>fi_htbm</t>
  </si>
  <si>
    <t>fi_hmtbd</t>
  </si>
  <si>
    <t>fi_hmtbm</t>
  </si>
  <si>
    <t>ef_soc_bo</t>
  </si>
  <si>
    <t>ef_soc_tem</t>
  </si>
  <si>
    <t>lm_nmtb</t>
  </si>
  <si>
    <t>lm_mdtb</t>
  </si>
  <si>
    <t>lm_sdtb</t>
  </si>
  <si>
    <t>lm_itb</t>
  </si>
  <si>
    <t>fi_med</t>
  </si>
  <si>
    <t>fi_high</t>
  </si>
  <si>
    <t>flu_grass</t>
  </si>
  <si>
    <t>ef_soc_d_bor</t>
  </si>
  <si>
    <t>ef_soc_d_tem</t>
  </si>
  <si>
    <t>N_res_bel</t>
  </si>
  <si>
    <t>ef_seed</t>
  </si>
  <si>
    <t>crop_cf</t>
  </si>
  <si>
    <t>co_res_slo</t>
  </si>
  <si>
    <t>co_res_int</t>
  </si>
  <si>
    <t>res_bel</t>
  </si>
  <si>
    <t>N_res_ab</t>
  </si>
  <si>
    <t>CROP RESIDUES</t>
  </si>
  <si>
    <t>T22: Emission factor Gef (kg/tDM burnt) for burnt agricultural residues</t>
  </si>
  <si>
    <t>Emission factor</t>
  </si>
  <si>
    <t>Agricultural residues</t>
  </si>
  <si>
    <t>GWP</t>
  </si>
  <si>
    <t>Results: GHG Emissions from cropland and grassland</t>
  </si>
  <si>
    <t>Cropland</t>
  </si>
  <si>
    <t>Agroforestry</t>
  </si>
  <si>
    <t>Upstream emissions machinery</t>
  </si>
  <si>
    <t>Direct and indirect emissions from managed soils</t>
  </si>
  <si>
    <t>Sum</t>
  </si>
  <si>
    <t>Upstream emissions fertilizers, pesticides, seeds</t>
  </si>
  <si>
    <t>Carbon storage</t>
  </si>
  <si>
    <t>Carbon emission / removal</t>
  </si>
  <si>
    <t>kg CO2 equ.</t>
  </si>
  <si>
    <t>ef_res_ch4</t>
  </si>
  <si>
    <t>ef_res_n2o</t>
  </si>
  <si>
    <t>crop_type</t>
  </si>
  <si>
    <t>dose_amendment</t>
  </si>
  <si>
    <t>dose_f</t>
  </si>
  <si>
    <t>type_fm</t>
  </si>
  <si>
    <t>type_fo</t>
  </si>
  <si>
    <t>Y</t>
  </si>
  <si>
    <t>F. Brentrup and C. Pallière (2014), Energy efficiency and GHG emissions in European nitrogen fertiliser production and use.</t>
  </si>
  <si>
    <t>F. Brentrup and C. Pallière (2014)</t>
  </si>
  <si>
    <t>Muriate of Potash (MOP) 60%K2O</t>
  </si>
  <si>
    <t>EU average modelled based on Fertilizers Europe 2014</t>
  </si>
  <si>
    <t>JRC 2019</t>
  </si>
  <si>
    <t>CaCO3</t>
  </si>
  <si>
    <t>CaO</t>
  </si>
  <si>
    <t>Mono ammonium phosphate (N 11%, P 52%)</t>
  </si>
  <si>
    <t>Edwards, R., O’Connell, A., Padella, M., Giuntoli, J., Koeble, R., Bulgheroni, C., Marelli, L., Lonza, L. (2019): Definition of input data to assess GHG default emissions from biofuels in EU legislation</t>
  </si>
  <si>
    <t>Upstream emissions fuels</t>
  </si>
  <si>
    <t>Fuel oil</t>
  </si>
  <si>
    <t>LHV MJ / kg</t>
  </si>
  <si>
    <t>EF kg eqCO2/unit</t>
  </si>
  <si>
    <t>Gasoline</t>
  </si>
  <si>
    <t>Source</t>
  </si>
  <si>
    <t>RED II default value</t>
  </si>
  <si>
    <t>EF_en_fame_rs</t>
  </si>
  <si>
    <t>EF_en_fame_sf</t>
  </si>
  <si>
    <t>EF_en_fame_mix</t>
  </si>
  <si>
    <t>EF_en_pvo_mix</t>
  </si>
  <si>
    <t>EF_en_pvo_rs</t>
  </si>
  <si>
    <t>EF_en_pvo_sf</t>
  </si>
  <si>
    <t>Rape seed biodiesel (purchased)</t>
  </si>
  <si>
    <t>Sunflower biodiesel (purchased)</t>
  </si>
  <si>
    <t>Biodiesel mix (purchased)</t>
  </si>
  <si>
    <t>PVO rapeseed (purchased)</t>
  </si>
  <si>
    <t>PVO sunflower (purchased)</t>
  </si>
  <si>
    <t>PVO mix (purchased)</t>
  </si>
  <si>
    <t xml:space="preserve">Source: IPCC 2006, </t>
  </si>
  <si>
    <t>ARTICHOKE</t>
  </si>
  <si>
    <t>ASPARAGUS_GREEN</t>
  </si>
  <si>
    <t>ASPARAGUS_WHITE</t>
  </si>
  <si>
    <t>EGGPLANT</t>
  </si>
  <si>
    <t>BARLEY_2_ROW</t>
  </si>
  <si>
    <t>BARLEY_6_ROW</t>
  </si>
  <si>
    <t>TOBACCO_BURLEY</t>
  </si>
  <si>
    <t>TOBACCO_FLUE</t>
  </si>
  <si>
    <t>BEAN_DRY</t>
  </si>
  <si>
    <t>BEAN_GREEN</t>
  </si>
  <si>
    <t>BRUSSELS SPROUTS</t>
  </si>
  <si>
    <t>CABBAGE</t>
  </si>
  <si>
    <t>BROCCOLI</t>
  </si>
  <si>
    <t>CARROT</t>
  </si>
  <si>
    <t>CAULIFLOWER</t>
  </si>
  <si>
    <t>CELERY</t>
  </si>
  <si>
    <t>crop_ID</t>
  </si>
  <si>
    <t>CHICKPEA_DESI</t>
  </si>
  <si>
    <t>CHICKPEA_KABULI</t>
  </si>
  <si>
    <t>CHICORY</t>
  </si>
  <si>
    <t>CORN_GRAIN</t>
  </si>
  <si>
    <t>CUCUMBER</t>
  </si>
  <si>
    <t>FLAX</t>
  </si>
  <si>
    <t>BEET</t>
  </si>
  <si>
    <t>ENDIVE</t>
  </si>
  <si>
    <t>SORGHUM_GRAIN</t>
  </si>
  <si>
    <t>PEA_GREEN_FRUITS</t>
  </si>
  <si>
    <t>PEA_GREEN_SEEDS</t>
  </si>
  <si>
    <t>WHEAT_DURUM</t>
  </si>
  <si>
    <t>LEEK</t>
  </si>
  <si>
    <t>LENTIL</t>
  </si>
  <si>
    <t>LETTUCE_ICEBERG</t>
  </si>
  <si>
    <t>LETTUCE_ROMAN</t>
  </si>
  <si>
    <t>PUMPKIN</t>
  </si>
  <si>
    <t>MELON</t>
  </si>
  <si>
    <t>OAT</t>
  </si>
  <si>
    <t>ONION</t>
  </si>
  <si>
    <t>PARSLEY</t>
  </si>
  <si>
    <t>PEANUT_PODS</t>
  </si>
  <si>
    <t>PEANUT_SEEDS</t>
  </si>
  <si>
    <t>PEA</t>
  </si>
  <si>
    <t>PEPPER_GREEN</t>
  </si>
  <si>
    <t>PEPPER_RED</t>
  </si>
  <si>
    <t>OPIUM_POPPY</t>
  </si>
  <si>
    <t>POTATO</t>
  </si>
  <si>
    <t>RADISH</t>
  </si>
  <si>
    <t>RICE</t>
  </si>
  <si>
    <t>RICE_MILLED</t>
  </si>
  <si>
    <t>RYE</t>
  </si>
  <si>
    <t>RYE_HAY</t>
  </si>
  <si>
    <t>RYEGRASS_HAY</t>
  </si>
  <si>
    <t>SAFFLOWER</t>
  </si>
  <si>
    <t>MAIZE_SILAGE</t>
  </si>
  <si>
    <t>WHEAT_BREAD_SOFT</t>
  </si>
  <si>
    <t>SOYBEAN</t>
  </si>
  <si>
    <t>SPINACH</t>
  </si>
  <si>
    <t>FABA_BEAN_DRY</t>
  </si>
  <si>
    <t>FABA_BEAN_GREEN</t>
  </si>
  <si>
    <t>STRAWBERRY</t>
  </si>
  <si>
    <t>SUGARBEET_ROOT</t>
  </si>
  <si>
    <t>SUGARBEET_ROOT_CROWN</t>
  </si>
  <si>
    <t>SUNFLOWER_OIL</t>
  </si>
  <si>
    <t>SORGHUM_SILAGE</t>
  </si>
  <si>
    <t>TRITICALE</t>
  </si>
  <si>
    <t>TOMATO</t>
  </si>
  <si>
    <t>VETCH_GREEN_FLOWERING</t>
  </si>
  <si>
    <t>VETCH_HAIRY_HAY</t>
  </si>
  <si>
    <t>VETCH_HAY</t>
  </si>
  <si>
    <t>VETCH_HAY_FLOWERING</t>
  </si>
  <si>
    <t>WATERMELON</t>
  </si>
  <si>
    <t>SQUASH_INMATURE</t>
  </si>
  <si>
    <t>SQUASH_MATURE</t>
  </si>
  <si>
    <t>SWEET_CORN_DRY</t>
  </si>
  <si>
    <t>SWEET_CORN_FRESH</t>
  </si>
  <si>
    <t>ALMOND</t>
  </si>
  <si>
    <t>APRICOT</t>
  </si>
  <si>
    <t>APPLE</t>
  </si>
  <si>
    <t>AVOCADO</t>
  </si>
  <si>
    <t>CHERRY</t>
  </si>
  <si>
    <t>FIG</t>
  </si>
  <si>
    <t>GRAPEFRUIT</t>
  </si>
  <si>
    <t>HAZELNUT</t>
  </si>
  <si>
    <t>QUINCE</t>
  </si>
  <si>
    <t>KIWI</t>
  </si>
  <si>
    <t>LEMON</t>
  </si>
  <si>
    <t>ORANGE</t>
  </si>
  <si>
    <t>OLIVE</t>
  </si>
  <si>
    <t>PEACH</t>
  </si>
  <si>
    <t>PEAR</t>
  </si>
  <si>
    <t>PERSIMMON</t>
  </si>
  <si>
    <t>PLUM</t>
  </si>
  <si>
    <t>WALNUT</t>
  </si>
  <si>
    <t>GRAPE_TABLE</t>
  </si>
  <si>
    <t>GRAPE_WINE</t>
  </si>
  <si>
    <t>TURNIP_GREEN_CROP</t>
  </si>
  <si>
    <t>SORGHUM_GREEN</t>
  </si>
  <si>
    <t>GARLIC</t>
  </si>
  <si>
    <t>RAPESEED</t>
  </si>
  <si>
    <t>ALFALFA_GREEN_FLOWERING</t>
  </si>
  <si>
    <t>ALFALFA_GREEN_VEGETATIVE</t>
  </si>
  <si>
    <t>ALFALFA_HAY_FLOWERING</t>
  </si>
  <si>
    <t>ALFALFA_HAY_VEGETATIVE</t>
  </si>
  <si>
    <t>BLACK_EYED_PEA</t>
  </si>
  <si>
    <t>BLUEGRASS_HAY</t>
  </si>
  <si>
    <t>BROMEGRASS_HAY</t>
  </si>
  <si>
    <t>CANARYGRASS_REED_HAY</t>
  </si>
  <si>
    <t>CLOVER_ALSIKE_HAY</t>
  </si>
  <si>
    <t>CLOVER_CRIMSON_HAY</t>
  </si>
  <si>
    <t>CLOVER_RED_HAY</t>
  </si>
  <si>
    <t>CLOVER_WHITE_HAY</t>
  </si>
  <si>
    <t>CLOVER_WHITE_LADINO_HAY</t>
  </si>
  <si>
    <t>FESCUE_HAY</t>
  </si>
  <si>
    <t>FESCUE_MEADOW_HAY</t>
  </si>
  <si>
    <t>FESCUE_TALL_HAY</t>
  </si>
  <si>
    <t>GRASS_HAY</t>
  </si>
  <si>
    <t>GRASS_SILAGE</t>
  </si>
  <si>
    <t>MILLET_FINGER</t>
  </si>
  <si>
    <t>MILLET_FOXTAIL_SILAGE</t>
  </si>
  <si>
    <t>MILLET_PEARL</t>
  </si>
  <si>
    <t>MILLET_PROSO</t>
  </si>
  <si>
    <t>MLLET_PEARL_SILAGE</t>
  </si>
  <si>
    <t>MUSCK_MELON</t>
  </si>
  <si>
    <t>OAT_HAY</t>
  </si>
  <si>
    <t>ORCHARDGRASS_GREEN_CHOP</t>
  </si>
  <si>
    <t>ORCHARDGRASS_HAY</t>
  </si>
  <si>
    <t>POMEGRANATE</t>
  </si>
  <si>
    <t>QUINOA</t>
  </si>
  <si>
    <t>SWEETCLOVER_HAY</t>
  </si>
  <si>
    <t>TIMOTHY_HAY</t>
  </si>
  <si>
    <t>TREFOIL_HAY</t>
  </si>
  <si>
    <t>WHEAT_BREAD_HARD</t>
  </si>
  <si>
    <t>WHEATGRASS_HAY</t>
  </si>
  <si>
    <t>BUCKWHEAT</t>
  </si>
  <si>
    <t>Not used</t>
  </si>
  <si>
    <t>FALLOW</t>
  </si>
  <si>
    <t>FALLOW_LEGUME_ONE_YEAR</t>
  </si>
  <si>
    <t>SUNFLOWER_SEED</t>
  </si>
  <si>
    <t>Annual crops</t>
  </si>
  <si>
    <t>COVER_CROP_LEGUMES_100</t>
  </si>
  <si>
    <t>COVER_CROP_LEGUMES_30</t>
  </si>
  <si>
    <t>COVER_CROP_GRASS</t>
  </si>
  <si>
    <t>TEMPORARY_LEGUMES</t>
  </si>
  <si>
    <t>TEMPORARY_MIXED</t>
  </si>
  <si>
    <t>TEMPORARY_GRASS</t>
  </si>
  <si>
    <t>FALLOW_5_YEARS</t>
  </si>
  <si>
    <t>PASTURE_&gt;30YERAS</t>
  </si>
  <si>
    <t>PASTURE_&lt;30YERAS</t>
  </si>
  <si>
    <t>PASTURE_ORCHARD</t>
  </si>
  <si>
    <t>Sodium nitrate</t>
  </si>
  <si>
    <t>Calcium nitrate</t>
  </si>
  <si>
    <t>Magnesium nitrate</t>
  </si>
  <si>
    <t>Ammonium sulphate</t>
  </si>
  <si>
    <t>Urea</t>
  </si>
  <si>
    <t>Ammonium nitrate</t>
  </si>
  <si>
    <t>Calcium ammonium nitrate</t>
  </si>
  <si>
    <t>Ammonium nitrosulphate</t>
  </si>
  <si>
    <t>Nitrogen solutions (32%)</t>
  </si>
  <si>
    <t>Urea formaldehyde (UF)</t>
  </si>
  <si>
    <t>Isobutylidene diurea (IBDU)</t>
  </si>
  <si>
    <t>Crotonylidene diurea (CDU)</t>
  </si>
  <si>
    <t>Superphosphate simple</t>
  </si>
  <si>
    <t>Superphosphate concentrate</t>
  </si>
  <si>
    <t>Triple superphosphate (TSP)</t>
  </si>
  <si>
    <t>Phosphoric acid</t>
  </si>
  <si>
    <t>Superphosphoric acid</t>
  </si>
  <si>
    <t>Dycalcium phosphate</t>
  </si>
  <si>
    <t>Calcium metaphosphate</t>
  </si>
  <si>
    <t>Calcined phosphate</t>
  </si>
  <si>
    <t>Basic slags</t>
  </si>
  <si>
    <t>Ground phosphate rock</t>
  </si>
  <si>
    <t>Potassium chloride</t>
  </si>
  <si>
    <t>Potassium sulphate</t>
  </si>
  <si>
    <t>Mono-ammonium phosphate (MAP)</t>
  </si>
  <si>
    <t>Di-ammonium phosphate (DAP)</t>
  </si>
  <si>
    <t>Ammonium polyphosphates (APP)</t>
  </si>
  <si>
    <t>Nitrophosphates</t>
  </si>
  <si>
    <t>Potassium phosphates</t>
  </si>
  <si>
    <t>Potassium nitrate</t>
  </si>
  <si>
    <t>Complex 8-15-15</t>
  </si>
  <si>
    <t>Complex 12-12-24</t>
  </si>
  <si>
    <t>Complex 15-15-15</t>
  </si>
  <si>
    <t>Complex 9-18-27</t>
  </si>
  <si>
    <t>Complex 8-24-8</t>
  </si>
  <si>
    <t>Complex 8-24-16</t>
  </si>
  <si>
    <t>Complex 12-24-8</t>
  </si>
  <si>
    <t>Complex 12-24-12</t>
  </si>
  <si>
    <t>Complex 9-12-24</t>
  </si>
  <si>
    <t>Complex 10-20-10</t>
  </si>
  <si>
    <t>Complex 8-16-8</t>
  </si>
  <si>
    <t>Complex 18-46-0</t>
  </si>
  <si>
    <t>Complex 10-10-17</t>
  </si>
  <si>
    <t>Complex 12-36-12</t>
  </si>
  <si>
    <t>Suspension 4-16-10</t>
  </si>
  <si>
    <t>Suspension 5-10-10</t>
  </si>
  <si>
    <t>Suspension 5-20-5</t>
  </si>
  <si>
    <t>Suspension 6-12-16</t>
  </si>
  <si>
    <t>Suspension 6-16-10</t>
  </si>
  <si>
    <t>Suspension 10-20-0</t>
  </si>
  <si>
    <t>Fosfoplus 7-15-6 + 5%S + 9% PHC</t>
  </si>
  <si>
    <t>Fosfoplus 8-8-10 + 5%S + 9% PHC</t>
  </si>
  <si>
    <t>Superphosphate 18%</t>
  </si>
  <si>
    <t>Superphosphate 45%</t>
  </si>
  <si>
    <t>acid phosphoric</t>
  </si>
  <si>
    <t>Urea 46%</t>
  </si>
  <si>
    <t>Urea 46%+ Inhibidor</t>
  </si>
  <si>
    <t>Urea 40%+ Azufre (YARA Sulfamid)</t>
  </si>
  <si>
    <t>Solución N-32</t>
  </si>
  <si>
    <t>Solución N-20</t>
  </si>
  <si>
    <t>Solución N-26</t>
  </si>
  <si>
    <t>Calcium nitrate solution</t>
  </si>
  <si>
    <t>Magnesium nitrate solution</t>
  </si>
  <si>
    <t>Nitro33</t>
  </si>
  <si>
    <t>Nitroplus</t>
  </si>
  <si>
    <t>Nitric acid</t>
  </si>
  <si>
    <t>Ammonium nitrate 33%</t>
  </si>
  <si>
    <t>Ammonium nitrate 27% (NAC)</t>
  </si>
  <si>
    <t>Ammonium nitrate 20%</t>
  </si>
  <si>
    <t>Magnesium sulfate</t>
  </si>
  <si>
    <t>Ammonium sulfate 21%</t>
  </si>
  <si>
    <t>Ammonium nitrate (AN,  33.5%)</t>
  </si>
  <si>
    <t>Ammonium sulphate (AS; N 21%, SO3 23%)</t>
  </si>
  <si>
    <t>Ammonium nitrophosphate 26%</t>
  </si>
  <si>
    <t>Ammonium nitrophosphate 21%</t>
  </si>
  <si>
    <t>Ammonium nitrate sulphate (ANS; 26% N, 14% S)</t>
  </si>
  <si>
    <t>Calcium nitrate (CN; 15.5% N)</t>
  </si>
  <si>
    <t>Urea (N 46%), includes CO2 emissions from hydrolysis</t>
  </si>
  <si>
    <t>Di-Ammonium-Phosphate (DAP) 18%N 46%P2O5</t>
  </si>
  <si>
    <t>MgO (kg MgO)</t>
  </si>
  <si>
    <t>Sodium (Na) fertiliser (kg Na)</t>
  </si>
  <si>
    <t>(assuming CO2 emissions are similar to those for potassium chloride) Jenssen, T.K. et Kongshaug G., 2003, Energy Consumption and Greenhouse Gas Emissions in Fertiliser Production, Proceedings No. 509. International Fertiliser Society York, UK. www.fertiliser-society.org</t>
  </si>
  <si>
    <t>Jenssen, T.K. et Kongshaug G., 2003, Energy Consumption and Greenhouse Gas Emissions in Fertiliser Production, Proceedings No. 509. International Fertiliser Society York, UK. www.fertiliser-society.org</t>
  </si>
  <si>
    <t>Emission factor has to be added!</t>
  </si>
  <si>
    <t>Fertilizer_ID</t>
  </si>
  <si>
    <t>Emission factor [kg N2O-N /kg N input]</t>
  </si>
  <si>
    <t>Bouwman et al.,2002; F. Brentrup and C. Pallière (2014)</t>
  </si>
  <si>
    <t>Bouwman et al.,2002</t>
  </si>
  <si>
    <t>Other fertilizers</t>
  </si>
  <si>
    <t>N-Fertilizers</t>
  </si>
  <si>
    <t>name in Biograce II Additional standard values</t>
  </si>
  <si>
    <t>Upstream emissions 
(kg eqCO2/kg Unit)</t>
  </si>
  <si>
    <t>N</t>
  </si>
  <si>
    <t>K2O</t>
  </si>
  <si>
    <t>K2O fertilizers</t>
  </si>
  <si>
    <t>P2SO5 fertilizers</t>
  </si>
  <si>
    <t>P2SO5</t>
  </si>
  <si>
    <t>MgO</t>
  </si>
  <si>
    <t>Na</t>
  </si>
  <si>
    <t>Lime / dolomite fertilizer</t>
  </si>
  <si>
    <t>Other mineral fertilizer</t>
  </si>
  <si>
    <t>kg CaO / ha</t>
  </si>
  <si>
    <t>kg K2O, P2SO5,… / ha</t>
  </si>
  <si>
    <t>Direct N2O emissions from mineral fertilizer application</t>
  </si>
  <si>
    <t>Lime fertilizer</t>
  </si>
  <si>
    <t>Other fertilizer</t>
  </si>
  <si>
    <t>Lime / dolomite fertilizer 1</t>
  </si>
  <si>
    <t>has to be linked to nutrient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</si>
</sst>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6">
    <font>
      <sz val="11"/>
      <color theme="1"/>
      <name val="Calibri"/>
      <family val="2"/>
      <scheme val="minor"/>
    </font>
    <font>
      <b/>
      <sz val="14"/>
      <name val="Arial"/>
      <family val="2"/>
    </font>
    <font>
      <sz val="9"/>
      <name val="Arial"/>
      <family val="2"/>
    </font>
    <font>
      <sz val="10"/>
      <name val="Arial"/>
      <family val="2"/>
    </font>
    <font>
      <i/>
      <sz val="10"/>
      <name val="Arial"/>
      <family val="2"/>
    </font>
    <font>
      <sz val="10"/>
      <color rgb="FFFF0000"/>
      <name val="Arial"/>
      <family val="2"/>
    </font>
    <font>
      <b/>
      <sz val="10"/>
      <name val="Arial"/>
      <family val="2"/>
    </font>
    <font>
      <b/>
      <sz val="10"/>
      <color rgb="FFFF0000"/>
      <name val="Arial"/>
      <family val="2"/>
    </font>
    <font>
      <b/>
      <sz val="12"/>
      <name val="Arial"/>
      <family val="2"/>
    </font>
    <font>
      <b/>
      <sz val="11"/>
      <name val="Arial"/>
      <family val="2"/>
    </font>
    <font>
      <sz val="11"/>
      <name val="Arial"/>
      <family val="2"/>
    </font>
    <font>
      <b/>
      <i/>
      <sz val="10"/>
      <name val="Arial"/>
      <family val="2"/>
    </font>
    <font>
      <sz val="8"/>
      <name val="Arial"/>
      <family val="2"/>
    </font>
    <font>
      <i/>
      <sz val="8"/>
      <name val="Arial"/>
      <family val="2"/>
    </font>
    <font>
      <sz val="10"/>
      <name val="Verdana"/>
      <family val="2"/>
    </font>
    <font>
      <sz val="10"/>
      <name val="Geneva"/>
      <family val="2"/>
    </font>
    <font>
      <b/>
      <sz val="11"/>
      <color theme="1"/>
      <name val="Calibri"/>
      <family val="2"/>
      <scheme val="minor"/>
    </font>
    <font>
      <sz val="10"/>
      <name val="Arial"/>
    </font>
    <font>
      <sz val="11"/>
      <color theme="1" tint="0.499984740745262"/>
      <name val="Calibri"/>
      <family val="2"/>
      <scheme val="minor"/>
    </font>
    <font>
      <sz val="8"/>
      <color rgb="FFFF0000"/>
      <name val="Arial"/>
      <family val="2"/>
    </font>
    <font>
      <sz val="10"/>
      <color indexed="9"/>
      <name val="Arial"/>
      <family val="2"/>
    </font>
    <font>
      <b/>
      <sz val="8"/>
      <color indexed="81"/>
      <name val="Tahoma"/>
      <family val="2"/>
    </font>
    <font>
      <sz val="8"/>
      <color indexed="81"/>
      <name val="Tahoma"/>
      <family val="2"/>
    </font>
    <font>
      <b/>
      <sz val="12"/>
      <color rgb="FFFF0000"/>
      <name val="Arial"/>
      <family val="2"/>
    </font>
    <font>
      <b/>
      <sz val="11"/>
      <color rgb="FFFA7D00"/>
      <name val="Calibri"/>
      <family val="2"/>
      <scheme val="minor"/>
    </font>
    <font>
      <sz val="11"/>
      <color rgb="FFFA7D00"/>
      <name val="Calibri"/>
      <family val="2"/>
      <scheme val="minor"/>
    </font>
    <font>
      <b/>
      <sz val="11"/>
      <color theme="0"/>
      <name val="Calibri"/>
      <family val="2"/>
      <scheme val="minor"/>
    </font>
    <font>
      <sz val="9"/>
      <color indexed="81"/>
      <name val="Segoe UI"/>
      <family val="2"/>
    </font>
    <font>
      <b/>
      <sz val="9"/>
      <color indexed="81"/>
      <name val="Segoe UI"/>
      <family val="2"/>
    </font>
    <font>
      <b/>
      <sz val="12"/>
      <color rgb="FF000000"/>
      <name val="Calibri"/>
      <family val="2"/>
    </font>
    <font>
      <sz val="11"/>
      <color rgb="FF3F3F76"/>
      <name val="Calibri"/>
      <family val="2"/>
    </font>
    <font>
      <sz val="11"/>
      <color rgb="FFFA7D00"/>
      <name val="Calibri"/>
      <family val="2"/>
    </font>
    <font>
      <b/>
      <sz val="11"/>
      <color rgb="FF3F3F3F"/>
      <name val="Calibri"/>
      <family val="2"/>
    </font>
    <font>
      <sz val="11"/>
      <color theme="1"/>
      <name val="Calibri"/>
      <family val="2"/>
    </font>
    <font>
      <sz val="11"/>
      <color rgb="FF000000"/>
      <name val="Calibri"/>
      <family val="2"/>
    </font>
    <font>
      <b/>
      <u/>
      <sz val="11"/>
      <color rgb="FFFA7D00"/>
      <name val="Calibri"/>
      <family val="2"/>
      <scheme val="minor"/>
    </font>
    <font>
      <b/>
      <u/>
      <sz val="14"/>
      <color rgb="FFFA7D00"/>
      <name val="Calibri"/>
      <family val="2"/>
      <scheme val="minor"/>
    </font>
    <font>
      <b/>
      <u/>
      <sz val="16"/>
      <color rgb="FFFA7D00"/>
      <name val="Calibri"/>
      <family val="2"/>
      <scheme val="minor"/>
    </font>
    <font>
      <b/>
      <u/>
      <sz val="14"/>
      <name val="Arial"/>
      <family val="2"/>
    </font>
    <font>
      <b/>
      <sz val="14"/>
      <color rgb="FFFA7D00"/>
      <name val="Calibri"/>
      <family val="2"/>
      <scheme val="minor"/>
    </font>
    <font>
      <b/>
      <sz val="14"/>
      <color rgb="FF3F3F3F"/>
      <name val="Calibri"/>
      <family val="2"/>
    </font>
    <font>
      <b/>
      <sz val="11"/>
      <color rgb="FFFA7D00"/>
      <name val="Calibri"/>
      <family val="2"/>
    </font>
    <font>
      <b/>
      <sz val="11"/>
      <color theme="5" tint="0.39997558519241921"/>
      <name val="Calibri"/>
      <family val="2"/>
    </font>
    <font>
      <sz val="11"/>
      <color theme="5" tint="0.39997558519241921"/>
      <name val="Calibri"/>
      <family val="2"/>
    </font>
    <font>
      <b/>
      <sz val="10"/>
      <color theme="5" tint="0.39997558519241921"/>
      <name val="Arial"/>
      <family val="2"/>
    </font>
    <font>
      <b/>
      <sz val="14"/>
      <color theme="1"/>
      <name val="Calibri"/>
      <family val="2"/>
      <scheme val="minor"/>
    </font>
    <font>
      <b/>
      <u/>
      <sz val="11"/>
      <color theme="1"/>
      <name val="Calibri"/>
      <family val="2"/>
      <scheme val="minor"/>
    </font>
    <font>
      <sz val="12"/>
      <color rgb="FF000000"/>
      <name val="Calibri"/>
      <family val="2"/>
      <scheme val="minor"/>
    </font>
    <font>
      <b/>
      <sz val="18"/>
      <color theme="1"/>
      <name val="Calibri"/>
      <family val="2"/>
      <scheme val="minor"/>
    </font>
    <font>
      <sz val="9"/>
      <color indexed="81"/>
      <name val="Segoe UI"/>
      <charset val="1"/>
    </font>
    <font>
      <b/>
      <sz val="9"/>
      <color indexed="81"/>
      <name val="Segoe UI"/>
      <charset val="1"/>
    </font>
    <font>
      <b/>
      <u/>
      <sz val="11"/>
      <color rgb="FFFA7D00"/>
      <name val="Calibri"/>
      <family val="2"/>
    </font>
    <font>
      <b/>
      <sz val="11"/>
      <color theme="0" tint="-0.499984740745262"/>
      <name val="Calibri"/>
      <family val="2"/>
    </font>
    <font>
      <sz val="10"/>
      <color theme="0" tint="-0.499984740745262"/>
      <name val="Arial"/>
      <family val="2"/>
    </font>
    <font>
      <sz val="11"/>
      <color theme="0" tint="-0.499984740745262"/>
      <name val="Calibri"/>
      <family val="2"/>
      <scheme val="minor"/>
    </font>
    <font>
      <b/>
      <u/>
      <sz val="11"/>
      <color theme="0" tint="-0.499984740745262"/>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indexed="45"/>
        <bgColor indexed="64"/>
      </patternFill>
    </fill>
    <fill>
      <patternFill patternType="solid">
        <fgColor rgb="FFFFFF00"/>
        <bgColor indexed="64"/>
      </patternFill>
    </fill>
    <fill>
      <patternFill patternType="solid">
        <fgColor rgb="FFFFC000"/>
        <bgColor indexed="64"/>
      </patternFill>
    </fill>
    <fill>
      <patternFill patternType="solid">
        <fgColor indexed="43"/>
        <bgColor indexed="64"/>
      </patternFill>
    </fill>
    <fill>
      <patternFill patternType="solid">
        <fgColor indexed="8"/>
        <bgColor indexed="64"/>
      </patternFill>
    </fill>
    <fill>
      <patternFill patternType="solid">
        <fgColor theme="2" tint="-0.249977111117893"/>
        <bgColor indexed="64"/>
      </patternFill>
    </fill>
    <fill>
      <patternFill patternType="solid">
        <fgColor rgb="FFF2F2F2"/>
      </patternFill>
    </fill>
    <fill>
      <patternFill patternType="solid">
        <fgColor rgb="FFA5A5A5"/>
      </patternFill>
    </fill>
    <fill>
      <patternFill patternType="solid">
        <fgColor theme="0"/>
        <bgColor theme="0"/>
      </patternFill>
    </fill>
    <fill>
      <patternFill patternType="solid">
        <fgColor rgb="FFFFCC99"/>
        <bgColor rgb="FFFFCC99"/>
      </patternFill>
    </fill>
    <fill>
      <patternFill patternType="solid">
        <fgColor rgb="FFF2F2F2"/>
        <bgColor rgb="FFF2F2F2"/>
      </patternFill>
    </fill>
    <fill>
      <patternFill patternType="solid">
        <fgColor rgb="FFFFFFCC"/>
        <bgColor rgb="FFFFFFCC"/>
      </patternFill>
    </fill>
    <fill>
      <patternFill patternType="solid">
        <fgColor rgb="FFFF00FF"/>
        <bgColor indexed="64"/>
      </patternFill>
    </fill>
    <fill>
      <patternFill patternType="solid">
        <fgColor theme="0" tint="-0.249977111117893"/>
        <bgColor indexed="64"/>
      </patternFill>
    </fill>
  </fills>
  <borders count="9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auto="1"/>
      </bottom>
      <diagonal/>
    </border>
    <border>
      <left/>
      <right style="medium">
        <color auto="1"/>
      </right>
      <top/>
      <bottom style="medium">
        <color auto="1"/>
      </bottom>
      <diagonal/>
    </border>
    <border>
      <left/>
      <right style="thin">
        <color indexed="64"/>
      </right>
      <top style="thin">
        <color indexed="64"/>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auto="1"/>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3F3F3F"/>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thin">
        <color rgb="FF3F3F3F"/>
      </left>
      <right style="medium">
        <color indexed="64"/>
      </right>
      <top style="thin">
        <color rgb="FF3F3F3F"/>
      </top>
      <bottom style="thin">
        <color rgb="FF3F3F3F"/>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style="thin">
        <color rgb="FF7F7F7F"/>
      </right>
      <top/>
      <bottom style="thin">
        <color rgb="FF7F7F7F"/>
      </bottom>
      <diagonal/>
    </border>
    <border>
      <left style="thin">
        <color rgb="FF7F7F7F"/>
      </left>
      <right/>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bottom style="medium">
        <color indexed="64"/>
      </bottom>
      <diagonal/>
    </border>
    <border>
      <left style="thin">
        <color rgb="FF7F7F7F"/>
      </left>
      <right style="medium">
        <color indexed="64"/>
      </right>
      <top/>
      <bottom style="medium">
        <color indexed="64"/>
      </bottom>
      <diagonal/>
    </border>
    <border>
      <left style="medium">
        <color indexed="64"/>
      </left>
      <right style="medium">
        <color indexed="64"/>
      </right>
      <top/>
      <bottom style="thin">
        <color rgb="FF7F7F7F"/>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medium">
        <color indexed="64"/>
      </right>
      <top style="thin">
        <color indexed="64"/>
      </top>
      <bottom style="thin">
        <color indexed="64"/>
      </bottom>
      <diagonal/>
    </border>
    <border>
      <left/>
      <right style="medium">
        <color indexed="64"/>
      </right>
      <top/>
      <bottom style="thin">
        <color rgb="FF7F7F7F"/>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3F3F3F"/>
      </bottom>
      <diagonal/>
    </border>
    <border>
      <left style="medium">
        <color indexed="64"/>
      </left>
      <right style="medium">
        <color indexed="64"/>
      </right>
      <top style="thin">
        <color rgb="FF3F3F3F"/>
      </top>
      <bottom style="thin">
        <color rgb="FF3F3F3F"/>
      </bottom>
      <diagonal/>
    </border>
    <border>
      <left style="medium">
        <color indexed="64"/>
      </left>
      <right style="medium">
        <color indexed="64"/>
      </right>
      <top style="thin">
        <color rgb="FF3F3F3F"/>
      </top>
      <bottom style="medium">
        <color indexed="64"/>
      </bottom>
      <diagonal/>
    </border>
    <border>
      <left style="thin">
        <color rgb="FF7F7F7F"/>
      </left>
      <right style="medium">
        <color indexed="64"/>
      </right>
      <top style="medium">
        <color indexed="64"/>
      </top>
      <bottom/>
      <diagonal/>
    </border>
    <border>
      <left style="thin">
        <color auto="1"/>
      </left>
      <right style="thin">
        <color auto="1"/>
      </right>
      <top style="medium">
        <color indexed="64"/>
      </top>
      <bottom style="medium">
        <color indexed="64"/>
      </bottom>
      <diagonal/>
    </border>
    <border>
      <left style="thin">
        <color rgb="FF7F7F7F"/>
      </left>
      <right style="thin">
        <color rgb="FF7F7F7F"/>
      </right>
      <top/>
      <bottom/>
      <diagonal/>
    </border>
    <border>
      <left style="thin">
        <color rgb="FF7F7F7F"/>
      </left>
      <right/>
      <top/>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3F3F3F"/>
      </right>
      <top style="medium">
        <color indexed="64"/>
      </top>
      <bottom style="thin">
        <color rgb="FF3F3F3F"/>
      </bottom>
      <diagonal/>
    </border>
    <border>
      <left style="medium">
        <color indexed="64"/>
      </left>
      <right style="thin">
        <color rgb="FF3F3F3F"/>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style="medium">
        <color indexed="64"/>
      </left>
      <right style="medium">
        <color indexed="64"/>
      </right>
      <top/>
      <bottom style="thin">
        <color rgb="FF3F3F3F"/>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thin">
        <color rgb="FF3F3F3F"/>
      </top>
      <bottom/>
      <diagonal/>
    </border>
  </borders>
  <cellStyleXfs count="11">
    <xf numFmtId="0" fontId="0" fillId="0" borderId="0"/>
    <xf numFmtId="0" fontId="3" fillId="0" borderId="0"/>
    <xf numFmtId="0" fontId="15" fillId="0" borderId="0"/>
    <xf numFmtId="0" fontId="17"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0" fontId="24" fillId="16" borderId="41" applyNumberFormat="0" applyAlignment="0" applyProtection="0"/>
    <xf numFmtId="0" fontId="26" fillId="17" borderId="44" applyNumberFormat="0" applyAlignment="0" applyProtection="0"/>
    <xf numFmtId="0" fontId="3" fillId="0" borderId="0"/>
  </cellStyleXfs>
  <cellXfs count="384">
    <xf numFmtId="0" fontId="0" fillId="0" borderId="0" xfId="0"/>
    <xf numFmtId="0" fontId="0" fillId="0" borderId="1" xfId="0" applyBorder="1"/>
    <xf numFmtId="0" fontId="16" fillId="0" borderId="0" xfId="0" applyFont="1"/>
    <xf numFmtId="0" fontId="0" fillId="0" borderId="10" xfId="0" applyBorder="1"/>
    <xf numFmtId="0" fontId="16" fillId="0" borderId="15" xfId="0" applyFont="1" applyBorder="1"/>
    <xf numFmtId="0" fontId="16" fillId="0" borderId="21" xfId="0" applyFont="1" applyBorder="1"/>
    <xf numFmtId="0" fontId="16" fillId="0" borderId="17" xfId="0" applyFont="1" applyBorder="1"/>
    <xf numFmtId="0" fontId="16" fillId="0" borderId="26" xfId="0" applyFont="1" applyBorder="1"/>
    <xf numFmtId="0" fontId="0" fillId="0" borderId="27" xfId="0" applyBorder="1"/>
    <xf numFmtId="0" fontId="0" fillId="0" borderId="28" xfId="0" applyBorder="1"/>
    <xf numFmtId="0" fontId="0" fillId="0" borderId="11" xfId="0" applyBorder="1"/>
    <xf numFmtId="0" fontId="16" fillId="0" borderId="16" xfId="0" applyFont="1" applyBorder="1"/>
    <xf numFmtId="0" fontId="16" fillId="0" borderId="22" xfId="0" applyFont="1" applyBorder="1"/>
    <xf numFmtId="0" fontId="16" fillId="0" borderId="28" xfId="0" applyFont="1" applyBorder="1"/>
    <xf numFmtId="0" fontId="16" fillId="0" borderId="23" xfId="0" applyFont="1" applyBorder="1"/>
    <xf numFmtId="0" fontId="0" fillId="5" borderId="29" xfId="0" applyFill="1" applyBorder="1"/>
    <xf numFmtId="0" fontId="0" fillId="5" borderId="11" xfId="0" applyFill="1" applyBorder="1"/>
    <xf numFmtId="0" fontId="0" fillId="5" borderId="30" xfId="0" applyFill="1" applyBorder="1"/>
    <xf numFmtId="0" fontId="0" fillId="7" borderId="5" xfId="0" applyFill="1" applyBorder="1"/>
    <xf numFmtId="0" fontId="0" fillId="0" borderId="26" xfId="0" applyBorder="1"/>
    <xf numFmtId="0" fontId="0" fillId="0" borderId="21" xfId="0" applyBorder="1"/>
    <xf numFmtId="0" fontId="0" fillId="0" borderId="22" xfId="0" applyBorder="1"/>
    <xf numFmtId="0" fontId="0" fillId="4" borderId="19" xfId="0" applyFill="1" applyBorder="1"/>
    <xf numFmtId="0" fontId="0" fillId="4" borderId="13" xfId="0" applyFill="1" applyBorder="1"/>
    <xf numFmtId="0" fontId="0" fillId="4" borderId="18" xfId="0" applyFill="1" applyBorder="1"/>
    <xf numFmtId="0" fontId="0" fillId="4" borderId="27" xfId="0" applyFill="1" applyBorder="1"/>
    <xf numFmtId="0" fontId="0" fillId="4" borderId="1" xfId="0" applyFill="1" applyBorder="1"/>
    <xf numFmtId="0" fontId="0" fillId="4" borderId="10" xfId="0" applyFill="1" applyBorder="1"/>
    <xf numFmtId="0" fontId="17" fillId="0" borderId="0" xfId="3"/>
    <xf numFmtId="0" fontId="3" fillId="0" borderId="0" xfId="3" applyFont="1"/>
    <xf numFmtId="0" fontId="5" fillId="0" borderId="0" xfId="3" applyFont="1" applyAlignment="1">
      <alignment wrapText="1"/>
    </xf>
    <xf numFmtId="9" fontId="0" fillId="0" borderId="0" xfId="4" applyFont="1"/>
    <xf numFmtId="0" fontId="17" fillId="0" borderId="0" xfId="3" applyAlignment="1">
      <alignment wrapText="1"/>
    </xf>
    <xf numFmtId="0" fontId="3" fillId="0" borderId="0" xfId="3" applyFont="1" applyAlignment="1">
      <alignment wrapText="1"/>
    </xf>
    <xf numFmtId="0" fontId="17" fillId="0" borderId="1" xfId="3" applyFill="1" applyBorder="1" applyAlignment="1">
      <alignment wrapText="1"/>
    </xf>
    <xf numFmtId="0" fontId="3" fillId="0" borderId="1" xfId="3" applyFont="1" applyBorder="1" applyAlignment="1">
      <alignment horizontal="center" wrapText="1"/>
    </xf>
    <xf numFmtId="0" fontId="17" fillId="0" borderId="1" xfId="3" applyBorder="1" applyAlignment="1">
      <alignment horizontal="center" wrapText="1"/>
    </xf>
    <xf numFmtId="0" fontId="10" fillId="0" borderId="0" xfId="2" applyFont="1" applyFill="1" applyBorder="1" applyAlignment="1">
      <alignment wrapText="1"/>
    </xf>
    <xf numFmtId="0" fontId="17" fillId="6" borderId="0" xfId="3" applyFill="1" applyAlignment="1">
      <alignment wrapText="1"/>
    </xf>
    <xf numFmtId="0" fontId="17" fillId="0" borderId="0" xfId="3" applyFill="1" applyAlignment="1">
      <alignment wrapText="1"/>
    </xf>
    <xf numFmtId="0" fontId="8" fillId="6" borderId="0" xfId="3" applyFont="1" applyFill="1" applyAlignment="1">
      <alignment wrapText="1"/>
    </xf>
    <xf numFmtId="0" fontId="6" fillId="2" borderId="1" xfId="3" applyFont="1" applyFill="1" applyBorder="1" applyAlignment="1">
      <alignment horizontal="center" vertical="center" wrapText="1"/>
    </xf>
    <xf numFmtId="0" fontId="11" fillId="2" borderId="1" xfId="3" applyFont="1" applyFill="1" applyBorder="1" applyAlignment="1">
      <alignment horizontal="center" vertical="center" wrapText="1"/>
    </xf>
    <xf numFmtId="0" fontId="6" fillId="0" borderId="0"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3" fillId="0" borderId="1" xfId="3" applyFont="1" applyFill="1" applyBorder="1" applyAlignment="1">
      <alignment horizontal="left" vertical="center" wrapText="1"/>
    </xf>
    <xf numFmtId="2" fontId="17" fillId="0" borderId="1" xfId="3" applyNumberFormat="1" applyBorder="1" applyAlignment="1">
      <alignment horizontal="center" wrapText="1"/>
    </xf>
    <xf numFmtId="2" fontId="17" fillId="0" borderId="0" xfId="3" applyNumberFormat="1" applyBorder="1" applyAlignment="1">
      <alignment horizontal="center" wrapText="1"/>
    </xf>
    <xf numFmtId="2" fontId="3" fillId="0" borderId="1" xfId="3" applyNumberFormat="1" applyFont="1" applyBorder="1" applyAlignment="1">
      <alignment horizontal="center" wrapText="1"/>
    </xf>
    <xf numFmtId="0" fontId="17" fillId="8" borderId="1" xfId="3" applyFill="1" applyBorder="1" applyAlignment="1">
      <alignment horizontal="center" wrapText="1"/>
    </xf>
    <xf numFmtId="0" fontId="4" fillId="0" borderId="1" xfId="3" applyFont="1" applyBorder="1" applyAlignment="1">
      <alignment horizontal="center" wrapText="1"/>
    </xf>
    <xf numFmtId="0" fontId="4" fillId="0" borderId="1" xfId="3" applyFont="1" applyFill="1" applyBorder="1" applyAlignment="1">
      <alignment horizontal="left" vertical="center" wrapText="1"/>
    </xf>
    <xf numFmtId="2" fontId="4" fillId="0" borderId="1" xfId="3" applyNumberFormat="1" applyFont="1" applyBorder="1" applyAlignment="1">
      <alignment horizontal="center" wrapText="1"/>
    </xf>
    <xf numFmtId="0" fontId="17" fillId="0" borderId="0" xfId="3" applyBorder="1" applyAlignment="1">
      <alignment horizontal="center" wrapText="1"/>
    </xf>
    <xf numFmtId="0" fontId="18" fillId="0" borderId="0" xfId="0" applyFont="1"/>
    <xf numFmtId="0" fontId="6" fillId="7" borderId="20" xfId="3" applyFont="1" applyFill="1" applyBorder="1" applyAlignment="1">
      <alignment horizontal="center" wrapText="1"/>
    </xf>
    <xf numFmtId="0" fontId="17" fillId="0" borderId="0" xfId="3" applyAlignment="1">
      <alignment horizontal="center" wrapText="1"/>
    </xf>
    <xf numFmtId="0" fontId="3" fillId="0" borderId="0" xfId="3" applyFont="1" applyAlignment="1">
      <alignment horizontal="right" wrapText="1"/>
    </xf>
    <xf numFmtId="3" fontId="17" fillId="0" borderId="0" xfId="3" applyNumberFormat="1" applyAlignment="1">
      <alignment wrapText="1"/>
    </xf>
    <xf numFmtId="0" fontId="4" fillId="0" borderId="0" xfId="3" applyFont="1" applyAlignment="1">
      <alignment wrapText="1"/>
    </xf>
    <xf numFmtId="0" fontId="3" fillId="0" borderId="0" xfId="3" applyFont="1" applyFill="1" applyBorder="1" applyAlignment="1">
      <alignment wrapText="1"/>
    </xf>
    <xf numFmtId="0" fontId="17" fillId="0" borderId="0" xfId="3" applyAlignment="1">
      <alignment horizontal="right" wrapText="1"/>
    </xf>
    <xf numFmtId="2" fontId="17" fillId="0" borderId="0" xfId="3" applyNumberFormat="1" applyAlignment="1">
      <alignment wrapText="1"/>
    </xf>
    <xf numFmtId="0" fontId="3" fillId="0" borderId="0" xfId="3" applyFont="1" applyAlignment="1">
      <alignment horizontal="center" wrapText="1"/>
    </xf>
    <xf numFmtId="0" fontId="5" fillId="3" borderId="0" xfId="3" applyFont="1" applyFill="1" applyAlignment="1">
      <alignment wrapText="1"/>
    </xf>
    <xf numFmtId="0" fontId="17" fillId="0" borderId="0" xfId="3" applyBorder="1" applyAlignment="1">
      <alignment wrapText="1"/>
    </xf>
    <xf numFmtId="0" fontId="8" fillId="0" borderId="0" xfId="3" applyFont="1" applyAlignment="1">
      <alignment wrapText="1"/>
    </xf>
    <xf numFmtId="0" fontId="17" fillId="0" borderId="0" xfId="3" applyFill="1" applyBorder="1" applyAlignment="1">
      <alignment wrapText="1"/>
    </xf>
    <xf numFmtId="0" fontId="8" fillId="0" borderId="6" xfId="3" applyFont="1" applyBorder="1" applyAlignment="1">
      <alignment horizontal="center" wrapText="1"/>
    </xf>
    <xf numFmtId="164" fontId="17" fillId="0" borderId="0" xfId="3" applyNumberFormat="1" applyAlignment="1">
      <alignment wrapText="1"/>
    </xf>
    <xf numFmtId="0" fontId="14" fillId="0" borderId="0" xfId="3" applyFont="1" applyAlignment="1">
      <alignment wrapText="1"/>
    </xf>
    <xf numFmtId="0" fontId="12" fillId="0" borderId="0" xfId="3" applyFont="1" applyFill="1" applyBorder="1" applyAlignment="1">
      <alignment wrapText="1"/>
    </xf>
    <xf numFmtId="164" fontId="17" fillId="0" borderId="0" xfId="3" applyNumberFormat="1" applyFill="1" applyBorder="1" applyAlignment="1">
      <alignment wrapText="1"/>
    </xf>
    <xf numFmtId="0" fontId="17" fillId="0" borderId="0" xfId="3" applyFill="1" applyBorder="1" applyAlignment="1">
      <alignment horizontal="right" wrapText="1"/>
    </xf>
    <xf numFmtId="1" fontId="17" fillId="0" borderId="0" xfId="3" applyNumberFormat="1" applyFill="1" applyBorder="1" applyAlignment="1">
      <alignment wrapText="1"/>
    </xf>
    <xf numFmtId="0" fontId="6" fillId="0" borderId="0" xfId="3" applyFont="1" applyFill="1" applyBorder="1" applyAlignment="1">
      <alignment horizontal="center" wrapText="1"/>
    </xf>
    <xf numFmtId="0" fontId="12" fillId="0" borderId="0" xfId="5" applyFont="1"/>
    <xf numFmtId="0" fontId="3" fillId="0" borderId="0" xfId="5" applyNumberFormat="1"/>
    <xf numFmtId="9" fontId="12" fillId="0" borderId="0" xfId="4" applyFont="1"/>
    <xf numFmtId="0" fontId="3" fillId="0" borderId="0" xfId="5"/>
    <xf numFmtId="0" fontId="3" fillId="0" borderId="0" xfId="5" applyAlignment="1">
      <alignment horizontal="center"/>
    </xf>
    <xf numFmtId="0" fontId="3" fillId="0" borderId="0" xfId="5" applyProtection="1">
      <protection locked="0"/>
    </xf>
    <xf numFmtId="0" fontId="3" fillId="11" borderId="0" xfId="5" applyFill="1"/>
    <xf numFmtId="0" fontId="3" fillId="0" borderId="0" xfId="5" applyFont="1"/>
    <xf numFmtId="0" fontId="12" fillId="10" borderId="0" xfId="5" applyFont="1" applyFill="1"/>
    <xf numFmtId="0" fontId="3" fillId="12" borderId="0" xfId="5" applyFont="1" applyFill="1" applyAlignment="1" applyProtection="1">
      <alignment horizontal="left" wrapText="1"/>
    </xf>
    <xf numFmtId="0" fontId="3" fillId="12" borderId="0" xfId="5" applyFill="1" applyAlignment="1" applyProtection="1">
      <alignment wrapText="1"/>
    </xf>
    <xf numFmtId="0" fontId="3" fillId="12" borderId="0" xfId="5" applyFill="1" applyAlignment="1" applyProtection="1">
      <alignment horizontal="center" wrapText="1"/>
    </xf>
    <xf numFmtId="0" fontId="3" fillId="0" borderId="0" xfId="5" applyAlignment="1"/>
    <xf numFmtId="0" fontId="3" fillId="0" borderId="0" xfId="5" applyAlignment="1" applyProtection="1">
      <protection locked="0"/>
    </xf>
    <xf numFmtId="0" fontId="12" fillId="0" borderId="0" xfId="5" applyFont="1" applyAlignment="1" applyProtection="1">
      <alignment horizontal="center"/>
    </xf>
    <xf numFmtId="0" fontId="3" fillId="0" borderId="0" xfId="5" applyNumberFormat="1" applyFont="1" applyAlignment="1" applyProtection="1">
      <alignment vertical="center"/>
      <protection locked="0"/>
    </xf>
    <xf numFmtId="0" fontId="3" fillId="11" borderId="0" xfId="5" applyFill="1" applyProtection="1">
      <protection locked="0"/>
    </xf>
    <xf numFmtId="0" fontId="3" fillId="11" borderId="0" xfId="5" applyNumberFormat="1" applyFont="1" applyFill="1" applyAlignment="1" applyProtection="1">
      <alignment vertical="center"/>
      <protection locked="0"/>
    </xf>
    <xf numFmtId="0" fontId="5" fillId="11" borderId="0" xfId="5" applyFont="1" applyFill="1"/>
    <xf numFmtId="0" fontId="5" fillId="11" borderId="0" xfId="5" applyFont="1" applyFill="1" applyProtection="1">
      <protection locked="0"/>
    </xf>
    <xf numFmtId="0" fontId="12" fillId="13" borderId="0" xfId="5" applyFont="1" applyFill="1" applyProtection="1">
      <protection locked="0"/>
    </xf>
    <xf numFmtId="0" fontId="12" fillId="13" borderId="0" xfId="5" applyFont="1" applyFill="1" applyAlignment="1" applyProtection="1">
      <alignment horizontal="center"/>
      <protection locked="0"/>
    </xf>
    <xf numFmtId="0" fontId="19" fillId="13" borderId="0" xfId="5" applyFont="1" applyFill="1" applyProtection="1">
      <protection locked="0"/>
    </xf>
    <xf numFmtId="9" fontId="12" fillId="13" borderId="0" xfId="4" applyFont="1" applyFill="1" applyProtection="1">
      <protection locked="0"/>
    </xf>
    <xf numFmtId="0" fontId="3" fillId="0" borderId="0" xfId="5" applyFont="1" applyProtection="1">
      <protection locked="0"/>
    </xf>
    <xf numFmtId="0" fontId="3" fillId="13" borderId="0" xfId="5" applyFill="1" applyProtection="1">
      <protection locked="0"/>
    </xf>
    <xf numFmtId="0" fontId="20" fillId="14" borderId="24" xfId="5" applyFont="1" applyFill="1" applyBorder="1"/>
    <xf numFmtId="0" fontId="8" fillId="0" borderId="0" xfId="3" applyFont="1" applyFill="1" applyBorder="1" applyAlignment="1">
      <alignment horizontal="center" wrapText="1"/>
    </xf>
    <xf numFmtId="0" fontId="9" fillId="0" borderId="0" xfId="3" applyFont="1" applyFill="1" applyBorder="1" applyAlignment="1">
      <alignment horizontal="center" vertical="center" wrapText="1"/>
    </xf>
    <xf numFmtId="0" fontId="9" fillId="0" borderId="0" xfId="3" applyFont="1" applyFill="1" applyBorder="1" applyAlignment="1">
      <alignment horizontal="center" wrapText="1"/>
    </xf>
    <xf numFmtId="0" fontId="6" fillId="7" borderId="20" xfId="3" applyFont="1" applyFill="1" applyBorder="1" applyAlignment="1">
      <alignment horizontal="center" wrapText="1"/>
    </xf>
    <xf numFmtId="0" fontId="6" fillId="0" borderId="0" xfId="3" applyFont="1" applyAlignment="1">
      <alignment wrapText="1"/>
    </xf>
    <xf numFmtId="0" fontId="8" fillId="0" borderId="0" xfId="3" applyFont="1" applyBorder="1" applyAlignment="1">
      <alignment horizontal="center" wrapText="1"/>
    </xf>
    <xf numFmtId="0" fontId="0" fillId="0" borderId="0" xfId="0" applyFill="1"/>
    <xf numFmtId="2" fontId="17" fillId="0" borderId="0" xfId="3" applyNumberFormat="1" applyFill="1" applyBorder="1" applyAlignment="1">
      <alignment horizontal="center" wrapText="1"/>
    </xf>
    <xf numFmtId="0" fontId="17" fillId="0" borderId="0" xfId="3" applyFill="1" applyBorder="1" applyAlignment="1">
      <alignment horizontal="center" wrapText="1"/>
    </xf>
    <xf numFmtId="0" fontId="17" fillId="0" borderId="7" xfId="3" applyBorder="1" applyAlignment="1">
      <alignment wrapText="1"/>
    </xf>
    <xf numFmtId="0" fontId="7" fillId="0" borderId="0" xfId="3" applyFont="1" applyFill="1" applyBorder="1" applyAlignment="1">
      <alignment wrapText="1"/>
    </xf>
    <xf numFmtId="0" fontId="3" fillId="0" borderId="0" xfId="0" applyFont="1"/>
    <xf numFmtId="0" fontId="6" fillId="2" borderId="1" xfId="0" applyFont="1" applyFill="1" applyBorder="1" applyAlignment="1">
      <alignment horizontal="center" vertical="center" wrapText="1"/>
    </xf>
    <xf numFmtId="0" fontId="3" fillId="0" borderId="0" xfId="1"/>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3" fillId="0" borderId="1" xfId="1" applyFont="1" applyBorder="1"/>
    <xf numFmtId="0" fontId="3" fillId="15" borderId="1" xfId="1" applyFont="1" applyFill="1" applyBorder="1"/>
    <xf numFmtId="0" fontId="6" fillId="2" borderId="28" xfId="1" applyFont="1" applyFill="1" applyBorder="1" applyAlignment="1">
      <alignment horizontal="center" vertical="center" wrapText="1"/>
    </xf>
    <xf numFmtId="0" fontId="6" fillId="15" borderId="11" xfId="1" applyFont="1" applyFill="1" applyBorder="1"/>
    <xf numFmtId="0" fontId="16" fillId="2" borderId="1" xfId="0" applyFont="1" applyFill="1" applyBorder="1" applyAlignment="1">
      <alignment horizontal="center" wrapText="1"/>
    </xf>
    <xf numFmtId="0" fontId="1" fillId="0" borderId="0" xfId="3" applyFont="1" applyFill="1" applyAlignment="1"/>
    <xf numFmtId="0" fontId="8" fillId="6" borderId="0" xfId="0" applyFont="1" applyFill="1" applyAlignment="1"/>
    <xf numFmtId="0" fontId="0" fillId="6" borderId="0" xfId="0" applyFill="1" applyAlignment="1">
      <alignment wrapText="1"/>
    </xf>
    <xf numFmtId="0" fontId="11" fillId="2" borderId="1" xfId="0" applyFont="1" applyFill="1" applyBorder="1" applyAlignment="1">
      <alignment horizontal="center" vertical="center" wrapText="1"/>
    </xf>
    <xf numFmtId="9" fontId="0" fillId="0" borderId="0" xfId="0" applyNumberFormat="1"/>
    <xf numFmtId="0" fontId="8" fillId="6" borderId="0" xfId="0" applyFont="1" applyFill="1" applyAlignment="1">
      <alignment wrapText="1"/>
    </xf>
    <xf numFmtId="164" fontId="13" fillId="0" borderId="1" xfId="3" applyNumberFormat="1" applyFont="1" applyFill="1" applyBorder="1" applyAlignment="1">
      <alignment horizontal="right" wrapText="1"/>
    </xf>
    <xf numFmtId="0" fontId="13" fillId="0" borderId="10" xfId="3" applyFont="1" applyFill="1" applyBorder="1" applyAlignment="1">
      <alignment horizontal="right" wrapText="1"/>
    </xf>
    <xf numFmtId="0" fontId="13" fillId="0" borderId="8" xfId="3" applyFont="1" applyFill="1" applyBorder="1" applyAlignment="1">
      <alignment horizontal="right" wrapText="1"/>
    </xf>
    <xf numFmtId="0" fontId="13" fillId="0" borderId="1" xfId="3" applyFont="1" applyFill="1" applyBorder="1" applyAlignment="1">
      <alignment horizontal="right" wrapText="1"/>
    </xf>
    <xf numFmtId="3" fontId="13" fillId="0" borderId="8" xfId="3" applyNumberFormat="1" applyFont="1" applyFill="1" applyBorder="1" applyAlignment="1">
      <alignment horizontal="center" wrapText="1"/>
    </xf>
    <xf numFmtId="165" fontId="13" fillId="0" borderId="8" xfId="3" applyNumberFormat="1" applyFont="1" applyFill="1" applyBorder="1" applyAlignment="1">
      <alignment horizontal="center" wrapText="1"/>
    </xf>
    <xf numFmtId="165" fontId="13" fillId="0" borderId="1" xfId="3" applyNumberFormat="1" applyFont="1" applyFill="1" applyBorder="1" applyAlignment="1">
      <alignment horizontal="center" wrapText="1"/>
    </xf>
    <xf numFmtId="165" fontId="13" fillId="0" borderId="11" xfId="3" applyNumberFormat="1" applyFont="1" applyFill="1" applyBorder="1" applyAlignment="1">
      <alignment horizontal="center" wrapText="1"/>
    </xf>
    <xf numFmtId="0" fontId="23" fillId="0" borderId="0" xfId="3" applyFont="1" applyBorder="1" applyAlignment="1">
      <alignment horizontal="center" wrapText="1"/>
    </xf>
    <xf numFmtId="0" fontId="8" fillId="6" borderId="20" xfId="0" applyFont="1" applyFill="1" applyBorder="1" applyAlignment="1"/>
    <xf numFmtId="0" fontId="8" fillId="6" borderId="20" xfId="0" applyFont="1" applyFill="1" applyBorder="1" applyAlignment="1">
      <alignment wrapText="1"/>
    </xf>
    <xf numFmtId="0" fontId="6" fillId="2" borderId="10" xfId="0" applyFont="1" applyFill="1" applyBorder="1" applyAlignment="1">
      <alignment horizontal="center" vertical="center" wrapText="1"/>
    </xf>
    <xf numFmtId="0" fontId="30" fillId="19" borderId="46" xfId="0" applyFont="1" applyFill="1" applyBorder="1" applyAlignment="1">
      <alignment horizontal="center" wrapText="1"/>
    </xf>
    <xf numFmtId="0" fontId="30" fillId="19" borderId="46" xfId="0" applyFont="1" applyFill="1" applyBorder="1" applyAlignment="1">
      <alignment wrapText="1"/>
    </xf>
    <xf numFmtId="0" fontId="31" fillId="0" borderId="43" xfId="0" applyFont="1" applyBorder="1" applyAlignment="1">
      <alignment horizontal="center" wrapText="1"/>
    </xf>
    <xf numFmtId="0" fontId="31" fillId="0" borderId="43" xfId="0" applyFont="1" applyBorder="1" applyAlignment="1">
      <alignment wrapText="1"/>
    </xf>
    <xf numFmtId="0" fontId="32" fillId="20" borderId="42" xfId="0" applyFont="1" applyFill="1" applyBorder="1" applyAlignment="1">
      <alignment horizontal="center" wrapText="1"/>
    </xf>
    <xf numFmtId="0" fontId="32" fillId="20" borderId="42" xfId="0" applyFont="1" applyFill="1" applyBorder="1" applyAlignment="1">
      <alignment wrapText="1"/>
    </xf>
    <xf numFmtId="0" fontId="33" fillId="21" borderId="45" xfId="0" applyFont="1" applyFill="1" applyBorder="1"/>
    <xf numFmtId="0" fontId="34" fillId="21" borderId="45" xfId="0" applyFont="1" applyFill="1" applyBorder="1" applyAlignment="1">
      <alignment wrapText="1"/>
    </xf>
    <xf numFmtId="0" fontId="24" fillId="16" borderId="41" xfId="8"/>
    <xf numFmtId="0" fontId="26" fillId="17" borderId="44" xfId="9"/>
    <xf numFmtId="0" fontId="25" fillId="16" borderId="41" xfId="8" applyFont="1"/>
    <xf numFmtId="0" fontId="24" fillId="16" borderId="46" xfId="8" applyBorder="1"/>
    <xf numFmtId="0" fontId="0" fillId="0" borderId="0" xfId="0" applyBorder="1"/>
    <xf numFmtId="0" fontId="24" fillId="16" borderId="47" xfId="8" applyBorder="1"/>
    <xf numFmtId="0" fontId="25" fillId="16" borderId="47" xfId="8" applyFont="1" applyBorder="1"/>
    <xf numFmtId="0" fontId="24" fillId="16" borderId="48" xfId="8" applyBorder="1"/>
    <xf numFmtId="0" fontId="24" fillId="16" borderId="49" xfId="8" applyBorder="1"/>
    <xf numFmtId="0" fontId="24" fillId="16" borderId="50" xfId="8" applyBorder="1"/>
    <xf numFmtId="0" fontId="24" fillId="16" borderId="51" xfId="8" applyBorder="1"/>
    <xf numFmtId="0" fontId="24" fillId="16" borderId="41" xfId="8" applyBorder="1"/>
    <xf numFmtId="0" fontId="24" fillId="16" borderId="52" xfId="8" applyBorder="1"/>
    <xf numFmtId="0" fontId="25" fillId="16" borderId="51" xfId="8" applyFont="1" applyBorder="1"/>
    <xf numFmtId="0" fontId="25" fillId="16" borderId="41" xfId="8" applyFont="1" applyBorder="1"/>
    <xf numFmtId="0" fontId="25" fillId="16" borderId="52" xfId="8" applyFont="1" applyBorder="1"/>
    <xf numFmtId="0" fontId="25" fillId="16" borderId="53" xfId="8" applyFont="1" applyBorder="1"/>
    <xf numFmtId="0" fontId="25" fillId="16" borderId="54" xfId="8" applyFont="1" applyBorder="1"/>
    <xf numFmtId="0" fontId="25" fillId="16" borderId="55" xfId="8" applyFont="1" applyBorder="1"/>
    <xf numFmtId="0" fontId="32" fillId="20" borderId="42" xfId="0" applyFont="1" applyFill="1" applyBorder="1" applyAlignment="1">
      <alignment horizontal="left" wrapText="1"/>
    </xf>
    <xf numFmtId="0" fontId="32" fillId="20" borderId="56" xfId="0" applyFont="1" applyFill="1" applyBorder="1" applyAlignment="1">
      <alignment horizontal="left" wrapText="1"/>
    </xf>
    <xf numFmtId="0" fontId="32" fillId="20" borderId="57" xfId="0" applyFont="1" applyFill="1" applyBorder="1" applyAlignment="1">
      <alignment horizontal="left" wrapText="1"/>
    </xf>
    <xf numFmtId="0" fontId="32" fillId="20" borderId="58" xfId="0" applyFont="1" applyFill="1" applyBorder="1" applyAlignment="1">
      <alignment horizontal="left" wrapText="1"/>
    </xf>
    <xf numFmtId="0" fontId="32" fillId="20" borderId="59" xfId="0" applyFont="1" applyFill="1" applyBorder="1" applyAlignment="1">
      <alignment horizontal="left" wrapText="1"/>
    </xf>
    <xf numFmtId="0" fontId="32" fillId="20" borderId="60" xfId="0" applyFont="1" applyFill="1" applyBorder="1" applyAlignment="1">
      <alignment horizontal="left" wrapText="1"/>
    </xf>
    <xf numFmtId="0" fontId="35" fillId="16" borderId="48" xfId="8" applyFont="1" applyBorder="1"/>
    <xf numFmtId="0" fontId="24" fillId="16" borderId="53" xfId="8" applyBorder="1"/>
    <xf numFmtId="0" fontId="24" fillId="16" borderId="55" xfId="8" applyBorder="1"/>
    <xf numFmtId="0" fontId="17" fillId="0" borderId="6" xfId="3" applyBorder="1" applyAlignment="1">
      <alignment wrapText="1"/>
    </xf>
    <xf numFmtId="0" fontId="17" fillId="0" borderId="40" xfId="3" applyBorder="1" applyAlignment="1">
      <alignment wrapText="1"/>
    </xf>
    <xf numFmtId="0" fontId="24" fillId="16" borderId="54" xfId="8" applyBorder="1"/>
    <xf numFmtId="0" fontId="17" fillId="0" borderId="24" xfId="3" applyBorder="1" applyAlignment="1">
      <alignment wrapText="1"/>
    </xf>
    <xf numFmtId="0" fontId="17" fillId="0" borderId="25" xfId="3" applyBorder="1" applyAlignment="1">
      <alignment wrapText="1"/>
    </xf>
    <xf numFmtId="0" fontId="37" fillId="16" borderId="48" xfId="8" applyFont="1" applyBorder="1"/>
    <xf numFmtId="0" fontId="38" fillId="0" borderId="0" xfId="3" applyFont="1" applyFill="1" applyAlignment="1"/>
    <xf numFmtId="0" fontId="36" fillId="16" borderId="41" xfId="8" applyFont="1"/>
    <xf numFmtId="0" fontId="3" fillId="0" borderId="1" xfId="10" applyFont="1" applyFill="1" applyBorder="1" applyAlignment="1">
      <alignment horizontal="center" vertical="top" wrapText="1"/>
    </xf>
    <xf numFmtId="0" fontId="8" fillId="0" borderId="1" xfId="10" applyFont="1" applyFill="1" applyBorder="1" applyAlignment="1">
      <alignment horizontal="center" vertical="top" wrapText="1"/>
    </xf>
    <xf numFmtId="0" fontId="3" fillId="0" borderId="10" xfId="10" applyFont="1" applyFill="1" applyBorder="1" applyAlignment="1">
      <alignment horizontal="center" vertical="top" wrapText="1"/>
    </xf>
    <xf numFmtId="0" fontId="30" fillId="19" borderId="62" xfId="0" applyFont="1" applyFill="1" applyBorder="1" applyAlignment="1">
      <alignment horizontal="center" wrapText="1"/>
    </xf>
    <xf numFmtId="0" fontId="8" fillId="0" borderId="31" xfId="10" applyFont="1" applyFill="1" applyBorder="1" applyAlignment="1">
      <alignment horizontal="left" vertical="top" wrapText="1"/>
    </xf>
    <xf numFmtId="0" fontId="3" fillId="0" borderId="15" xfId="10" applyFont="1" applyFill="1" applyBorder="1" applyAlignment="1">
      <alignment horizontal="center" vertical="top" wrapText="1"/>
    </xf>
    <xf numFmtId="0" fontId="3" fillId="0" borderId="34" xfId="10" applyFont="1" applyFill="1" applyBorder="1" applyAlignment="1">
      <alignment horizontal="center" vertical="top" wrapText="1"/>
    </xf>
    <xf numFmtId="0" fontId="3" fillId="0" borderId="8" xfId="10" applyFont="1" applyFill="1" applyBorder="1" applyAlignment="1">
      <alignment horizontal="center" vertical="top" wrapText="1"/>
    </xf>
    <xf numFmtId="0" fontId="3" fillId="0" borderId="9" xfId="10" applyFont="1" applyFill="1" applyBorder="1" applyAlignment="1">
      <alignment horizontal="center" vertical="top" wrapText="1"/>
    </xf>
    <xf numFmtId="0" fontId="30" fillId="19" borderId="61" xfId="0" applyFont="1" applyFill="1" applyBorder="1" applyAlignment="1">
      <alignment wrapText="1"/>
    </xf>
    <xf numFmtId="0" fontId="30" fillId="19" borderId="63" xfId="0" applyFont="1" applyFill="1" applyBorder="1" applyAlignment="1">
      <alignment wrapText="1"/>
    </xf>
    <xf numFmtId="0" fontId="30" fillId="19" borderId="65" xfId="0" applyFont="1" applyFill="1" applyBorder="1" applyAlignment="1">
      <alignment horizontal="center" wrapText="1"/>
    </xf>
    <xf numFmtId="0" fontId="8" fillId="0" borderId="31" xfId="10" applyFont="1" applyFill="1" applyBorder="1" applyAlignment="1">
      <alignment horizontal="left" vertical="top"/>
    </xf>
    <xf numFmtId="0" fontId="30" fillId="19" borderId="61" xfId="0" applyFont="1" applyFill="1" applyBorder="1" applyAlignment="1">
      <alignment horizontal="center" wrapText="1"/>
    </xf>
    <xf numFmtId="0" fontId="30" fillId="19" borderId="64" xfId="0" applyFont="1" applyFill="1" applyBorder="1" applyAlignment="1">
      <alignment horizontal="center" wrapText="1"/>
    </xf>
    <xf numFmtId="0" fontId="8" fillId="0" borderId="28" xfId="10" applyFont="1" applyFill="1" applyBorder="1" applyAlignment="1">
      <alignment horizontal="center" vertical="top" wrapText="1"/>
    </xf>
    <xf numFmtId="0" fontId="3" fillId="0" borderId="11" xfId="10" applyFont="1" applyFill="1" applyBorder="1" applyAlignment="1">
      <alignment horizontal="center" vertical="top" wrapText="1"/>
    </xf>
    <xf numFmtId="0" fontId="30" fillId="19" borderId="67" xfId="0" applyFont="1" applyFill="1" applyBorder="1" applyAlignment="1">
      <alignment horizontal="center" wrapText="1"/>
    </xf>
    <xf numFmtId="0" fontId="30" fillId="19" borderId="39" xfId="0" applyFont="1" applyFill="1" applyBorder="1" applyAlignment="1">
      <alignment horizontal="center" wrapText="1"/>
    </xf>
    <xf numFmtId="0" fontId="30" fillId="19" borderId="63" xfId="0" applyFont="1" applyFill="1" applyBorder="1" applyAlignment="1">
      <alignment horizontal="center" wrapText="1"/>
    </xf>
    <xf numFmtId="0" fontId="30" fillId="19" borderId="66" xfId="0" applyFont="1" applyFill="1" applyBorder="1" applyAlignment="1">
      <alignment horizontal="center" wrapText="1"/>
    </xf>
    <xf numFmtId="0" fontId="3" fillId="0" borderId="16" xfId="10" applyFont="1" applyFill="1" applyBorder="1" applyAlignment="1">
      <alignment horizontal="center" vertical="top" wrapText="1"/>
    </xf>
    <xf numFmtId="0" fontId="8" fillId="0" borderId="15" xfId="10" applyFont="1" applyFill="1" applyBorder="1" applyAlignment="1">
      <alignment horizontal="center" vertical="top" wrapText="1"/>
    </xf>
    <xf numFmtId="0" fontId="8" fillId="0" borderId="68" xfId="10" applyFont="1" applyFill="1" applyBorder="1" applyAlignment="1">
      <alignment horizontal="left" vertical="top" wrapText="1"/>
    </xf>
    <xf numFmtId="0" fontId="8" fillId="0" borderId="28" xfId="10" applyFont="1" applyFill="1" applyBorder="1" applyAlignment="1">
      <alignment horizontal="left" vertical="top" wrapText="1"/>
    </xf>
    <xf numFmtId="0" fontId="8" fillId="0" borderId="11" xfId="3" applyFont="1" applyFill="1" applyBorder="1" applyAlignment="1">
      <alignment horizontal="center" vertical="center" wrapText="1"/>
    </xf>
    <xf numFmtId="0" fontId="30" fillId="19" borderId="67" xfId="0" applyFont="1" applyFill="1" applyBorder="1" applyAlignment="1">
      <alignment wrapText="1"/>
    </xf>
    <xf numFmtId="0" fontId="8" fillId="0" borderId="69" xfId="10" applyFont="1" applyFill="1" applyBorder="1" applyAlignment="1">
      <alignment horizontal="center" vertical="top" wrapText="1"/>
    </xf>
    <xf numFmtId="0" fontId="8" fillId="0" borderId="34" xfId="10" applyFont="1" applyFill="1" applyBorder="1" applyAlignment="1">
      <alignment horizontal="center" vertical="top" wrapText="1"/>
    </xf>
    <xf numFmtId="0" fontId="3" fillId="0" borderId="69" xfId="10" applyFont="1" applyFill="1" applyBorder="1" applyAlignment="1">
      <alignment horizontal="center" vertical="top" wrapText="1"/>
    </xf>
    <xf numFmtId="0" fontId="8" fillId="0" borderId="70" xfId="10" applyFont="1" applyFill="1" applyBorder="1" applyAlignment="1">
      <alignment horizontal="left" vertical="top" wrapText="1"/>
    </xf>
    <xf numFmtId="0" fontId="6" fillId="0" borderId="70" xfId="3" applyFont="1" applyFill="1" applyBorder="1" applyAlignment="1">
      <alignment horizontal="center" vertical="center" wrapText="1"/>
    </xf>
    <xf numFmtId="0" fontId="3" fillId="0" borderId="70" xfId="10" applyFont="1" applyFill="1" applyBorder="1" applyAlignment="1">
      <alignment horizontal="center" vertical="top" wrapText="1"/>
    </xf>
    <xf numFmtId="0" fontId="30" fillId="19" borderId="71" xfId="0" applyFont="1" applyFill="1" applyBorder="1" applyAlignment="1">
      <alignment wrapText="1"/>
    </xf>
    <xf numFmtId="0" fontId="39" fillId="16" borderId="48" xfId="8" applyFont="1" applyBorder="1"/>
    <xf numFmtId="0" fontId="39" fillId="16" borderId="49" xfId="8" applyFont="1" applyBorder="1"/>
    <xf numFmtId="0" fontId="39" fillId="16" borderId="72" xfId="8" applyFont="1" applyBorder="1"/>
    <xf numFmtId="0" fontId="39" fillId="16" borderId="73" xfId="8" applyFont="1" applyBorder="1"/>
    <xf numFmtId="0" fontId="39" fillId="16" borderId="61" xfId="8" applyFont="1" applyBorder="1"/>
    <xf numFmtId="0" fontId="39" fillId="16" borderId="46" xfId="8" applyFont="1" applyBorder="1"/>
    <xf numFmtId="0" fontId="24" fillId="9" borderId="46" xfId="8" applyFill="1" applyBorder="1"/>
    <xf numFmtId="0" fontId="24" fillId="16" borderId="63" xfId="8" applyBorder="1"/>
    <xf numFmtId="0" fontId="39" fillId="16" borderId="74" xfId="8" applyFont="1" applyBorder="1"/>
    <xf numFmtId="0" fontId="39" fillId="16" borderId="75" xfId="8" applyFont="1" applyBorder="1"/>
    <xf numFmtId="0" fontId="24" fillId="16" borderId="75" xfId="8" applyBorder="1"/>
    <xf numFmtId="0" fontId="24" fillId="16" borderId="76" xfId="8" applyBorder="1"/>
    <xf numFmtId="0" fontId="32" fillId="20" borderId="77" xfId="0" applyFont="1" applyFill="1" applyBorder="1" applyAlignment="1">
      <alignment horizontal="left" wrapText="1"/>
    </xf>
    <xf numFmtId="0" fontId="32" fillId="20" borderId="78" xfId="0" applyFont="1" applyFill="1" applyBorder="1" applyAlignment="1">
      <alignment horizontal="left" wrapText="1"/>
    </xf>
    <xf numFmtId="0" fontId="32" fillId="20" borderId="79" xfId="0" applyFont="1" applyFill="1" applyBorder="1" applyAlignment="1">
      <alignment horizontal="left" wrapText="1"/>
    </xf>
    <xf numFmtId="0" fontId="39" fillId="16" borderId="50" xfId="8" applyFont="1" applyBorder="1"/>
    <xf numFmtId="0" fontId="39" fillId="16" borderId="80" xfId="8" applyFont="1" applyBorder="1"/>
    <xf numFmtId="0" fontId="8" fillId="0" borderId="35" xfId="10" applyFont="1" applyFill="1" applyBorder="1" applyAlignment="1">
      <alignment horizontal="left" vertical="top" wrapText="1"/>
    </xf>
    <xf numFmtId="0" fontId="3" fillId="0" borderId="81" xfId="10" applyFont="1" applyFill="1" applyBorder="1" applyAlignment="1">
      <alignment horizontal="center" vertical="top" wrapText="1"/>
    </xf>
    <xf numFmtId="0" fontId="3" fillId="0" borderId="33" xfId="10" applyFont="1" applyFill="1" applyBorder="1" applyAlignment="1">
      <alignment horizontal="center" vertical="top" wrapText="1"/>
    </xf>
    <xf numFmtId="0" fontId="3" fillId="9" borderId="0" xfId="3" applyFont="1" applyFill="1" applyAlignment="1">
      <alignment wrapText="1"/>
    </xf>
    <xf numFmtId="0" fontId="30" fillId="19" borderId="82" xfId="0" applyFont="1" applyFill="1" applyBorder="1" applyAlignment="1">
      <alignment horizontal="center" wrapText="1"/>
    </xf>
    <xf numFmtId="0" fontId="2" fillId="0" borderId="0" xfId="3" applyFont="1" applyFill="1" applyBorder="1" applyAlignment="1" applyProtection="1">
      <alignment wrapText="1"/>
      <protection locked="0"/>
    </xf>
    <xf numFmtId="2" fontId="3" fillId="0" borderId="0" xfId="3" applyNumberFormat="1" applyFont="1" applyFill="1" applyBorder="1" applyAlignment="1" applyProtection="1">
      <alignment horizontal="center" wrapText="1"/>
      <protection locked="0"/>
    </xf>
    <xf numFmtId="0" fontId="2" fillId="0" borderId="0" xfId="3" applyFont="1" applyFill="1" applyBorder="1" applyAlignment="1" applyProtection="1">
      <alignment horizontal="left" wrapText="1"/>
      <protection locked="0"/>
    </xf>
    <xf numFmtId="3" fontId="2" fillId="0" borderId="0" xfId="3" applyNumberFormat="1" applyFont="1" applyFill="1" applyBorder="1" applyAlignment="1" applyProtection="1">
      <alignment horizontal="center" wrapText="1"/>
      <protection locked="0"/>
    </xf>
    <xf numFmtId="0" fontId="38" fillId="0" borderId="0" xfId="3" applyFont="1" applyFill="1" applyBorder="1" applyAlignment="1"/>
    <xf numFmtId="3" fontId="13" fillId="0" borderId="1" xfId="3" applyNumberFormat="1" applyFont="1" applyFill="1" applyBorder="1" applyAlignment="1">
      <alignment horizontal="center" wrapText="1"/>
    </xf>
    <xf numFmtId="9" fontId="13" fillId="0" borderId="1" xfId="3" applyNumberFormat="1" applyFont="1" applyFill="1" applyBorder="1" applyAlignment="1">
      <alignment horizontal="center" wrapText="1"/>
    </xf>
    <xf numFmtId="0" fontId="38" fillId="0" borderId="1" xfId="3" applyFont="1" applyFill="1" applyBorder="1" applyAlignment="1"/>
    <xf numFmtId="0" fontId="30" fillId="19" borderId="83" xfId="0" applyFont="1" applyFill="1" applyBorder="1" applyAlignment="1">
      <alignment horizontal="center" wrapText="1"/>
    </xf>
    <xf numFmtId="0" fontId="13" fillId="0" borderId="9" xfId="3" applyFont="1" applyFill="1" applyBorder="1" applyAlignment="1">
      <alignment horizontal="right" wrapText="1"/>
    </xf>
    <xf numFmtId="0" fontId="30" fillId="19" borderId="84" xfId="0" applyFont="1" applyFill="1" applyBorder="1" applyAlignment="1">
      <alignment horizontal="center" wrapText="1"/>
    </xf>
    <xf numFmtId="0" fontId="30" fillId="19" borderId="85" xfId="0" applyFont="1" applyFill="1" applyBorder="1" applyAlignment="1">
      <alignment horizontal="center" wrapText="1"/>
    </xf>
    <xf numFmtId="0" fontId="2" fillId="0" borderId="37" xfId="3" applyFont="1" applyFill="1" applyBorder="1" applyAlignment="1" applyProtection="1">
      <alignment horizontal="left" wrapText="1"/>
      <protection locked="0"/>
    </xf>
    <xf numFmtId="3" fontId="2" fillId="0" borderId="40" xfId="3" applyNumberFormat="1" applyFont="1" applyFill="1" applyBorder="1" applyAlignment="1" applyProtection="1">
      <alignment horizontal="center" wrapText="1"/>
      <protection locked="0"/>
    </xf>
    <xf numFmtId="0" fontId="40" fillId="20" borderId="77" xfId="0" applyFont="1" applyFill="1" applyBorder="1" applyAlignment="1">
      <alignment horizontal="left" wrapText="1"/>
    </xf>
    <xf numFmtId="0" fontId="8" fillId="0" borderId="31" xfId="10" applyFont="1" applyFill="1" applyBorder="1" applyAlignment="1">
      <alignment horizontal="center" vertical="top" wrapText="1"/>
    </xf>
    <xf numFmtId="0" fontId="8" fillId="0" borderId="8" xfId="10" applyFont="1" applyFill="1" applyBorder="1" applyAlignment="1">
      <alignment horizontal="center" vertical="top" wrapText="1"/>
    </xf>
    <xf numFmtId="0" fontId="8" fillId="0" borderId="9" xfId="10" applyFont="1" applyFill="1" applyBorder="1" applyAlignment="1">
      <alignment horizontal="center" vertical="top" wrapText="1"/>
    </xf>
    <xf numFmtId="3" fontId="13" fillId="0" borderId="9" xfId="3" applyNumberFormat="1" applyFont="1" applyFill="1" applyBorder="1" applyAlignment="1">
      <alignment horizontal="center" wrapText="1"/>
    </xf>
    <xf numFmtId="3" fontId="2" fillId="0" borderId="37" xfId="3" applyNumberFormat="1" applyFont="1" applyFill="1" applyBorder="1" applyAlignment="1" applyProtection="1">
      <alignment horizontal="center" wrapText="1"/>
      <protection locked="0"/>
    </xf>
    <xf numFmtId="9" fontId="13" fillId="0" borderId="8" xfId="3" applyNumberFormat="1" applyFont="1" applyFill="1" applyBorder="1" applyAlignment="1">
      <alignment horizontal="center" wrapText="1"/>
    </xf>
    <xf numFmtId="9" fontId="2" fillId="0" borderId="37" xfId="4" applyFont="1" applyFill="1" applyBorder="1" applyAlignment="1" applyProtection="1">
      <alignment horizontal="center" wrapText="1"/>
      <protection locked="0"/>
    </xf>
    <xf numFmtId="9" fontId="2" fillId="0" borderId="40" xfId="3" applyNumberFormat="1" applyFont="1" applyFill="1" applyBorder="1" applyAlignment="1" applyProtection="1">
      <alignment horizontal="center" wrapText="1"/>
      <protection locked="0"/>
    </xf>
    <xf numFmtId="165" fontId="13" fillId="0" borderId="9" xfId="3" applyNumberFormat="1" applyFont="1" applyFill="1" applyBorder="1" applyAlignment="1">
      <alignment horizontal="center" wrapText="1"/>
    </xf>
    <xf numFmtId="0" fontId="30" fillId="19" borderId="38" xfId="0" applyFont="1" applyFill="1" applyBorder="1" applyAlignment="1">
      <alignment horizontal="center" wrapText="1"/>
    </xf>
    <xf numFmtId="3" fontId="2" fillId="0" borderId="38" xfId="3" applyNumberFormat="1" applyFont="1" applyFill="1" applyBorder="1" applyAlignment="1" applyProtection="1">
      <alignment horizontal="center" wrapText="1"/>
      <protection locked="0"/>
    </xf>
    <xf numFmtId="0" fontId="17" fillId="0" borderId="9" xfId="3" applyFill="1" applyBorder="1" applyAlignment="1">
      <alignment horizontal="center" wrapText="1"/>
    </xf>
    <xf numFmtId="164" fontId="17" fillId="0" borderId="40" xfId="3" applyNumberFormat="1" applyFill="1" applyBorder="1" applyAlignment="1">
      <alignment horizontal="center" wrapText="1"/>
    </xf>
    <xf numFmtId="0" fontId="2" fillId="0" borderId="40" xfId="3" applyFont="1" applyFill="1" applyBorder="1" applyAlignment="1" applyProtection="1">
      <alignment horizontal="left" wrapText="1"/>
      <protection locked="0"/>
    </xf>
    <xf numFmtId="0" fontId="3" fillId="0" borderId="13" xfId="10" applyFont="1" applyFill="1" applyBorder="1" applyAlignment="1">
      <alignment horizontal="center" vertical="top" wrapText="1"/>
    </xf>
    <xf numFmtId="0" fontId="3" fillId="0" borderId="14" xfId="10" applyFont="1" applyFill="1" applyBorder="1" applyAlignment="1">
      <alignment horizontal="center" vertical="top" wrapText="1"/>
    </xf>
    <xf numFmtId="0" fontId="8" fillId="0" borderId="12" xfId="10" applyFont="1" applyFill="1" applyBorder="1" applyAlignment="1">
      <alignment horizontal="center" vertical="top" wrapText="1"/>
    </xf>
    <xf numFmtId="0" fontId="8" fillId="0" borderId="12" xfId="10" applyFont="1" applyFill="1" applyBorder="1" applyAlignment="1">
      <alignment horizontal="left" vertical="top"/>
    </xf>
    <xf numFmtId="0" fontId="8" fillId="0" borderId="29" xfId="10" applyFont="1" applyFill="1" applyBorder="1" applyAlignment="1">
      <alignment horizontal="center" vertical="top" wrapText="1"/>
    </xf>
    <xf numFmtId="0" fontId="8" fillId="0" borderId="14" xfId="10" applyFont="1" applyFill="1" applyBorder="1" applyAlignment="1">
      <alignment horizontal="center" vertical="top" wrapText="1"/>
    </xf>
    <xf numFmtId="0" fontId="3" fillId="0" borderId="36" xfId="10" applyFont="1" applyFill="1" applyBorder="1" applyAlignment="1">
      <alignment horizontal="center" vertical="top" wrapText="1"/>
    </xf>
    <xf numFmtId="0" fontId="8" fillId="0" borderId="5" xfId="10" applyFont="1" applyFill="1" applyBorder="1" applyAlignment="1">
      <alignment horizontal="center" vertical="top" wrapText="1"/>
    </xf>
    <xf numFmtId="0" fontId="8" fillId="0" borderId="35" xfId="10" applyFont="1" applyFill="1" applyBorder="1" applyAlignment="1">
      <alignment horizontal="center" vertical="top" wrapText="1"/>
    </xf>
    <xf numFmtId="0" fontId="8" fillId="0" borderId="33" xfId="10" applyFont="1" applyFill="1" applyBorder="1" applyAlignment="1">
      <alignment horizontal="center" vertical="top" wrapText="1"/>
    </xf>
    <xf numFmtId="0" fontId="32" fillId="20" borderId="86" xfId="0" applyFont="1" applyFill="1" applyBorder="1" applyAlignment="1">
      <alignment horizontal="left" wrapText="1"/>
    </xf>
    <xf numFmtId="0" fontId="32" fillId="20" borderId="87" xfId="0" applyFont="1" applyFill="1" applyBorder="1" applyAlignment="1">
      <alignment horizontal="left" wrapText="1"/>
    </xf>
    <xf numFmtId="0" fontId="32" fillId="20" borderId="88" xfId="0" applyFont="1" applyFill="1" applyBorder="1" applyAlignment="1">
      <alignment horizontal="left" wrapText="1"/>
    </xf>
    <xf numFmtId="0" fontId="41" fillId="0" borderId="43" xfId="0" applyFont="1" applyBorder="1" applyAlignment="1">
      <alignment wrapText="1"/>
    </xf>
    <xf numFmtId="0" fontId="8" fillId="6" borderId="0" xfId="10" applyFont="1" applyFill="1" applyAlignment="1"/>
    <xf numFmtId="0" fontId="3" fillId="6" borderId="0" xfId="10" applyFill="1" applyAlignment="1">
      <alignment wrapText="1"/>
    </xf>
    <xf numFmtId="0" fontId="8" fillId="6" borderId="0" xfId="10" applyFont="1" applyFill="1" applyAlignment="1">
      <alignment wrapText="1"/>
    </xf>
    <xf numFmtId="0" fontId="42" fillId="0" borderId="43" xfId="0" applyFont="1" applyBorder="1" applyAlignment="1">
      <alignment wrapText="1"/>
    </xf>
    <xf numFmtId="0" fontId="43" fillId="0" borderId="43" xfId="0" applyFont="1" applyBorder="1" applyAlignment="1">
      <alignment wrapText="1"/>
    </xf>
    <xf numFmtId="0" fontId="3" fillId="0" borderId="0" xfId="3" applyFont="1" applyFill="1" applyAlignment="1">
      <alignment wrapText="1"/>
    </xf>
    <xf numFmtId="0" fontId="32" fillId="20" borderId="89" xfId="0" applyFont="1" applyFill="1" applyBorder="1" applyAlignment="1">
      <alignment horizontal="left" wrapText="1"/>
    </xf>
    <xf numFmtId="0" fontId="10" fillId="0" borderId="12" xfId="10" applyFont="1" applyFill="1" applyBorder="1" applyAlignment="1">
      <alignment horizontal="left" vertical="top" wrapText="1"/>
    </xf>
    <xf numFmtId="0" fontId="10" fillId="0" borderId="13" xfId="10" applyFont="1" applyFill="1" applyBorder="1" applyAlignment="1">
      <alignment horizontal="center" vertical="top" wrapText="1"/>
    </xf>
    <xf numFmtId="0" fontId="10" fillId="0" borderId="12" xfId="10" applyFont="1" applyFill="1" applyBorder="1" applyAlignment="1">
      <alignment horizontal="center" vertical="top" wrapText="1"/>
    </xf>
    <xf numFmtId="0" fontId="10" fillId="0" borderId="14" xfId="10" applyFont="1" applyFill="1" applyBorder="1" applyAlignment="1">
      <alignment horizontal="center" vertical="top" wrapText="1"/>
    </xf>
    <xf numFmtId="0" fontId="10" fillId="0" borderId="12" xfId="10" applyFont="1" applyFill="1" applyBorder="1" applyAlignment="1">
      <alignment horizontal="left" vertical="top"/>
    </xf>
    <xf numFmtId="0" fontId="10" fillId="0" borderId="29" xfId="10" applyFont="1" applyFill="1" applyBorder="1" applyAlignment="1">
      <alignment horizontal="center" vertical="top" wrapText="1"/>
    </xf>
    <xf numFmtId="0" fontId="10" fillId="0" borderId="8" xfId="10" applyFont="1" applyFill="1" applyBorder="1" applyAlignment="1">
      <alignment horizontal="center" vertical="top" wrapText="1"/>
    </xf>
    <xf numFmtId="0" fontId="10" fillId="0" borderId="1" xfId="10" applyFont="1" applyFill="1" applyBorder="1" applyAlignment="1">
      <alignment horizontal="center" vertical="top" wrapText="1"/>
    </xf>
    <xf numFmtId="0" fontId="10" fillId="0" borderId="9" xfId="10" applyFont="1" applyFill="1" applyBorder="1" applyAlignment="1">
      <alignment horizontal="center" vertical="top" wrapText="1"/>
    </xf>
    <xf numFmtId="0" fontId="6" fillId="0" borderId="81" xfId="10" applyFont="1" applyFill="1" applyBorder="1" applyAlignment="1">
      <alignment horizontal="center" vertical="top" wrapText="1"/>
    </xf>
    <xf numFmtId="0" fontId="6" fillId="6" borderId="20" xfId="0" applyFont="1" applyFill="1" applyBorder="1" applyAlignment="1">
      <alignment horizontal="left" wrapText="1"/>
    </xf>
    <xf numFmtId="0" fontId="8" fillId="0" borderId="20" xfId="0" applyFont="1" applyFill="1" applyBorder="1" applyAlignment="1">
      <alignment horizontal="center" wrapText="1"/>
    </xf>
    <xf numFmtId="0" fontId="3" fillId="0" borderId="0" xfId="0" applyFont="1" applyFill="1"/>
    <xf numFmtId="0" fontId="44" fillId="0" borderId="0" xfId="3" applyFont="1"/>
    <xf numFmtId="0" fontId="3" fillId="0" borderId="0" xfId="5" applyFont="1" applyFill="1"/>
    <xf numFmtId="0" fontId="3" fillId="0" borderId="0" xfId="5" applyFill="1"/>
    <xf numFmtId="0" fontId="12" fillId="0" borderId="0" xfId="5" applyFont="1" applyFill="1"/>
    <xf numFmtId="0" fontId="3" fillId="0" borderId="0" xfId="5" applyNumberFormat="1" applyFill="1"/>
    <xf numFmtId="9" fontId="12" fillId="0" borderId="0" xfId="4" applyFont="1" applyFill="1"/>
    <xf numFmtId="0" fontId="3" fillId="0" borderId="0" xfId="5" applyFont="1" applyFill="1" applyAlignment="1" applyProtection="1">
      <alignment horizontal="left" wrapText="1"/>
    </xf>
    <xf numFmtId="0" fontId="3" fillId="0" borderId="0" xfId="5" applyFill="1" applyAlignment="1" applyProtection="1">
      <alignment wrapText="1"/>
    </xf>
    <xf numFmtId="0" fontId="3" fillId="0" borderId="0" xfId="5" applyFill="1" applyAlignment="1" applyProtection="1">
      <alignment horizontal="center" wrapText="1"/>
    </xf>
    <xf numFmtId="0" fontId="3" fillId="0" borderId="0" xfId="5" applyFill="1" applyAlignment="1">
      <alignment horizontal="center"/>
    </xf>
    <xf numFmtId="0" fontId="3" fillId="0" borderId="0" xfId="5" applyFill="1" applyProtection="1">
      <protection locked="0"/>
    </xf>
    <xf numFmtId="0" fontId="24" fillId="16" borderId="41" xfId="8" applyBorder="1" applyAlignment="1">
      <alignment wrapText="1"/>
    </xf>
    <xf numFmtId="0" fontId="24" fillId="16" borderId="51" xfId="8" applyBorder="1" applyAlignment="1">
      <alignment wrapText="1"/>
    </xf>
    <xf numFmtId="0" fontId="24" fillId="16" borderId="52" xfId="8" applyBorder="1" applyAlignment="1">
      <alignment wrapText="1"/>
    </xf>
    <xf numFmtId="0" fontId="45" fillId="0" borderId="0" xfId="0" applyFont="1"/>
    <xf numFmtId="0" fontId="16" fillId="0" borderId="90" xfId="0" applyFont="1" applyBorder="1"/>
    <xf numFmtId="0" fontId="16" fillId="0" borderId="91" xfId="0" applyFont="1" applyBorder="1"/>
    <xf numFmtId="0" fontId="16" fillId="0" borderId="92" xfId="0" applyFont="1" applyBorder="1"/>
    <xf numFmtId="0" fontId="16" fillId="0" borderId="38" xfId="0" applyFont="1" applyBorder="1"/>
    <xf numFmtId="0" fontId="46" fillId="0" borderId="11" xfId="0" applyFont="1" applyBorder="1"/>
    <xf numFmtId="0" fontId="32" fillId="20" borderId="93" xfId="0" applyFont="1" applyFill="1" applyBorder="1" applyAlignment="1">
      <alignment horizontal="left" wrapText="1"/>
    </xf>
    <xf numFmtId="0" fontId="32" fillId="20" borderId="5" xfId="0" applyFont="1" applyFill="1" applyBorder="1" applyAlignment="1">
      <alignment horizontal="left" wrapText="1"/>
    </xf>
    <xf numFmtId="0" fontId="6" fillId="2" borderId="32" xfId="1" applyFont="1" applyFill="1" applyBorder="1" applyAlignment="1">
      <alignment horizontal="center" vertical="center" wrapText="1"/>
    </xf>
    <xf numFmtId="0" fontId="6" fillId="2" borderId="27" xfId="1" applyFont="1" applyFill="1" applyBorder="1" applyAlignment="1">
      <alignment horizontal="center" vertical="center" wrapText="1"/>
    </xf>
    <xf numFmtId="0" fontId="8" fillId="22" borderId="0" xfId="10" applyFont="1" applyFill="1" applyAlignment="1">
      <alignment wrapText="1"/>
    </xf>
    <xf numFmtId="2" fontId="41" fillId="0" borderId="43" xfId="0" applyNumberFormat="1" applyFont="1" applyBorder="1" applyAlignment="1">
      <alignment wrapText="1"/>
    </xf>
    <xf numFmtId="0" fontId="6" fillId="0" borderId="0" xfId="1" applyFont="1"/>
    <xf numFmtId="0" fontId="48" fillId="23" borderId="0" xfId="0" applyFont="1" applyFill="1"/>
    <xf numFmtId="0" fontId="0" fillId="23" borderId="0" xfId="0" applyFill="1"/>
    <xf numFmtId="0" fontId="41" fillId="9" borderId="43" xfId="0" applyFont="1" applyFill="1" applyBorder="1" applyAlignment="1">
      <alignment wrapText="1"/>
    </xf>
    <xf numFmtId="0" fontId="41" fillId="0" borderId="43" xfId="0" applyFont="1" applyFill="1" applyBorder="1" applyAlignment="1">
      <alignment wrapText="1"/>
    </xf>
    <xf numFmtId="0" fontId="29" fillId="18" borderId="3" xfId="0" applyFont="1" applyFill="1" applyBorder="1" applyAlignment="1">
      <alignment horizontal="center" vertical="center" wrapText="1"/>
    </xf>
    <xf numFmtId="0" fontId="29" fillId="18" borderId="4" xfId="0" applyFont="1" applyFill="1" applyBorder="1" applyAlignment="1">
      <alignment horizontal="center" vertical="center" wrapText="1"/>
    </xf>
    <xf numFmtId="0" fontId="6" fillId="6" borderId="20" xfId="0" applyFont="1" applyFill="1" applyBorder="1" applyAlignment="1">
      <alignment horizontal="left" wrapText="1"/>
    </xf>
    <xf numFmtId="0" fontId="8" fillId="6" borderId="20" xfId="0" applyFont="1" applyFill="1" applyBorder="1" applyAlignment="1">
      <alignment horizontal="center" wrapText="1"/>
    </xf>
    <xf numFmtId="0" fontId="51" fillId="0" borderId="43" xfId="0" applyFont="1" applyBorder="1" applyAlignment="1"/>
    <xf numFmtId="0" fontId="51" fillId="0" borderId="43" xfId="0" applyFont="1" applyBorder="1" applyAlignment="1">
      <alignment wrapText="1"/>
    </xf>
    <xf numFmtId="0" fontId="10" fillId="0" borderId="0" xfId="3" applyFont="1" applyFill="1" applyAlignment="1">
      <alignment wrapText="1"/>
    </xf>
    <xf numFmtId="0" fontId="52" fillId="0" borderId="43" xfId="0" applyFont="1" applyFill="1" applyBorder="1" applyAlignment="1">
      <alignment wrapText="1"/>
    </xf>
    <xf numFmtId="0" fontId="53" fillId="0" borderId="0" xfId="5" applyFont="1" applyFill="1"/>
    <xf numFmtId="0" fontId="53" fillId="0" borderId="0" xfId="5" applyFont="1" applyFill="1" applyProtection="1">
      <protection locked="0"/>
    </xf>
    <xf numFmtId="0" fontId="53" fillId="0" borderId="0" xfId="5" applyNumberFormat="1" applyFont="1" applyFill="1" applyAlignment="1" applyProtection="1">
      <alignment vertical="center"/>
      <protection locked="0"/>
    </xf>
    <xf numFmtId="0" fontId="54" fillId="0" borderId="0" xfId="0" applyFont="1" applyFill="1"/>
    <xf numFmtId="0" fontId="55" fillId="0" borderId="0" xfId="0" applyFont="1"/>
    <xf numFmtId="0" fontId="47" fillId="0" borderId="0" xfId="0" applyFont="1" applyFill="1"/>
    <xf numFmtId="0" fontId="39" fillId="0" borderId="61" xfId="8" applyFont="1" applyFill="1" applyBorder="1"/>
    <xf numFmtId="0" fontId="24" fillId="0" borderId="46" xfId="8" applyFill="1" applyBorder="1"/>
    <xf numFmtId="0" fontId="24" fillId="0" borderId="63" xfId="8" applyFill="1" applyBorder="1"/>
    <xf numFmtId="0" fontId="32" fillId="0" borderId="89" xfId="0" applyFont="1" applyFill="1" applyBorder="1" applyAlignment="1">
      <alignment horizontal="left" wrapText="1"/>
    </xf>
    <xf numFmtId="0" fontId="39" fillId="0" borderId="46" xfId="8" applyFont="1" applyFill="1" applyBorder="1"/>
    <xf numFmtId="0" fontId="39" fillId="0" borderId="40" xfId="8" applyFont="1" applyFill="1" applyBorder="1"/>
    <xf numFmtId="0" fontId="39" fillId="0" borderId="63" xfId="8" applyFont="1" applyFill="1" applyBorder="1"/>
    <xf numFmtId="0" fontId="39" fillId="0" borderId="0" xfId="8" applyFont="1" applyFill="1" applyBorder="1"/>
    <xf numFmtId="0" fontId="40" fillId="0" borderId="89" xfId="0" applyFont="1" applyFill="1" applyBorder="1" applyAlignment="1">
      <alignment horizontal="left" wrapText="1"/>
    </xf>
    <xf numFmtId="9" fontId="17" fillId="0" borderId="0" xfId="3" applyNumberFormat="1"/>
    <xf numFmtId="10" fontId="17" fillId="0" borderId="0" xfId="3" applyNumberFormat="1"/>
    <xf numFmtId="0" fontId="53" fillId="0" borderId="0" xfId="3" applyFont="1" applyBorder="1"/>
    <xf numFmtId="0" fontId="54" fillId="0" borderId="0" xfId="0" applyFont="1" applyBorder="1"/>
    <xf numFmtId="0" fontId="46" fillId="0" borderId="0" xfId="0" applyFont="1"/>
    <xf numFmtId="0" fontId="17" fillId="9" borderId="0" xfId="3" applyFill="1"/>
    <xf numFmtId="0" fontId="3" fillId="22" borderId="8" xfId="10" applyFont="1" applyFill="1" applyBorder="1" applyAlignment="1">
      <alignment horizontal="center" vertical="top" wrapText="1"/>
    </xf>
    <xf numFmtId="0" fontId="3" fillId="22" borderId="1" xfId="10" applyFont="1" applyFill="1" applyBorder="1" applyAlignment="1">
      <alignment horizontal="center" vertical="top" wrapText="1"/>
    </xf>
    <xf numFmtId="0" fontId="17" fillId="0" borderId="1" xfId="3" applyBorder="1" applyAlignment="1">
      <alignment wrapText="1"/>
    </xf>
    <xf numFmtId="0" fontId="24" fillId="9" borderId="49" xfId="8" applyFill="1" applyBorder="1"/>
    <xf numFmtId="0" fontId="24" fillId="22" borderId="51" xfId="8" applyFill="1" applyBorder="1"/>
    <xf numFmtId="0" fontId="24" fillId="22" borderId="41" xfId="8" applyFill="1" applyBorder="1"/>
    <xf numFmtId="0" fontId="39" fillId="22" borderId="61" xfId="8" applyFont="1" applyFill="1" applyBorder="1"/>
    <xf numFmtId="0" fontId="39" fillId="22" borderId="46" xfId="8" applyFont="1" applyFill="1" applyBorder="1"/>
    <xf numFmtId="0" fontId="24" fillId="0" borderId="51" xfId="8" applyFill="1" applyBorder="1"/>
    <xf numFmtId="0" fontId="24" fillId="0" borderId="41" xfId="8" applyFill="1" applyBorder="1"/>
    <xf numFmtId="0" fontId="24" fillId="0" borderId="52" xfId="8" applyFill="1" applyBorder="1"/>
    <xf numFmtId="0" fontId="32" fillId="0" borderId="78" xfId="0" applyFont="1" applyFill="1" applyBorder="1" applyAlignment="1">
      <alignment horizontal="left" wrapText="1"/>
    </xf>
    <xf numFmtId="0" fontId="24" fillId="9" borderId="41" xfId="8" applyFill="1" applyBorder="1" applyAlignment="1">
      <alignment wrapText="1"/>
    </xf>
    <xf numFmtId="2" fontId="24" fillId="16" borderId="51" xfId="8" applyNumberFormat="1" applyBorder="1"/>
    <xf numFmtId="0" fontId="24" fillId="22" borderId="51" xfId="8" applyFill="1" applyBorder="1" applyAlignment="1">
      <alignment wrapText="1"/>
    </xf>
    <xf numFmtId="0" fontId="3" fillId="9" borderId="11" xfId="3" applyFont="1" applyFill="1" applyBorder="1" applyAlignment="1">
      <alignment horizontal="center" vertical="center" wrapText="1"/>
    </xf>
    <xf numFmtId="0" fontId="3" fillId="0" borderId="0" xfId="3" applyFont="1" applyFill="1" applyAlignment="1"/>
    <xf numFmtId="0" fontId="6" fillId="0" borderId="15" xfId="10" applyFont="1" applyFill="1" applyBorder="1" applyAlignment="1">
      <alignment horizontal="center" vertical="top" wrapText="1"/>
    </xf>
    <xf numFmtId="0" fontId="3" fillId="22" borderId="9" xfId="10" applyFont="1" applyFill="1" applyBorder="1" applyAlignment="1">
      <alignment horizontal="center" vertical="top" wrapText="1"/>
    </xf>
  </cellXfs>
  <cellStyles count="11">
    <cellStyle name="Berechnung" xfId="8" builtinId="22"/>
    <cellStyle name="Normal 2 2" xfId="10"/>
    <cellStyle name="Normal 5" xfId="1"/>
    <cellStyle name="Normal_DIALECTE2004utilJLB" xfId="2"/>
    <cellStyle name="Pourcentage 2" xfId="6"/>
    <cellStyle name="Pourcentage 2 2" xfId="7"/>
    <cellStyle name="Prozent 2" xfId="4"/>
    <cellStyle name="Standard" xfId="0" builtinId="0"/>
    <cellStyle name="Standard 2" xfId="3"/>
    <cellStyle name="Standard 3" xfId="5"/>
    <cellStyle name="Zelle überprüfen" xfId="9" builtinId="23"/>
  </cellStyles>
  <dxfs count="8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anneKoeppen/Documents/IFEU/Projekte/1292%20FAST/Period%202/Livestock%20module/FAST%20G3_Livestock_050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usanneKoeppen/Documents/IFEU/Projekte/1292%20FAST/Hintergrund/Tools/Solagro%20%20LC%20Farm/Kopie%20von%20cc_v3_1_s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our code"/>
      <sheetName val="Animal"/>
      <sheetName val="Standard data"/>
      <sheetName val="Feeds"/>
      <sheetName val="Manure"/>
      <sheetName val="Results"/>
    </sheetNames>
    <sheetDataSet>
      <sheetData sheetId="0"/>
      <sheetData sheetId="1"/>
      <sheetData sheetId="2">
        <row r="80">
          <cell r="C80" t="str">
            <v>Grazing (grasslands)</v>
          </cell>
        </row>
        <row r="81">
          <cell r="C81" t="str">
            <v>Grass silage</v>
          </cell>
        </row>
        <row r="82">
          <cell r="C82" t="str">
            <v>Maize silage</v>
          </cell>
        </row>
        <row r="83">
          <cell r="C83" t="str">
            <v>Hay from natural or temporary grasslands</v>
          </cell>
        </row>
        <row r="84">
          <cell r="C84" t="str">
            <v>Lucerne hay</v>
          </cell>
        </row>
        <row r="85">
          <cell r="C85" t="str">
            <v>Barn dried hay</v>
          </cell>
        </row>
        <row r="86">
          <cell r="C86" t="str">
            <v>Beet feed</v>
          </cell>
        </row>
        <row r="87">
          <cell r="C87" t="str">
            <v>Green rape</v>
          </cell>
        </row>
        <row r="88">
          <cell r="C88" t="str">
            <v>Sorghum feed</v>
          </cell>
        </row>
        <row r="89">
          <cell r="C89" t="str">
            <v>Fodder kale</v>
          </cell>
        </row>
        <row r="90">
          <cell r="C90" t="str">
            <v>Dehydrated beet pulp</v>
          </cell>
        </row>
        <row r="91">
          <cell r="C91" t="str">
            <v>Squeezed beet pulp</v>
          </cell>
        </row>
        <row r="92">
          <cell r="C92" t="str">
            <v>Sugar beet molasses</v>
          </cell>
        </row>
        <row r="93">
          <cell r="C93" t="str">
            <v>By-products of beer production (squeezed)</v>
          </cell>
        </row>
        <row r="94">
          <cell r="C94" t="str">
            <v>Dehydrated alfalfa</v>
          </cell>
        </row>
        <row r="95">
          <cell r="C95" t="str">
            <v>Fresh beet pulp</v>
          </cell>
        </row>
        <row r="96">
          <cell r="C96" t="str">
            <v>NH3 treated straw</v>
          </cell>
        </row>
        <row r="97">
          <cell r="C97" t="str">
            <v>Non-treated straw</v>
          </cell>
        </row>
        <row r="98">
          <cell r="C98" t="str">
            <v>Pea straw</v>
          </cell>
        </row>
        <row r="110">
          <cell r="C110" t="str">
            <v>Wheat</v>
          </cell>
        </row>
        <row r="111">
          <cell r="C111" t="str">
            <v xml:space="preserve">Barley </v>
          </cell>
        </row>
        <row r="112">
          <cell r="C112" t="str">
            <v xml:space="preserve">Maize for grain </v>
          </cell>
        </row>
        <row r="113">
          <cell r="C113" t="str">
            <v>Triticale</v>
          </cell>
        </row>
        <row r="114">
          <cell r="C114" t="str">
            <v>Oat</v>
          </cell>
        </row>
        <row r="115">
          <cell r="C115" t="str">
            <v>Sorghum seed</v>
          </cell>
        </row>
        <row r="116">
          <cell r="C116" t="str">
            <v>Soya seed</v>
          </cell>
        </row>
        <row r="117">
          <cell r="C117" t="str">
            <v>Peas seed</v>
          </cell>
        </row>
        <row r="118">
          <cell r="C118" t="str">
            <v>Rape seed</v>
          </cell>
        </row>
        <row r="119">
          <cell r="C119" t="str">
            <v>Sunflower seed</v>
          </cell>
        </row>
        <row r="120">
          <cell r="C120" t="str">
            <v>Soya bean meal</v>
          </cell>
        </row>
        <row r="121">
          <cell r="C121" t="str">
            <v>Rapeseed cake</v>
          </cell>
        </row>
        <row r="122">
          <cell r="C122" t="str">
            <v>Sunflower cake</v>
          </cell>
        </row>
        <row r="123">
          <cell r="C123" t="str">
            <v>Flax seed</v>
          </cell>
        </row>
        <row r="124">
          <cell r="C124" t="str">
            <v>Milling products</v>
          </cell>
        </row>
        <row r="125">
          <cell r="C125" t="str">
            <v>Corn gluten feed</v>
          </cell>
        </row>
        <row r="126">
          <cell r="C126" t="str">
            <v>Dried beet flesh</v>
          </cell>
        </row>
        <row r="127">
          <cell r="C127" t="str">
            <v>Hard wheat</v>
          </cell>
        </row>
        <row r="140">
          <cell r="C140" t="str">
            <v>Dairy cows, 18% crude protein, pellet form</v>
          </cell>
        </row>
        <row r="141">
          <cell r="C141" t="str">
            <v>Dairy cows, 20% crude protein, pellet form</v>
          </cell>
        </row>
        <row r="142">
          <cell r="C142" t="str">
            <v>Dairy cows, 22% crude protein, pellet form</v>
          </cell>
        </row>
        <row r="143">
          <cell r="C143" t="str">
            <v>Dairy cows, 25% crude protein, pellet form</v>
          </cell>
        </row>
        <row r="144">
          <cell r="C144" t="str">
            <v>Dairy cows, 30% crude protein, pellet form</v>
          </cell>
        </row>
        <row r="145">
          <cell r="C145" t="str">
            <v>Dairy cows, 35% crude protein, pellet form</v>
          </cell>
        </row>
        <row r="146">
          <cell r="C146" t="str">
            <v>Dairy cows, 40% crude protein, pellet form</v>
          </cell>
        </row>
        <row r="147">
          <cell r="C147" t="str">
            <v>Suckler cow, 18% crude protein, pellet form</v>
          </cell>
        </row>
        <row r="148">
          <cell r="C148" t="str">
            <v>Suckler cow, 20% crude protein, pellet form</v>
          </cell>
        </row>
        <row r="149">
          <cell r="C149" t="str">
            <v>Suckler cow, 22% crude protein, pellet form</v>
          </cell>
        </row>
        <row r="150">
          <cell r="C150" t="str">
            <v>Suckler cow, 25% crude protein, pellet form</v>
          </cell>
        </row>
        <row r="151">
          <cell r="C151" t="str">
            <v>Suckler cow, 30% crude protein, pellet form</v>
          </cell>
        </row>
        <row r="152">
          <cell r="C152" t="str">
            <v>Suckler cow, 35% crude protein, pellet form</v>
          </cell>
        </row>
        <row r="153">
          <cell r="C153" t="str">
            <v>Suckler cow, 40% crude protein, pellet form</v>
          </cell>
        </row>
        <row r="154">
          <cell r="C154" t="str">
            <v>Mash, pellet form</v>
          </cell>
        </row>
        <row r="165">
          <cell r="C165" t="str">
            <v>Piglets, first stage feed, pellet form</v>
          </cell>
        </row>
        <row r="166">
          <cell r="C166" t="str">
            <v>Piglets, 2nd stage feed, pellet form</v>
          </cell>
        </row>
        <row r="167">
          <cell r="C167" t="str">
            <v>Pigs for fattening, pellet form</v>
          </cell>
        </row>
        <row r="168">
          <cell r="C168" t="str">
            <v>Growing- finishing pig, pellet form</v>
          </cell>
        </row>
        <row r="169">
          <cell r="C169" t="str">
            <v>Pregnant sow, pellet form</v>
          </cell>
        </row>
        <row r="170">
          <cell r="C170" t="str">
            <v>Suckling sow, pellet form</v>
          </cell>
        </row>
        <row r="171">
          <cell r="C171" t="str">
            <v>Piglets, first stage feed, flour form</v>
          </cell>
        </row>
        <row r="172">
          <cell r="C172" t="str">
            <v>Piglets, 2nd stage feed, flour form</v>
          </cell>
        </row>
        <row r="173">
          <cell r="C173" t="str">
            <v>Pigs for fattening, flour form</v>
          </cell>
        </row>
        <row r="174">
          <cell r="C174" t="str">
            <v>Growing- finishing pig, flour form</v>
          </cell>
        </row>
        <row r="175">
          <cell r="C175" t="str">
            <v>Pregnant sow, flour form</v>
          </cell>
        </row>
        <row r="176">
          <cell r="C176" t="str">
            <v>Suckling sow, flour form</v>
          </cell>
        </row>
        <row r="187">
          <cell r="C187" t="str">
            <v>Wheat-based, pellet form</v>
          </cell>
        </row>
        <row r="188">
          <cell r="C188" t="str">
            <v>Maize-based, pellet form</v>
          </cell>
        </row>
        <row r="189">
          <cell r="C189" t="str">
            <v>Wheat-based, flour form</v>
          </cell>
        </row>
        <row r="190">
          <cell r="C190" t="str">
            <v>Maize-based, flour form</v>
          </cell>
        </row>
        <row r="207">
          <cell r="C207" t="str">
            <v>Horse, 14% crude protein, pellet form</v>
          </cell>
        </row>
        <row r="208">
          <cell r="C208" t="str">
            <v>Suckler calf, flour form</v>
          </cell>
        </row>
        <row r="334">
          <cell r="B334" t="str">
            <v>Daily spread</v>
          </cell>
          <cell r="C334" t="str">
            <v>Daily spread</v>
          </cell>
          <cell r="D334" t="str">
            <v>Daily spread</v>
          </cell>
          <cell r="F334" t="str">
            <v>Daily spread</v>
          </cell>
          <cell r="G334" t="str">
            <v>Solid storage</v>
          </cell>
          <cell r="H334" t="str">
            <v>Solid storage</v>
          </cell>
          <cell r="I334" t="str">
            <v>Dry lot</v>
          </cell>
          <cell r="J334" t="str">
            <v>Dry lot</v>
          </cell>
        </row>
        <row r="335">
          <cell r="B335" t="str">
            <v>Solid storage</v>
          </cell>
          <cell r="C335" t="str">
            <v>Solid storage</v>
          </cell>
          <cell r="D335" t="str">
            <v>Solid storage</v>
          </cell>
          <cell r="F335" t="str">
            <v>Solid storage</v>
          </cell>
          <cell r="G335" t="str">
            <v>Dry lot</v>
          </cell>
          <cell r="H335" t="str">
            <v>Dry lot</v>
          </cell>
          <cell r="I335" t="str">
            <v xml:space="preserve">Uncovered anaerobic lagoon </v>
          </cell>
          <cell r="J335" t="str">
            <v xml:space="preserve">Uncovered anaerobic lagoon </v>
          </cell>
        </row>
        <row r="336">
          <cell r="B336" t="str">
            <v>Dry lot</v>
          </cell>
          <cell r="C336" t="str">
            <v>Dry lot</v>
          </cell>
          <cell r="D336" t="str">
            <v>Liquid / Slurry with natural crust cover</v>
          </cell>
          <cell r="F336" t="str">
            <v>Liquid / Slurry with natural crust cover</v>
          </cell>
          <cell r="G336" t="str">
            <v xml:space="preserve">Anaerobic digester </v>
          </cell>
          <cell r="H336" t="str">
            <v>Liquid / Slurry with natural crust cover</v>
          </cell>
          <cell r="I336" t="str">
            <v>Composting In-vessel</v>
          </cell>
          <cell r="J336" t="str">
            <v>Composting In-vessel</v>
          </cell>
        </row>
        <row r="337">
          <cell r="B337" t="str">
            <v>Liquid / Slurry with natural crust cover</v>
          </cell>
          <cell r="C337" t="str">
            <v>Liquid / Slurry with natural crust cover</v>
          </cell>
          <cell r="D337" t="str">
            <v>Liquid / slurry without natural crust cover</v>
          </cell>
          <cell r="F337" t="str">
            <v>Liquid / slurry without natural crust cover</v>
          </cell>
          <cell r="G337" t="str">
            <v>Cattle and swine deep bedding-no mixing, &lt;1 month</v>
          </cell>
          <cell r="H337" t="str">
            <v>Liquid / slurry without natural crust cover</v>
          </cell>
          <cell r="I337" t="str">
            <v>Composting Static Pile</v>
          </cell>
          <cell r="J337" t="str">
            <v>Composting Static Pile</v>
          </cell>
        </row>
        <row r="338">
          <cell r="B338" t="str">
            <v>Liquid / slurry without natural crust cover</v>
          </cell>
          <cell r="C338" t="str">
            <v>Liquid / slurry without natural crust cover</v>
          </cell>
          <cell r="D338" t="str">
            <v xml:space="preserve">Uncovered anaerobic lagoon </v>
          </cell>
          <cell r="F338" t="str">
            <v xml:space="preserve">Uncovered anaerobic lagoon </v>
          </cell>
          <cell r="G338" t="str">
            <v>Cattle and swine deep bedding-no mixing, &gt;1 month</v>
          </cell>
          <cell r="H338" t="str">
            <v xml:space="preserve">Uncovered anaerobic lagoon </v>
          </cell>
          <cell r="I338" t="str">
            <v>Composting intensive windrow</v>
          </cell>
          <cell r="J338" t="str">
            <v>Composting intensive windrow</v>
          </cell>
        </row>
        <row r="339">
          <cell r="B339" t="str">
            <v xml:space="preserve">Uncovered anaerobic lagoon </v>
          </cell>
          <cell r="C339" t="str">
            <v xml:space="preserve">Uncovered anaerobic lagoon </v>
          </cell>
          <cell r="D339" t="str">
            <v>Pit storage below animal confinements, &lt;1 month</v>
          </cell>
          <cell r="F339" t="str">
            <v>Pit storage below animal confinements, &lt;1 month</v>
          </cell>
          <cell r="G339" t="str">
            <v>Composting In-vessel</v>
          </cell>
          <cell r="H339" t="str">
            <v>Pit storage below animal confinements, &lt;1 month</v>
          </cell>
          <cell r="I339" t="str">
            <v>Composting passive windrow</v>
          </cell>
          <cell r="J339" t="str">
            <v>Composting passive windrow</v>
          </cell>
        </row>
        <row r="340">
          <cell r="B340" t="str">
            <v>Pit storage below animal confinements, &lt;1 month</v>
          </cell>
          <cell r="C340" t="str">
            <v>Pit storage below animal confinements, &lt;1 month</v>
          </cell>
          <cell r="D340" t="str">
            <v>Pit storage below animal confinements, &gt; 1 month</v>
          </cell>
          <cell r="F340" t="str">
            <v>Pit storage below animal confinements, &gt; 1 month</v>
          </cell>
          <cell r="G340" t="str">
            <v>Composting Static Pile</v>
          </cell>
          <cell r="H340" t="str">
            <v>Pit storage below animal confinements, &gt; 1 month</v>
          </cell>
          <cell r="I340" t="str">
            <v>Poultry manure with litter</v>
          </cell>
          <cell r="J340" t="str">
            <v>Poultry manure with litter</v>
          </cell>
        </row>
        <row r="341">
          <cell r="B341" t="str">
            <v>Pit storage below animal confinements, &gt; 1 month</v>
          </cell>
          <cell r="C341" t="str">
            <v>Pit storage below animal confinements, &gt; 1 month</v>
          </cell>
          <cell r="D341" t="str">
            <v xml:space="preserve">Anaerobic digester </v>
          </cell>
          <cell r="F341" t="str">
            <v xml:space="preserve">Anaerobic digester </v>
          </cell>
          <cell r="G341" t="str">
            <v>Composting intensive windrow</v>
          </cell>
          <cell r="H341" t="str">
            <v xml:space="preserve">Anaerobic digester </v>
          </cell>
          <cell r="I341" t="str">
            <v>Poultry without litter</v>
          </cell>
          <cell r="J341" t="str">
            <v>Poultry without litter</v>
          </cell>
        </row>
        <row r="342">
          <cell r="B342" t="str">
            <v xml:space="preserve">Anaerobic digester </v>
          </cell>
          <cell r="C342" t="str">
            <v xml:space="preserve">Anaerobic digester </v>
          </cell>
          <cell r="D342" t="str">
            <v>Cattle and swine deep bedding-no mixing, &lt;1 month</v>
          </cell>
          <cell r="F342" t="str">
            <v>Cattle and swine deep bedding-no mixing, &lt;1 month</v>
          </cell>
          <cell r="G342" t="str">
            <v>Composting passive windrow</v>
          </cell>
          <cell r="H342" t="str">
            <v>Cattle and swine deep bedding-no mixing, &lt;1 month</v>
          </cell>
        </row>
        <row r="343">
          <cell r="B343" t="str">
            <v>Cattle and swine deep bedding-no mixing, &lt;1 month</v>
          </cell>
          <cell r="C343" t="str">
            <v>Cattle and swine deep bedding-no mixing, &lt;1 month</v>
          </cell>
          <cell r="D343" t="str">
            <v>Cattle and swine deep bedding-no mixing, &gt;1 month</v>
          </cell>
          <cell r="F343" t="str">
            <v>Cattle and swine deep bedding-no mixing, &gt;1 month</v>
          </cell>
          <cell r="H343" t="str">
            <v>Cattle and swine deep bedding-no mixing, &gt;1 month</v>
          </cell>
        </row>
        <row r="344">
          <cell r="B344" t="str">
            <v>Cattle and swine deep bedding-no mixing, &gt;1 month</v>
          </cell>
          <cell r="C344" t="str">
            <v>Cattle and swine deep bedding-no mixing, &gt;1 month</v>
          </cell>
          <cell r="D344" t="str">
            <v>Cattle and swine deep bedding-active mixing, &lt; 1 month</v>
          </cell>
          <cell r="F344" t="str">
            <v>Cattle and swine deep bedding-active mixing, &lt; 1 month</v>
          </cell>
          <cell r="H344" t="str">
            <v>Cattle and swine deep bedding-active mixing, &lt; 1 month</v>
          </cell>
        </row>
        <row r="345">
          <cell r="B345" t="str">
            <v>Cattle and swine deep bedding-active mixing, &lt; 1 month</v>
          </cell>
          <cell r="C345" t="str">
            <v>Cattle and swine deep bedding-active mixing, &lt; 1 month</v>
          </cell>
          <cell r="D345" t="str">
            <v>Cattle and swine deep bedding-active mixing, &gt; 1 month</v>
          </cell>
          <cell r="F345" t="str">
            <v>Cattle and swine deep bedding-active mixing, &gt; 1 month</v>
          </cell>
          <cell r="H345" t="str">
            <v>Cattle and swine deep bedding-active mixing, &gt; 1 month</v>
          </cell>
        </row>
        <row r="346">
          <cell r="B346" t="str">
            <v>Cattle and swine deep bedding-active mixing, &gt; 1 month</v>
          </cell>
          <cell r="C346" t="str">
            <v>Cattle and swine deep bedding-active mixing, &gt; 1 month</v>
          </cell>
          <cell r="D346" t="str">
            <v>Composting In-vessel</v>
          </cell>
          <cell r="F346" t="str">
            <v>Composting In-vessel</v>
          </cell>
          <cell r="H346" t="str">
            <v>Composting In-vessel</v>
          </cell>
        </row>
        <row r="347">
          <cell r="B347" t="str">
            <v>Composting In-vessel</v>
          </cell>
          <cell r="C347" t="str">
            <v>Composting In-vessel</v>
          </cell>
          <cell r="D347" t="str">
            <v>Composting Static Pile</v>
          </cell>
          <cell r="F347" t="str">
            <v>Composting Static Pile</v>
          </cell>
          <cell r="H347" t="str">
            <v>Composting Static Pile</v>
          </cell>
        </row>
        <row r="348">
          <cell r="B348" t="str">
            <v>Composting Static Pile</v>
          </cell>
          <cell r="C348" t="str">
            <v>Composting Static Pile</v>
          </cell>
          <cell r="D348" t="str">
            <v>Composting intensive windrow</v>
          </cell>
          <cell r="F348" t="str">
            <v>Composting intensive windrow</v>
          </cell>
          <cell r="H348" t="str">
            <v>Composting intensive windrow</v>
          </cell>
        </row>
        <row r="349">
          <cell r="B349" t="str">
            <v>Composting intensive windrow</v>
          </cell>
          <cell r="C349" t="str">
            <v>Composting intensive windrow</v>
          </cell>
          <cell r="D349" t="str">
            <v>Composting passive windrow</v>
          </cell>
          <cell r="F349" t="str">
            <v>Composting passive windrow</v>
          </cell>
          <cell r="H349" t="str">
            <v>Composting passive windrow</v>
          </cell>
        </row>
        <row r="350">
          <cell r="B350" t="str">
            <v>Composting passive windrow</v>
          </cell>
          <cell r="C350" t="str">
            <v>Composting passive windrow</v>
          </cell>
          <cell r="H350" t="str">
            <v>Aerobic treatment - natural aeration systems</v>
          </cell>
        </row>
        <row r="351">
          <cell r="H351" t="str">
            <v>Aerobic treatment -  Forced aeration systems</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arbon Calculator"/>
      <sheetName val="Results"/>
      <sheetName val="SCOPES"/>
      <sheetName val="N Balance"/>
      <sheetName val="MinMaxbyProduct"/>
      <sheetName val="HELP"/>
      <sheetName val="Actions"/>
      <sheetName val="products"/>
      <sheetName val="Animals"/>
      <sheetName val="Feeds"/>
      <sheetName val="Manure"/>
      <sheetName val="Crops"/>
      <sheetName val="CropsRef"/>
      <sheetName val="C_Storage"/>
      <sheetName val="Direct"/>
      <sheetName val="Inputs"/>
      <sheetName val="Cool"/>
      <sheetName val="Machinery"/>
      <sheetName val="Buildings"/>
      <sheetName val="DATA-NUTS"/>
      <sheetName val="sysControl"/>
      <sheetName val="refPLANETE2010"/>
    </sheetNames>
    <sheetDataSet>
      <sheetData sheetId="0">
        <row r="3">
          <cell r="AB3">
            <v>1.0032295</v>
          </cell>
        </row>
      </sheetData>
      <sheetData sheetId="1"/>
      <sheetData sheetId="2"/>
      <sheetData sheetId="3"/>
      <sheetData sheetId="4"/>
      <sheetData sheetId="5"/>
      <sheetData sheetId="6"/>
      <sheetData sheetId="7"/>
      <sheetData sheetId="8"/>
      <sheetData sheetId="9"/>
      <sheetData sheetId="10"/>
      <sheetData sheetId="11">
        <row r="29">
          <cell r="P29">
            <v>0</v>
          </cell>
          <cell r="Q29">
            <v>0</v>
          </cell>
        </row>
        <row r="30">
          <cell r="P30">
            <v>0</v>
          </cell>
          <cell r="Q30">
            <v>0</v>
          </cell>
        </row>
      </sheetData>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http://www.nal.usda.gov/fnic/foodcomp/cgi-bin/list_nut_edit.pl"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32" sqref="B32"/>
    </sheetView>
  </sheetViews>
  <sheetFormatPr baseColWidth="10" defaultRowHeight="15"/>
  <cols>
    <col min="2" max="2" width="30.7109375" customWidth="1"/>
  </cols>
  <sheetData>
    <row r="1" spans="1:2" ht="16.5" thickBot="1">
      <c r="A1" s="336" t="s">
        <v>569</v>
      </c>
      <c r="B1" s="337"/>
    </row>
    <row r="2" spans="1:2">
      <c r="A2" s="142"/>
      <c r="B2" s="143" t="s">
        <v>570</v>
      </c>
    </row>
    <row r="3" spans="1:2" ht="15.75" thickBot="1">
      <c r="A3" s="144"/>
      <c r="B3" s="145" t="s">
        <v>571</v>
      </c>
    </row>
    <row r="4" spans="1:2" ht="15.75" thickTop="1">
      <c r="A4" s="146"/>
      <c r="B4" s="147" t="s">
        <v>572</v>
      </c>
    </row>
    <row r="5" spans="1:2">
      <c r="A5" s="148"/>
      <c r="B5" s="149" t="s">
        <v>573</v>
      </c>
    </row>
    <row r="6" spans="1:2" ht="15.75" thickBot="1">
      <c r="A6" s="150"/>
      <c r="B6" s="150" t="s">
        <v>574</v>
      </c>
    </row>
    <row r="7" spans="1:2" ht="16.5" thickTop="1" thickBot="1">
      <c r="A7" s="151"/>
      <c r="B7" s="151" t="s">
        <v>575</v>
      </c>
    </row>
    <row r="8" spans="1:2" ht="15.75" thickTop="1"/>
  </sheetData>
  <mergeCells count="1">
    <mergeCell ref="A1:B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7"/>
  <sheetViews>
    <sheetView workbookViewId="0">
      <selection activeCell="A305" sqref="A305"/>
    </sheetView>
  </sheetViews>
  <sheetFormatPr baseColWidth="10" defaultRowHeight="15"/>
  <cols>
    <col min="1" max="1" width="17.85546875" customWidth="1"/>
    <col min="2" max="2" width="30.42578125" customWidth="1"/>
    <col min="3" max="3" width="14.42578125" customWidth="1"/>
    <col min="4" max="4" width="17.7109375" customWidth="1"/>
    <col min="5" max="5" width="14.42578125" customWidth="1"/>
  </cols>
  <sheetData>
    <row r="1" spans="1:4">
      <c r="A1" t="s">
        <v>675</v>
      </c>
      <c r="C1" s="305" t="s">
        <v>674</v>
      </c>
    </row>
    <row r="2" spans="1:4">
      <c r="C2" s="28"/>
    </row>
    <row r="3" spans="1:4">
      <c r="C3" s="28"/>
    </row>
    <row r="4" spans="1:4">
      <c r="C4" s="28"/>
    </row>
    <row r="5" spans="1:4" ht="15.75">
      <c r="B5" s="285" t="s">
        <v>500</v>
      </c>
      <c r="C5" s="286"/>
    </row>
    <row r="6" spans="1:4" ht="15.75" thickBot="1">
      <c r="A6" t="s">
        <v>596</v>
      </c>
      <c r="B6" s="284" t="s">
        <v>74</v>
      </c>
      <c r="C6" s="284">
        <v>25</v>
      </c>
    </row>
    <row r="7" spans="1:4" ht="16.5" thickTop="1" thickBot="1">
      <c r="A7" t="s">
        <v>597</v>
      </c>
      <c r="B7" s="284" t="s">
        <v>75</v>
      </c>
      <c r="C7" s="284">
        <v>298</v>
      </c>
    </row>
    <row r="8" spans="1:4" ht="15.75" thickTop="1">
      <c r="C8" s="28"/>
    </row>
    <row r="10" spans="1:4">
      <c r="C10" s="28"/>
    </row>
    <row r="11" spans="1:4" ht="61.5" customHeight="1">
      <c r="B11" s="287" t="s">
        <v>598</v>
      </c>
      <c r="C11" s="286"/>
      <c r="D11" s="29" t="s">
        <v>183</v>
      </c>
    </row>
    <row r="12" spans="1:4" ht="15.75" thickBot="1">
      <c r="A12" t="s">
        <v>599</v>
      </c>
      <c r="B12" s="284" t="s">
        <v>357</v>
      </c>
      <c r="C12" s="284">
        <v>0.01</v>
      </c>
      <c r="D12" s="54" t="s">
        <v>216</v>
      </c>
    </row>
    <row r="13" spans="1:4" ht="16.5" thickTop="1" thickBot="1">
      <c r="A13" t="s">
        <v>600</v>
      </c>
      <c r="B13" s="284" t="s">
        <v>358</v>
      </c>
      <c r="C13" s="284">
        <v>0.01</v>
      </c>
      <c r="D13" s="54" t="s">
        <v>225</v>
      </c>
    </row>
    <row r="14" spans="1:4" ht="16.5" thickTop="1" thickBot="1">
      <c r="A14" t="s">
        <v>601</v>
      </c>
      <c r="B14" s="284" t="s">
        <v>12</v>
      </c>
      <c r="C14" s="284">
        <v>0.01</v>
      </c>
      <c r="D14" s="54" t="s">
        <v>230</v>
      </c>
    </row>
    <row r="15" spans="1:4" ht="16.5" thickTop="1" thickBot="1">
      <c r="A15" t="s">
        <v>602</v>
      </c>
      <c r="B15" s="284" t="s">
        <v>359</v>
      </c>
      <c r="C15" s="284">
        <v>0.01</v>
      </c>
      <c r="D15" s="54" t="s">
        <v>235</v>
      </c>
    </row>
    <row r="16" spans="1:4" ht="16.5" thickTop="1" thickBot="1">
      <c r="A16" t="s">
        <v>603</v>
      </c>
      <c r="B16" s="284" t="s">
        <v>156</v>
      </c>
      <c r="C16" s="284">
        <v>8</v>
      </c>
      <c r="D16" s="54" t="s">
        <v>240</v>
      </c>
    </row>
    <row r="17" spans="1:10" ht="16.5" thickTop="1" thickBot="1">
      <c r="A17" t="s">
        <v>604</v>
      </c>
      <c r="B17" s="284" t="s">
        <v>360</v>
      </c>
      <c r="C17" s="284">
        <v>3.0000000000000001E-3</v>
      </c>
      <c r="D17" s="54" t="s">
        <v>244</v>
      </c>
    </row>
    <row r="18" spans="1:10" ht="16.5" thickTop="1" thickBot="1">
      <c r="A18" t="s">
        <v>605</v>
      </c>
      <c r="B18" s="284" t="s">
        <v>361</v>
      </c>
      <c r="C18" s="284">
        <v>0.02</v>
      </c>
      <c r="D18" s="54" t="s">
        <v>247</v>
      </c>
    </row>
    <row r="19" spans="1:10" ht="16.5" thickTop="1" thickBot="1">
      <c r="A19" t="s">
        <v>606</v>
      </c>
      <c r="B19" s="284" t="s">
        <v>362</v>
      </c>
      <c r="C19" s="284">
        <v>0.01</v>
      </c>
      <c r="D19" s="54" t="s">
        <v>249</v>
      </c>
    </row>
    <row r="20" spans="1:10" ht="15.75" thickTop="1"/>
    <row r="22" spans="1:10">
      <c r="C22" s="32"/>
    </row>
    <row r="23" spans="1:10" ht="47.25">
      <c r="B23" s="287" t="s">
        <v>192</v>
      </c>
      <c r="C23" s="287"/>
      <c r="D23" s="33" t="s">
        <v>184</v>
      </c>
    </row>
    <row r="24" spans="1:10" ht="30.75" thickBot="1">
      <c r="A24" t="s">
        <v>607</v>
      </c>
      <c r="B24" s="284" t="s">
        <v>217</v>
      </c>
      <c r="C24" s="284">
        <v>7.4999999999999997E-3</v>
      </c>
    </row>
    <row r="25" spans="1:10" ht="15.75" thickTop="1"/>
    <row r="27" spans="1:10" ht="64.5" customHeight="1">
      <c r="B27" s="287" t="s">
        <v>487</v>
      </c>
      <c r="C27" s="287"/>
      <c r="D27" s="114" t="s">
        <v>184</v>
      </c>
    </row>
    <row r="28" spans="1:10" ht="45.75" thickBot="1">
      <c r="A28" t="s">
        <v>608</v>
      </c>
      <c r="B28" s="284" t="s">
        <v>488</v>
      </c>
      <c r="C28" s="284">
        <v>0.01</v>
      </c>
    </row>
    <row r="29" spans="1:10" ht="15.75" thickTop="1"/>
    <row r="32" spans="1:10">
      <c r="B32" s="32"/>
      <c r="C32" s="32"/>
      <c r="D32" s="32"/>
      <c r="E32" s="32"/>
      <c r="F32" s="32"/>
      <c r="G32" s="56"/>
      <c r="H32" s="56"/>
      <c r="I32" s="32"/>
      <c r="J32" s="32"/>
    </row>
    <row r="33" spans="2:10" ht="15.75">
      <c r="B33" s="287" t="s">
        <v>504</v>
      </c>
      <c r="C33" s="287"/>
      <c r="D33" s="287"/>
      <c r="E33" s="287"/>
      <c r="F33" s="287"/>
      <c r="G33" s="56"/>
    </row>
    <row r="34" spans="2:10" ht="30">
      <c r="B34" s="123" t="s">
        <v>505</v>
      </c>
      <c r="C34" s="123" t="s">
        <v>506</v>
      </c>
      <c r="D34" s="123" t="s">
        <v>507</v>
      </c>
      <c r="E34" s="123" t="s">
        <v>508</v>
      </c>
      <c r="F34" s="123" t="s">
        <v>1</v>
      </c>
      <c r="G34" s="56"/>
    </row>
    <row r="35" spans="2:10" ht="45.75" thickBot="1">
      <c r="B35" s="284" t="s">
        <v>239</v>
      </c>
      <c r="C35" s="284" t="str">
        <f t="shared" ref="C35:C38" si="0">B35</f>
        <v>warm temperate moist</v>
      </c>
      <c r="D35" s="284" t="s">
        <v>220</v>
      </c>
      <c r="E35" s="284" t="s">
        <v>78</v>
      </c>
      <c r="F35" s="284" t="s">
        <v>91</v>
      </c>
      <c r="G35" s="32"/>
      <c r="H35" s="56"/>
      <c r="I35" s="32"/>
      <c r="J35" s="32"/>
    </row>
    <row r="36" spans="2:10" ht="31.5" thickTop="1" thickBot="1">
      <c r="B36" s="284" t="s">
        <v>234</v>
      </c>
      <c r="C36" s="284" t="str">
        <f t="shared" si="0"/>
        <v>warm temperate dry</v>
      </c>
      <c r="D36" s="284" t="s">
        <v>220</v>
      </c>
      <c r="E36" s="284" t="s">
        <v>78</v>
      </c>
      <c r="F36" s="284" t="s">
        <v>79</v>
      </c>
      <c r="G36" s="32"/>
      <c r="J36" s="32"/>
    </row>
    <row r="37" spans="2:10" ht="46.5" thickTop="1" thickBot="1">
      <c r="B37" s="284" t="s">
        <v>229</v>
      </c>
      <c r="C37" s="284" t="str">
        <f t="shared" si="0"/>
        <v>cool temperate moist</v>
      </c>
      <c r="D37" s="284" t="s">
        <v>208</v>
      </c>
      <c r="E37" s="284" t="s">
        <v>78</v>
      </c>
      <c r="F37" s="284" t="s">
        <v>91</v>
      </c>
      <c r="G37" s="32"/>
      <c r="J37" s="32"/>
    </row>
    <row r="38" spans="2:10" ht="31.5" thickTop="1" thickBot="1">
      <c r="B38" s="284" t="s">
        <v>224</v>
      </c>
      <c r="C38" s="284" t="str">
        <f t="shared" si="0"/>
        <v>cool temperate dry</v>
      </c>
      <c r="D38" s="284" t="s">
        <v>208</v>
      </c>
      <c r="E38" s="284" t="s">
        <v>78</v>
      </c>
      <c r="F38" s="284" t="s">
        <v>79</v>
      </c>
      <c r="G38" s="32"/>
      <c r="J38" s="32"/>
    </row>
    <row r="39" spans="2:10" ht="31.5" thickTop="1" thickBot="1">
      <c r="B39" s="284" t="s">
        <v>509</v>
      </c>
      <c r="C39" s="284" t="s">
        <v>215</v>
      </c>
      <c r="D39" s="284" t="s">
        <v>208</v>
      </c>
      <c r="E39" s="284" t="s">
        <v>78</v>
      </c>
      <c r="F39" s="284" t="s">
        <v>91</v>
      </c>
      <c r="G39" s="32"/>
      <c r="J39" s="32"/>
    </row>
    <row r="40" spans="2:10" ht="31.5" thickTop="1" thickBot="1">
      <c r="B40" s="284" t="s">
        <v>510</v>
      </c>
      <c r="C40" s="284" t="s">
        <v>215</v>
      </c>
      <c r="D40" s="284" t="s">
        <v>208</v>
      </c>
      <c r="E40" s="284" t="s">
        <v>78</v>
      </c>
      <c r="F40" s="284" t="s">
        <v>79</v>
      </c>
      <c r="G40" s="32"/>
      <c r="J40" s="32"/>
    </row>
    <row r="41" spans="2:10" ht="15.75" thickTop="1">
      <c r="B41" s="32"/>
      <c r="C41" s="32"/>
      <c r="D41" s="32"/>
      <c r="E41" s="32"/>
      <c r="F41" s="32"/>
      <c r="G41" s="32"/>
      <c r="H41" s="32"/>
      <c r="I41" s="32"/>
      <c r="J41" s="32"/>
    </row>
    <row r="42" spans="2:10">
      <c r="B42" s="32"/>
      <c r="C42" s="32"/>
      <c r="D42" s="32"/>
      <c r="E42" s="32"/>
      <c r="F42" s="32"/>
      <c r="G42" s="32"/>
      <c r="H42" s="32"/>
      <c r="I42" s="32"/>
      <c r="J42" s="32"/>
    </row>
    <row r="43" spans="2:10">
      <c r="B43" s="32"/>
      <c r="C43" s="32"/>
      <c r="D43" s="32"/>
      <c r="E43" s="32"/>
      <c r="F43" s="32"/>
      <c r="G43" s="32"/>
      <c r="H43" s="32"/>
      <c r="I43" s="32"/>
      <c r="J43" s="32"/>
    </row>
    <row r="44" spans="2:10">
      <c r="B44" s="32"/>
      <c r="C44" s="32"/>
      <c r="D44" s="32"/>
      <c r="E44" s="32"/>
      <c r="F44" s="32"/>
      <c r="G44" s="32"/>
      <c r="H44" s="32"/>
      <c r="I44" s="32"/>
      <c r="J44" s="32"/>
    </row>
    <row r="45" spans="2:10" ht="15.75">
      <c r="B45" s="287" t="s">
        <v>511</v>
      </c>
      <c r="C45" s="287"/>
      <c r="D45" s="32"/>
      <c r="E45" s="32"/>
      <c r="F45" s="32"/>
      <c r="G45" s="32"/>
      <c r="H45" s="32"/>
      <c r="I45" s="32"/>
      <c r="J45" s="32"/>
    </row>
    <row r="46" spans="2:10" ht="15.75" thickBot="1">
      <c r="B46" s="284" t="s">
        <v>512</v>
      </c>
      <c r="C46" s="284" t="s">
        <v>513</v>
      </c>
      <c r="D46" s="32"/>
      <c r="E46" s="32"/>
      <c r="F46" s="32"/>
      <c r="G46" s="32"/>
      <c r="H46" s="32"/>
      <c r="I46" s="32"/>
      <c r="J46" s="32"/>
    </row>
    <row r="47" spans="2:10" ht="16.5" thickTop="1" thickBot="1">
      <c r="B47" s="284" t="s">
        <v>514</v>
      </c>
      <c r="C47" s="284" t="s">
        <v>515</v>
      </c>
      <c r="D47" s="32"/>
      <c r="E47" s="32"/>
      <c r="F47" s="32"/>
      <c r="G47" s="32"/>
      <c r="H47" s="32"/>
      <c r="I47" s="32"/>
      <c r="J47" s="32"/>
    </row>
    <row r="48" spans="2:10" ht="16.5" thickTop="1" thickBot="1">
      <c r="B48" s="284" t="s">
        <v>516</v>
      </c>
      <c r="C48" s="284" t="s">
        <v>205</v>
      </c>
    </row>
    <row r="49" spans="2:3" ht="16.5" thickTop="1" thickBot="1">
      <c r="B49" s="284" t="s">
        <v>517</v>
      </c>
      <c r="C49" s="284" t="s">
        <v>518</v>
      </c>
    </row>
    <row r="50" spans="2:3" ht="16.5" thickTop="1" thickBot="1">
      <c r="B50" s="284" t="s">
        <v>519</v>
      </c>
      <c r="C50" s="284" t="s">
        <v>515</v>
      </c>
    </row>
    <row r="51" spans="2:3" ht="16.5" thickTop="1" thickBot="1">
      <c r="B51" s="284" t="s">
        <v>520</v>
      </c>
      <c r="C51" s="284" t="s">
        <v>521</v>
      </c>
    </row>
    <row r="52" spans="2:3" ht="16.5" thickTop="1" thickBot="1">
      <c r="B52" s="284" t="s">
        <v>522</v>
      </c>
      <c r="C52" s="284" t="s">
        <v>205</v>
      </c>
    </row>
    <row r="53" spans="2:3" ht="16.5" thickTop="1" thickBot="1">
      <c r="B53" s="284" t="s">
        <v>523</v>
      </c>
      <c r="C53" s="284" t="s">
        <v>205</v>
      </c>
    </row>
    <row r="54" spans="2:3" ht="16.5" thickTop="1" thickBot="1">
      <c r="B54" s="284" t="s">
        <v>524</v>
      </c>
      <c r="C54" s="284" t="s">
        <v>205</v>
      </c>
    </row>
    <row r="55" spans="2:3" ht="16.5" thickTop="1" thickBot="1">
      <c r="B55" s="284" t="s">
        <v>525</v>
      </c>
      <c r="C55" s="284"/>
    </row>
    <row r="56" spans="2:3" ht="16.5" thickTop="1" thickBot="1">
      <c r="B56" s="284" t="s">
        <v>526</v>
      </c>
      <c r="C56" s="284" t="s">
        <v>515</v>
      </c>
    </row>
    <row r="57" spans="2:3" ht="16.5" thickTop="1" thickBot="1">
      <c r="B57" s="284" t="s">
        <v>527</v>
      </c>
      <c r="C57" s="284" t="s">
        <v>528</v>
      </c>
    </row>
    <row r="58" spans="2:3" ht="16.5" thickTop="1" thickBot="1">
      <c r="B58" s="284" t="s">
        <v>529</v>
      </c>
      <c r="C58" s="284" t="s">
        <v>205</v>
      </c>
    </row>
    <row r="59" spans="2:3" ht="16.5" thickTop="1" thickBot="1">
      <c r="B59" s="284" t="s">
        <v>530</v>
      </c>
      <c r="C59" s="284" t="s">
        <v>205</v>
      </c>
    </row>
    <row r="60" spans="2:3" ht="16.5" thickTop="1" thickBot="1">
      <c r="B60" s="284" t="s">
        <v>531</v>
      </c>
      <c r="C60" s="284" t="s">
        <v>205</v>
      </c>
    </row>
    <row r="61" spans="2:3" ht="16.5" thickTop="1" thickBot="1">
      <c r="B61" s="284" t="s">
        <v>532</v>
      </c>
      <c r="C61" s="284" t="s">
        <v>205</v>
      </c>
    </row>
    <row r="62" spans="2:3" ht="16.5" thickTop="1" thickBot="1">
      <c r="B62" s="284" t="s">
        <v>533</v>
      </c>
      <c r="C62" s="284" t="s">
        <v>205</v>
      </c>
    </row>
    <row r="63" spans="2:3" ht="16.5" thickTop="1" thickBot="1">
      <c r="B63" s="284" t="s">
        <v>534</v>
      </c>
      <c r="C63" s="284" t="s">
        <v>515</v>
      </c>
    </row>
    <row r="64" spans="2:3" ht="16.5" thickTop="1" thickBot="1">
      <c r="B64" s="284" t="s">
        <v>535</v>
      </c>
      <c r="C64" s="284" t="s">
        <v>536</v>
      </c>
    </row>
    <row r="65" spans="1:9" ht="16.5" thickTop="1" thickBot="1">
      <c r="B65" s="284" t="s">
        <v>537</v>
      </c>
      <c r="C65" s="284" t="s">
        <v>205</v>
      </c>
    </row>
    <row r="66" spans="1:9" ht="16.5" thickTop="1" thickBot="1">
      <c r="B66" s="284" t="s">
        <v>538</v>
      </c>
      <c r="C66" s="284" t="s">
        <v>515</v>
      </c>
    </row>
    <row r="67" spans="1:9" ht="16.5" thickTop="1" thickBot="1">
      <c r="B67" s="284" t="s">
        <v>539</v>
      </c>
      <c r="C67" s="284" t="s">
        <v>205</v>
      </c>
    </row>
    <row r="68" spans="1:9" ht="16.5" thickTop="1" thickBot="1">
      <c r="B68" s="284" t="s">
        <v>540</v>
      </c>
      <c r="C68" s="284" t="s">
        <v>205</v>
      </c>
    </row>
    <row r="69" spans="1:9" ht="16.5" thickTop="1" thickBot="1">
      <c r="B69" s="284" t="s">
        <v>541</v>
      </c>
      <c r="C69" s="284" t="s">
        <v>205</v>
      </c>
    </row>
    <row r="70" spans="1:9" ht="15.75" thickTop="1"/>
    <row r="73" spans="1:9" ht="15.75">
      <c r="B73" s="339" t="s">
        <v>191</v>
      </c>
      <c r="C73" s="339"/>
      <c r="D73" s="339"/>
      <c r="E73" s="339"/>
      <c r="F73" s="339"/>
      <c r="G73" s="339"/>
      <c r="H73" s="339"/>
      <c r="I73" s="114" t="s">
        <v>759</v>
      </c>
    </row>
    <row r="74" spans="1:9" s="109" customFormat="1" ht="15.75">
      <c r="B74" s="303"/>
      <c r="C74" t="s">
        <v>656</v>
      </c>
      <c r="D74" t="s">
        <v>657</v>
      </c>
      <c r="E74" t="s">
        <v>658</v>
      </c>
      <c r="F74" t="s">
        <v>659</v>
      </c>
      <c r="G74" t="s">
        <v>660</v>
      </c>
      <c r="H74" t="s">
        <v>661</v>
      </c>
      <c r="I74" s="304"/>
    </row>
    <row r="75" spans="1:9" ht="25.5">
      <c r="B75" s="115" t="s">
        <v>204</v>
      </c>
      <c r="C75" s="115" t="s">
        <v>205</v>
      </c>
      <c r="D75" s="115" t="s">
        <v>515</v>
      </c>
      <c r="E75" s="115" t="s">
        <v>521</v>
      </c>
      <c r="F75" s="115" t="s">
        <v>536</v>
      </c>
      <c r="G75" s="115" t="s">
        <v>518</v>
      </c>
      <c r="H75" s="115" t="s">
        <v>528</v>
      </c>
    </row>
    <row r="76" spans="1:9" ht="15.75" thickBot="1">
      <c r="A76" t="s">
        <v>651</v>
      </c>
      <c r="B76" s="284" t="s">
        <v>215</v>
      </c>
      <c r="C76" s="284">
        <v>68</v>
      </c>
      <c r="D76" s="284"/>
      <c r="E76" s="284">
        <v>10</v>
      </c>
      <c r="F76" s="284">
        <v>117</v>
      </c>
      <c r="G76" s="284">
        <v>20</v>
      </c>
      <c r="H76" s="284">
        <v>146</v>
      </c>
    </row>
    <row r="77" spans="1:9" ht="16.5" thickTop="1" thickBot="1">
      <c r="A77" t="s">
        <v>652</v>
      </c>
      <c r="B77" s="284" t="s">
        <v>224</v>
      </c>
      <c r="C77" s="284">
        <v>50</v>
      </c>
      <c r="D77" s="284">
        <v>33</v>
      </c>
      <c r="E77" s="284">
        <v>34</v>
      </c>
      <c r="F77" s="284"/>
      <c r="G77" s="284">
        <v>20</v>
      </c>
      <c r="H77" s="284">
        <v>87</v>
      </c>
    </row>
    <row r="78" spans="1:9" ht="16.5" thickTop="1" thickBot="1">
      <c r="A78" t="s">
        <v>653</v>
      </c>
      <c r="B78" s="284" t="s">
        <v>229</v>
      </c>
      <c r="C78" s="284">
        <v>95</v>
      </c>
      <c r="D78" s="284">
        <v>85</v>
      </c>
      <c r="E78" s="284">
        <v>71</v>
      </c>
      <c r="F78" s="284">
        <v>115</v>
      </c>
      <c r="G78" s="284">
        <v>130</v>
      </c>
      <c r="H78" s="284">
        <v>87</v>
      </c>
    </row>
    <row r="79" spans="1:9" ht="16.5" thickTop="1" thickBot="1">
      <c r="A79" t="s">
        <v>654</v>
      </c>
      <c r="B79" s="284" t="s">
        <v>234</v>
      </c>
      <c r="C79" s="284">
        <v>38</v>
      </c>
      <c r="D79" s="284">
        <v>24</v>
      </c>
      <c r="E79" s="284">
        <v>19</v>
      </c>
      <c r="F79" s="284"/>
      <c r="G79" s="284">
        <v>70</v>
      </c>
      <c r="H79" s="284">
        <v>88</v>
      </c>
    </row>
    <row r="80" spans="1:9" ht="16.5" thickTop="1" thickBot="1">
      <c r="A80" t="s">
        <v>655</v>
      </c>
      <c r="B80" s="284" t="s">
        <v>239</v>
      </c>
      <c r="C80" s="284">
        <v>88</v>
      </c>
      <c r="D80" s="284">
        <v>63</v>
      </c>
      <c r="E80" s="284">
        <v>34</v>
      </c>
      <c r="F80" s="284"/>
      <c r="G80" s="284">
        <v>80</v>
      </c>
      <c r="H80" s="284">
        <v>88</v>
      </c>
    </row>
    <row r="81" spans="1:6" ht="15.75" thickTop="1"/>
    <row r="85" spans="1:6">
      <c r="B85" s="114" t="s">
        <v>62</v>
      </c>
    </row>
    <row r="86" spans="1:6" ht="15.75">
      <c r="B86" s="125" t="s">
        <v>63</v>
      </c>
      <c r="C86" s="126"/>
      <c r="D86" s="126"/>
      <c r="E86" s="126"/>
      <c r="F86" s="126"/>
    </row>
    <row r="87" spans="1:6" ht="25.5">
      <c r="B87" s="115" t="s">
        <v>66</v>
      </c>
      <c r="C87" s="115" t="s">
        <v>0</v>
      </c>
      <c r="D87" s="115" t="s">
        <v>67</v>
      </c>
      <c r="E87" s="127" t="s">
        <v>68</v>
      </c>
      <c r="F87" s="115" t="s">
        <v>69</v>
      </c>
    </row>
    <row r="88" spans="1:6" ht="54.75" customHeight="1" thickBot="1">
      <c r="A88" t="s">
        <v>662</v>
      </c>
      <c r="B88" s="288" t="s">
        <v>77</v>
      </c>
      <c r="C88" s="288" t="s">
        <v>78</v>
      </c>
      <c r="D88" s="288" t="s">
        <v>79</v>
      </c>
      <c r="E88" s="284" t="s">
        <v>80</v>
      </c>
      <c r="F88" s="284">
        <v>0.8</v>
      </c>
    </row>
    <row r="89" spans="1:6" ht="61.5" thickTop="1" thickBot="1">
      <c r="A89" t="s">
        <v>663</v>
      </c>
      <c r="B89" s="288" t="s">
        <v>86</v>
      </c>
      <c r="C89" s="288" t="s">
        <v>78</v>
      </c>
      <c r="D89" s="288" t="s">
        <v>79</v>
      </c>
      <c r="E89" s="284" t="s">
        <v>87</v>
      </c>
      <c r="F89" s="284">
        <v>0.8</v>
      </c>
    </row>
    <row r="90" spans="1:6" ht="46.5" thickTop="1" thickBot="1">
      <c r="A90" t="s">
        <v>664</v>
      </c>
      <c r="B90" s="288" t="s">
        <v>77</v>
      </c>
      <c r="C90" s="288" t="s">
        <v>78</v>
      </c>
      <c r="D90" s="288" t="s">
        <v>91</v>
      </c>
      <c r="E90" s="284" t="s">
        <v>93</v>
      </c>
      <c r="F90" s="284">
        <v>0.69</v>
      </c>
    </row>
    <row r="91" spans="1:6" ht="61.5" thickTop="1" thickBot="1">
      <c r="A91" t="s">
        <v>665</v>
      </c>
      <c r="B91" s="288" t="s">
        <v>86</v>
      </c>
      <c r="C91" s="288" t="s">
        <v>78</v>
      </c>
      <c r="D91" s="288" t="s">
        <v>91</v>
      </c>
      <c r="E91" s="284" t="s">
        <v>96</v>
      </c>
      <c r="F91" s="284">
        <v>0.69</v>
      </c>
    </row>
    <row r="92" spans="1:6" ht="46.5" thickTop="1" thickBot="1">
      <c r="A92" t="s">
        <v>666</v>
      </c>
      <c r="B92" s="288" t="s">
        <v>119</v>
      </c>
      <c r="C92" s="288" t="s">
        <v>78</v>
      </c>
      <c r="D92" s="288" t="s">
        <v>79</v>
      </c>
      <c r="E92" s="284" t="s">
        <v>131</v>
      </c>
      <c r="F92" s="284">
        <v>1.1000000000000001</v>
      </c>
    </row>
    <row r="93" spans="1:6" ht="46.5" thickTop="1" thickBot="1">
      <c r="A93" t="s">
        <v>667</v>
      </c>
      <c r="B93" s="288" t="s">
        <v>119</v>
      </c>
      <c r="C93" s="288" t="s">
        <v>78</v>
      </c>
      <c r="D93" s="288" t="s">
        <v>91</v>
      </c>
      <c r="E93" s="284" t="s">
        <v>133</v>
      </c>
      <c r="F93" s="284">
        <v>1.1000000000000001</v>
      </c>
    </row>
    <row r="94" spans="1:6" ht="46.5" thickTop="1" thickBot="1">
      <c r="A94" t="s">
        <v>668</v>
      </c>
      <c r="B94" s="288" t="s">
        <v>135</v>
      </c>
      <c r="C94" s="288" t="s">
        <v>78</v>
      </c>
      <c r="D94" s="288" t="s">
        <v>79</v>
      </c>
      <c r="E94" s="284" t="s">
        <v>140</v>
      </c>
      <c r="F94" s="284">
        <v>1</v>
      </c>
    </row>
    <row r="95" spans="1:6" ht="46.5" thickTop="1" thickBot="1">
      <c r="A95" t="s">
        <v>669</v>
      </c>
      <c r="B95" s="288" t="s">
        <v>135</v>
      </c>
      <c r="C95" s="288" t="s">
        <v>78</v>
      </c>
      <c r="D95" s="288" t="s">
        <v>91</v>
      </c>
      <c r="E95" s="284" t="s">
        <v>141</v>
      </c>
      <c r="F95" s="284">
        <v>1</v>
      </c>
    </row>
    <row r="96" spans="1:6" ht="46.5" thickTop="1" thickBot="1">
      <c r="A96" t="s">
        <v>670</v>
      </c>
      <c r="B96" s="288" t="s">
        <v>142</v>
      </c>
      <c r="C96" s="288" t="s">
        <v>78</v>
      </c>
      <c r="D96" s="288" t="s">
        <v>79</v>
      </c>
      <c r="E96" s="284" t="s">
        <v>147</v>
      </c>
      <c r="F96" s="284">
        <v>1</v>
      </c>
    </row>
    <row r="97" spans="1:6" ht="46.5" thickTop="1" thickBot="1">
      <c r="A97" t="s">
        <v>671</v>
      </c>
      <c r="B97" s="288" t="s">
        <v>142</v>
      </c>
      <c r="C97" s="288" t="s">
        <v>78</v>
      </c>
      <c r="D97" s="288" t="s">
        <v>91</v>
      </c>
      <c r="E97" s="284" t="s">
        <v>148</v>
      </c>
      <c r="F97" s="284">
        <v>1</v>
      </c>
    </row>
    <row r="98" spans="1:6" ht="46.5" thickTop="1" thickBot="1">
      <c r="A98" t="s">
        <v>672</v>
      </c>
      <c r="B98" s="288" t="s">
        <v>149</v>
      </c>
      <c r="C98" s="288" t="s">
        <v>78</v>
      </c>
      <c r="D98" s="288" t="s">
        <v>79</v>
      </c>
      <c r="E98" s="284" t="s">
        <v>151</v>
      </c>
      <c r="F98" s="284">
        <v>0.93</v>
      </c>
    </row>
    <row r="99" spans="1:6" ht="46.5" thickTop="1" thickBot="1">
      <c r="A99" t="s">
        <v>673</v>
      </c>
      <c r="B99" s="288" t="s">
        <v>149</v>
      </c>
      <c r="C99" s="288" t="s">
        <v>78</v>
      </c>
      <c r="D99" s="288" t="s">
        <v>91</v>
      </c>
      <c r="E99" s="284" t="s">
        <v>153</v>
      </c>
      <c r="F99" s="284">
        <v>0.82</v>
      </c>
    </row>
    <row r="100" spans="1:6" ht="15.75" thickTop="1"/>
    <row r="102" spans="1:6" ht="15.75">
      <c r="B102" s="125" t="s">
        <v>64</v>
      </c>
      <c r="C102" s="126"/>
      <c r="D102" s="126"/>
      <c r="E102" s="126"/>
      <c r="F102" s="126"/>
    </row>
    <row r="103" spans="1:6" ht="63.75">
      <c r="B103" s="115" t="s">
        <v>70</v>
      </c>
      <c r="C103" s="115" t="s">
        <v>0</v>
      </c>
      <c r="D103" s="115" t="s">
        <v>67</v>
      </c>
      <c r="E103" s="127" t="s">
        <v>68</v>
      </c>
      <c r="F103" s="115" t="s">
        <v>71</v>
      </c>
    </row>
    <row r="104" spans="1:6" ht="45.75" thickBot="1">
      <c r="A104" t="s">
        <v>676</v>
      </c>
      <c r="B104" s="288" t="s">
        <v>59</v>
      </c>
      <c r="C104" s="288" t="s">
        <v>78</v>
      </c>
      <c r="D104" s="288" t="s">
        <v>79</v>
      </c>
      <c r="E104" s="284" t="s">
        <v>81</v>
      </c>
      <c r="F104" s="284">
        <v>1</v>
      </c>
    </row>
    <row r="105" spans="1:6" ht="46.5" thickTop="1" thickBot="1">
      <c r="A105" t="s">
        <v>677</v>
      </c>
      <c r="B105" s="288" t="s">
        <v>59</v>
      </c>
      <c r="C105" s="288" t="s">
        <v>78</v>
      </c>
      <c r="D105" s="288" t="s">
        <v>91</v>
      </c>
      <c r="E105" s="284" t="s">
        <v>97</v>
      </c>
      <c r="F105" s="284">
        <v>1</v>
      </c>
    </row>
    <row r="106" spans="1:6" ht="46.5" thickTop="1" thickBot="1">
      <c r="A106" t="s">
        <v>678</v>
      </c>
      <c r="B106" s="288" t="s">
        <v>106</v>
      </c>
      <c r="C106" s="288" t="s">
        <v>78</v>
      </c>
      <c r="D106" s="288" t="s">
        <v>79</v>
      </c>
      <c r="E106" s="284" t="s">
        <v>108</v>
      </c>
      <c r="F106" s="284">
        <v>1.02</v>
      </c>
    </row>
    <row r="107" spans="1:6" ht="46.5" thickTop="1" thickBot="1">
      <c r="A107" t="s">
        <v>679</v>
      </c>
      <c r="B107" s="288" t="s">
        <v>106</v>
      </c>
      <c r="C107" s="288" t="s">
        <v>78</v>
      </c>
      <c r="D107" s="288" t="s">
        <v>91</v>
      </c>
      <c r="E107" s="284" t="s">
        <v>111</v>
      </c>
      <c r="F107" s="284">
        <v>1.08</v>
      </c>
    </row>
    <row r="108" spans="1:6" ht="46.5" thickTop="1" thickBot="1">
      <c r="A108" t="s">
        <v>680</v>
      </c>
      <c r="B108" s="288" t="s">
        <v>102</v>
      </c>
      <c r="C108" s="288" t="s">
        <v>78</v>
      </c>
      <c r="D108" s="288" t="s">
        <v>79</v>
      </c>
      <c r="E108" s="284" t="s">
        <v>125</v>
      </c>
      <c r="F108" s="284">
        <v>1.1000000000000001</v>
      </c>
    </row>
    <row r="109" spans="1:6" ht="46.5" thickTop="1" thickBot="1">
      <c r="A109" t="s">
        <v>681</v>
      </c>
      <c r="B109" s="288" t="s">
        <v>102</v>
      </c>
      <c r="C109" s="288" t="s">
        <v>78</v>
      </c>
      <c r="D109" s="288" t="s">
        <v>91</v>
      </c>
      <c r="E109" s="284" t="s">
        <v>128</v>
      </c>
      <c r="F109" s="284">
        <v>1.1499999999999999</v>
      </c>
    </row>
    <row r="110" spans="1:6" ht="15.75" thickTop="1"/>
    <row r="113" spans="2:6" ht="15.75">
      <c r="B113" s="125" t="s">
        <v>65</v>
      </c>
      <c r="C113" s="126"/>
      <c r="D113" s="126"/>
      <c r="E113" s="126"/>
      <c r="F113" s="126"/>
    </row>
    <row r="114" spans="2:6" ht="38.25">
      <c r="B114" s="115" t="s">
        <v>72</v>
      </c>
      <c r="C114" s="115" t="s">
        <v>73</v>
      </c>
      <c r="D114" s="115" t="s">
        <v>552</v>
      </c>
      <c r="E114" s="127" t="s">
        <v>68</v>
      </c>
      <c r="F114" s="115" t="s">
        <v>29</v>
      </c>
    </row>
    <row r="115" spans="2:6" ht="15.75" thickBot="1">
      <c r="B115" s="288" t="s">
        <v>76</v>
      </c>
      <c r="C115" s="288" t="s">
        <v>60</v>
      </c>
      <c r="D115" s="288" t="s">
        <v>60</v>
      </c>
      <c r="E115" s="284" t="s">
        <v>82</v>
      </c>
      <c r="F115" s="284" t="s">
        <v>83</v>
      </c>
    </row>
    <row r="116" spans="2:6" ht="16.5" thickTop="1" thickBot="1">
      <c r="B116" s="288" t="s">
        <v>76</v>
      </c>
      <c r="C116" s="288" t="s">
        <v>60</v>
      </c>
      <c r="D116" s="288" t="s">
        <v>57</v>
      </c>
      <c r="E116" s="284" t="s">
        <v>89</v>
      </c>
      <c r="F116" s="284" t="s">
        <v>90</v>
      </c>
    </row>
    <row r="117" spans="2:6" ht="16.5" thickTop="1" thickBot="1">
      <c r="B117" s="288" t="s">
        <v>76</v>
      </c>
      <c r="C117" s="288" t="s">
        <v>57</v>
      </c>
      <c r="D117" s="288" t="s">
        <v>60</v>
      </c>
      <c r="E117" s="284" t="s">
        <v>95</v>
      </c>
      <c r="F117" s="284" t="s">
        <v>90</v>
      </c>
    </row>
    <row r="118" spans="2:6" ht="16.5" thickTop="1" thickBot="1">
      <c r="B118" s="288" t="s">
        <v>76</v>
      </c>
      <c r="C118" s="288" t="s">
        <v>57</v>
      </c>
      <c r="D118" s="288" t="s">
        <v>57</v>
      </c>
      <c r="E118" s="284" t="s">
        <v>98</v>
      </c>
      <c r="F118" s="284" t="s">
        <v>61</v>
      </c>
    </row>
    <row r="119" spans="2:6" ht="31.5" thickTop="1" thickBot="1">
      <c r="B119" s="288" t="s">
        <v>85</v>
      </c>
      <c r="C119" s="288" t="s">
        <v>60</v>
      </c>
      <c r="D119" s="288" t="s">
        <v>60</v>
      </c>
      <c r="E119" s="284" t="s">
        <v>101</v>
      </c>
      <c r="F119" s="284" t="s">
        <v>83</v>
      </c>
    </row>
    <row r="120" spans="2:6" ht="31.5" thickTop="1" thickBot="1">
      <c r="B120" s="288" t="s">
        <v>85</v>
      </c>
      <c r="C120" s="288" t="s">
        <v>60</v>
      </c>
      <c r="D120" s="288" t="s">
        <v>57</v>
      </c>
      <c r="E120" s="284" t="s">
        <v>105</v>
      </c>
      <c r="F120" s="284" t="s">
        <v>90</v>
      </c>
    </row>
    <row r="121" spans="2:6" ht="31.5" thickTop="1" thickBot="1">
      <c r="B121" s="288" t="s">
        <v>85</v>
      </c>
      <c r="C121" s="288" t="s">
        <v>57</v>
      </c>
      <c r="D121" s="288" t="s">
        <v>60</v>
      </c>
      <c r="E121" s="284" t="s">
        <v>109</v>
      </c>
      <c r="F121" s="284" t="s">
        <v>90</v>
      </c>
    </row>
    <row r="122" spans="2:6" ht="16.5" thickTop="1" thickBot="1">
      <c r="B122" s="288" t="s">
        <v>85</v>
      </c>
      <c r="C122" s="288" t="s">
        <v>57</v>
      </c>
      <c r="D122" s="288" t="s">
        <v>57</v>
      </c>
      <c r="E122" s="284" t="s">
        <v>112</v>
      </c>
      <c r="F122" s="284" t="s">
        <v>61</v>
      </c>
    </row>
    <row r="123" spans="2:6" ht="31.5" thickTop="1" thickBot="1">
      <c r="B123" s="288" t="s">
        <v>58</v>
      </c>
      <c r="C123" s="288" t="s">
        <v>60</v>
      </c>
      <c r="D123" s="288" t="s">
        <v>60</v>
      </c>
      <c r="E123" s="284" t="s">
        <v>115</v>
      </c>
      <c r="F123" s="284" t="s">
        <v>83</v>
      </c>
    </row>
    <row r="124" spans="2:6" ht="31.5" thickTop="1" thickBot="1">
      <c r="B124" s="288" t="s">
        <v>58</v>
      </c>
      <c r="C124" s="288" t="s">
        <v>60</v>
      </c>
      <c r="D124" s="288" t="s">
        <v>57</v>
      </c>
      <c r="E124" s="284" t="s">
        <v>118</v>
      </c>
      <c r="F124" s="284" t="s">
        <v>83</v>
      </c>
    </row>
    <row r="125" spans="2:6" ht="31.5" thickTop="1" thickBot="1">
      <c r="B125" s="288" t="s">
        <v>58</v>
      </c>
      <c r="C125" s="288" t="s">
        <v>57</v>
      </c>
      <c r="D125" s="288" t="s">
        <v>60</v>
      </c>
      <c r="E125" s="284" t="s">
        <v>122</v>
      </c>
      <c r="F125" s="284" t="s">
        <v>123</v>
      </c>
    </row>
    <row r="126" spans="2:6" ht="31.5" thickTop="1" thickBot="1">
      <c r="B126" s="288" t="s">
        <v>58</v>
      </c>
      <c r="C126" s="288" t="s">
        <v>57</v>
      </c>
      <c r="D126" s="288" t="s">
        <v>57</v>
      </c>
      <c r="E126" s="284" t="s">
        <v>126</v>
      </c>
      <c r="F126" s="284" t="s">
        <v>90</v>
      </c>
    </row>
    <row r="127" spans="2:6" ht="15.75" thickTop="1"/>
    <row r="129" spans="1:6" ht="15.75">
      <c r="B129" s="125" t="s">
        <v>185</v>
      </c>
      <c r="C129" s="126"/>
      <c r="D129" s="126"/>
      <c r="E129" s="126"/>
      <c r="F129" s="126"/>
    </row>
    <row r="130" spans="1:6" ht="51">
      <c r="B130" s="115" t="s">
        <v>195</v>
      </c>
      <c r="C130" s="115" t="s">
        <v>0</v>
      </c>
      <c r="D130" s="115" t="s">
        <v>67</v>
      </c>
      <c r="E130" s="127" t="s">
        <v>68</v>
      </c>
      <c r="F130" s="115" t="s">
        <v>196</v>
      </c>
    </row>
    <row r="131" spans="1:6" ht="30.75" thickBot="1">
      <c r="A131" t="s">
        <v>682</v>
      </c>
      <c r="B131" s="288" t="s">
        <v>61</v>
      </c>
      <c r="C131" s="288" t="s">
        <v>78</v>
      </c>
      <c r="D131" s="288" t="s">
        <v>79</v>
      </c>
      <c r="E131" s="284" t="s">
        <v>207</v>
      </c>
      <c r="F131" s="284">
        <v>0.95</v>
      </c>
    </row>
    <row r="132" spans="1:6" ht="31.5" thickTop="1" thickBot="1">
      <c r="A132" t="s">
        <v>683</v>
      </c>
      <c r="B132" s="288" t="s">
        <v>61</v>
      </c>
      <c r="C132" s="288" t="s">
        <v>78</v>
      </c>
      <c r="D132" s="288" t="s">
        <v>91</v>
      </c>
      <c r="E132" s="284" t="s">
        <v>219</v>
      </c>
      <c r="F132" s="284">
        <v>0.92</v>
      </c>
    </row>
    <row r="133" spans="1:6" ht="46.5" thickTop="1" thickBot="1">
      <c r="A133" t="s">
        <v>684</v>
      </c>
      <c r="B133" s="288" t="s">
        <v>90</v>
      </c>
      <c r="C133" s="288" t="s">
        <v>78</v>
      </c>
      <c r="D133" s="288" t="s">
        <v>79</v>
      </c>
      <c r="E133" s="284" t="s">
        <v>242</v>
      </c>
      <c r="F133" s="284">
        <v>1</v>
      </c>
    </row>
    <row r="134" spans="1:6" ht="46.5" thickTop="1" thickBot="1">
      <c r="A134" t="s">
        <v>685</v>
      </c>
      <c r="B134" s="288" t="s">
        <v>90</v>
      </c>
      <c r="C134" s="288" t="s">
        <v>78</v>
      </c>
      <c r="D134" s="288" t="s">
        <v>91</v>
      </c>
      <c r="E134" s="284" t="s">
        <v>251</v>
      </c>
      <c r="F134" s="284">
        <v>1</v>
      </c>
    </row>
    <row r="135" spans="1:6" ht="46.5" thickTop="1" thickBot="1">
      <c r="A135" t="s">
        <v>686</v>
      </c>
      <c r="B135" s="288" t="s">
        <v>123</v>
      </c>
      <c r="C135" s="288" t="s">
        <v>78</v>
      </c>
      <c r="D135" s="288" t="s">
        <v>79</v>
      </c>
      <c r="E135" s="284" t="s">
        <v>254</v>
      </c>
      <c r="F135" s="284">
        <v>1.04</v>
      </c>
    </row>
    <row r="136" spans="1:6" ht="46.5" thickTop="1" thickBot="1">
      <c r="A136" t="s">
        <v>687</v>
      </c>
      <c r="B136" s="288" t="s">
        <v>123</v>
      </c>
      <c r="C136" s="288" t="s">
        <v>78</v>
      </c>
      <c r="D136" s="288" t="s">
        <v>91</v>
      </c>
      <c r="E136" s="284" t="s">
        <v>256</v>
      </c>
      <c r="F136" s="284">
        <v>1.1100000000000001</v>
      </c>
    </row>
    <row r="137" spans="1:6" ht="46.5" thickTop="1" thickBot="1">
      <c r="A137" t="s">
        <v>688</v>
      </c>
      <c r="B137" s="288" t="s">
        <v>83</v>
      </c>
      <c r="C137" s="288" t="s">
        <v>78</v>
      </c>
      <c r="D137" s="288" t="s">
        <v>79</v>
      </c>
      <c r="E137" s="284" t="s">
        <v>257</v>
      </c>
      <c r="F137" s="284">
        <v>1.37</v>
      </c>
    </row>
    <row r="138" spans="1:6" ht="46.5" thickTop="1" thickBot="1">
      <c r="A138" t="s">
        <v>689</v>
      </c>
      <c r="B138" s="288" t="s">
        <v>83</v>
      </c>
      <c r="C138" s="288" t="s">
        <v>78</v>
      </c>
      <c r="D138" s="288" t="s">
        <v>91</v>
      </c>
      <c r="E138" s="284" t="s">
        <v>258</v>
      </c>
      <c r="F138" s="284">
        <v>1.44</v>
      </c>
    </row>
    <row r="139" spans="1:6" ht="15.75" thickTop="1"/>
    <row r="143" spans="1:6">
      <c r="B143" s="114" t="s">
        <v>62</v>
      </c>
    </row>
    <row r="144" spans="1:6" ht="47.25">
      <c r="B144" s="129" t="s">
        <v>186</v>
      </c>
      <c r="C144" s="125"/>
    </row>
    <row r="145" spans="1:6" ht="25.5">
      <c r="B145" s="115" t="s">
        <v>197</v>
      </c>
      <c r="C145" s="115" t="s">
        <v>198</v>
      </c>
    </row>
    <row r="146" spans="1:6" ht="15.75" thickBot="1">
      <c r="A146" t="s">
        <v>690</v>
      </c>
      <c r="B146" s="284" t="s">
        <v>208</v>
      </c>
      <c r="C146" s="284">
        <v>5</v>
      </c>
    </row>
    <row r="147" spans="1:6" ht="16.5" thickTop="1" thickBot="1">
      <c r="A147" t="s">
        <v>691</v>
      </c>
      <c r="B147" s="284" t="s">
        <v>220</v>
      </c>
      <c r="C147" s="284">
        <v>10</v>
      </c>
    </row>
    <row r="148" spans="1:6" ht="15.75" thickTop="1"/>
    <row r="152" spans="1:6" ht="15.75">
      <c r="B152" s="125" t="s">
        <v>188</v>
      </c>
      <c r="C152" s="129"/>
      <c r="D152" s="129"/>
      <c r="E152" s="129"/>
      <c r="F152" s="129"/>
    </row>
    <row r="153" spans="1:6" ht="38.25">
      <c r="B153" s="115" t="s">
        <v>201</v>
      </c>
      <c r="C153" s="115" t="s">
        <v>202</v>
      </c>
      <c r="D153" s="115" t="s">
        <v>203</v>
      </c>
      <c r="E153" s="127" t="s">
        <v>68</v>
      </c>
      <c r="F153" s="115" t="s">
        <v>36</v>
      </c>
    </row>
    <row r="154" spans="1:6" ht="30.75" thickBot="1">
      <c r="B154" s="288" t="s">
        <v>60</v>
      </c>
      <c r="C154" s="288" t="s">
        <v>60</v>
      </c>
      <c r="D154" s="288" t="s">
        <v>60</v>
      </c>
      <c r="E154" s="284" t="s">
        <v>211</v>
      </c>
      <c r="F154" s="284" t="s">
        <v>171</v>
      </c>
    </row>
    <row r="155" spans="1:6" ht="31.5" thickTop="1" thickBot="1">
      <c r="B155" s="288" t="s">
        <v>60</v>
      </c>
      <c r="C155" s="288" t="s">
        <v>57</v>
      </c>
      <c r="D155" s="288" t="s">
        <v>57</v>
      </c>
      <c r="E155" s="284" t="s">
        <v>221</v>
      </c>
      <c r="F155" s="284" t="s">
        <v>222</v>
      </c>
    </row>
    <row r="156" spans="1:6" ht="31.5" thickTop="1" thickBot="1">
      <c r="B156" s="288" t="s">
        <v>60</v>
      </c>
      <c r="C156" s="288" t="s">
        <v>60</v>
      </c>
      <c r="D156" s="288" t="s">
        <v>57</v>
      </c>
      <c r="E156" s="284" t="s">
        <v>227</v>
      </c>
      <c r="F156" s="284" t="s">
        <v>171</v>
      </c>
    </row>
    <row r="157" spans="1:6" ht="31.5" thickTop="1" thickBot="1">
      <c r="B157" s="288" t="s">
        <v>60</v>
      </c>
      <c r="C157" s="288" t="s">
        <v>57</v>
      </c>
      <c r="D157" s="288" t="s">
        <v>60</v>
      </c>
      <c r="E157" s="284" t="s">
        <v>232</v>
      </c>
      <c r="F157" s="284" t="s">
        <v>222</v>
      </c>
    </row>
    <row r="158" spans="1:6" ht="16.5" thickTop="1" thickBot="1">
      <c r="B158" s="288" t="s">
        <v>57</v>
      </c>
      <c r="C158" s="288" t="s">
        <v>60</v>
      </c>
      <c r="D158" s="288" t="s">
        <v>60</v>
      </c>
      <c r="E158" s="284" t="s">
        <v>237</v>
      </c>
      <c r="F158" s="284" t="s">
        <v>238</v>
      </c>
    </row>
    <row r="159" spans="1:6" ht="31.5" thickTop="1" thickBot="1">
      <c r="B159" s="288" t="s">
        <v>57</v>
      </c>
      <c r="C159" s="288" t="s">
        <v>57</v>
      </c>
      <c r="D159" s="288" t="s">
        <v>57</v>
      </c>
      <c r="E159" s="284" t="s">
        <v>243</v>
      </c>
      <c r="F159" s="284" t="s">
        <v>212</v>
      </c>
    </row>
    <row r="160" spans="1:6" ht="16.5" thickTop="1" thickBot="1">
      <c r="B160" s="288" t="s">
        <v>57</v>
      </c>
      <c r="C160" s="288" t="s">
        <v>57</v>
      </c>
      <c r="D160" s="288" t="s">
        <v>60</v>
      </c>
      <c r="E160" s="284" t="s">
        <v>246</v>
      </c>
      <c r="F160" s="284" t="s">
        <v>238</v>
      </c>
    </row>
    <row r="161" spans="1:6" ht="31.5" thickTop="1" thickBot="1">
      <c r="B161" s="288" t="s">
        <v>57</v>
      </c>
      <c r="C161" s="288" t="s">
        <v>60</v>
      </c>
      <c r="D161" s="288" t="s">
        <v>57</v>
      </c>
      <c r="E161" s="284" t="s">
        <v>248</v>
      </c>
      <c r="F161" s="284" t="s">
        <v>212</v>
      </c>
    </row>
    <row r="162" spans="1:6" ht="15.75" thickTop="1"/>
    <row r="165" spans="1:6">
      <c r="B165" s="114" t="s">
        <v>62</v>
      </c>
    </row>
    <row r="166" spans="1:6" ht="15.75">
      <c r="B166" s="139" t="s">
        <v>189</v>
      </c>
      <c r="C166" s="140"/>
      <c r="D166" s="140"/>
      <c r="E166" s="140"/>
    </row>
    <row r="167" spans="1:6" ht="25.5">
      <c r="B167" s="115" t="s">
        <v>70</v>
      </c>
      <c r="C167" s="115" t="s">
        <v>0</v>
      </c>
      <c r="D167" s="127" t="s">
        <v>68</v>
      </c>
      <c r="E167" s="115" t="s">
        <v>200</v>
      </c>
    </row>
    <row r="168" spans="1:6" ht="45.75" thickBot="1">
      <c r="A168" t="s">
        <v>692</v>
      </c>
      <c r="B168" s="288" t="s">
        <v>212</v>
      </c>
      <c r="C168" s="288" t="s">
        <v>78</v>
      </c>
      <c r="D168" s="284" t="s">
        <v>228</v>
      </c>
      <c r="E168" s="284">
        <v>1</v>
      </c>
    </row>
    <row r="169" spans="1:6" ht="46.5" thickTop="1" thickBot="1">
      <c r="A169" t="s">
        <v>693</v>
      </c>
      <c r="B169" s="288" t="s">
        <v>222</v>
      </c>
      <c r="C169" s="288" t="s">
        <v>78</v>
      </c>
      <c r="D169" s="284" t="s">
        <v>233</v>
      </c>
      <c r="E169" s="284">
        <v>0.95</v>
      </c>
    </row>
    <row r="170" spans="1:6" ht="31.5" thickTop="1" thickBot="1">
      <c r="A170" t="s">
        <v>694</v>
      </c>
      <c r="B170" s="288" t="s">
        <v>171</v>
      </c>
      <c r="C170" s="288" t="s">
        <v>78</v>
      </c>
      <c r="D170" s="284" t="s">
        <v>252</v>
      </c>
      <c r="E170" s="284">
        <v>0.7</v>
      </c>
    </row>
    <row r="171" spans="1:6" ht="31.5" thickTop="1" thickBot="1">
      <c r="A171" t="s">
        <v>695</v>
      </c>
      <c r="B171" s="288" t="s">
        <v>238</v>
      </c>
      <c r="C171" s="288" t="s">
        <v>78</v>
      </c>
      <c r="D171" s="284" t="s">
        <v>253</v>
      </c>
      <c r="E171" s="284">
        <v>1.1399999999999999</v>
      </c>
    </row>
    <row r="172" spans="1:6" ht="15.75" thickTop="1"/>
    <row r="175" spans="1:6" ht="15.75">
      <c r="B175" s="125" t="s">
        <v>565</v>
      </c>
      <c r="C175" s="125"/>
      <c r="D175" s="125"/>
      <c r="E175" s="125"/>
    </row>
    <row r="176" spans="1:6">
      <c r="B176" s="115" t="s">
        <v>70</v>
      </c>
      <c r="C176" s="115" t="s">
        <v>195</v>
      </c>
      <c r="D176" s="115" t="s">
        <v>199</v>
      </c>
      <c r="E176" s="115" t="s">
        <v>200</v>
      </c>
    </row>
    <row r="177" spans="1:5" ht="15.75" thickBot="1">
      <c r="A177" t="s">
        <v>696</v>
      </c>
      <c r="B177" s="288" t="s">
        <v>213</v>
      </c>
      <c r="C177" s="284" t="s">
        <v>214</v>
      </c>
      <c r="D177" s="288" t="s">
        <v>210</v>
      </c>
      <c r="E177" s="284">
        <v>1</v>
      </c>
    </row>
    <row r="178" spans="1:5" ht="16.5" thickTop="1" thickBot="1">
      <c r="A178" t="s">
        <v>697</v>
      </c>
      <c r="B178" s="288" t="s">
        <v>213</v>
      </c>
      <c r="C178" s="284" t="s">
        <v>223</v>
      </c>
      <c r="D178" s="288" t="s">
        <v>210</v>
      </c>
      <c r="E178" s="284">
        <v>1.1100000000000001</v>
      </c>
    </row>
    <row r="179" spans="1:5" ht="15.75" thickTop="1"/>
    <row r="182" spans="1:5" ht="15.75">
      <c r="B182" s="125" t="s">
        <v>187</v>
      </c>
      <c r="C182" s="129"/>
      <c r="D182" s="129"/>
    </row>
    <row r="183" spans="1:5" ht="25.5">
      <c r="B183" s="115" t="s">
        <v>66</v>
      </c>
      <c r="C183" s="115" t="s">
        <v>199</v>
      </c>
      <c r="D183" s="141" t="s">
        <v>200</v>
      </c>
    </row>
    <row r="184" spans="1:5" ht="15.75" thickBot="1">
      <c r="A184" t="s">
        <v>698</v>
      </c>
      <c r="B184" s="284" t="s">
        <v>209</v>
      </c>
      <c r="C184" s="288" t="s">
        <v>210</v>
      </c>
      <c r="D184" s="284">
        <v>1</v>
      </c>
    </row>
    <row r="185" spans="1:5" ht="15.75" thickTop="1"/>
    <row r="188" spans="1:5" ht="34.5" customHeight="1">
      <c r="B188" s="338" t="s">
        <v>190</v>
      </c>
      <c r="C188" s="338"/>
    </row>
    <row r="189" spans="1:5">
      <c r="B189" s="115" t="s">
        <v>197</v>
      </c>
      <c r="C189" s="115" t="s">
        <v>200</v>
      </c>
    </row>
    <row r="190" spans="1:5" ht="15.75" thickBot="1">
      <c r="A190" t="s">
        <v>699</v>
      </c>
      <c r="B190" s="284" t="s">
        <v>208</v>
      </c>
      <c r="C190" s="284">
        <v>0.25</v>
      </c>
    </row>
    <row r="191" spans="1:5" ht="16.5" thickTop="1" thickBot="1">
      <c r="A191" t="s">
        <v>700</v>
      </c>
      <c r="B191" s="284" t="s">
        <v>220</v>
      </c>
      <c r="C191" s="284">
        <v>2.5</v>
      </c>
    </row>
    <row r="192" spans="1:5" ht="15.75" thickTop="1"/>
    <row r="196" spans="1:9" ht="36.75" customHeight="1">
      <c r="B196" s="338" t="s">
        <v>709</v>
      </c>
      <c r="C196" s="338"/>
      <c r="D196" s="302"/>
      <c r="E196" s="114" t="s">
        <v>184</v>
      </c>
    </row>
    <row r="197" spans="1:9">
      <c r="B197" s="115" t="s">
        <v>710</v>
      </c>
      <c r="C197" s="115" t="s">
        <v>74</v>
      </c>
      <c r="D197" s="115" t="s">
        <v>75</v>
      </c>
    </row>
    <row r="198" spans="1:9">
      <c r="C198" t="s">
        <v>723</v>
      </c>
      <c r="D198" t="s">
        <v>724</v>
      </c>
    </row>
    <row r="199" spans="1:9" ht="15.75" thickBot="1">
      <c r="B199" s="284" t="s">
        <v>711</v>
      </c>
      <c r="C199" s="284">
        <v>2.7</v>
      </c>
      <c r="D199" s="284">
        <v>7.0000000000000007E-2</v>
      </c>
    </row>
    <row r="200" spans="1:9" ht="15.75" thickTop="1"/>
    <row r="204" spans="1:9" s="333" customFormat="1" ht="23.25">
      <c r="A204" s="332" t="s">
        <v>463</v>
      </c>
    </row>
    <row r="206" spans="1:9">
      <c r="E206" s="29" t="s">
        <v>732</v>
      </c>
      <c r="F206" s="28" t="s">
        <v>731</v>
      </c>
    </row>
    <row r="207" spans="1:9">
      <c r="E207" s="29" t="s">
        <v>735</v>
      </c>
      <c r="F207" s="29" t="s">
        <v>739</v>
      </c>
    </row>
    <row r="208" spans="1:9">
      <c r="B208" s="28">
        <v>1</v>
      </c>
      <c r="C208" s="28">
        <v>2</v>
      </c>
      <c r="D208" s="28">
        <v>3</v>
      </c>
      <c r="E208" s="28"/>
      <c r="F208" s="28"/>
      <c r="G208" s="28"/>
      <c r="H208" s="28"/>
      <c r="I208" s="28"/>
    </row>
    <row r="209" spans="1:11" ht="63">
      <c r="B209" s="329" t="s">
        <v>992</v>
      </c>
      <c r="C209" s="329" t="s">
        <v>993</v>
      </c>
      <c r="D209" s="329" t="s">
        <v>999</v>
      </c>
      <c r="E209" s="329" t="s">
        <v>493</v>
      </c>
      <c r="F209" s="361" t="s">
        <v>998</v>
      </c>
      <c r="G209" s="362"/>
      <c r="H209" s="28"/>
      <c r="I209" s="28"/>
      <c r="K209" s="28"/>
    </row>
    <row r="210" spans="1:11" ht="15.75" thickBot="1">
      <c r="A210" s="363" t="s">
        <v>997</v>
      </c>
      <c r="B210" s="284" t="s">
        <v>913</v>
      </c>
      <c r="C210" s="284">
        <v>7.0000000000000001E-3</v>
      </c>
      <c r="D210" s="330">
        <v>3468.65671641791</v>
      </c>
      <c r="E210" s="330" t="s">
        <v>1000</v>
      </c>
      <c r="F210" s="361" t="s">
        <v>979</v>
      </c>
      <c r="G210" s="362" t="s">
        <v>994</v>
      </c>
      <c r="I210" s="28"/>
      <c r="K210" s="28"/>
    </row>
    <row r="211" spans="1:11" ht="16.5" thickTop="1" thickBot="1">
      <c r="B211" s="284" t="s">
        <v>974</v>
      </c>
      <c r="C211" s="284">
        <v>7.0000000000000001E-3</v>
      </c>
      <c r="D211" s="330">
        <v>3468.65671641791</v>
      </c>
      <c r="E211" s="330" t="s">
        <v>1000</v>
      </c>
      <c r="F211" s="361"/>
      <c r="G211" s="362"/>
      <c r="I211" s="28"/>
      <c r="K211" s="28"/>
    </row>
    <row r="212" spans="1:11" ht="16.5" thickTop="1" thickBot="1">
      <c r="B212" s="284" t="s">
        <v>975</v>
      </c>
      <c r="C212" s="284">
        <v>7.0000000000000001E-3</v>
      </c>
      <c r="D212" s="330">
        <v>3468.65671641791</v>
      </c>
      <c r="E212" s="330" t="s">
        <v>1000</v>
      </c>
      <c r="F212" s="361"/>
      <c r="G212" s="362"/>
      <c r="I212" s="28"/>
      <c r="K212" s="28"/>
    </row>
    <row r="213" spans="1:11" ht="16.5" thickTop="1" thickBot="1">
      <c r="B213" s="284" t="s">
        <v>976</v>
      </c>
      <c r="C213" s="284">
        <v>7.0000000000000001E-3</v>
      </c>
      <c r="D213" s="330">
        <v>3468.65671641791</v>
      </c>
      <c r="E213" s="330" t="s">
        <v>1000</v>
      </c>
      <c r="F213" s="361"/>
      <c r="G213" s="362"/>
      <c r="I213" s="28"/>
      <c r="K213" s="28"/>
    </row>
    <row r="214" spans="1:11" ht="16.5" thickTop="1" thickBot="1">
      <c r="B214" s="284" t="s">
        <v>908</v>
      </c>
      <c r="C214" s="284">
        <v>7.0000000000000001E-3</v>
      </c>
      <c r="D214" s="330">
        <v>3468.65671641791</v>
      </c>
      <c r="E214" s="330" t="s">
        <v>1000</v>
      </c>
      <c r="F214" s="361"/>
      <c r="G214" s="362"/>
      <c r="I214" s="28"/>
      <c r="K214" s="28"/>
    </row>
    <row r="215" spans="1:11" ht="16.5" thickTop="1" thickBot="1">
      <c r="B215" s="284" t="s">
        <v>937</v>
      </c>
      <c r="C215" s="284">
        <v>7.0000000000000001E-3</v>
      </c>
      <c r="D215" s="330">
        <v>3468.65671641791</v>
      </c>
      <c r="E215" s="330" t="s">
        <v>1000</v>
      </c>
      <c r="F215" s="361"/>
      <c r="G215" s="362"/>
      <c r="I215" s="28"/>
      <c r="K215" s="28"/>
    </row>
    <row r="216" spans="1:11" ht="16.5" thickTop="1" thickBot="1">
      <c r="B216" s="284" t="s">
        <v>935</v>
      </c>
      <c r="C216" s="284">
        <v>7.0000000000000001E-3</v>
      </c>
      <c r="D216" s="330">
        <v>3468.65671641791</v>
      </c>
      <c r="E216" s="330" t="s">
        <v>1000</v>
      </c>
      <c r="F216" s="361"/>
      <c r="G216" s="362"/>
      <c r="I216" s="28"/>
      <c r="K216" s="28"/>
    </row>
    <row r="217" spans="1:11" ht="16.5" thickTop="1" thickBot="1">
      <c r="B217" s="284" t="s">
        <v>973</v>
      </c>
      <c r="C217" s="284">
        <v>7.0000000000000001E-3</v>
      </c>
      <c r="D217" s="330">
        <v>3468.65671641791</v>
      </c>
      <c r="E217" s="330" t="s">
        <v>1000</v>
      </c>
      <c r="F217" s="361"/>
      <c r="G217" s="362"/>
      <c r="I217" s="28"/>
      <c r="K217" s="28"/>
    </row>
    <row r="218" spans="1:11" ht="16.5" thickTop="1" thickBot="1">
      <c r="B218" s="284" t="s">
        <v>938</v>
      </c>
      <c r="C218" s="284">
        <v>7.0000000000000001E-3</v>
      </c>
      <c r="D218" s="330">
        <v>3468.65671641791</v>
      </c>
      <c r="E218" s="330" t="s">
        <v>1000</v>
      </c>
      <c r="F218" s="361"/>
      <c r="G218" s="362"/>
      <c r="I218" s="28"/>
      <c r="K218" s="28"/>
    </row>
    <row r="219" spans="1:11" ht="16.5" thickTop="1" thickBot="1">
      <c r="B219" s="284" t="s">
        <v>939</v>
      </c>
      <c r="C219" s="284">
        <v>7.0000000000000001E-3</v>
      </c>
      <c r="D219" s="330">
        <v>3468.65671641791</v>
      </c>
      <c r="E219" s="330" t="s">
        <v>1000</v>
      </c>
      <c r="F219" s="361"/>
      <c r="G219" s="362"/>
      <c r="I219" s="28"/>
      <c r="K219" s="28"/>
    </row>
    <row r="220" spans="1:11" ht="16.5" thickTop="1" thickBot="1">
      <c r="B220" s="284" t="s">
        <v>941</v>
      </c>
      <c r="C220" s="284">
        <v>7.0000000000000001E-3</v>
      </c>
      <c r="D220" s="330">
        <v>3468.65671641791</v>
      </c>
      <c r="E220" s="330" t="s">
        <v>1000</v>
      </c>
      <c r="F220" s="361"/>
      <c r="G220" s="362"/>
      <c r="I220" s="28"/>
    </row>
    <row r="221" spans="1:11" ht="16.5" thickTop="1" thickBot="1">
      <c r="B221" s="284" t="s">
        <v>942</v>
      </c>
      <c r="C221" s="284">
        <v>7.0000000000000001E-3</v>
      </c>
      <c r="D221" s="330">
        <v>3468.65671641791</v>
      </c>
      <c r="E221" s="330" t="s">
        <v>1000</v>
      </c>
      <c r="F221" s="361"/>
      <c r="G221" s="362"/>
      <c r="I221" s="28"/>
    </row>
    <row r="222" spans="1:11" ht="16.5" thickTop="1" thickBot="1">
      <c r="B222" s="284" t="s">
        <v>943</v>
      </c>
      <c r="C222" s="284">
        <v>7.0000000000000001E-3</v>
      </c>
      <c r="D222" s="330">
        <v>3468.65671641791</v>
      </c>
      <c r="E222" s="330" t="s">
        <v>1000</v>
      </c>
      <c r="F222" s="361"/>
      <c r="G222" s="362"/>
      <c r="I222" s="28"/>
    </row>
    <row r="223" spans="1:11" ht="16.5" thickTop="1" thickBot="1">
      <c r="B223" s="284" t="s">
        <v>944</v>
      </c>
      <c r="C223" s="284">
        <v>7.0000000000000001E-3</v>
      </c>
      <c r="D223" s="330">
        <v>3468.65671641791</v>
      </c>
      <c r="E223" s="330" t="s">
        <v>1000</v>
      </c>
      <c r="F223" s="361"/>
      <c r="G223" s="362"/>
      <c r="I223" s="28"/>
    </row>
    <row r="224" spans="1:11" ht="16.5" thickTop="1" thickBot="1">
      <c r="B224" s="284" t="s">
        <v>945</v>
      </c>
      <c r="C224" s="284">
        <v>7.0000000000000001E-3</v>
      </c>
      <c r="D224" s="330">
        <v>3468.65671641791</v>
      </c>
      <c r="E224" s="330" t="s">
        <v>1000</v>
      </c>
      <c r="F224" s="361"/>
      <c r="G224" s="362"/>
      <c r="I224" s="28"/>
    </row>
    <row r="225" spans="2:9" ht="16.5" thickTop="1" thickBot="1">
      <c r="B225" s="284" t="s">
        <v>946</v>
      </c>
      <c r="C225" s="284">
        <v>7.0000000000000001E-3</v>
      </c>
      <c r="D225" s="330">
        <v>3468.65671641791</v>
      </c>
      <c r="E225" s="330" t="s">
        <v>1000</v>
      </c>
      <c r="F225" s="361"/>
      <c r="G225" s="362"/>
      <c r="I225" s="28"/>
    </row>
    <row r="226" spans="2:9" ht="16.5" thickTop="1" thickBot="1">
      <c r="B226" s="284" t="s">
        <v>947</v>
      </c>
      <c r="C226" s="284">
        <v>7.0000000000000001E-3</v>
      </c>
      <c r="D226" s="330">
        <v>3468.65671641791</v>
      </c>
      <c r="E226" s="330" t="s">
        <v>1000</v>
      </c>
      <c r="F226" s="361"/>
      <c r="G226" s="362"/>
      <c r="I226" s="28"/>
    </row>
    <row r="227" spans="2:9" ht="16.5" thickTop="1" thickBot="1">
      <c r="B227" s="284" t="s">
        <v>948</v>
      </c>
      <c r="C227" s="284">
        <v>7.0000000000000001E-3</v>
      </c>
      <c r="D227" s="330">
        <v>3468.65671641791</v>
      </c>
      <c r="E227" s="330" t="s">
        <v>1000</v>
      </c>
      <c r="F227" s="361"/>
      <c r="G227" s="362"/>
      <c r="I227" s="28"/>
    </row>
    <row r="228" spans="2:9" ht="16.5" thickTop="1" thickBot="1">
      <c r="B228" s="284" t="s">
        <v>949</v>
      </c>
      <c r="C228" s="284">
        <v>7.0000000000000001E-3</v>
      </c>
      <c r="D228" s="330">
        <v>3468.65671641791</v>
      </c>
      <c r="E228" s="330" t="s">
        <v>1000</v>
      </c>
      <c r="F228" s="361"/>
      <c r="G228" s="362"/>
      <c r="I228" s="28"/>
    </row>
    <row r="229" spans="2:9" ht="16.5" thickTop="1" thickBot="1">
      <c r="B229" s="284" t="s">
        <v>950</v>
      </c>
      <c r="C229" s="284">
        <v>7.0000000000000001E-3</v>
      </c>
      <c r="D229" s="330">
        <v>3468.65671641791</v>
      </c>
      <c r="E229" s="330" t="s">
        <v>1000</v>
      </c>
      <c r="F229" s="361"/>
      <c r="G229" s="362"/>
      <c r="I229" s="28"/>
    </row>
    <row r="230" spans="2:9" ht="16.5" thickTop="1" thickBot="1">
      <c r="B230" s="284" t="s">
        <v>951</v>
      </c>
      <c r="C230" s="284">
        <v>7.0000000000000001E-3</v>
      </c>
      <c r="D230" s="330">
        <v>3468.65671641791</v>
      </c>
      <c r="E230" s="330" t="s">
        <v>1000</v>
      </c>
      <c r="F230" s="361"/>
      <c r="G230" s="362"/>
      <c r="I230" s="28"/>
    </row>
    <row r="231" spans="2:9" ht="16.5" thickTop="1" thickBot="1">
      <c r="B231" s="284" t="s">
        <v>952</v>
      </c>
      <c r="C231" s="284">
        <v>7.0000000000000001E-3</v>
      </c>
      <c r="D231" s="330">
        <v>3468.65671641791</v>
      </c>
      <c r="E231" s="330" t="s">
        <v>1000</v>
      </c>
      <c r="F231" s="361"/>
      <c r="G231" s="362"/>
      <c r="I231" s="28"/>
    </row>
    <row r="232" spans="2:9" ht="16.5" thickTop="1" thickBot="1">
      <c r="B232" s="284" t="s">
        <v>953</v>
      </c>
      <c r="C232" s="284">
        <v>7.0000000000000001E-3</v>
      </c>
      <c r="D232" s="330">
        <v>3468.65671641791</v>
      </c>
      <c r="E232" s="330" t="s">
        <v>1000</v>
      </c>
      <c r="F232" s="361"/>
      <c r="G232" s="362"/>
      <c r="I232" s="28"/>
    </row>
    <row r="233" spans="2:9" ht="16.5" thickTop="1" thickBot="1">
      <c r="B233" s="284" t="s">
        <v>954</v>
      </c>
      <c r="C233" s="284">
        <v>7.0000000000000001E-3</v>
      </c>
      <c r="D233" s="330">
        <v>3468.65671641791</v>
      </c>
      <c r="E233" s="330" t="s">
        <v>1000</v>
      </c>
      <c r="F233" s="361"/>
      <c r="G233" s="362"/>
      <c r="I233" s="28"/>
    </row>
    <row r="234" spans="2:9" ht="16.5" thickTop="1" thickBot="1">
      <c r="B234" s="284" t="s">
        <v>955</v>
      </c>
      <c r="C234" s="284">
        <v>7.0000000000000001E-3</v>
      </c>
      <c r="D234" s="330">
        <v>3468.65671641791</v>
      </c>
      <c r="E234" s="330" t="s">
        <v>1000</v>
      </c>
      <c r="F234" s="361"/>
      <c r="G234" s="362"/>
      <c r="I234" s="28"/>
    </row>
    <row r="235" spans="2:9" ht="16.5" thickTop="1" thickBot="1">
      <c r="B235" s="284" t="s">
        <v>956</v>
      </c>
      <c r="C235" s="284">
        <v>7.0000000000000001E-3</v>
      </c>
      <c r="D235" s="330">
        <v>3468.65671641791</v>
      </c>
      <c r="E235" s="330" t="s">
        <v>1000</v>
      </c>
      <c r="F235" s="361"/>
      <c r="G235" s="362"/>
      <c r="I235" s="28"/>
    </row>
    <row r="236" spans="2:9" ht="16.5" thickTop="1" thickBot="1">
      <c r="B236" s="284" t="s">
        <v>957</v>
      </c>
      <c r="C236" s="284">
        <v>7.0000000000000001E-3</v>
      </c>
      <c r="D236" s="330">
        <v>3468.65671641791</v>
      </c>
      <c r="E236" s="330" t="s">
        <v>1000</v>
      </c>
      <c r="F236" s="361"/>
      <c r="G236" s="362"/>
      <c r="I236" s="28"/>
    </row>
    <row r="237" spans="2:9" ht="16.5" thickTop="1" thickBot="1">
      <c r="B237" s="284" t="s">
        <v>958</v>
      </c>
      <c r="C237" s="284">
        <v>7.0000000000000001E-3</v>
      </c>
      <c r="D237" s="330">
        <v>3468.65671641791</v>
      </c>
      <c r="E237" s="330" t="s">
        <v>1000</v>
      </c>
      <c r="F237" s="361"/>
      <c r="G237" s="362"/>
      <c r="I237" s="28"/>
    </row>
    <row r="238" spans="2:9" ht="16.5" thickTop="1" thickBot="1">
      <c r="B238" s="284" t="s">
        <v>959</v>
      </c>
      <c r="C238" s="284">
        <v>7.0000000000000001E-3</v>
      </c>
      <c r="D238" s="330">
        <v>3468.65671641791</v>
      </c>
      <c r="E238" s="330" t="s">
        <v>1000</v>
      </c>
      <c r="F238" s="361"/>
      <c r="G238" s="362"/>
      <c r="I238" s="28"/>
    </row>
    <row r="239" spans="2:9" ht="31.5" thickTop="1" thickBot="1">
      <c r="B239" s="284" t="s">
        <v>932</v>
      </c>
      <c r="C239" s="284">
        <v>0.01</v>
      </c>
      <c r="D239" s="330">
        <v>1028.8461538461538</v>
      </c>
      <c r="E239" s="330" t="s">
        <v>1000</v>
      </c>
      <c r="F239" s="361" t="s">
        <v>738</v>
      </c>
      <c r="G239" s="362" t="s">
        <v>732</v>
      </c>
      <c r="I239" s="28"/>
    </row>
    <row r="240" spans="2:9" ht="16.5" thickTop="1" thickBot="1">
      <c r="B240" s="284" t="s">
        <v>933</v>
      </c>
      <c r="C240" s="284">
        <v>0.01</v>
      </c>
      <c r="D240" s="330">
        <v>1544.7234782608696</v>
      </c>
      <c r="E240" s="330" t="s">
        <v>1000</v>
      </c>
      <c r="F240" s="361" t="s">
        <v>986</v>
      </c>
      <c r="G240" s="362" t="s">
        <v>732</v>
      </c>
      <c r="I240" s="28"/>
    </row>
    <row r="241" spans="2:9" ht="31.5" thickTop="1" thickBot="1">
      <c r="B241" s="284" t="s">
        <v>934</v>
      </c>
      <c r="C241" s="284">
        <v>0.01</v>
      </c>
      <c r="D241" s="330">
        <v>1544.7234782608696</v>
      </c>
      <c r="E241" s="330" t="s">
        <v>1000</v>
      </c>
      <c r="F241" s="361"/>
      <c r="G241" s="362"/>
      <c r="I241" s="28"/>
    </row>
    <row r="242" spans="2:9" ht="16.5" thickTop="1" thickBot="1">
      <c r="B242" s="284" t="s">
        <v>911</v>
      </c>
      <c r="C242" s="284">
        <v>1.0999999999999999E-2</v>
      </c>
      <c r="D242" s="330">
        <v>2723.8095238095239</v>
      </c>
      <c r="E242" s="330" t="s">
        <v>1000</v>
      </c>
      <c r="F242" s="361" t="s">
        <v>980</v>
      </c>
      <c r="G242" s="362" t="s">
        <v>994</v>
      </c>
      <c r="H242" s="28"/>
      <c r="I242" s="28"/>
    </row>
    <row r="243" spans="2:9" ht="16.5" thickTop="1" thickBot="1">
      <c r="B243" s="284" t="s">
        <v>981</v>
      </c>
      <c r="C243" s="284">
        <v>1.0999999999999999E-2</v>
      </c>
      <c r="D243" s="330">
        <v>2723.8095238095239</v>
      </c>
      <c r="E243" s="330" t="s">
        <v>1000</v>
      </c>
      <c r="F243" s="361"/>
      <c r="G243" s="362"/>
      <c r="H243" s="28"/>
      <c r="I243" s="28"/>
    </row>
    <row r="244" spans="2:9" ht="16.5" thickTop="1" thickBot="1">
      <c r="B244" s="284" t="s">
        <v>982</v>
      </c>
      <c r="C244" s="284">
        <v>1.0999999999999999E-2</v>
      </c>
      <c r="D244" s="330">
        <v>2723.8095238095239</v>
      </c>
      <c r="E244" s="330" t="s">
        <v>1000</v>
      </c>
      <c r="F244" s="361"/>
      <c r="G244" s="362"/>
      <c r="H244" s="28"/>
      <c r="I244" s="28"/>
    </row>
    <row r="245" spans="2:9" ht="16.5" thickTop="1" thickBot="1">
      <c r="B245" s="284" t="s">
        <v>977</v>
      </c>
      <c r="C245" s="284">
        <v>1.0999999999999999E-2</v>
      </c>
      <c r="D245" s="330">
        <v>2723.8095238095239</v>
      </c>
      <c r="E245" s="330" t="s">
        <v>1000</v>
      </c>
      <c r="F245" s="361"/>
      <c r="G245" s="362"/>
      <c r="H245" s="28"/>
      <c r="I245" s="28"/>
    </row>
    <row r="246" spans="2:9" ht="16.5" thickTop="1" thickBot="1">
      <c r="B246" s="284" t="s">
        <v>978</v>
      </c>
      <c r="C246" s="284">
        <v>1.0999999999999999E-2</v>
      </c>
      <c r="D246" s="330">
        <v>2723.8095238095239</v>
      </c>
      <c r="E246" s="330" t="s">
        <v>1000</v>
      </c>
      <c r="F246" s="361"/>
      <c r="G246" s="362"/>
      <c r="H246" s="28"/>
      <c r="I246" s="28"/>
    </row>
    <row r="247" spans="2:9" ht="16.5" thickTop="1" thickBot="1">
      <c r="B247" s="284" t="s">
        <v>915</v>
      </c>
      <c r="C247" s="284">
        <v>0.01</v>
      </c>
      <c r="D247" s="330">
        <v>3161.538461538461</v>
      </c>
      <c r="E247" s="330" t="s">
        <v>1000</v>
      </c>
      <c r="F247" s="361" t="s">
        <v>983</v>
      </c>
      <c r="G247" s="362" t="s">
        <v>732</v>
      </c>
      <c r="H247" s="28"/>
      <c r="I247" s="28"/>
    </row>
    <row r="248" spans="2:9" ht="16.5" thickTop="1" thickBot="1">
      <c r="B248" s="284" t="s">
        <v>914</v>
      </c>
      <c r="C248" s="284">
        <v>0.01</v>
      </c>
      <c r="D248" s="330">
        <v>3670.3703703703704</v>
      </c>
      <c r="E248" s="330" t="s">
        <v>1000</v>
      </c>
      <c r="F248" s="361" t="s">
        <v>236</v>
      </c>
      <c r="G248" s="362" t="s">
        <v>732</v>
      </c>
      <c r="H248" s="28"/>
      <c r="I248" s="28"/>
    </row>
    <row r="249" spans="2:9" ht="16.5" thickTop="1" thickBot="1">
      <c r="B249" s="284" t="s">
        <v>909</v>
      </c>
      <c r="C249" s="284">
        <v>0.01</v>
      </c>
      <c r="D249" s="330">
        <v>4348.3870967741941</v>
      </c>
      <c r="E249" s="330" t="s">
        <v>1000</v>
      </c>
      <c r="F249" s="361" t="s">
        <v>984</v>
      </c>
      <c r="G249" s="362" t="s">
        <v>732</v>
      </c>
      <c r="H249" s="28"/>
      <c r="I249" s="28"/>
    </row>
    <row r="250" spans="2:9" ht="16.5" thickTop="1" thickBot="1">
      <c r="B250" s="284" t="s">
        <v>910</v>
      </c>
      <c r="C250" s="284">
        <v>0.01</v>
      </c>
      <c r="D250" s="330">
        <v>4348.3870967741941</v>
      </c>
      <c r="E250" s="330" t="s">
        <v>1000</v>
      </c>
      <c r="F250" s="361"/>
      <c r="G250" s="362"/>
      <c r="H250" s="28"/>
      <c r="I250" s="28"/>
    </row>
    <row r="251" spans="2:9" ht="16.5" thickTop="1" thickBot="1">
      <c r="B251" s="284" t="s">
        <v>940</v>
      </c>
      <c r="C251" s="284">
        <v>0.01</v>
      </c>
      <c r="D251" s="330">
        <v>5013.3333333333339</v>
      </c>
      <c r="E251" s="330" t="s">
        <v>1000</v>
      </c>
      <c r="F251" s="361" t="s">
        <v>250</v>
      </c>
      <c r="G251" s="362" t="s">
        <v>732</v>
      </c>
      <c r="H251" s="28"/>
      <c r="I251" s="28"/>
    </row>
    <row r="252" spans="2:9" ht="16.5" thickTop="1" thickBot="1">
      <c r="B252" s="284" t="s">
        <v>912</v>
      </c>
      <c r="C252" s="284">
        <v>1.0999999999999999E-2</v>
      </c>
      <c r="D252" s="330">
        <v>3509.6869565217389</v>
      </c>
      <c r="E252" s="330" t="s">
        <v>1000</v>
      </c>
      <c r="F252" s="361" t="s">
        <v>985</v>
      </c>
      <c r="G252" s="362" t="s">
        <v>994</v>
      </c>
      <c r="H252" s="359"/>
      <c r="I252" s="28"/>
    </row>
    <row r="253" spans="2:9" ht="16.5" thickTop="1" thickBot="1">
      <c r="B253" s="284" t="s">
        <v>917</v>
      </c>
      <c r="C253" s="284">
        <v>1.0999999999999999E-2</v>
      </c>
      <c r="D253" s="330">
        <v>3509.6869565217389</v>
      </c>
      <c r="E253" s="330" t="s">
        <v>1000</v>
      </c>
      <c r="F253" s="361"/>
      <c r="G253" s="362"/>
      <c r="H253" s="359"/>
      <c r="I253" s="28"/>
    </row>
    <row r="254" spans="2:9" ht="16.5" thickTop="1" thickBot="1">
      <c r="B254" s="284" t="s">
        <v>918</v>
      </c>
      <c r="C254" s="284">
        <v>1.0999999999999999E-2</v>
      </c>
      <c r="D254" s="330">
        <v>3509.6869565217389</v>
      </c>
      <c r="E254" s="330" t="s">
        <v>1000</v>
      </c>
      <c r="F254" s="361"/>
      <c r="G254" s="362"/>
      <c r="H254" s="360"/>
      <c r="I254" s="28"/>
    </row>
    <row r="255" spans="2:9" ht="16.5" thickTop="1" thickBot="1">
      <c r="B255" s="284" t="s">
        <v>919</v>
      </c>
      <c r="C255" s="284">
        <v>1.0999999999999999E-2</v>
      </c>
      <c r="D255" s="330">
        <v>3509.6869565217389</v>
      </c>
      <c r="E255" s="330" t="s">
        <v>1000</v>
      </c>
      <c r="F255" s="361"/>
      <c r="G255" s="362"/>
      <c r="H255" s="360"/>
      <c r="I255" s="28"/>
    </row>
    <row r="256" spans="2:9" ht="16.5" thickTop="1" thickBot="1">
      <c r="B256" s="284" t="s">
        <v>963</v>
      </c>
      <c r="C256" s="284">
        <v>1.0999999999999999E-2</v>
      </c>
      <c r="D256" s="330">
        <v>3509.6869565217389</v>
      </c>
      <c r="E256" s="330" t="s">
        <v>1000</v>
      </c>
      <c r="F256" s="361"/>
      <c r="G256" s="362"/>
      <c r="H256" s="28"/>
      <c r="I256" s="28"/>
    </row>
    <row r="257" spans="1:9" ht="16.5" thickTop="1" thickBot="1">
      <c r="B257" s="284" t="s">
        <v>964</v>
      </c>
      <c r="C257" s="284">
        <v>1.0999999999999999E-2</v>
      </c>
      <c r="D257" s="330">
        <v>3509.6869565217389</v>
      </c>
      <c r="E257" s="330" t="s">
        <v>1000</v>
      </c>
      <c r="F257" s="361"/>
      <c r="G257" s="362"/>
      <c r="H257" s="28"/>
      <c r="I257" s="28"/>
    </row>
    <row r="258" spans="1:9" ht="31.5" thickTop="1" thickBot="1">
      <c r="B258" s="284" t="s">
        <v>965</v>
      </c>
      <c r="C258" s="284">
        <v>1.0999999999999999E-2</v>
      </c>
      <c r="D258" s="330">
        <v>3509.6869565217389</v>
      </c>
      <c r="E258" s="330" t="s">
        <v>1000</v>
      </c>
      <c r="F258" s="361"/>
      <c r="G258" s="362"/>
      <c r="H258" s="28"/>
      <c r="I258" s="28"/>
    </row>
    <row r="259" spans="1:9" ht="16.5" thickTop="1" thickBot="1">
      <c r="B259" s="284" t="s">
        <v>971</v>
      </c>
      <c r="C259" s="284">
        <v>1.0999999999999999E-2</v>
      </c>
      <c r="D259" s="330">
        <v>3509.6869565217389</v>
      </c>
      <c r="E259" s="330" t="s">
        <v>1000</v>
      </c>
      <c r="F259" s="361"/>
      <c r="G259" s="362"/>
      <c r="H259" s="28"/>
      <c r="I259" s="28"/>
    </row>
    <row r="260" spans="1:9" ht="16.5" thickTop="1" thickBot="1">
      <c r="B260" s="284" t="s">
        <v>972</v>
      </c>
      <c r="C260" s="284">
        <v>1.0999999999999999E-2</v>
      </c>
      <c r="D260" s="330">
        <v>3509.6869565217389</v>
      </c>
      <c r="E260" s="330" t="s">
        <v>1000</v>
      </c>
      <c r="F260" s="361"/>
      <c r="G260" s="362"/>
      <c r="H260" s="28"/>
      <c r="I260" s="28"/>
    </row>
    <row r="261" spans="1:9" ht="16.5" thickTop="1" thickBot="1">
      <c r="B261" s="284" t="s">
        <v>916</v>
      </c>
      <c r="C261" s="284">
        <v>1.0999999999999999E-2</v>
      </c>
      <c r="D261" s="330"/>
      <c r="E261" s="330" t="s">
        <v>1000</v>
      </c>
      <c r="F261" s="361"/>
      <c r="G261" s="362" t="s">
        <v>995</v>
      </c>
      <c r="H261" s="364" t="s">
        <v>991</v>
      </c>
      <c r="I261" s="28"/>
    </row>
    <row r="262" spans="1:9" ht="16.5" thickTop="1" thickBot="1">
      <c r="B262" s="284" t="s">
        <v>966</v>
      </c>
      <c r="C262" s="284">
        <v>1.0999999999999999E-2</v>
      </c>
      <c r="D262" s="330"/>
      <c r="E262" s="330" t="s">
        <v>1000</v>
      </c>
      <c r="F262" s="361"/>
      <c r="G262" s="362"/>
      <c r="H262" s="28"/>
      <c r="I262" s="28"/>
    </row>
    <row r="263" spans="1:9" ht="16.5" thickTop="1" thickBot="1">
      <c r="B263" s="284" t="s">
        <v>967</v>
      </c>
      <c r="C263" s="284">
        <v>1.0999999999999999E-2</v>
      </c>
      <c r="D263" s="330"/>
      <c r="E263" s="330" t="s">
        <v>1000</v>
      </c>
      <c r="F263" s="361"/>
      <c r="G263" s="362"/>
      <c r="H263" s="28"/>
      <c r="I263" s="28"/>
    </row>
    <row r="264" spans="1:9" ht="16.5" thickTop="1" thickBot="1">
      <c r="B264" s="284" t="s">
        <v>968</v>
      </c>
      <c r="C264" s="284">
        <v>1.0999999999999999E-2</v>
      </c>
      <c r="D264" s="330"/>
      <c r="E264" s="330" t="s">
        <v>1000</v>
      </c>
      <c r="F264" s="361"/>
      <c r="G264" s="362"/>
      <c r="H264" s="28"/>
      <c r="I264" s="28"/>
    </row>
    <row r="265" spans="1:9" ht="16.5" thickTop="1" thickBot="1">
      <c r="B265" s="284" t="s">
        <v>969</v>
      </c>
      <c r="C265" s="284">
        <v>1.0999999999999999E-2</v>
      </c>
      <c r="D265" s="330"/>
      <c r="E265" s="330" t="s">
        <v>1000</v>
      </c>
      <c r="F265" s="361"/>
      <c r="G265" s="362"/>
      <c r="H265" s="28"/>
      <c r="I265" s="28"/>
    </row>
    <row r="266" spans="1:9" ht="16.5" thickTop="1" thickBot="1">
      <c r="B266" s="284" t="s">
        <v>970</v>
      </c>
      <c r="C266" s="284">
        <v>1.0999999999999999E-2</v>
      </c>
      <c r="D266" s="330"/>
      <c r="E266" s="330" t="s">
        <v>1000</v>
      </c>
      <c r="F266" s="361"/>
      <c r="G266" s="362"/>
      <c r="H266" s="28"/>
      <c r="I266" s="28"/>
    </row>
    <row r="267" spans="1:9" ht="16.5" thickTop="1" thickBot="1">
      <c r="A267" s="363" t="s">
        <v>1002</v>
      </c>
      <c r="B267" s="284" t="s">
        <v>930</v>
      </c>
      <c r="C267" s="288"/>
      <c r="D267" s="330">
        <v>413.33333333333331</v>
      </c>
      <c r="E267" s="330" t="s">
        <v>1001</v>
      </c>
      <c r="F267" s="361" t="s">
        <v>733</v>
      </c>
      <c r="G267" s="362" t="s">
        <v>732</v>
      </c>
      <c r="H267" s="28"/>
      <c r="I267" s="28"/>
    </row>
    <row r="268" spans="1:9" ht="16.5" thickTop="1" thickBot="1">
      <c r="B268" s="284" t="s">
        <v>931</v>
      </c>
      <c r="C268" s="288"/>
      <c r="D268" s="330">
        <v>413.33333333333331</v>
      </c>
      <c r="E268" s="330" t="s">
        <v>1001</v>
      </c>
      <c r="F268" s="361"/>
      <c r="G268" s="362"/>
      <c r="H268" s="28"/>
      <c r="I268" s="28"/>
    </row>
    <row r="269" spans="1:9" ht="16.5" thickTop="1" thickBot="1">
      <c r="B269" s="284" t="s">
        <v>936</v>
      </c>
      <c r="C269" s="288"/>
      <c r="D269" s="330">
        <v>413.33333333333331</v>
      </c>
      <c r="E269" s="330" t="s">
        <v>1001</v>
      </c>
      <c r="F269" s="361"/>
      <c r="G269" s="362"/>
      <c r="H269" s="28"/>
      <c r="I269" s="28"/>
    </row>
    <row r="270" spans="1:9" ht="16.5" thickTop="1" thickBot="1">
      <c r="A270" s="363" t="s">
        <v>1003</v>
      </c>
      <c r="B270" s="284" t="s">
        <v>922</v>
      </c>
      <c r="C270" s="288"/>
      <c r="D270" s="330">
        <v>541.97350671140941</v>
      </c>
      <c r="E270" s="330" t="s">
        <v>1004</v>
      </c>
      <c r="F270" s="361" t="s">
        <v>255</v>
      </c>
      <c r="G270" s="362" t="s">
        <v>735</v>
      </c>
      <c r="H270" s="362" t="s">
        <v>734</v>
      </c>
      <c r="I270" s="28"/>
    </row>
    <row r="271" spans="1:9" ht="16.5" thickTop="1" thickBot="1">
      <c r="B271" s="284" t="s">
        <v>920</v>
      </c>
      <c r="C271" s="288"/>
      <c r="D271" s="330">
        <v>541.97350671140941</v>
      </c>
      <c r="E271" s="330" t="s">
        <v>1004</v>
      </c>
      <c r="F271" s="361"/>
      <c r="G271" s="362"/>
      <c r="H271" s="28"/>
      <c r="I271" s="28"/>
    </row>
    <row r="272" spans="1:9" ht="16.5" thickTop="1" thickBot="1">
      <c r="B272" s="284" t="s">
        <v>921</v>
      </c>
      <c r="C272" s="288"/>
      <c r="D272" s="330">
        <v>541.97350671140941</v>
      </c>
      <c r="E272" s="330" t="s">
        <v>1004</v>
      </c>
      <c r="F272" s="361"/>
      <c r="G272" s="362"/>
      <c r="H272" s="28"/>
      <c r="I272" s="28"/>
    </row>
    <row r="273" spans="1:9" ht="16.5" thickTop="1" thickBot="1">
      <c r="B273" s="284" t="s">
        <v>923</v>
      </c>
      <c r="C273" s="288"/>
      <c r="D273" s="330">
        <v>541.97350671140941</v>
      </c>
      <c r="E273" s="330" t="s">
        <v>1004</v>
      </c>
      <c r="F273" s="361"/>
      <c r="G273" s="362"/>
      <c r="H273" s="28"/>
      <c r="I273" s="28"/>
    </row>
    <row r="274" spans="1:9" ht="16.5" thickTop="1" thickBot="1">
      <c r="B274" s="284" t="s">
        <v>924</v>
      </c>
      <c r="C274" s="288"/>
      <c r="D274" s="330">
        <v>541.97350671140941</v>
      </c>
      <c r="E274" s="330" t="s">
        <v>1004</v>
      </c>
      <c r="F274" s="361"/>
      <c r="G274" s="362"/>
      <c r="H274" s="28"/>
      <c r="I274" s="28"/>
    </row>
    <row r="275" spans="1:9" ht="16.5" thickTop="1" thickBot="1">
      <c r="B275" s="284" t="s">
        <v>925</v>
      </c>
      <c r="C275" s="288"/>
      <c r="D275" s="330">
        <v>541.97350671140941</v>
      </c>
      <c r="E275" s="330" t="s">
        <v>1004</v>
      </c>
      <c r="F275" s="361"/>
      <c r="G275" s="362"/>
      <c r="H275" s="28"/>
      <c r="I275" s="28"/>
    </row>
    <row r="276" spans="1:9" ht="16.5" thickTop="1" thickBot="1">
      <c r="B276" s="284" t="s">
        <v>926</v>
      </c>
      <c r="C276" s="288"/>
      <c r="D276" s="330">
        <v>541.97350671140941</v>
      </c>
      <c r="E276" s="330" t="s">
        <v>1004</v>
      </c>
      <c r="F276" s="361"/>
      <c r="G276" s="362"/>
      <c r="H276" s="28"/>
      <c r="I276" s="28"/>
    </row>
    <row r="277" spans="1:9" ht="16.5" thickTop="1" thickBot="1">
      <c r="B277" s="284" t="s">
        <v>927</v>
      </c>
      <c r="C277" s="288"/>
      <c r="D277" s="330">
        <v>541.97350671140941</v>
      </c>
      <c r="E277" s="330" t="s">
        <v>1004</v>
      </c>
      <c r="F277" s="361"/>
      <c r="G277" s="362"/>
      <c r="H277" s="28"/>
      <c r="I277" s="28"/>
    </row>
    <row r="278" spans="1:9" ht="16.5" thickTop="1" thickBot="1">
      <c r="B278" s="284" t="s">
        <v>928</v>
      </c>
      <c r="C278" s="288"/>
      <c r="D278" s="330">
        <v>541.97350671140941</v>
      </c>
      <c r="E278" s="330" t="s">
        <v>1004</v>
      </c>
      <c r="F278" s="361"/>
      <c r="G278" s="362"/>
      <c r="H278" s="28"/>
      <c r="I278" s="28"/>
    </row>
    <row r="279" spans="1:9" ht="16.5" thickTop="1" thickBot="1">
      <c r="B279" s="284" t="s">
        <v>960</v>
      </c>
      <c r="C279" s="288"/>
      <c r="D279" s="330">
        <v>541.97350671140941</v>
      </c>
      <c r="E279" s="330" t="s">
        <v>1004</v>
      </c>
      <c r="F279" s="361"/>
      <c r="G279" s="362"/>
      <c r="H279" s="28"/>
      <c r="I279" s="28"/>
    </row>
    <row r="280" spans="1:9" ht="16.5" thickTop="1" thickBot="1">
      <c r="B280" s="284" t="s">
        <v>961</v>
      </c>
      <c r="C280" s="288"/>
      <c r="D280" s="330">
        <v>541.97350671140941</v>
      </c>
      <c r="E280" s="330" t="s">
        <v>1004</v>
      </c>
      <c r="F280" s="361"/>
      <c r="G280" s="362"/>
      <c r="H280" s="28"/>
      <c r="I280" s="28"/>
    </row>
    <row r="281" spans="1:9" ht="16.5" thickTop="1" thickBot="1">
      <c r="B281" s="284" t="s">
        <v>962</v>
      </c>
      <c r="C281" s="288"/>
      <c r="D281" s="330">
        <v>541.97350671140941</v>
      </c>
      <c r="E281" s="330" t="s">
        <v>1004</v>
      </c>
      <c r="F281" s="361"/>
      <c r="G281" s="362"/>
      <c r="H281" s="28"/>
      <c r="I281" s="28"/>
    </row>
    <row r="282" spans="1:9" ht="16.5" thickTop="1" thickBot="1">
      <c r="B282" s="284" t="s">
        <v>929</v>
      </c>
      <c r="C282" s="288"/>
      <c r="D282" s="330">
        <v>95</v>
      </c>
      <c r="E282" s="330" t="s">
        <v>1004</v>
      </c>
      <c r="F282" s="361"/>
      <c r="G282" s="362" t="s">
        <v>990</v>
      </c>
      <c r="I282" s="28"/>
    </row>
    <row r="283" spans="1:9" ht="16.5" thickTop="1" thickBot="1">
      <c r="A283" s="363" t="s">
        <v>996</v>
      </c>
      <c r="B283" s="284" t="s">
        <v>987</v>
      </c>
      <c r="C283" s="288"/>
      <c r="D283" s="330">
        <v>769</v>
      </c>
      <c r="E283" s="330" t="s">
        <v>1005</v>
      </c>
      <c r="F283" s="361"/>
      <c r="G283" s="362" t="s">
        <v>989</v>
      </c>
    </row>
    <row r="284" spans="1:9" ht="16.5" thickTop="1" thickBot="1">
      <c r="B284" s="284" t="s">
        <v>988</v>
      </c>
      <c r="C284" s="288"/>
      <c r="D284" s="330">
        <v>1620</v>
      </c>
      <c r="E284" s="330" t="s">
        <v>1006</v>
      </c>
      <c r="F284" s="361"/>
      <c r="G284" s="362" t="s">
        <v>990</v>
      </c>
    </row>
    <row r="285" spans="1:9" ht="16.5" thickTop="1" thickBot="1">
      <c r="B285" s="284" t="s">
        <v>241</v>
      </c>
      <c r="C285" s="284">
        <v>0.13</v>
      </c>
      <c r="D285" s="330">
        <v>39.069151339232192</v>
      </c>
      <c r="E285" s="330" t="s">
        <v>736</v>
      </c>
      <c r="F285" s="361"/>
      <c r="G285" s="362" t="s">
        <v>735</v>
      </c>
      <c r="I285" s="28"/>
    </row>
    <row r="286" spans="1:9" ht="16.5" thickTop="1" thickBot="1">
      <c r="B286" s="284" t="s">
        <v>245</v>
      </c>
      <c r="C286" s="284">
        <v>0.12</v>
      </c>
      <c r="D286" s="330">
        <v>69.730800000000002</v>
      </c>
      <c r="E286" s="330" t="s">
        <v>737</v>
      </c>
      <c r="F286" s="361"/>
      <c r="G286" s="362" t="s">
        <v>735</v>
      </c>
      <c r="I286" s="28"/>
    </row>
    <row r="287" spans="1:9" ht="15.75" thickTop="1">
      <c r="E287" s="361"/>
      <c r="F287" s="362"/>
    </row>
    <row r="291" spans="1:16">
      <c r="C291" s="32"/>
      <c r="D291" s="32"/>
      <c r="E291" s="32"/>
    </row>
    <row r="292" spans="1:16">
      <c r="C292" s="32"/>
      <c r="D292" s="32"/>
      <c r="E292" s="32"/>
    </row>
    <row r="293" spans="1:16">
      <c r="C293" s="32"/>
      <c r="D293" s="32"/>
      <c r="E293" s="32"/>
    </row>
    <row r="294" spans="1:16" ht="31.5">
      <c r="B294" s="287" t="s">
        <v>503</v>
      </c>
      <c r="C294" s="287"/>
      <c r="D294" s="287"/>
      <c r="E294" s="287"/>
      <c r="G294" s="381" t="s">
        <v>182</v>
      </c>
    </row>
    <row r="295" spans="1:16" ht="45.75" thickBot="1">
      <c r="B295" s="284" t="s">
        <v>501</v>
      </c>
      <c r="C295" s="289" t="s">
        <v>193</v>
      </c>
      <c r="D295" s="289" t="s">
        <v>194</v>
      </c>
      <c r="E295" s="289" t="s">
        <v>52</v>
      </c>
      <c r="F295" s="284" t="s">
        <v>464</v>
      </c>
    </row>
    <row r="296" spans="1:16" ht="16.5" thickTop="1" thickBot="1">
      <c r="A296" t="s">
        <v>609</v>
      </c>
      <c r="B296" s="284" t="s">
        <v>206</v>
      </c>
      <c r="C296" s="289">
        <v>0.25</v>
      </c>
      <c r="D296" s="289">
        <v>8.9849999999999994</v>
      </c>
      <c r="E296" s="289">
        <v>0</v>
      </c>
      <c r="F296" s="284">
        <f>D296</f>
        <v>8.9849999999999994</v>
      </c>
    </row>
    <row r="297" spans="1:16" ht="16.5" thickTop="1" thickBot="1">
      <c r="A297" t="s">
        <v>611</v>
      </c>
      <c r="B297" s="284" t="s">
        <v>218</v>
      </c>
      <c r="C297" s="289">
        <v>0.1</v>
      </c>
      <c r="D297" s="289">
        <v>25.134</v>
      </c>
      <c r="E297" s="289">
        <v>0</v>
      </c>
      <c r="F297" s="284">
        <f t="shared" ref="F297:F299" si="1">D297</f>
        <v>25.134</v>
      </c>
    </row>
    <row r="298" spans="1:16" ht="16.5" thickTop="1" thickBot="1">
      <c r="A298" t="s">
        <v>610</v>
      </c>
      <c r="B298" s="284" t="s">
        <v>502</v>
      </c>
      <c r="C298" s="289">
        <v>0.25</v>
      </c>
      <c r="D298" s="289">
        <v>6.0090000000000003</v>
      </c>
      <c r="E298" s="289">
        <v>0</v>
      </c>
      <c r="F298" s="284">
        <f t="shared" si="1"/>
        <v>6.0090000000000003</v>
      </c>
    </row>
    <row r="299" spans="1:16" ht="16.5" thickTop="1" thickBot="1">
      <c r="A299" t="s">
        <v>612</v>
      </c>
      <c r="B299" s="284" t="s">
        <v>231</v>
      </c>
      <c r="C299" s="289">
        <v>0.25</v>
      </c>
      <c r="D299" s="289">
        <v>8.4779999999999998</v>
      </c>
      <c r="E299" s="289">
        <v>0</v>
      </c>
      <c r="F299" s="284">
        <f t="shared" si="1"/>
        <v>8.4779999999999998</v>
      </c>
    </row>
    <row r="300" spans="1:16" ht="15.75" thickTop="1"/>
    <row r="303" spans="1:16">
      <c r="B303">
        <v>1</v>
      </c>
      <c r="C303">
        <v>2</v>
      </c>
      <c r="D303">
        <v>3</v>
      </c>
      <c r="E303">
        <v>4</v>
      </c>
      <c r="F303">
        <v>5</v>
      </c>
      <c r="G303">
        <v>6</v>
      </c>
      <c r="H303">
        <v>7</v>
      </c>
    </row>
    <row r="304" spans="1:16" s="116" customFormat="1" ht="33.75" customHeight="1" thickBot="1">
      <c r="B304" s="287" t="s">
        <v>740</v>
      </c>
      <c r="C304" s="287"/>
      <c r="D304" s="287"/>
      <c r="E304" s="287"/>
      <c r="F304" s="287"/>
      <c r="G304" s="287"/>
      <c r="H304" s="287"/>
      <c r="N304"/>
      <c r="O304"/>
      <c r="P304"/>
    </row>
    <row r="305" spans="1:16" s="116" customFormat="1" ht="62.25" customHeight="1">
      <c r="B305" s="118" t="s">
        <v>492</v>
      </c>
      <c r="C305" s="118" t="s">
        <v>493</v>
      </c>
      <c r="D305" s="117" t="s">
        <v>742</v>
      </c>
      <c r="E305" s="118" t="s">
        <v>494</v>
      </c>
      <c r="F305" s="327" t="s">
        <v>495</v>
      </c>
      <c r="G305" s="328"/>
      <c r="H305" s="121" t="s">
        <v>743</v>
      </c>
      <c r="N305"/>
      <c r="O305"/>
      <c r="P305"/>
    </row>
    <row r="306" spans="1:16" s="116" customFormat="1" ht="24" customHeight="1">
      <c r="B306" s="119"/>
      <c r="C306" s="120"/>
      <c r="D306" s="120" t="s">
        <v>735</v>
      </c>
      <c r="E306" s="120" t="s">
        <v>735</v>
      </c>
      <c r="F306" s="120" t="s">
        <v>735</v>
      </c>
      <c r="G306" s="120"/>
      <c r="H306" s="122" t="s">
        <v>496</v>
      </c>
      <c r="I306" s="331" t="s">
        <v>745</v>
      </c>
      <c r="N306"/>
      <c r="O306"/>
      <c r="P306"/>
    </row>
    <row r="307" spans="1:16" s="116" customFormat="1" ht="18" customHeight="1" thickBot="1">
      <c r="A307" s="116" t="s">
        <v>613</v>
      </c>
      <c r="B307" s="284" t="s">
        <v>741</v>
      </c>
      <c r="C307" s="284" t="s">
        <v>497</v>
      </c>
      <c r="D307" s="289">
        <v>40.5</v>
      </c>
      <c r="E307" s="289">
        <v>94.2</v>
      </c>
      <c r="F307" s="289">
        <v>0.97</v>
      </c>
      <c r="G307" s="289" t="s">
        <v>498</v>
      </c>
      <c r="H307" s="284">
        <f>(D307*E307*F307)/1000</f>
        <v>3.700647</v>
      </c>
      <c r="I307" s="116" t="s">
        <v>735</v>
      </c>
      <c r="J307" s="29" t="s">
        <v>739</v>
      </c>
      <c r="N307"/>
      <c r="O307"/>
      <c r="P307"/>
    </row>
    <row r="308" spans="1:16" s="116" customFormat="1" ht="18" customHeight="1" thickTop="1" thickBot="1">
      <c r="A308" s="116" t="s">
        <v>614</v>
      </c>
      <c r="B308" s="284" t="s">
        <v>499</v>
      </c>
      <c r="C308" s="284" t="s">
        <v>497</v>
      </c>
      <c r="D308" s="289">
        <v>43.1</v>
      </c>
      <c r="E308" s="289">
        <v>95.100000000000009</v>
      </c>
      <c r="F308" s="289">
        <v>0.83199999999999996</v>
      </c>
      <c r="G308" s="289" t="s">
        <v>498</v>
      </c>
      <c r="H308" s="284">
        <f>(D308*E308*F308)/1000</f>
        <v>3.4102099200000002</v>
      </c>
      <c r="I308" s="116" t="s">
        <v>735</v>
      </c>
      <c r="N308"/>
      <c r="O308"/>
      <c r="P308"/>
    </row>
    <row r="309" spans="1:16" s="116" customFormat="1" ht="18" customHeight="1" thickTop="1" thickBot="1">
      <c r="A309" s="116" t="s">
        <v>615</v>
      </c>
      <c r="B309" s="284" t="s">
        <v>744</v>
      </c>
      <c r="C309" s="284" t="s">
        <v>497</v>
      </c>
      <c r="D309" s="289">
        <v>43.2</v>
      </c>
      <c r="E309" s="289">
        <v>93.3</v>
      </c>
      <c r="F309" s="289">
        <v>0.745</v>
      </c>
      <c r="G309" s="289" t="s">
        <v>498</v>
      </c>
      <c r="H309" s="284">
        <f>(D309*E309*F309)/1000</f>
        <v>3.0027671999999996</v>
      </c>
      <c r="I309" s="116" t="s">
        <v>735</v>
      </c>
      <c r="N309"/>
      <c r="O309"/>
      <c r="P309"/>
    </row>
    <row r="310" spans="1:16" s="116" customFormat="1" ht="16.5" thickTop="1" thickBot="1">
      <c r="A310" s="116" t="s">
        <v>747</v>
      </c>
      <c r="B310" s="284" t="s">
        <v>753</v>
      </c>
      <c r="C310" s="284" t="s">
        <v>497</v>
      </c>
      <c r="D310" s="289">
        <v>37.200000000000003</v>
      </c>
      <c r="E310" s="289">
        <v>32</v>
      </c>
      <c r="F310" s="289">
        <v>0.89</v>
      </c>
      <c r="G310" s="289" t="s">
        <v>498</v>
      </c>
      <c r="H310" s="284">
        <f>(D310*E310*F310)/1000</f>
        <v>1.0594560000000002</v>
      </c>
      <c r="I310" s="116" t="s">
        <v>746</v>
      </c>
      <c r="N310"/>
      <c r="O310"/>
      <c r="P310"/>
    </row>
    <row r="311" spans="1:16" s="116" customFormat="1" ht="18" customHeight="1" thickTop="1" thickBot="1">
      <c r="A311" s="116" t="s">
        <v>748</v>
      </c>
      <c r="B311" s="284" t="s">
        <v>754</v>
      </c>
      <c r="C311" s="284" t="s">
        <v>497</v>
      </c>
      <c r="D311" s="289">
        <v>37.200000000000003</v>
      </c>
      <c r="E311" s="289">
        <v>26.1</v>
      </c>
      <c r="F311" s="289">
        <v>0.89</v>
      </c>
      <c r="G311" s="289" t="s">
        <v>498</v>
      </c>
      <c r="H311" s="284">
        <f>(D311*E311*F311)/1000</f>
        <v>0.86411880000000008</v>
      </c>
      <c r="I311" s="116" t="s">
        <v>746</v>
      </c>
      <c r="N311"/>
      <c r="O311"/>
      <c r="P311"/>
    </row>
    <row r="312" spans="1:16" s="116" customFormat="1" ht="18" customHeight="1" thickTop="1" thickBot="1">
      <c r="A312" s="116" t="s">
        <v>749</v>
      </c>
      <c r="B312" s="284" t="s">
        <v>755</v>
      </c>
      <c r="C312" s="284" t="s">
        <v>497</v>
      </c>
      <c r="D312" s="289">
        <v>37.200000000000003</v>
      </c>
      <c r="E312" s="289">
        <v>26.375</v>
      </c>
      <c r="F312" s="289">
        <v>0.89</v>
      </c>
      <c r="G312" s="289" t="s">
        <v>498</v>
      </c>
      <c r="H312" s="284">
        <v>0.87322350000000004</v>
      </c>
      <c r="I312" s="116" t="s">
        <v>746</v>
      </c>
      <c r="N312"/>
      <c r="O312"/>
      <c r="P312"/>
    </row>
    <row r="313" spans="1:16" s="116" customFormat="1" ht="18" customHeight="1" thickTop="1" thickBot="1">
      <c r="A313" s="116" t="s">
        <v>751</v>
      </c>
      <c r="B313" s="284" t="s">
        <v>756</v>
      </c>
      <c r="C313" s="284" t="s">
        <v>497</v>
      </c>
      <c r="D313" s="289">
        <v>37</v>
      </c>
      <c r="E313" s="289">
        <v>33.4</v>
      </c>
      <c r="F313" s="289">
        <v>0.92</v>
      </c>
      <c r="G313" s="289" t="s">
        <v>498</v>
      </c>
      <c r="H313" s="284">
        <f>(D313*E313*F313)/1000</f>
        <v>1.1369359999999999</v>
      </c>
      <c r="I313" s="116" t="s">
        <v>746</v>
      </c>
      <c r="N313"/>
      <c r="O313"/>
      <c r="P313"/>
    </row>
    <row r="314" spans="1:16" s="116" customFormat="1" ht="18" customHeight="1" thickTop="1" thickBot="1">
      <c r="A314" s="116" t="s">
        <v>752</v>
      </c>
      <c r="B314" s="284" t="s">
        <v>757</v>
      </c>
      <c r="C314" s="284" t="s">
        <v>497</v>
      </c>
      <c r="D314" s="289">
        <v>37</v>
      </c>
      <c r="E314" s="289">
        <v>27.2</v>
      </c>
      <c r="F314" s="289">
        <v>0.92</v>
      </c>
      <c r="G314" s="289" t="s">
        <v>498</v>
      </c>
      <c r="H314" s="284">
        <f>(D314*E314*F314)/1000</f>
        <v>0.92588800000000004</v>
      </c>
      <c r="I314" s="116" t="s">
        <v>746</v>
      </c>
      <c r="N314"/>
      <c r="O314"/>
      <c r="P314"/>
    </row>
    <row r="315" spans="1:16" s="116" customFormat="1" ht="18" customHeight="1" thickTop="1" thickBot="1">
      <c r="A315" s="116" t="s">
        <v>750</v>
      </c>
      <c r="B315" s="284" t="s">
        <v>758</v>
      </c>
      <c r="C315" s="284" t="s">
        <v>497</v>
      </c>
      <c r="D315" s="289">
        <v>37</v>
      </c>
      <c r="E315" s="289">
        <f>AVERAGE(33.4,27.2,22.2,27.1)</f>
        <v>27.475000000000001</v>
      </c>
      <c r="F315" s="289">
        <v>0.92</v>
      </c>
      <c r="G315" s="289" t="s">
        <v>498</v>
      </c>
      <c r="H315" s="284">
        <f>(D315*E315*F315)/1000</f>
        <v>0.93524900000000011</v>
      </c>
      <c r="I315" s="116" t="s">
        <v>746</v>
      </c>
      <c r="N315"/>
      <c r="O315"/>
      <c r="P315"/>
    </row>
    <row r="316" spans="1:16" ht="15.75" thickTop="1">
      <c r="A316" s="116"/>
    </row>
    <row r="317" spans="1:16">
      <c r="B317" s="32"/>
      <c r="C317" s="32"/>
      <c r="D317" s="32"/>
      <c r="E317" s="32"/>
      <c r="F317" s="32"/>
      <c r="G317" s="56"/>
      <c r="H317" s="56"/>
      <c r="I317" s="32"/>
      <c r="J317" s="32"/>
    </row>
  </sheetData>
  <mergeCells count="3">
    <mergeCell ref="B188:C188"/>
    <mergeCell ref="B73:H73"/>
    <mergeCell ref="B196:C19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FP320"/>
  <sheetViews>
    <sheetView topLeftCell="A36" zoomScale="80" zoomScaleNormal="80" zoomScaleSheetLayoutView="75" workbookViewId="0">
      <selection activeCell="D62" sqref="D62"/>
    </sheetView>
  </sheetViews>
  <sheetFormatPr baseColWidth="10" defaultColWidth="11.42578125" defaultRowHeight="15" outlineLevelCol="1"/>
  <cols>
    <col min="1" max="1" width="11.42578125" style="32"/>
    <col min="2" max="2" width="22.28515625" style="32" customWidth="1"/>
    <col min="3" max="3" width="34.42578125" style="32" customWidth="1"/>
    <col min="4" max="4" width="23.28515625" style="32" customWidth="1"/>
    <col min="5" max="5" width="14.28515625" style="32" customWidth="1"/>
    <col min="6" max="6" width="30.5703125" style="32" customWidth="1"/>
    <col min="7" max="7" width="9.28515625" style="32" customWidth="1"/>
    <col min="8" max="8" width="30.42578125" style="32" customWidth="1"/>
    <col min="9" max="9" width="12" style="32" customWidth="1"/>
    <col min="10" max="10" width="32.42578125" style="32" customWidth="1"/>
    <col min="11" max="11" width="14.42578125" style="32" customWidth="1"/>
    <col min="12" max="12" width="26.5703125" style="32" customWidth="1"/>
    <col min="13" max="13" width="13.140625" style="32" customWidth="1"/>
    <col min="14" max="14" width="23.28515625" style="32" customWidth="1"/>
    <col min="15" max="15" width="13.7109375" style="32" customWidth="1"/>
    <col min="16" max="17" width="11.140625" style="32" customWidth="1"/>
    <col min="18" max="18" width="21.42578125" style="32" customWidth="1"/>
    <col min="19" max="21" width="10.85546875" style="32" customWidth="1"/>
    <col min="22" max="23" width="21.85546875" style="32" customWidth="1"/>
    <col min="24" max="24" width="20.140625" style="32" customWidth="1"/>
    <col min="25" max="25" width="12.5703125" style="32" customWidth="1"/>
    <col min="26" max="26" width="16.85546875" style="32" customWidth="1"/>
    <col min="27" max="27" width="4.42578125" style="39" customWidth="1"/>
    <col min="28" max="28" width="21.7109375" style="32" customWidth="1"/>
    <col min="29" max="29" width="17.5703125" style="32" customWidth="1"/>
    <col min="30" max="30" width="22.28515625" style="32" customWidth="1"/>
    <col min="31" max="31" width="26.42578125" style="32" customWidth="1"/>
    <col min="32" max="32" width="22.28515625" style="32" customWidth="1"/>
    <col min="33" max="33" width="26.42578125" style="32" customWidth="1"/>
    <col min="34" max="34" width="19.42578125" style="32" customWidth="1"/>
    <col min="35" max="35" width="15" style="32" customWidth="1"/>
    <col min="36" max="36" width="28.7109375" style="32" customWidth="1"/>
    <col min="37" max="37" width="13.140625" style="32" customWidth="1"/>
    <col min="38" max="38" width="25.85546875" style="32" customWidth="1"/>
    <col min="39" max="39" width="13.140625" style="32" customWidth="1"/>
    <col min="40" max="40" width="10.28515625" style="32" customWidth="1"/>
    <col min="41" max="41" width="11.85546875" style="32" customWidth="1"/>
    <col min="42" max="42" width="17.140625" style="32" customWidth="1"/>
    <col min="43" max="43" width="14.7109375" style="32" customWidth="1"/>
    <col min="44" max="44" width="15.5703125" style="32" customWidth="1" collapsed="1"/>
    <col min="45" max="45" width="11.42578125" style="32" collapsed="1"/>
    <col min="46" max="49" width="11.42578125" style="32"/>
    <col min="50" max="50" width="15.28515625" style="32" customWidth="1"/>
    <col min="51" max="51" width="20.28515625" style="32" customWidth="1"/>
    <col min="52" max="52" width="18" style="32" customWidth="1"/>
    <col min="53" max="53" width="17" style="32" customWidth="1"/>
    <col min="54" max="54" width="16.85546875" style="32" customWidth="1"/>
    <col min="55" max="55" width="11.140625" style="32" customWidth="1"/>
    <col min="56" max="56" width="9.42578125" style="32" customWidth="1"/>
    <col min="57" max="57" width="14.85546875" style="32" customWidth="1"/>
    <col min="58" max="58" width="11.42578125" customWidth="1"/>
    <col min="59" max="59" width="12.85546875" style="32" customWidth="1"/>
    <col min="60" max="60" width="10.42578125" style="32" customWidth="1"/>
    <col min="61" max="61" width="14" style="32" customWidth="1"/>
    <col min="62" max="62" width="24" style="32" customWidth="1"/>
    <col min="63" max="63" width="12.5703125" style="32" customWidth="1"/>
    <col min="64" max="64" width="14" style="32" customWidth="1"/>
    <col min="65" max="65" width="16.28515625" style="32" customWidth="1"/>
    <col min="66" max="66" width="11.42578125" style="67" customWidth="1"/>
    <col min="67" max="67" width="11.42578125" customWidth="1"/>
    <col min="68" max="68" width="11.42578125" style="32" customWidth="1"/>
    <col min="69" max="69" width="17.5703125" style="32" customWidth="1"/>
    <col min="70" max="70" width="10.5703125" style="32" customWidth="1"/>
    <col min="71" max="72" width="11.42578125" style="32" customWidth="1"/>
    <col min="73" max="73" width="11.85546875" style="32" customWidth="1"/>
    <col min="74" max="74" width="10.7109375" style="32" customWidth="1"/>
    <col min="75" max="75" width="12" style="32" customWidth="1"/>
    <col min="76" max="77" width="11.42578125" style="32" customWidth="1"/>
    <col min="78" max="78" width="18.140625" style="32" customWidth="1"/>
    <col min="79" max="79" width="14" style="32" customWidth="1"/>
    <col min="80" max="80" width="21.42578125" style="32" customWidth="1"/>
    <col min="81" max="81" width="11.7109375" style="32" customWidth="1"/>
    <col min="82" max="82" width="15.85546875" style="32" customWidth="1"/>
    <col min="83" max="84" width="10" style="32" customWidth="1"/>
    <col min="85" max="92" width="9" style="32" customWidth="1"/>
    <col min="93" max="94" width="11.42578125" style="32" customWidth="1"/>
    <col min="95" max="95" width="18" style="32" customWidth="1"/>
    <col min="96" max="98" width="11.42578125" style="32" customWidth="1"/>
    <col min="99" max="99" width="13.42578125" style="32" customWidth="1"/>
    <col min="100" max="101" width="11.42578125" style="32" customWidth="1"/>
    <col min="102" max="102" width="20" style="32" customWidth="1"/>
    <col min="103" max="103" width="21.5703125" style="32" customWidth="1"/>
    <col min="104" max="104" width="11.5703125" style="32" customWidth="1"/>
    <col min="105" max="105" width="16.28515625" style="32" customWidth="1"/>
    <col min="106" max="106" width="15.85546875" style="32" customWidth="1"/>
    <col min="107" max="107" width="17" style="32" customWidth="1"/>
    <col min="108" max="108" width="13.28515625" style="32" customWidth="1"/>
    <col min="109" max="109" width="16.5703125" style="32" customWidth="1"/>
    <col min="110" max="116" width="11.42578125" style="32"/>
    <col min="117" max="117" width="14.42578125" style="32" bestFit="1" customWidth="1"/>
    <col min="118" max="119" width="11.42578125" style="32"/>
    <col min="120" max="120" width="13.42578125" style="32" customWidth="1"/>
    <col min="121" max="121" width="11.42578125" style="32"/>
    <col min="122" max="122" width="11.42578125" style="32" customWidth="1" outlineLevel="1"/>
    <col min="123" max="123" width="14.7109375" style="32" customWidth="1"/>
    <col min="124" max="124" width="20.42578125" style="32" customWidth="1"/>
    <col min="125" max="125" width="12.85546875" style="32" customWidth="1"/>
    <col min="126" max="126" width="13.28515625" style="32" customWidth="1"/>
    <col min="127" max="154" width="11.42578125" style="32"/>
    <col min="155" max="155" width="11.42578125" style="32" customWidth="1"/>
    <col min="156" max="16384" width="11.42578125" style="32"/>
  </cols>
  <sheetData>
    <row r="1" spans="1:172" ht="39">
      <c r="B1" s="124" t="s">
        <v>586</v>
      </c>
      <c r="E1" s="62"/>
      <c r="K1" s="62"/>
      <c r="O1" s="33"/>
      <c r="P1" s="33"/>
      <c r="V1" s="33"/>
      <c r="W1" s="33"/>
      <c r="Y1" s="33"/>
      <c r="Z1" s="63"/>
      <c r="AM1" s="66"/>
      <c r="AS1" s="64"/>
      <c r="AT1" s="33"/>
      <c r="AU1" s="33"/>
      <c r="AX1" s="33"/>
      <c r="DF1" s="64"/>
      <c r="FL1" s="57" t="s">
        <v>162</v>
      </c>
      <c r="FM1" s="58">
        <f>[2]Manure!P29+[2]Manure!Q29</f>
        <v>0</v>
      </c>
      <c r="FN1" s="58">
        <f>[2]Manure!P30</f>
        <v>0</v>
      </c>
      <c r="FO1" s="58">
        <f>[2]Manure!Q30</f>
        <v>0</v>
      </c>
      <c r="FP1" s="33" t="s">
        <v>163</v>
      </c>
    </row>
    <row r="2" spans="1:172" ht="18.75" thickBot="1">
      <c r="B2" s="124"/>
      <c r="E2" s="62"/>
      <c r="K2" s="62"/>
      <c r="O2" s="33"/>
      <c r="P2" s="33"/>
      <c r="V2" s="33"/>
      <c r="W2" s="33"/>
      <c r="Y2" s="33"/>
      <c r="Z2" s="63"/>
      <c r="AM2" s="66"/>
      <c r="AS2" s="64"/>
      <c r="AT2" s="33"/>
      <c r="AU2" s="33"/>
      <c r="AX2" s="33"/>
      <c r="DF2" s="64"/>
      <c r="FL2" s="57"/>
      <c r="FM2" s="58"/>
      <c r="FN2" s="58"/>
      <c r="FO2" s="58"/>
      <c r="FP2" s="33"/>
    </row>
    <row r="3" spans="1:172" ht="21">
      <c r="B3" s="183" t="s">
        <v>542</v>
      </c>
      <c r="C3" s="178"/>
      <c r="D3" s="178"/>
      <c r="E3" s="112"/>
    </row>
    <row r="4" spans="1:172">
      <c r="A4" s="33" t="s">
        <v>616</v>
      </c>
      <c r="B4" s="160" t="s">
        <v>543</v>
      </c>
      <c r="C4" s="142" t="s">
        <v>234</v>
      </c>
      <c r="D4" s="161" t="s">
        <v>545</v>
      </c>
      <c r="E4" s="162">
        <f>MATCH(C4,'Standard data'!B76:B80,0)</f>
        <v>4</v>
      </c>
    </row>
    <row r="5" spans="1:172">
      <c r="A5" s="33" t="s">
        <v>618</v>
      </c>
      <c r="B5" s="160" t="s">
        <v>0</v>
      </c>
      <c r="C5" s="142" t="s">
        <v>78</v>
      </c>
      <c r="D5" s="161" t="s">
        <v>546</v>
      </c>
      <c r="E5" s="162">
        <f>MATCH(C8,'Standard data'!C75:H75,0)</f>
        <v>2</v>
      </c>
    </row>
    <row r="6" spans="1:172">
      <c r="A6" s="33" t="s">
        <v>619</v>
      </c>
      <c r="B6" s="160" t="s">
        <v>67</v>
      </c>
      <c r="C6" s="142" t="s">
        <v>91</v>
      </c>
      <c r="D6" s="65"/>
      <c r="E6" s="179"/>
    </row>
    <row r="7" spans="1:172">
      <c r="A7" s="33" t="s">
        <v>617</v>
      </c>
      <c r="B7" s="160" t="s">
        <v>544</v>
      </c>
      <c r="C7" s="142" t="s">
        <v>514</v>
      </c>
      <c r="D7" s="65"/>
      <c r="E7" s="179"/>
    </row>
    <row r="8" spans="1:172">
      <c r="A8" s="33" t="s">
        <v>620</v>
      </c>
      <c r="B8" s="160" t="s">
        <v>547</v>
      </c>
      <c r="C8" s="142" t="str">
        <f>VLOOKUP(C7,'Standard data'!B47:C69,2,FALSE)</f>
        <v>LAC soils</v>
      </c>
      <c r="D8" s="65"/>
      <c r="E8" s="179"/>
    </row>
    <row r="9" spans="1:172" customFormat="1" ht="15.75" thickBot="1">
      <c r="A9" s="290" t="s">
        <v>621</v>
      </c>
      <c r="B9" s="176" t="s">
        <v>553</v>
      </c>
      <c r="C9" s="180" t="str">
        <f>VLOOKUP(C4,'Standard data'!$B$35:$F$40,3,FALSE)</f>
        <v>warm temperate</v>
      </c>
      <c r="D9" s="181"/>
      <c r="E9" s="182"/>
      <c r="F9" s="32"/>
      <c r="G9" s="32"/>
      <c r="H9" s="32"/>
      <c r="I9" s="32"/>
      <c r="J9" s="32"/>
      <c r="K9" s="32"/>
      <c r="L9" s="32"/>
      <c r="M9" s="59"/>
      <c r="N9" s="59"/>
      <c r="O9" s="59"/>
      <c r="P9" s="59"/>
      <c r="Q9" s="59"/>
      <c r="R9" s="59"/>
      <c r="S9" s="59"/>
      <c r="T9" s="59"/>
      <c r="U9" s="59"/>
      <c r="V9" s="32"/>
      <c r="W9" s="32"/>
      <c r="X9" s="32"/>
      <c r="Y9" s="32"/>
      <c r="Z9" s="32"/>
      <c r="AA9" s="32"/>
      <c r="AB9" s="32"/>
      <c r="AC9" s="32"/>
      <c r="AD9" s="32"/>
      <c r="AE9" s="32"/>
      <c r="AF9" s="32"/>
      <c r="AG9" s="32"/>
      <c r="AH9" s="32"/>
      <c r="AI9" s="32"/>
      <c r="AJ9" s="32"/>
      <c r="AK9" s="32"/>
      <c r="BD9" s="32"/>
      <c r="BE9" s="32"/>
    </row>
    <row r="10" spans="1:172" customFormat="1" ht="51.75" thickBot="1">
      <c r="B10" s="65"/>
      <c r="C10" s="65"/>
      <c r="D10" s="65"/>
      <c r="E10" s="65"/>
      <c r="F10" s="32"/>
      <c r="G10" s="32"/>
      <c r="H10" s="32"/>
      <c r="I10" s="32"/>
      <c r="J10" s="32"/>
      <c r="K10" s="32"/>
      <c r="L10" s="32"/>
      <c r="M10" s="59"/>
      <c r="N10" s="59"/>
      <c r="O10" s="59"/>
      <c r="P10" s="59"/>
      <c r="Q10" s="59"/>
      <c r="R10" s="59"/>
      <c r="S10" s="59"/>
      <c r="T10" s="59"/>
      <c r="U10" s="59"/>
      <c r="V10" s="32"/>
      <c r="W10" s="32"/>
      <c r="X10" s="32"/>
      <c r="Y10" s="380" t="s">
        <v>1015</v>
      </c>
      <c r="Z10" s="32"/>
      <c r="AA10" s="32"/>
      <c r="AB10" s="32"/>
      <c r="AC10" s="32"/>
      <c r="AD10" s="32"/>
      <c r="AE10" s="32"/>
      <c r="AF10" s="32"/>
      <c r="AG10" s="32"/>
      <c r="AH10" s="32"/>
      <c r="AI10" s="32"/>
      <c r="AJ10" s="32"/>
      <c r="AK10" s="32"/>
      <c r="BD10" s="32"/>
      <c r="BE10" s="32"/>
    </row>
    <row r="11" spans="1:172" ht="39" customHeight="1" thickBot="1">
      <c r="F11" s="237" t="s">
        <v>467</v>
      </c>
      <c r="G11" s="301"/>
      <c r="H11" s="301"/>
      <c r="I11" s="301"/>
      <c r="J11" s="238"/>
      <c r="K11" s="238"/>
      <c r="L11" s="238"/>
      <c r="M11" s="215"/>
      <c r="N11" s="238"/>
      <c r="O11" s="238"/>
      <c r="P11" s="238"/>
      <c r="Q11" s="238"/>
      <c r="R11" s="277"/>
      <c r="S11" s="278"/>
      <c r="T11" s="279"/>
      <c r="U11" s="280"/>
      <c r="V11" s="257" t="s">
        <v>468</v>
      </c>
      <c r="W11" s="208"/>
      <c r="X11" s="214"/>
      <c r="Y11" s="257" t="s">
        <v>590</v>
      </c>
      <c r="Z11" s="214"/>
      <c r="AA11" s="32"/>
      <c r="AB11" s="228" t="s">
        <v>472</v>
      </c>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31"/>
      <c r="BC11" s="222" t="s">
        <v>463</v>
      </c>
      <c r="BD11" s="223"/>
      <c r="BE11" s="223"/>
      <c r="BF11" s="223"/>
      <c r="BG11" s="223"/>
      <c r="BH11" s="223"/>
      <c r="BI11" s="223"/>
      <c r="BJ11" s="223"/>
      <c r="BK11" s="221"/>
      <c r="BL11" s="221"/>
      <c r="BM11" s="235"/>
      <c r="BO11" s="32"/>
      <c r="BR11" s="30"/>
      <c r="BS11" s="30"/>
      <c r="CJ11" s="59"/>
    </row>
    <row r="12" spans="1:172" ht="32.25" customHeight="1" thickBot="1">
      <c r="F12" s="190" t="s">
        <v>366</v>
      </c>
      <c r="G12" s="382"/>
      <c r="H12" s="382"/>
      <c r="I12" s="382"/>
      <c r="J12" s="191"/>
      <c r="K12" s="192"/>
      <c r="L12" s="273" t="s">
        <v>155</v>
      </c>
      <c r="M12" s="367"/>
      <c r="N12" s="272"/>
      <c r="O12" s="274" t="s">
        <v>2</v>
      </c>
      <c r="P12" s="271"/>
      <c r="Q12" s="271"/>
      <c r="R12" s="272"/>
      <c r="S12" s="275" t="s">
        <v>157</v>
      </c>
      <c r="T12" s="274" t="s">
        <v>3</v>
      </c>
      <c r="U12" s="276"/>
      <c r="V12" s="258" t="s">
        <v>589</v>
      </c>
      <c r="W12" s="187" t="s">
        <v>551</v>
      </c>
      <c r="X12" s="259" t="s">
        <v>577</v>
      </c>
      <c r="Y12" s="258" t="s">
        <v>591</v>
      </c>
      <c r="Z12" s="259" t="s">
        <v>592</v>
      </c>
      <c r="AA12" s="32"/>
      <c r="AB12" s="220" t="s">
        <v>473</v>
      </c>
      <c r="AC12" s="158"/>
      <c r="AD12" s="158"/>
      <c r="AE12" s="158"/>
      <c r="AF12" s="158"/>
      <c r="AG12" s="158"/>
      <c r="AH12" s="158"/>
      <c r="AI12" s="159"/>
      <c r="AJ12" s="220" t="s">
        <v>708</v>
      </c>
      <c r="AK12" s="158"/>
      <c r="AL12" s="158"/>
      <c r="AM12" s="158"/>
      <c r="AN12" s="158"/>
      <c r="AO12" s="158"/>
      <c r="AP12" s="158"/>
      <c r="AQ12" s="158"/>
      <c r="AR12" s="158"/>
      <c r="AS12" s="158"/>
      <c r="AT12" s="158"/>
      <c r="AU12" s="158"/>
      <c r="AV12" s="158"/>
      <c r="AW12" s="158"/>
      <c r="AX12" s="158"/>
      <c r="AY12" s="158"/>
      <c r="AZ12" s="158"/>
      <c r="BA12" s="232" t="s">
        <v>582</v>
      </c>
      <c r="BB12" s="232"/>
      <c r="BC12" s="220" t="s">
        <v>481</v>
      </c>
      <c r="BD12" s="221"/>
      <c r="BE12" s="221"/>
      <c r="BF12" s="235"/>
      <c r="BG12" s="220" t="s">
        <v>2</v>
      </c>
      <c r="BH12" s="221"/>
      <c r="BI12" s="221"/>
      <c r="BJ12" s="235"/>
      <c r="BK12" s="221"/>
      <c r="BL12" s="256" t="s">
        <v>157</v>
      </c>
      <c r="BM12" s="256" t="s">
        <v>3</v>
      </c>
      <c r="BN12" s="103"/>
    </row>
    <row r="13" spans="1:172" s="39" customFormat="1" ht="32.25" customHeight="1">
      <c r="A13" s="290" t="s">
        <v>635</v>
      </c>
      <c r="B13" s="342" t="s">
        <v>636</v>
      </c>
      <c r="C13" s="342" t="s">
        <v>725</v>
      </c>
      <c r="D13" s="342" t="s">
        <v>637</v>
      </c>
      <c r="E13" s="342" t="s">
        <v>730</v>
      </c>
      <c r="F13" s="292" t="s">
        <v>728</v>
      </c>
      <c r="G13" s="293" t="s">
        <v>727</v>
      </c>
      <c r="H13" s="292" t="s">
        <v>728</v>
      </c>
      <c r="I13" s="293" t="s">
        <v>727</v>
      </c>
      <c r="J13" s="292" t="s">
        <v>728</v>
      </c>
      <c r="K13" s="295" t="s">
        <v>727</v>
      </c>
      <c r="L13" s="294" t="s">
        <v>622</v>
      </c>
      <c r="M13" s="349" t="s">
        <v>729</v>
      </c>
      <c r="N13" s="295" t="s">
        <v>726</v>
      </c>
      <c r="O13" s="296" t="s">
        <v>623</v>
      </c>
      <c r="P13" s="293" t="s">
        <v>624</v>
      </c>
      <c r="Q13" s="293" t="s">
        <v>625</v>
      </c>
      <c r="R13" s="295" t="s">
        <v>626</v>
      </c>
      <c r="S13" s="297" t="s">
        <v>627</v>
      </c>
      <c r="T13" s="296" t="s">
        <v>628</v>
      </c>
      <c r="U13" s="295" t="s">
        <v>629</v>
      </c>
      <c r="V13" s="298" t="s">
        <v>630</v>
      </c>
      <c r="W13" s="299" t="s">
        <v>631</v>
      </c>
      <c r="X13" s="300" t="s">
        <v>632</v>
      </c>
      <c r="Y13" s="298" t="s">
        <v>633</v>
      </c>
      <c r="Z13" s="300" t="s">
        <v>634</v>
      </c>
      <c r="AB13" s="371"/>
      <c r="AC13" s="351"/>
      <c r="AD13" s="368" t="s">
        <v>462</v>
      </c>
      <c r="AE13" s="351"/>
      <c r="AF13" s="368" t="s">
        <v>462</v>
      </c>
      <c r="AG13" s="351"/>
      <c r="AH13" s="351"/>
      <c r="AI13" s="352"/>
      <c r="AJ13" s="350"/>
      <c r="AK13" s="351"/>
      <c r="AL13" s="351"/>
      <c r="AM13" s="351"/>
      <c r="AN13" s="351"/>
      <c r="AO13" s="351"/>
      <c r="AP13" s="351"/>
      <c r="AQ13" s="351"/>
      <c r="AR13" s="351"/>
      <c r="AS13" s="351"/>
      <c r="AT13" s="351"/>
      <c r="AU13" s="351"/>
      <c r="AV13" s="351"/>
      <c r="AW13" s="351"/>
      <c r="AX13" s="351"/>
      <c r="AY13" s="351"/>
      <c r="AZ13" s="351"/>
      <c r="BA13" s="353"/>
      <c r="BB13" s="353"/>
      <c r="BC13" s="371"/>
      <c r="BD13" s="372"/>
      <c r="BE13" s="372"/>
      <c r="BF13" s="355"/>
      <c r="BG13" s="350"/>
      <c r="BH13" s="354"/>
      <c r="BI13" s="354"/>
      <c r="BJ13" s="356"/>
      <c r="BK13" s="357"/>
      <c r="BL13" s="358"/>
      <c r="BM13" s="358"/>
      <c r="BN13" s="103"/>
      <c r="BO13" s="109"/>
    </row>
    <row r="14" spans="1:172" s="107" customFormat="1" ht="88.5" customHeight="1">
      <c r="B14" s="186" t="s">
        <v>548</v>
      </c>
      <c r="C14" s="186" t="s">
        <v>6</v>
      </c>
      <c r="D14" s="186" t="s">
        <v>469</v>
      </c>
      <c r="E14" s="188" t="s">
        <v>470</v>
      </c>
      <c r="F14" s="365" t="s">
        <v>363</v>
      </c>
      <c r="G14" s="366" t="s">
        <v>364</v>
      </c>
      <c r="H14" s="366" t="s">
        <v>1007</v>
      </c>
      <c r="I14" s="366" t="s">
        <v>364</v>
      </c>
      <c r="J14" s="366" t="s">
        <v>1008</v>
      </c>
      <c r="K14" s="383" t="s">
        <v>364</v>
      </c>
      <c r="L14" s="193" t="s">
        <v>11</v>
      </c>
      <c r="M14" s="186" t="s">
        <v>368</v>
      </c>
      <c r="N14" s="194" t="s">
        <v>364</v>
      </c>
      <c r="O14" s="193" t="s">
        <v>7</v>
      </c>
      <c r="P14" s="186" t="s">
        <v>8</v>
      </c>
      <c r="Q14" s="186" t="s">
        <v>9</v>
      </c>
      <c r="R14" s="194" t="s">
        <v>10</v>
      </c>
      <c r="S14" s="202" t="s">
        <v>364</v>
      </c>
      <c r="T14" s="193" t="s">
        <v>394</v>
      </c>
      <c r="U14" s="194" t="s">
        <v>364</v>
      </c>
      <c r="V14" s="193" t="s">
        <v>43</v>
      </c>
      <c r="W14" s="186" t="s">
        <v>42</v>
      </c>
      <c r="X14" s="194" t="s">
        <v>44</v>
      </c>
      <c r="Y14" s="193" t="s">
        <v>42</v>
      </c>
      <c r="Z14" s="194" t="s">
        <v>42</v>
      </c>
      <c r="AA14" s="32"/>
      <c r="AB14" s="317" t="s">
        <v>1011</v>
      </c>
      <c r="AC14" s="316" t="s">
        <v>367</v>
      </c>
      <c r="AD14" s="316" t="s">
        <v>490</v>
      </c>
      <c r="AE14" s="316" t="s">
        <v>20</v>
      </c>
      <c r="AF14" s="316" t="s">
        <v>489</v>
      </c>
      <c r="AG14" s="316" t="s">
        <v>491</v>
      </c>
      <c r="AH14" s="316" t="s">
        <v>474</v>
      </c>
      <c r="AI14" s="318" t="s">
        <v>19</v>
      </c>
      <c r="AJ14" s="317" t="s">
        <v>476</v>
      </c>
      <c r="AK14" s="316" t="s">
        <v>477</v>
      </c>
      <c r="AL14" s="316" t="s">
        <v>478</v>
      </c>
      <c r="AM14" s="316" t="s">
        <v>13</v>
      </c>
      <c r="AN14" s="316" t="s">
        <v>4</v>
      </c>
      <c r="AO14" s="316" t="s">
        <v>5</v>
      </c>
      <c r="AP14" s="316" t="s">
        <v>14</v>
      </c>
      <c r="AQ14" s="316" t="s">
        <v>15</v>
      </c>
      <c r="AR14" s="316" t="s">
        <v>16</v>
      </c>
      <c r="AS14" s="316" t="s">
        <v>17</v>
      </c>
      <c r="AT14" s="316" t="s">
        <v>482</v>
      </c>
      <c r="AU14" s="316" t="s">
        <v>483</v>
      </c>
      <c r="AV14" s="316" t="s">
        <v>484</v>
      </c>
      <c r="AW14" s="316" t="s">
        <v>485</v>
      </c>
      <c r="AX14" s="316" t="s">
        <v>18</v>
      </c>
      <c r="AY14" s="316" t="s">
        <v>480</v>
      </c>
      <c r="AZ14" s="316" t="s">
        <v>479</v>
      </c>
      <c r="BA14" s="233" t="s">
        <v>21</v>
      </c>
      <c r="BB14" s="233" t="s">
        <v>22</v>
      </c>
      <c r="BC14" s="160" t="s">
        <v>363</v>
      </c>
      <c r="BD14" s="161" t="s">
        <v>1012</v>
      </c>
      <c r="BE14" s="161" t="s">
        <v>1013</v>
      </c>
      <c r="BF14" s="233" t="s">
        <v>595</v>
      </c>
      <c r="BG14" s="160" t="s">
        <v>7</v>
      </c>
      <c r="BH14" s="161" t="s">
        <v>466</v>
      </c>
      <c r="BI14" s="161" t="s">
        <v>9</v>
      </c>
      <c r="BJ14" s="162" t="s">
        <v>594</v>
      </c>
      <c r="BK14" s="233" t="s">
        <v>593</v>
      </c>
      <c r="BL14" s="233" t="s">
        <v>584</v>
      </c>
      <c r="BM14" s="233" t="s">
        <v>585</v>
      </c>
      <c r="BN14" s="43"/>
    </row>
    <row r="15" spans="1:172" s="107" customFormat="1" ht="29.25" customHeight="1">
      <c r="B15" s="186"/>
      <c r="C15" s="186"/>
      <c r="D15" s="186" t="s">
        <v>41</v>
      </c>
      <c r="E15" s="188" t="s">
        <v>45</v>
      </c>
      <c r="F15" s="365"/>
      <c r="G15" s="366" t="s">
        <v>168</v>
      </c>
      <c r="H15" s="366"/>
      <c r="I15" s="366" t="s">
        <v>1009</v>
      </c>
      <c r="J15" s="366"/>
      <c r="K15" s="383" t="s">
        <v>1010</v>
      </c>
      <c r="L15" s="193" t="s">
        <v>42</v>
      </c>
      <c r="M15" s="186"/>
      <c r="N15" s="194" t="s">
        <v>168</v>
      </c>
      <c r="O15" s="193" t="s">
        <v>365</v>
      </c>
      <c r="P15" s="186" t="s">
        <v>365</v>
      </c>
      <c r="Q15" s="186" t="s">
        <v>365</v>
      </c>
      <c r="R15" s="194" t="s">
        <v>365</v>
      </c>
      <c r="S15" s="202" t="s">
        <v>365</v>
      </c>
      <c r="T15" s="193"/>
      <c r="U15" s="194" t="s">
        <v>158</v>
      </c>
      <c r="V15" s="193"/>
      <c r="W15" s="186"/>
      <c r="X15" s="194"/>
      <c r="Y15" s="193"/>
      <c r="Z15" s="194"/>
      <c r="AA15" s="32"/>
      <c r="AB15" s="160" t="s">
        <v>52</v>
      </c>
      <c r="AC15" s="161" t="s">
        <v>52</v>
      </c>
      <c r="AD15" s="161" t="s">
        <v>54</v>
      </c>
      <c r="AE15" s="161" t="s">
        <v>52</v>
      </c>
      <c r="AF15" s="161" t="s">
        <v>54</v>
      </c>
      <c r="AG15" s="161" t="s">
        <v>52</v>
      </c>
      <c r="AH15" s="161" t="s">
        <v>52</v>
      </c>
      <c r="AI15" s="162" t="s">
        <v>52</v>
      </c>
      <c r="AJ15" s="160"/>
      <c r="AK15" s="161"/>
      <c r="AL15" s="161"/>
      <c r="AM15" s="161"/>
      <c r="AN15" s="161" t="s">
        <v>46</v>
      </c>
      <c r="AO15" s="161" t="s">
        <v>46</v>
      </c>
      <c r="AP15" s="161" t="s">
        <v>47</v>
      </c>
      <c r="AQ15" s="161" t="s">
        <v>48</v>
      </c>
      <c r="AR15" s="161" t="s">
        <v>49</v>
      </c>
      <c r="AS15" s="161" t="s">
        <v>50</v>
      </c>
      <c r="AT15" s="161" t="s">
        <v>51</v>
      </c>
      <c r="AU15" s="161" t="s">
        <v>52</v>
      </c>
      <c r="AV15" s="161" t="s">
        <v>51</v>
      </c>
      <c r="AW15" s="161" t="s">
        <v>52</v>
      </c>
      <c r="AX15" s="161" t="s">
        <v>51</v>
      </c>
      <c r="AY15" s="161" t="s">
        <v>52</v>
      </c>
      <c r="AZ15" s="161" t="s">
        <v>53</v>
      </c>
      <c r="BA15" s="233" t="s">
        <v>52</v>
      </c>
      <c r="BB15" s="233" t="s">
        <v>53</v>
      </c>
      <c r="BC15" s="160" t="s">
        <v>465</v>
      </c>
      <c r="BD15" s="161" t="s">
        <v>465</v>
      </c>
      <c r="BE15" s="161" t="s">
        <v>465</v>
      </c>
      <c r="BF15" s="233" t="s">
        <v>465</v>
      </c>
      <c r="BG15" s="160" t="s">
        <v>465</v>
      </c>
      <c r="BH15" s="161" t="s">
        <v>465</v>
      </c>
      <c r="BI15" s="161" t="s">
        <v>465</v>
      </c>
      <c r="BJ15" s="162" t="s">
        <v>465</v>
      </c>
      <c r="BK15" s="233" t="s">
        <v>465</v>
      </c>
      <c r="BL15" s="233" t="s">
        <v>465</v>
      </c>
      <c r="BM15" s="233" t="s">
        <v>465</v>
      </c>
      <c r="BN15" s="75"/>
    </row>
    <row r="16" spans="1:172" s="67" customFormat="1" ht="24.75" customHeight="1">
      <c r="B16" s="249" t="s">
        <v>549</v>
      </c>
      <c r="C16" s="34"/>
      <c r="D16" s="130"/>
      <c r="E16" s="131"/>
      <c r="F16" s="132"/>
      <c r="G16" s="133"/>
      <c r="H16" s="133"/>
      <c r="I16" s="133"/>
      <c r="J16" s="133"/>
      <c r="K16" s="251"/>
      <c r="L16" s="132"/>
      <c r="M16" s="247"/>
      <c r="N16" s="268"/>
      <c r="O16" s="135"/>
      <c r="P16" s="136"/>
      <c r="Q16" s="136"/>
      <c r="R16" s="265"/>
      <c r="S16" s="137"/>
      <c r="T16" s="135"/>
      <c r="U16" s="265"/>
      <c r="V16" s="262"/>
      <c r="W16" s="248"/>
      <c r="X16" s="260"/>
      <c r="Y16" s="134"/>
      <c r="Z16" s="260"/>
      <c r="AA16" s="32"/>
      <c r="AB16" s="160"/>
      <c r="AC16" s="161"/>
      <c r="AD16" s="161"/>
      <c r="AE16" s="161"/>
      <c r="AF16" s="161"/>
      <c r="AG16" s="161"/>
      <c r="AH16" s="161"/>
      <c r="AI16" s="162"/>
      <c r="AJ16" s="160"/>
      <c r="AK16" s="161"/>
      <c r="AL16" s="161"/>
      <c r="AM16" s="161"/>
      <c r="AN16" s="161"/>
      <c r="AO16" s="161"/>
      <c r="AP16" s="161"/>
      <c r="AQ16" s="161"/>
      <c r="AR16" s="161"/>
      <c r="AS16" s="161"/>
      <c r="AT16" s="161"/>
      <c r="AU16" s="161"/>
      <c r="AV16" s="161"/>
      <c r="AW16" s="161"/>
      <c r="AX16" s="161"/>
      <c r="AY16" s="161"/>
      <c r="AZ16" s="161"/>
      <c r="BA16" s="233"/>
      <c r="BB16" s="233"/>
      <c r="BC16" s="160"/>
      <c r="BD16" s="161"/>
      <c r="BE16" s="161"/>
      <c r="BF16" s="233"/>
      <c r="BG16" s="160"/>
      <c r="BH16" s="161"/>
      <c r="BI16" s="161"/>
      <c r="BJ16" s="162"/>
      <c r="BK16" s="233"/>
      <c r="BL16" s="233"/>
      <c r="BM16" s="233"/>
    </row>
    <row r="17" spans="2:67" ht="17.25" customHeight="1">
      <c r="B17" s="142">
        <v>1</v>
      </c>
      <c r="C17" s="142" t="s">
        <v>858</v>
      </c>
      <c r="D17" s="142"/>
      <c r="E17" s="189"/>
      <c r="F17" s="199" t="s">
        <v>913</v>
      </c>
      <c r="G17" s="142"/>
      <c r="H17" s="142" t="s">
        <v>241</v>
      </c>
      <c r="I17" s="142"/>
      <c r="J17" s="142" t="s">
        <v>930</v>
      </c>
      <c r="K17" s="205"/>
      <c r="L17" s="199" t="s">
        <v>60</v>
      </c>
      <c r="M17" s="142" t="s">
        <v>369</v>
      </c>
      <c r="N17" s="205"/>
      <c r="O17" s="199">
        <v>0</v>
      </c>
      <c r="P17" s="142">
        <v>0</v>
      </c>
      <c r="Q17" s="142">
        <v>0</v>
      </c>
      <c r="R17" s="205">
        <v>0</v>
      </c>
      <c r="S17" s="203">
        <v>0</v>
      </c>
      <c r="T17" s="199" t="s">
        <v>499</v>
      </c>
      <c r="U17" s="205">
        <v>1</v>
      </c>
      <c r="V17" s="199" t="s">
        <v>58</v>
      </c>
      <c r="W17" s="142" t="s">
        <v>57</v>
      </c>
      <c r="X17" s="205" t="s">
        <v>59</v>
      </c>
      <c r="Y17" s="199" t="s">
        <v>57</v>
      </c>
      <c r="Z17" s="205" t="s">
        <v>57</v>
      </c>
      <c r="AA17" s="32"/>
      <c r="AB17" s="160">
        <f>D17*G17*VLOOKUP(F17,'Standard data'!$B$210:$E$286,2,FALSE)*44/28</f>
        <v>0</v>
      </c>
      <c r="AC17" s="161">
        <f>$N17*$D17*'Standard data'!$C$13*44/28</f>
        <v>0</v>
      </c>
      <c r="AD17" s="161">
        <v>0</v>
      </c>
      <c r="AE17" s="161">
        <f>$D$17*'Standard data'!$C$24*44/28*$AD17</f>
        <v>0</v>
      </c>
      <c r="AF17" s="161">
        <v>0</v>
      </c>
      <c r="AG17" s="161">
        <f>$D$17*'Standard data'!$C$28*44/28*$AF17</f>
        <v>0</v>
      </c>
      <c r="AH17" s="161">
        <f t="shared" ref="AH17:AH39" si="0">AU17+AW17</f>
        <v>0</v>
      </c>
      <c r="AI17" s="162">
        <f>IF(AND($Y17="yes",$Z17="yes"),$D17*'Standard data'!$C$16*44/28,0)</f>
        <v>0</v>
      </c>
      <c r="AJ17" s="160">
        <f>VLOOKUP(C17,CropsRef!$B$8:$Z$157,24,FALSE)</f>
        <v>0</v>
      </c>
      <c r="AK17" s="161">
        <f>VLOOKUP($C17,CropsRef!$B$8:$Z$157,13,FALSE)</f>
        <v>0</v>
      </c>
      <c r="AL17" s="161">
        <f>VLOOKUP($C17,CropsRef!$B$8:$Z$157,14,FALSE)</f>
        <v>0</v>
      </c>
      <c r="AM17" s="161">
        <f>VLOOKUP($C17,CropsRef!$B$8:$Z$157,15,FALSE)</f>
        <v>0</v>
      </c>
      <c r="AN17" s="161">
        <v>1</v>
      </c>
      <c r="AO17" s="161">
        <f t="shared" ref="AO17:AO39" si="1">IF(V17="incorporated",0%,100%)</f>
        <v>0</v>
      </c>
      <c r="AP17" s="161">
        <f>VLOOKUP($C17,CropsRef!$B$8:$Z$157,16,FALSE)</f>
        <v>0</v>
      </c>
      <c r="AQ17" s="161">
        <f>VLOOKUP($C17,CropsRef!$B$8:$Z$157,17,FALSE)</f>
        <v>0</v>
      </c>
      <c r="AR17" s="161">
        <f>VLOOKUP($C17,CropsRef!$B$8:$Z$157,9,FALSE)</f>
        <v>0</v>
      </c>
      <c r="AS17" s="161">
        <f>AK17*(E17*AR17)+AL17</f>
        <v>0</v>
      </c>
      <c r="AT17" s="161">
        <f>D17*AP17*AS17*(1-AO17)*AN17</f>
        <v>0</v>
      </c>
      <c r="AU17" s="161">
        <f>AT17*1000*'Standard data'!$C$14*44/28</f>
        <v>0</v>
      </c>
      <c r="AV17" s="161">
        <f>D17*AQ17*AM17*(E17*AR17+(AK17*E17*AR17+AL17))*AN17</f>
        <v>0</v>
      </c>
      <c r="AW17" s="161">
        <f>AV17*'Standard data'!$C$14*44/28*1000</f>
        <v>0</v>
      </c>
      <c r="AX17" s="161">
        <f t="shared" ref="AX17:AX39" si="2">AT17+AV17</f>
        <v>0</v>
      </c>
      <c r="AY17" s="161" t="str">
        <f>IF($V17="burnt",$AS17*$AJ17*'Standard data'!$D$199*$D17,"0")</f>
        <v>0</v>
      </c>
      <c r="AZ17" s="161" t="str">
        <f>IF($V17="burnt",$AS17*$AJ17*'Standard data'!$C$199*$D17,"0")</f>
        <v>0</v>
      </c>
      <c r="BA17" s="233">
        <f t="shared" ref="BA17:BA39" si="3">SUM(AY17,AI17,AH17,AE17,AC17,AB17)</f>
        <v>0</v>
      </c>
      <c r="BB17" s="233" t="str">
        <f t="shared" ref="BB17:BB39" si="4">AZ17</f>
        <v>0</v>
      </c>
      <c r="BC17" s="160">
        <f>$D17*$G17*VLOOKUP($F17,'Standard data'!$B$210:$D$286,3,FALSE)</f>
        <v>0</v>
      </c>
      <c r="BD17" s="161">
        <f>$D17*$I17*VLOOKUP($H17,'Standard data'!$B$210:$D$286,3,FALSE)</f>
        <v>0</v>
      </c>
      <c r="BE17" s="161">
        <f>$D17*$K17*VLOOKUP($J17,'Standard data'!$B$210:$D$286,3,FALSE)</f>
        <v>0</v>
      </c>
      <c r="BF17" s="233">
        <f>SUM(BC17:BE17)</f>
        <v>0</v>
      </c>
      <c r="BG17" s="160">
        <f>$O17*$D17*'Standard data'!$F$296</f>
        <v>0</v>
      </c>
      <c r="BH17" s="161">
        <f>$P17*$D17*'Standard data'!$F$298</f>
        <v>0</v>
      </c>
      <c r="BI17" s="161">
        <f>$Q17*$D17*'Standard data'!$F$297</f>
        <v>0</v>
      </c>
      <c r="BJ17" s="162">
        <f>$R17*$D17*'Standard data'!$F$299</f>
        <v>0</v>
      </c>
      <c r="BK17" s="233">
        <f t="shared" ref="BK17:BK39" si="5">$BG17+$BH17+$BI17+$BJ17</f>
        <v>0</v>
      </c>
      <c r="BL17" s="233">
        <f>$S17*$D17*VLOOKUP($C17,CropsRef!$B$8:$Z$157,20,FALSE)</f>
        <v>0</v>
      </c>
      <c r="BM17" s="233">
        <f>$D17*$U17*VLOOKUP($T17,'Standard data'!$B$307:$P$309,7,FALSE)</f>
        <v>0</v>
      </c>
      <c r="BN17" s="72"/>
      <c r="BO17" s="32"/>
    </row>
    <row r="18" spans="2:67" ht="18" customHeight="1">
      <c r="B18" s="142">
        <v>2</v>
      </c>
      <c r="C18" s="142" t="s">
        <v>858</v>
      </c>
      <c r="D18" s="142"/>
      <c r="E18" s="189"/>
      <c r="F18" s="199" t="s">
        <v>913</v>
      </c>
      <c r="G18" s="142"/>
      <c r="H18" s="142" t="s">
        <v>241</v>
      </c>
      <c r="I18" s="142"/>
      <c r="J18" s="142" t="s">
        <v>930</v>
      </c>
      <c r="K18" s="205"/>
      <c r="L18" s="199" t="s">
        <v>60</v>
      </c>
      <c r="M18" s="142" t="s">
        <v>369</v>
      </c>
      <c r="N18" s="205"/>
      <c r="O18" s="199">
        <v>0</v>
      </c>
      <c r="P18" s="142">
        <v>0</v>
      </c>
      <c r="Q18" s="142">
        <v>0</v>
      </c>
      <c r="R18" s="205">
        <v>0</v>
      </c>
      <c r="S18" s="203">
        <v>0</v>
      </c>
      <c r="T18" s="199" t="s">
        <v>499</v>
      </c>
      <c r="U18" s="205"/>
      <c r="V18" s="199" t="s">
        <v>58</v>
      </c>
      <c r="W18" s="142" t="s">
        <v>57</v>
      </c>
      <c r="X18" s="205" t="s">
        <v>59</v>
      </c>
      <c r="Y18" s="199" t="s">
        <v>57</v>
      </c>
      <c r="Z18" s="205" t="s">
        <v>57</v>
      </c>
      <c r="AA18" s="32"/>
      <c r="AB18" s="160">
        <f>D18*G18*VLOOKUP(F18,'Standard data'!$B$210:$E$286,2,FALSE)*44/28</f>
        <v>0</v>
      </c>
      <c r="AC18" s="161">
        <f>$N18*$D18*'Standard data'!$C$13*44/28</f>
        <v>0</v>
      </c>
      <c r="AD18" s="161">
        <v>0</v>
      </c>
      <c r="AE18" s="161">
        <f>$D$17*'Standard data'!$C$24*44/28*$AD18</f>
        <v>0</v>
      </c>
      <c r="AF18" s="161">
        <v>0</v>
      </c>
      <c r="AG18" s="161">
        <f>$D$17*'Standard data'!$C$28*44/28*$AF18</f>
        <v>0</v>
      </c>
      <c r="AH18" s="161">
        <f t="shared" si="0"/>
        <v>0</v>
      </c>
      <c r="AI18" s="162">
        <f>IF(AND($Y18="yes",$Z18="yes"),$D18*'Standard data'!$C$16*44/28,0)</f>
        <v>0</v>
      </c>
      <c r="AJ18" s="160">
        <f>VLOOKUP(C18,CropsRef!$B$8:$Z$157,24,FALSE)</f>
        <v>0</v>
      </c>
      <c r="AK18" s="161">
        <f>VLOOKUP(C18,CropsRef!$B$8:$Z$157,13,FALSE)</f>
        <v>0</v>
      </c>
      <c r="AL18" s="161">
        <f>VLOOKUP($C18,CropsRef!$B$8:$Z$157,14,FALSE)</f>
        <v>0</v>
      </c>
      <c r="AM18" s="161">
        <f>VLOOKUP($C18,CropsRef!$B$8:$Z$157,15,FALSE)</f>
        <v>0</v>
      </c>
      <c r="AN18" s="161">
        <v>1</v>
      </c>
      <c r="AO18" s="161">
        <f t="shared" si="1"/>
        <v>0</v>
      </c>
      <c r="AP18" s="161">
        <f>VLOOKUP($C18,CropsRef!$B$8:$Z$157,16,FALSE)</f>
        <v>0</v>
      </c>
      <c r="AQ18" s="161">
        <f>VLOOKUP($C18,CropsRef!$B$8:$Z$157,17,FALSE)</f>
        <v>0</v>
      </c>
      <c r="AR18" s="161">
        <f>VLOOKUP($C18,CropsRef!$B$8:$Z$157,9,FALSE)</f>
        <v>0</v>
      </c>
      <c r="AS18" s="161">
        <f>AK18*(E18*AR18)+AL18</f>
        <v>0</v>
      </c>
      <c r="AT18" s="161">
        <f>D18*AP18*AS18*(1-AO18)*AN18</f>
        <v>0</v>
      </c>
      <c r="AU18" s="161">
        <f>AT18*1000*'Standard data'!$C$14*44/28</f>
        <v>0</v>
      </c>
      <c r="AV18" s="161">
        <f>D18*AQ18*AM18*(E18*AR18+(AK18*E18*AR18+AL18))*AN18</f>
        <v>0</v>
      </c>
      <c r="AW18" s="161">
        <f>AV18*'Standard data'!$C$14*44/28*1000</f>
        <v>0</v>
      </c>
      <c r="AX18" s="161">
        <f t="shared" si="2"/>
        <v>0</v>
      </c>
      <c r="AY18" s="161" t="str">
        <f>IF($V18="burnt",$AS18*$AJ18*'Standard data'!$D$199*$D18,"0")</f>
        <v>0</v>
      </c>
      <c r="AZ18" s="161" t="str">
        <f>IF($V18="burnt",$AS18*$AJ18*'Standard data'!$C$199*$D18,"0")</f>
        <v>0</v>
      </c>
      <c r="BA18" s="233">
        <f t="shared" si="3"/>
        <v>0</v>
      </c>
      <c r="BB18" s="233" t="str">
        <f t="shared" si="4"/>
        <v>0</v>
      </c>
      <c r="BC18" s="160">
        <f>$D18*$G18*VLOOKUP($F18,'Standard data'!$B$210:$D$286,3,FALSE)</f>
        <v>0</v>
      </c>
      <c r="BD18" s="161">
        <f>$D18*$I18*VLOOKUP($H18,'Standard data'!$B$210:$D$286,3,FALSE)</f>
        <v>0</v>
      </c>
      <c r="BE18" s="161">
        <f>$D18*$K18*VLOOKUP($J18,'Standard data'!$B$210:$D$286,3,FALSE)</f>
        <v>0</v>
      </c>
      <c r="BF18" s="233">
        <f t="shared" ref="BF18:BF39" si="6">SUM(BC18:BE18)</f>
        <v>0</v>
      </c>
      <c r="BG18" s="160">
        <f>$O18*$D18*'Standard data'!$F$296</f>
        <v>0</v>
      </c>
      <c r="BH18" s="161">
        <f>$P18*'Standard data'!$C$298*'Standard data'!$D$298*$D18</f>
        <v>0</v>
      </c>
      <c r="BI18" s="161">
        <f>$Q18*$D18*'Standard data'!$F$297</f>
        <v>0</v>
      </c>
      <c r="BJ18" s="162">
        <f>$R18*$D18*'Standard data'!$F$299</f>
        <v>0</v>
      </c>
      <c r="BK18" s="233">
        <f t="shared" si="5"/>
        <v>0</v>
      </c>
      <c r="BL18" s="233">
        <f>$S18*$D18*VLOOKUP($C18,CropsRef!$B$8:$Z$157,20,FALSE)</f>
        <v>0</v>
      </c>
      <c r="BM18" s="233">
        <f>$D18*$U18*VLOOKUP($T18,'Standard data'!$B$307:$P$309,7,FALSE)</f>
        <v>0</v>
      </c>
      <c r="BN18" s="72"/>
      <c r="BO18" s="32"/>
    </row>
    <row r="19" spans="2:67" ht="18" customHeight="1">
      <c r="B19" s="142">
        <v>3</v>
      </c>
      <c r="C19" s="142" t="s">
        <v>858</v>
      </c>
      <c r="D19" s="142"/>
      <c r="E19" s="189"/>
      <c r="F19" s="199" t="s">
        <v>913</v>
      </c>
      <c r="G19" s="142"/>
      <c r="H19" s="142" t="s">
        <v>241</v>
      </c>
      <c r="I19" s="142"/>
      <c r="J19" s="142" t="s">
        <v>930</v>
      </c>
      <c r="K19" s="205"/>
      <c r="L19" s="199" t="s">
        <v>60</v>
      </c>
      <c r="M19" s="142" t="s">
        <v>369</v>
      </c>
      <c r="N19" s="205"/>
      <c r="O19" s="199">
        <v>0</v>
      </c>
      <c r="P19" s="142">
        <v>0</v>
      </c>
      <c r="Q19" s="142">
        <v>0</v>
      </c>
      <c r="R19" s="205">
        <v>0</v>
      </c>
      <c r="S19" s="203">
        <v>0</v>
      </c>
      <c r="T19" s="199" t="s">
        <v>499</v>
      </c>
      <c r="U19" s="205"/>
      <c r="V19" s="199" t="s">
        <v>58</v>
      </c>
      <c r="W19" s="142" t="s">
        <v>57</v>
      </c>
      <c r="X19" s="205" t="s">
        <v>59</v>
      </c>
      <c r="Y19" s="199" t="s">
        <v>57</v>
      </c>
      <c r="Z19" s="205" t="s">
        <v>57</v>
      </c>
      <c r="AA19" s="32"/>
      <c r="AB19" s="160">
        <f>D19*G19*VLOOKUP(F19,'Standard data'!$B$210:$E$286,2,FALSE)*44/28</f>
        <v>0</v>
      </c>
      <c r="AC19" s="161">
        <f>$N19*$D19*'Standard data'!$C$13*44/28</f>
        <v>0</v>
      </c>
      <c r="AD19" s="161">
        <v>0</v>
      </c>
      <c r="AE19" s="161">
        <f>$D$17*'Standard data'!$C$24*44/28*$AD19</f>
        <v>0</v>
      </c>
      <c r="AF19" s="161">
        <v>0</v>
      </c>
      <c r="AG19" s="161">
        <f>$D$17*'Standard data'!$C$28*44/28*$AF19</f>
        <v>0</v>
      </c>
      <c r="AH19" s="161">
        <f t="shared" si="0"/>
        <v>0</v>
      </c>
      <c r="AI19" s="162">
        <f>IF(AND($Y19="yes",$Z19="yes"),$D19*'Standard data'!$C$16*44/28,0)</f>
        <v>0</v>
      </c>
      <c r="AJ19" s="160">
        <f>VLOOKUP(C19,CropsRef!$B$8:$Z$157,24,FALSE)</f>
        <v>0</v>
      </c>
      <c r="AK19" s="161">
        <f>VLOOKUP(C19,CropsRef!$B$8:$Z$157,13,FALSE)</f>
        <v>0</v>
      </c>
      <c r="AL19" s="161">
        <f>VLOOKUP($C19,CropsRef!$B$8:$Z$157,14,FALSE)</f>
        <v>0</v>
      </c>
      <c r="AM19" s="161">
        <f>VLOOKUP($C19,CropsRef!$B$8:$Z$157,15,FALSE)</f>
        <v>0</v>
      </c>
      <c r="AN19" s="161">
        <v>1</v>
      </c>
      <c r="AO19" s="161">
        <f t="shared" si="1"/>
        <v>0</v>
      </c>
      <c r="AP19" s="161">
        <f>VLOOKUP($C19,CropsRef!$B$8:$Z$157,16,FALSE)</f>
        <v>0</v>
      </c>
      <c r="AQ19" s="161">
        <f>VLOOKUP($C19,CropsRef!$B$8:$Z$157,17,FALSE)</f>
        <v>0</v>
      </c>
      <c r="AR19" s="161">
        <f>VLOOKUP($C19,CropsRef!$B$8:$Z$157,9,FALSE)</f>
        <v>0</v>
      </c>
      <c r="AS19" s="161">
        <f>AK19*(E19*AR19)+AL19</f>
        <v>0</v>
      </c>
      <c r="AT19" s="161">
        <f>D19*AP19*AS19*(1-AO19)*AN19</f>
        <v>0</v>
      </c>
      <c r="AU19" s="161">
        <f>AT19*1000*'Standard data'!$C$14*44/28</f>
        <v>0</v>
      </c>
      <c r="AV19" s="161">
        <f>D19*AQ19*AM19*(E19*AR19+(AK19*E19*AR19+AL19))*AN19</f>
        <v>0</v>
      </c>
      <c r="AW19" s="161">
        <f>AV19*'Standard data'!$C$14*44/28*1000</f>
        <v>0</v>
      </c>
      <c r="AX19" s="161">
        <f t="shared" si="2"/>
        <v>0</v>
      </c>
      <c r="AY19" s="161" t="str">
        <f>IF($V19="burnt",$AS19*$AJ19*'Standard data'!$D$199*$D19,"0")</f>
        <v>0</v>
      </c>
      <c r="AZ19" s="161" t="str">
        <f>IF($V19="burnt",$AS19*$AJ19*'Standard data'!$C$199*$D19,"0")</f>
        <v>0</v>
      </c>
      <c r="BA19" s="233">
        <f t="shared" si="3"/>
        <v>0</v>
      </c>
      <c r="BB19" s="233" t="str">
        <f t="shared" si="4"/>
        <v>0</v>
      </c>
      <c r="BC19" s="160">
        <f>$D19*$G19*VLOOKUP($F19,'Standard data'!$B$210:$D$286,3,FALSE)</f>
        <v>0</v>
      </c>
      <c r="BD19" s="161">
        <f>$D19*$I19*VLOOKUP($H19,'Standard data'!$B$210:$D$286,3,FALSE)</f>
        <v>0</v>
      </c>
      <c r="BE19" s="161">
        <f>$D19*$K19*VLOOKUP($J19,'Standard data'!$B$210:$D$286,3,FALSE)</f>
        <v>0</v>
      </c>
      <c r="BF19" s="233">
        <f t="shared" si="6"/>
        <v>0</v>
      </c>
      <c r="BG19" s="160">
        <f>$O19*$D19*'Standard data'!$F$296</f>
        <v>0</v>
      </c>
      <c r="BH19" s="161">
        <f>$P19*'Standard data'!$C$298*'Standard data'!$D$298*$D19</f>
        <v>0</v>
      </c>
      <c r="BI19" s="161">
        <f>$Q19*$D19*'Standard data'!$F$297</f>
        <v>0</v>
      </c>
      <c r="BJ19" s="162">
        <f>$R19*$D19*'Standard data'!$F$299</f>
        <v>0</v>
      </c>
      <c r="BK19" s="233">
        <f t="shared" si="5"/>
        <v>0</v>
      </c>
      <c r="BL19" s="233">
        <f>$S19*$D19*VLOOKUP($C19,CropsRef!$B$8:$Z$157,20,FALSE)</f>
        <v>0</v>
      </c>
      <c r="BM19" s="233">
        <f>$D19*$U19*VLOOKUP($T19,'Standard data'!$B$307:$P$309,7,FALSE)</f>
        <v>0</v>
      </c>
      <c r="BN19" s="72"/>
      <c r="BO19" s="32"/>
    </row>
    <row r="20" spans="2:67" ht="18" customHeight="1">
      <c r="B20" s="142">
        <v>4</v>
      </c>
      <c r="C20" s="142" t="s">
        <v>858</v>
      </c>
      <c r="D20" s="142"/>
      <c r="E20" s="189"/>
      <c r="F20" s="199" t="s">
        <v>913</v>
      </c>
      <c r="G20" s="142"/>
      <c r="H20" s="142" t="s">
        <v>241</v>
      </c>
      <c r="I20" s="142"/>
      <c r="J20" s="142" t="s">
        <v>930</v>
      </c>
      <c r="K20" s="205"/>
      <c r="L20" s="199" t="s">
        <v>60</v>
      </c>
      <c r="M20" s="142" t="s">
        <v>369</v>
      </c>
      <c r="N20" s="205"/>
      <c r="O20" s="199">
        <v>0</v>
      </c>
      <c r="P20" s="142">
        <v>0</v>
      </c>
      <c r="Q20" s="142">
        <v>0</v>
      </c>
      <c r="R20" s="205">
        <v>0</v>
      </c>
      <c r="S20" s="203">
        <v>0</v>
      </c>
      <c r="T20" s="199" t="s">
        <v>499</v>
      </c>
      <c r="U20" s="205"/>
      <c r="V20" s="199" t="s">
        <v>58</v>
      </c>
      <c r="W20" s="142" t="s">
        <v>57</v>
      </c>
      <c r="X20" s="205" t="s">
        <v>59</v>
      </c>
      <c r="Y20" s="199" t="s">
        <v>57</v>
      </c>
      <c r="Z20" s="205" t="s">
        <v>57</v>
      </c>
      <c r="AA20" s="32"/>
      <c r="AB20" s="160">
        <f>D20*G20*VLOOKUP(F20,'Standard data'!$B$210:$E$286,2,FALSE)*44/28</f>
        <v>0</v>
      </c>
      <c r="AC20" s="161">
        <f>$N20*$D20*'Standard data'!$C$13*44/28</f>
        <v>0</v>
      </c>
      <c r="AD20" s="161">
        <v>0</v>
      </c>
      <c r="AE20" s="161">
        <f>$D$17*'Standard data'!$C$24*44/28*$AD20</f>
        <v>0</v>
      </c>
      <c r="AF20" s="161">
        <v>0</v>
      </c>
      <c r="AG20" s="161">
        <f>$D$17*'Standard data'!$C$28*44/28*$AF20</f>
        <v>0</v>
      </c>
      <c r="AH20" s="161">
        <f t="shared" si="0"/>
        <v>0</v>
      </c>
      <c r="AI20" s="162">
        <f>IF(AND($Y20="yes",$Z20="yes"),$D20*'Standard data'!$C$16*44/28,0)</f>
        <v>0</v>
      </c>
      <c r="AJ20" s="160">
        <f>VLOOKUP(C20,CropsRef!$B$8:$Z$157,24,FALSE)</f>
        <v>0</v>
      </c>
      <c r="AK20" s="161">
        <f>VLOOKUP(C20,CropsRef!$B$8:$Z$157,13,FALSE)</f>
        <v>0</v>
      </c>
      <c r="AL20" s="161">
        <f>VLOOKUP($C20,CropsRef!$B$8:$Z$157,14,FALSE)</f>
        <v>0</v>
      </c>
      <c r="AM20" s="161">
        <f>VLOOKUP($C20,CropsRef!$B$8:$Z$157,15,FALSE)</f>
        <v>0</v>
      </c>
      <c r="AN20" s="161">
        <v>1</v>
      </c>
      <c r="AO20" s="161">
        <f t="shared" si="1"/>
        <v>0</v>
      </c>
      <c r="AP20" s="161">
        <f>VLOOKUP($C20,CropsRef!$B$8:$Z$157,16,FALSE)</f>
        <v>0</v>
      </c>
      <c r="AQ20" s="161">
        <f>VLOOKUP($C20,CropsRef!$B$8:$Z$157,17,FALSE)</f>
        <v>0</v>
      </c>
      <c r="AR20" s="161">
        <f>VLOOKUP($C20,CropsRef!$B$8:$Z$157,9,FALSE)</f>
        <v>0</v>
      </c>
      <c r="AS20" s="161">
        <f>AK20*(E20*AR20)+AL20</f>
        <v>0</v>
      </c>
      <c r="AT20" s="161">
        <f>D20*AP20*AS20*(1-AO20)*AN20</f>
        <v>0</v>
      </c>
      <c r="AU20" s="161">
        <f>AT20*1000*'Standard data'!$C$14*44/28</f>
        <v>0</v>
      </c>
      <c r="AV20" s="161">
        <f>D20*AQ20*AM20*(E20*AR20+(AK20*E20*AR20+AL20))*AN20</f>
        <v>0</v>
      </c>
      <c r="AW20" s="161">
        <f>AV20*'Standard data'!$C$14*44/28*1000</f>
        <v>0</v>
      </c>
      <c r="AX20" s="161">
        <f t="shared" si="2"/>
        <v>0</v>
      </c>
      <c r="AY20" s="161" t="str">
        <f>IF($V20="burnt",$AS20*$AJ20*'Standard data'!$D$199*$D20,"0")</f>
        <v>0</v>
      </c>
      <c r="AZ20" s="161" t="str">
        <f>IF($V20="burnt",$AS20*$AJ20*'Standard data'!$C$199*$D20,"0")</f>
        <v>0</v>
      </c>
      <c r="BA20" s="233">
        <f t="shared" si="3"/>
        <v>0</v>
      </c>
      <c r="BB20" s="233" t="str">
        <f t="shared" si="4"/>
        <v>0</v>
      </c>
      <c r="BC20" s="160">
        <f>$D20*$G20*VLOOKUP($F20,'Standard data'!$B$210:$D$286,3,FALSE)</f>
        <v>0</v>
      </c>
      <c r="BD20" s="161">
        <f>$D20*$I20*VLOOKUP($H20,'Standard data'!$B$210:$D$286,3,FALSE)</f>
        <v>0</v>
      </c>
      <c r="BE20" s="161">
        <f>$D20*$K20*VLOOKUP($J20,'Standard data'!$B$210:$D$286,3,FALSE)</f>
        <v>0</v>
      </c>
      <c r="BF20" s="233">
        <f t="shared" si="6"/>
        <v>0</v>
      </c>
      <c r="BG20" s="160">
        <f>$O20*$D20*'Standard data'!$F$296</f>
        <v>0</v>
      </c>
      <c r="BH20" s="161">
        <f>$P20*'Standard data'!$C$298*'Standard data'!$D$298*$D20</f>
        <v>0</v>
      </c>
      <c r="BI20" s="161">
        <f>$Q20*$D20*'Standard data'!$F$297</f>
        <v>0</v>
      </c>
      <c r="BJ20" s="162">
        <f>$R20*$D20*'Standard data'!$F$299</f>
        <v>0</v>
      </c>
      <c r="BK20" s="233">
        <f t="shared" si="5"/>
        <v>0</v>
      </c>
      <c r="BL20" s="233">
        <f>$S20*$D20*VLOOKUP($C20,CropsRef!$B$8:$Z$157,20,FALSE)</f>
        <v>0</v>
      </c>
      <c r="BM20" s="233">
        <f>$D20*$U20*VLOOKUP($T20,'Standard data'!$B$307:$P$309,7,FALSE)</f>
        <v>0</v>
      </c>
      <c r="BN20" s="72"/>
      <c r="BO20" s="32"/>
    </row>
    <row r="21" spans="2:67" ht="18" customHeight="1">
      <c r="B21" s="142">
        <v>5</v>
      </c>
      <c r="C21" s="142" t="s">
        <v>858</v>
      </c>
      <c r="D21" s="142"/>
      <c r="E21" s="189"/>
      <c r="F21" s="199" t="s">
        <v>913</v>
      </c>
      <c r="G21" s="142"/>
      <c r="H21" s="142" t="s">
        <v>241</v>
      </c>
      <c r="I21" s="142"/>
      <c r="J21" s="142" t="s">
        <v>930</v>
      </c>
      <c r="K21" s="205"/>
      <c r="L21" s="199" t="s">
        <v>60</v>
      </c>
      <c r="M21" s="142" t="s">
        <v>369</v>
      </c>
      <c r="N21" s="205"/>
      <c r="O21" s="199">
        <v>0</v>
      </c>
      <c r="P21" s="142">
        <v>0</v>
      </c>
      <c r="Q21" s="142">
        <v>0</v>
      </c>
      <c r="R21" s="205">
        <v>0</v>
      </c>
      <c r="S21" s="203">
        <v>0</v>
      </c>
      <c r="T21" s="199" t="s">
        <v>499</v>
      </c>
      <c r="U21" s="205"/>
      <c r="V21" s="199" t="s">
        <v>58</v>
      </c>
      <c r="W21" s="142" t="s">
        <v>57</v>
      </c>
      <c r="X21" s="205" t="s">
        <v>59</v>
      </c>
      <c r="Y21" s="199" t="s">
        <v>57</v>
      </c>
      <c r="Z21" s="205" t="s">
        <v>57</v>
      </c>
      <c r="AA21" s="32"/>
      <c r="AB21" s="160">
        <f>D21*G21*VLOOKUP(F21,'Standard data'!$B$210:$E$286,2,FALSE)*44/28</f>
        <v>0</v>
      </c>
      <c r="AC21" s="161">
        <f>$N21*$D21*'Standard data'!$C$13*44/28</f>
        <v>0</v>
      </c>
      <c r="AD21" s="161">
        <v>0</v>
      </c>
      <c r="AE21" s="161">
        <f>$D$17*'Standard data'!$C$24*44/28*$AD21</f>
        <v>0</v>
      </c>
      <c r="AF21" s="161">
        <v>0</v>
      </c>
      <c r="AG21" s="161">
        <f>$D$17*'Standard data'!$C$28*44/28*$AF21</f>
        <v>0</v>
      </c>
      <c r="AH21" s="161">
        <f t="shared" si="0"/>
        <v>0</v>
      </c>
      <c r="AI21" s="162">
        <f>IF(AND($Y21="yes",$Z21="yes"),$D21*'Standard data'!$C$16*44/28,0)</f>
        <v>0</v>
      </c>
      <c r="AJ21" s="160">
        <f>VLOOKUP(C21,CropsRef!$B$8:$Z$157,24,FALSE)</f>
        <v>0</v>
      </c>
      <c r="AK21" s="161">
        <f>VLOOKUP(C21,CropsRef!$B$8:$Z$157,13,FALSE)</f>
        <v>0</v>
      </c>
      <c r="AL21" s="161">
        <f>VLOOKUP($C21,CropsRef!$B$8:$Z$157,14,FALSE)</f>
        <v>0</v>
      </c>
      <c r="AM21" s="161">
        <f>VLOOKUP($C21,CropsRef!$B$8:$Z$157,15,FALSE)</f>
        <v>0</v>
      </c>
      <c r="AN21" s="161">
        <v>1</v>
      </c>
      <c r="AO21" s="161">
        <f t="shared" si="1"/>
        <v>0</v>
      </c>
      <c r="AP21" s="161">
        <f>VLOOKUP($C21,CropsRef!$B$8:$Z$157,16,FALSE)</f>
        <v>0</v>
      </c>
      <c r="AQ21" s="161">
        <f>VLOOKUP($C21,CropsRef!$B$8:$Z$157,17,FALSE)</f>
        <v>0</v>
      </c>
      <c r="AR21" s="161">
        <f>VLOOKUP($C21,CropsRef!$B$8:$Z$157,9,FALSE)</f>
        <v>0</v>
      </c>
      <c r="AS21" s="161">
        <f>AK21*(E21*AR21)+AL21</f>
        <v>0</v>
      </c>
      <c r="AT21" s="161">
        <f>D21*AP21*AS21*(1-AO21)*AN21</f>
        <v>0</v>
      </c>
      <c r="AU21" s="161">
        <f>AT21*1000*'Standard data'!$C$14*44/28</f>
        <v>0</v>
      </c>
      <c r="AV21" s="161">
        <f>D21*AQ21*AM21*(E21*AR21+(AK21*E21*AR21+AL21))*AN21</f>
        <v>0</v>
      </c>
      <c r="AW21" s="161">
        <f>AV21*'Standard data'!$C$14*44/28*1000</f>
        <v>0</v>
      </c>
      <c r="AX21" s="161">
        <f t="shared" si="2"/>
        <v>0</v>
      </c>
      <c r="AY21" s="161" t="str">
        <f>IF($V21="burnt",$AS21*$AJ21*'Standard data'!$D$199*$D21,"0")</f>
        <v>0</v>
      </c>
      <c r="AZ21" s="161" t="str">
        <f>IF($V21="burnt",$AS21*$AJ21*'Standard data'!$C$199*$D21,"0")</f>
        <v>0</v>
      </c>
      <c r="BA21" s="233">
        <f t="shared" si="3"/>
        <v>0</v>
      </c>
      <c r="BB21" s="233" t="str">
        <f t="shared" si="4"/>
        <v>0</v>
      </c>
      <c r="BC21" s="160">
        <f>$D21*$G21*VLOOKUP($F21,'Standard data'!$B$210:$D$286,3,FALSE)</f>
        <v>0</v>
      </c>
      <c r="BD21" s="161">
        <f>$D21*$I21*VLOOKUP($H21,'Standard data'!$B$210:$D$286,3,FALSE)</f>
        <v>0</v>
      </c>
      <c r="BE21" s="161">
        <f>$D21*$K21*VLOOKUP($J21,'Standard data'!$B$210:$D$286,3,FALSE)</f>
        <v>0</v>
      </c>
      <c r="BF21" s="233">
        <f t="shared" si="6"/>
        <v>0</v>
      </c>
      <c r="BG21" s="160">
        <f>$O21*$D21*'Standard data'!$F$296</f>
        <v>0</v>
      </c>
      <c r="BH21" s="161">
        <f>$P21*'Standard data'!$C$298*'Standard data'!$D$298*$D21</f>
        <v>0</v>
      </c>
      <c r="BI21" s="161">
        <f>$Q21*$D21*'Standard data'!$F$297</f>
        <v>0</v>
      </c>
      <c r="BJ21" s="162">
        <f>$R21*$D21*'Standard data'!$F$299</f>
        <v>0</v>
      </c>
      <c r="BK21" s="233">
        <f t="shared" si="5"/>
        <v>0</v>
      </c>
      <c r="BL21" s="233">
        <f>$S21*$D21*VLOOKUP($C21,CropsRef!$B$8:$Z$157,20,FALSE)</f>
        <v>0</v>
      </c>
      <c r="BM21" s="233">
        <f>$D21*$U21*VLOOKUP($T21,'Standard data'!$B$307:$P$309,7,FALSE)</f>
        <v>0</v>
      </c>
      <c r="BN21" s="72"/>
      <c r="BO21" s="32"/>
    </row>
    <row r="22" spans="2:67" ht="18" customHeight="1">
      <c r="B22" s="142">
        <v>6</v>
      </c>
      <c r="C22" s="142" t="s">
        <v>858</v>
      </c>
      <c r="D22" s="142"/>
      <c r="E22" s="189"/>
      <c r="F22" s="199" t="s">
        <v>913</v>
      </c>
      <c r="G22" s="142"/>
      <c r="H22" s="142" t="s">
        <v>241</v>
      </c>
      <c r="I22" s="142"/>
      <c r="J22" s="142" t="s">
        <v>930</v>
      </c>
      <c r="K22" s="205"/>
      <c r="L22" s="199" t="s">
        <v>60</v>
      </c>
      <c r="M22" s="142" t="s">
        <v>369</v>
      </c>
      <c r="N22" s="205"/>
      <c r="O22" s="199">
        <v>0</v>
      </c>
      <c r="P22" s="142">
        <v>0</v>
      </c>
      <c r="Q22" s="142">
        <v>0</v>
      </c>
      <c r="R22" s="205">
        <v>0</v>
      </c>
      <c r="S22" s="203">
        <v>0</v>
      </c>
      <c r="T22" s="199" t="s">
        <v>499</v>
      </c>
      <c r="U22" s="205"/>
      <c r="V22" s="199" t="s">
        <v>58</v>
      </c>
      <c r="W22" s="142" t="s">
        <v>57</v>
      </c>
      <c r="X22" s="205" t="s">
        <v>59</v>
      </c>
      <c r="Y22" s="199" t="s">
        <v>57</v>
      </c>
      <c r="Z22" s="205" t="s">
        <v>57</v>
      </c>
      <c r="AA22" s="32"/>
      <c r="AB22" s="160">
        <f>D22*G22*VLOOKUP(F22,'Standard data'!$B$210:$E$286,2,FALSE)*44/28</f>
        <v>0</v>
      </c>
      <c r="AC22" s="161">
        <f>$N22*$D22*'Standard data'!$C$13*44/28</f>
        <v>0</v>
      </c>
      <c r="AD22" s="161">
        <v>0</v>
      </c>
      <c r="AE22" s="161">
        <f>$D$17*'Standard data'!$C$24*44/28*$AD22</f>
        <v>0</v>
      </c>
      <c r="AF22" s="161">
        <v>0</v>
      </c>
      <c r="AG22" s="161">
        <f>$D$17*'Standard data'!$C$28*44/28*$AF22</f>
        <v>0</v>
      </c>
      <c r="AH22" s="161">
        <f t="shared" si="0"/>
        <v>0</v>
      </c>
      <c r="AI22" s="162">
        <f>IF(AND($Y22="yes",$Z22="yes"),$D22*'Standard data'!$C$16*44/28,0)</f>
        <v>0</v>
      </c>
      <c r="AJ22" s="160">
        <f>VLOOKUP(C22,CropsRef!$B$8:$Z$157,24,FALSE)</f>
        <v>0</v>
      </c>
      <c r="AK22" s="161">
        <f>VLOOKUP(C22,CropsRef!$B$8:$Z$157,13,FALSE)</f>
        <v>0</v>
      </c>
      <c r="AL22" s="161">
        <f>VLOOKUP($C22,CropsRef!$B$8:$Z$157,14,FALSE)</f>
        <v>0</v>
      </c>
      <c r="AM22" s="161">
        <f>VLOOKUP($C22,CropsRef!$B$8:$Z$157,15,FALSE)</f>
        <v>0</v>
      </c>
      <c r="AN22" s="161">
        <v>1</v>
      </c>
      <c r="AO22" s="161">
        <f t="shared" si="1"/>
        <v>0</v>
      </c>
      <c r="AP22" s="161">
        <f>VLOOKUP($C22,CropsRef!$B$8:$Z$157,16,FALSE)</f>
        <v>0</v>
      </c>
      <c r="AQ22" s="161">
        <f>VLOOKUP($C22,CropsRef!$B$8:$Z$157,17,FALSE)</f>
        <v>0</v>
      </c>
      <c r="AR22" s="161">
        <f>VLOOKUP($C22,CropsRef!$B$8:$Z$157,9,FALSE)</f>
        <v>0</v>
      </c>
      <c r="AS22" s="161">
        <f>AK22*(E22*AR22)+AL22</f>
        <v>0</v>
      </c>
      <c r="AT22" s="161">
        <f>D22*AP22*AS22*(1-AO22)*AN22</f>
        <v>0</v>
      </c>
      <c r="AU22" s="161">
        <f>AT22*1000*'Standard data'!$C$14*44/28</f>
        <v>0</v>
      </c>
      <c r="AV22" s="161">
        <f>D22*AQ22*AM22*(E22*AR22+(AK22*E22*AR22+AL22))*AN22</f>
        <v>0</v>
      </c>
      <c r="AW22" s="161">
        <f>AV22*'Standard data'!$C$14*44/28*1000</f>
        <v>0</v>
      </c>
      <c r="AX22" s="161">
        <f t="shared" si="2"/>
        <v>0</v>
      </c>
      <c r="AY22" s="161" t="str">
        <f>IF($V22="burnt",$AS22*$AJ22*'Standard data'!$D$199*$D22,"0")</f>
        <v>0</v>
      </c>
      <c r="AZ22" s="161" t="str">
        <f>IF($V22="burnt",$AS22*$AJ22*'Standard data'!$C$199*$D22,"0")</f>
        <v>0</v>
      </c>
      <c r="BA22" s="233">
        <f t="shared" si="3"/>
        <v>0</v>
      </c>
      <c r="BB22" s="233" t="str">
        <f t="shared" si="4"/>
        <v>0</v>
      </c>
      <c r="BC22" s="160">
        <f>$D22*$G22*VLOOKUP($F22,'Standard data'!$B$210:$D$286,3,FALSE)</f>
        <v>0</v>
      </c>
      <c r="BD22" s="161">
        <f>$D22*$I22*VLOOKUP($H22,'Standard data'!$B$210:$D$286,3,FALSE)</f>
        <v>0</v>
      </c>
      <c r="BE22" s="161">
        <f>$D22*$K22*VLOOKUP($J22,'Standard data'!$B$210:$D$286,3,FALSE)</f>
        <v>0</v>
      </c>
      <c r="BF22" s="233">
        <f t="shared" si="6"/>
        <v>0</v>
      </c>
      <c r="BG22" s="160">
        <f>$O22*$D22*'Standard data'!$F$296</f>
        <v>0</v>
      </c>
      <c r="BH22" s="161">
        <f>$P22*'Standard data'!$C$298*'Standard data'!$D$298*$D22</f>
        <v>0</v>
      </c>
      <c r="BI22" s="161">
        <f>$Q22*$D22*'Standard data'!$F$297</f>
        <v>0</v>
      </c>
      <c r="BJ22" s="162">
        <f>$R22*$D22*'Standard data'!$F$299</f>
        <v>0</v>
      </c>
      <c r="BK22" s="233">
        <f t="shared" si="5"/>
        <v>0</v>
      </c>
      <c r="BL22" s="233">
        <f>$S22*$D22*VLOOKUP($C22,CropsRef!$B$8:$Z$157,20,FALSE)</f>
        <v>0</v>
      </c>
      <c r="BM22" s="233">
        <f>$D22*$U22*VLOOKUP($T22,'Standard data'!$B$307:$P$309,7,FALSE)</f>
        <v>0</v>
      </c>
      <c r="BN22" s="72"/>
      <c r="BO22" s="32"/>
    </row>
    <row r="23" spans="2:67" ht="18" customHeight="1">
      <c r="B23" s="142">
        <v>7</v>
      </c>
      <c r="C23" s="142" t="s">
        <v>858</v>
      </c>
      <c r="D23" s="142"/>
      <c r="E23" s="189"/>
      <c r="F23" s="199" t="s">
        <v>913</v>
      </c>
      <c r="G23" s="142"/>
      <c r="H23" s="142" t="s">
        <v>241</v>
      </c>
      <c r="I23" s="142"/>
      <c r="J23" s="142" t="s">
        <v>930</v>
      </c>
      <c r="K23" s="205"/>
      <c r="L23" s="199" t="s">
        <v>60</v>
      </c>
      <c r="M23" s="142" t="s">
        <v>369</v>
      </c>
      <c r="N23" s="205"/>
      <c r="O23" s="199">
        <v>0</v>
      </c>
      <c r="P23" s="142">
        <v>0</v>
      </c>
      <c r="Q23" s="142">
        <v>0</v>
      </c>
      <c r="R23" s="205">
        <v>0</v>
      </c>
      <c r="S23" s="203">
        <v>0</v>
      </c>
      <c r="T23" s="199" t="s">
        <v>499</v>
      </c>
      <c r="U23" s="205"/>
      <c r="V23" s="199" t="s">
        <v>58</v>
      </c>
      <c r="W23" s="142" t="s">
        <v>57</v>
      </c>
      <c r="X23" s="205" t="s">
        <v>59</v>
      </c>
      <c r="Y23" s="199" t="s">
        <v>57</v>
      </c>
      <c r="Z23" s="205" t="s">
        <v>57</v>
      </c>
      <c r="AA23" s="32"/>
      <c r="AB23" s="160">
        <f>D23*G23*VLOOKUP(F23,'Standard data'!$B$210:$E$286,2,FALSE)*44/28</f>
        <v>0</v>
      </c>
      <c r="AC23" s="161">
        <f>$N23*$D23*'Standard data'!$C$13*44/28</f>
        <v>0</v>
      </c>
      <c r="AD23" s="161">
        <v>0</v>
      </c>
      <c r="AE23" s="161">
        <f>$D$17*'Standard data'!$C$24*44/28*$AD23</f>
        <v>0</v>
      </c>
      <c r="AF23" s="161">
        <v>0</v>
      </c>
      <c r="AG23" s="161">
        <f>$D$17*'Standard data'!$C$28*44/28*$AF23</f>
        <v>0</v>
      </c>
      <c r="AH23" s="161">
        <f t="shared" si="0"/>
        <v>0</v>
      </c>
      <c r="AI23" s="162">
        <f>IF(AND($Y23="yes",$Z23="yes"),$D23*'Standard data'!$C$16*44/28,0)</f>
        <v>0</v>
      </c>
      <c r="AJ23" s="160">
        <f>VLOOKUP(C23,CropsRef!$B$8:$Z$157,24,FALSE)</f>
        <v>0</v>
      </c>
      <c r="AK23" s="161">
        <f>VLOOKUP(C23,CropsRef!$B$8:$Z$157,13,FALSE)</f>
        <v>0</v>
      </c>
      <c r="AL23" s="161">
        <f>VLOOKUP($C23,CropsRef!$B$8:$Z$157,14,FALSE)</f>
        <v>0</v>
      </c>
      <c r="AM23" s="161">
        <f>VLOOKUP($C23,CropsRef!$B$8:$Z$157,15,FALSE)</f>
        <v>0</v>
      </c>
      <c r="AN23" s="161">
        <v>1</v>
      </c>
      <c r="AO23" s="161">
        <f t="shared" si="1"/>
        <v>0</v>
      </c>
      <c r="AP23" s="161">
        <f>VLOOKUP($C23,CropsRef!$B$8:$Z$157,16,FALSE)</f>
        <v>0</v>
      </c>
      <c r="AQ23" s="161">
        <f>VLOOKUP($C23,CropsRef!$B$8:$Z$157,17,FALSE)</f>
        <v>0</v>
      </c>
      <c r="AR23" s="161">
        <f>VLOOKUP($C23,CropsRef!$B$8:$Z$157,9,FALSE)</f>
        <v>0</v>
      </c>
      <c r="AS23" s="161">
        <f>AK23*(E23*AR23)+AL23</f>
        <v>0</v>
      </c>
      <c r="AT23" s="161">
        <f>D23*AP23*AS23*(1-AO23)*AN23</f>
        <v>0</v>
      </c>
      <c r="AU23" s="161">
        <f>AT23*1000*'Standard data'!$C$14*44/28</f>
        <v>0</v>
      </c>
      <c r="AV23" s="161">
        <f>D23*AQ23*AM23*(E23*AR23+(AK23*E23*AR23+AL23))*AN23</f>
        <v>0</v>
      </c>
      <c r="AW23" s="161">
        <f>AV23*'Standard data'!$C$14*44/28*1000</f>
        <v>0</v>
      </c>
      <c r="AX23" s="161">
        <f t="shared" si="2"/>
        <v>0</v>
      </c>
      <c r="AY23" s="161" t="str">
        <f>IF($V23="burnt",$AS23*$AJ23*'Standard data'!$D$199*$D23,"0")</f>
        <v>0</v>
      </c>
      <c r="AZ23" s="161" t="str">
        <f>IF($V23="burnt",$AS23*$AJ23*'Standard data'!$C$199*$D23,"0")</f>
        <v>0</v>
      </c>
      <c r="BA23" s="233">
        <f t="shared" si="3"/>
        <v>0</v>
      </c>
      <c r="BB23" s="233" t="str">
        <f t="shared" si="4"/>
        <v>0</v>
      </c>
      <c r="BC23" s="160">
        <f>$D23*$G23*VLOOKUP($F23,'Standard data'!$B$210:$D$286,3,FALSE)</f>
        <v>0</v>
      </c>
      <c r="BD23" s="161">
        <f>$D23*$I23*VLOOKUP($H23,'Standard data'!$B$210:$D$286,3,FALSE)</f>
        <v>0</v>
      </c>
      <c r="BE23" s="161">
        <f>$D23*$K23*VLOOKUP($J23,'Standard data'!$B$210:$D$286,3,FALSE)</f>
        <v>0</v>
      </c>
      <c r="BF23" s="233">
        <f t="shared" si="6"/>
        <v>0</v>
      </c>
      <c r="BG23" s="160">
        <f>$O23*$D23*'Standard data'!$F$296</f>
        <v>0</v>
      </c>
      <c r="BH23" s="161">
        <f>$P23*'Standard data'!$C$298*'Standard data'!$D$298*$D23</f>
        <v>0</v>
      </c>
      <c r="BI23" s="161">
        <f>$Q23*$D23*'Standard data'!$F$297</f>
        <v>0</v>
      </c>
      <c r="BJ23" s="162">
        <f>$R23*$D23*'Standard data'!$F$299</f>
        <v>0</v>
      </c>
      <c r="BK23" s="233">
        <f t="shared" si="5"/>
        <v>0</v>
      </c>
      <c r="BL23" s="233">
        <f>$S23*$D23*VLOOKUP($C23,CropsRef!$B$8:$Z$157,20,FALSE)</f>
        <v>0</v>
      </c>
      <c r="BM23" s="233">
        <f>$D23*$U23*VLOOKUP($T23,'Standard data'!$B$307:$P$309,7,FALSE)</f>
        <v>0</v>
      </c>
      <c r="BN23" s="72"/>
      <c r="BO23" s="32"/>
    </row>
    <row r="24" spans="2:67" ht="18" customHeight="1">
      <c r="B24" s="142">
        <v>8</v>
      </c>
      <c r="C24" s="142" t="s">
        <v>858</v>
      </c>
      <c r="D24" s="142"/>
      <c r="E24" s="189"/>
      <c r="F24" s="199" t="s">
        <v>913</v>
      </c>
      <c r="G24" s="142"/>
      <c r="H24" s="142" t="s">
        <v>241</v>
      </c>
      <c r="I24" s="142"/>
      <c r="J24" s="142" t="s">
        <v>930</v>
      </c>
      <c r="K24" s="205"/>
      <c r="L24" s="199" t="s">
        <v>60</v>
      </c>
      <c r="M24" s="142" t="s">
        <v>369</v>
      </c>
      <c r="N24" s="205"/>
      <c r="O24" s="199">
        <v>0</v>
      </c>
      <c r="P24" s="142">
        <v>0</v>
      </c>
      <c r="Q24" s="142">
        <v>0</v>
      </c>
      <c r="R24" s="205">
        <v>0</v>
      </c>
      <c r="S24" s="203">
        <v>0</v>
      </c>
      <c r="T24" s="199" t="s">
        <v>499</v>
      </c>
      <c r="U24" s="205"/>
      <c r="V24" s="199" t="s">
        <v>58</v>
      </c>
      <c r="W24" s="142" t="s">
        <v>57</v>
      </c>
      <c r="X24" s="205" t="s">
        <v>59</v>
      </c>
      <c r="Y24" s="199" t="s">
        <v>57</v>
      </c>
      <c r="Z24" s="205" t="s">
        <v>57</v>
      </c>
      <c r="AA24" s="32"/>
      <c r="AB24" s="160">
        <f>D24*G24*VLOOKUP(F24,'Standard data'!$B$210:$E$286,2,FALSE)*44/28</f>
        <v>0</v>
      </c>
      <c r="AC24" s="161">
        <f>$N24*$D24*'Standard data'!$C$13*44/28</f>
        <v>0</v>
      </c>
      <c r="AD24" s="161">
        <v>0</v>
      </c>
      <c r="AE24" s="161">
        <f>$D$17*'Standard data'!$C$24*44/28*$AD24</f>
        <v>0</v>
      </c>
      <c r="AF24" s="161">
        <v>0</v>
      </c>
      <c r="AG24" s="161">
        <f>$D$17*'Standard data'!$C$28*44/28*$AF24</f>
        <v>0</v>
      </c>
      <c r="AH24" s="161">
        <f t="shared" si="0"/>
        <v>0</v>
      </c>
      <c r="AI24" s="162">
        <f>IF(AND($Y24="yes",$Z24="yes"),$D24*'Standard data'!$C$16*44/28,0)</f>
        <v>0</v>
      </c>
      <c r="AJ24" s="160">
        <f>VLOOKUP(C24,CropsRef!$B$8:$Z$157,24,FALSE)</f>
        <v>0</v>
      </c>
      <c r="AK24" s="161">
        <f>VLOOKUP(C24,CropsRef!$B$8:$Z$157,13,FALSE)</f>
        <v>0</v>
      </c>
      <c r="AL24" s="161">
        <f>VLOOKUP($C24,CropsRef!$B$8:$Z$157,14,FALSE)</f>
        <v>0</v>
      </c>
      <c r="AM24" s="161">
        <f>VLOOKUP($C24,CropsRef!$B$8:$Z$157,15,FALSE)</f>
        <v>0</v>
      </c>
      <c r="AN24" s="161">
        <v>1</v>
      </c>
      <c r="AO24" s="161">
        <f t="shared" si="1"/>
        <v>0</v>
      </c>
      <c r="AP24" s="161">
        <f>VLOOKUP($C24,CropsRef!$B$8:$Z$157,16,FALSE)</f>
        <v>0</v>
      </c>
      <c r="AQ24" s="161">
        <f>VLOOKUP($C24,CropsRef!$B$8:$Z$157,17,FALSE)</f>
        <v>0</v>
      </c>
      <c r="AR24" s="161">
        <f>VLOOKUP($C24,CropsRef!$B$8:$Z$157,9,FALSE)</f>
        <v>0</v>
      </c>
      <c r="AS24" s="161">
        <f>AK24*(E24*AR24)+AL24</f>
        <v>0</v>
      </c>
      <c r="AT24" s="161">
        <f>D24*AP24*AS24*(1-AO24)*AN24</f>
        <v>0</v>
      </c>
      <c r="AU24" s="161">
        <f>AT24*1000*'Standard data'!$C$14*44/28</f>
        <v>0</v>
      </c>
      <c r="AV24" s="161">
        <f>D24*AQ24*AM24*(E24*AR24+(AK24*E24*AR24+AL24))*AN24</f>
        <v>0</v>
      </c>
      <c r="AW24" s="161">
        <f>AV24*'Standard data'!$C$14*44/28*1000</f>
        <v>0</v>
      </c>
      <c r="AX24" s="161">
        <f t="shared" si="2"/>
        <v>0</v>
      </c>
      <c r="AY24" s="161" t="str">
        <f>IF($V24="burnt",$AS24*$AJ24*'Standard data'!$D$199*$D24,"0")</f>
        <v>0</v>
      </c>
      <c r="AZ24" s="161" t="str">
        <f>IF($V24="burnt",$AS24*$AJ24*'Standard data'!$C$199*$D24,"0")</f>
        <v>0</v>
      </c>
      <c r="BA24" s="233">
        <f t="shared" si="3"/>
        <v>0</v>
      </c>
      <c r="BB24" s="233" t="str">
        <f t="shared" si="4"/>
        <v>0</v>
      </c>
      <c r="BC24" s="160">
        <f>$D24*$G24*VLOOKUP($F24,'Standard data'!$B$210:$D$286,3,FALSE)</f>
        <v>0</v>
      </c>
      <c r="BD24" s="161">
        <f>$D24*$I24*VLOOKUP($H24,'Standard data'!$B$210:$D$286,3,FALSE)</f>
        <v>0</v>
      </c>
      <c r="BE24" s="161">
        <f>$D24*$K24*VLOOKUP($J24,'Standard data'!$B$210:$D$286,3,FALSE)</f>
        <v>0</v>
      </c>
      <c r="BF24" s="233">
        <f t="shared" si="6"/>
        <v>0</v>
      </c>
      <c r="BG24" s="160">
        <f>$O24*$D24*'Standard data'!$F$296</f>
        <v>0</v>
      </c>
      <c r="BH24" s="161">
        <f>$P24*'Standard data'!$C$298*'Standard data'!$D$298*$D24</f>
        <v>0</v>
      </c>
      <c r="BI24" s="161">
        <f>$Q24*$D24*'Standard data'!$F$297</f>
        <v>0</v>
      </c>
      <c r="BJ24" s="162">
        <f>$R24*$D24*'Standard data'!$F$299</f>
        <v>0</v>
      </c>
      <c r="BK24" s="233">
        <f t="shared" si="5"/>
        <v>0</v>
      </c>
      <c r="BL24" s="233">
        <f>$S24*$D24*VLOOKUP($C24,CropsRef!$B$8:$Z$157,20,FALSE)</f>
        <v>0</v>
      </c>
      <c r="BM24" s="233">
        <f>$D24*$U24*VLOOKUP($T24,'Standard data'!$B$307:$P$309,7,FALSE)</f>
        <v>0</v>
      </c>
      <c r="BN24" s="72"/>
      <c r="BO24" s="32"/>
    </row>
    <row r="25" spans="2:67" ht="18" customHeight="1">
      <c r="B25" s="142">
        <v>9</v>
      </c>
      <c r="C25" s="142" t="s">
        <v>858</v>
      </c>
      <c r="D25" s="142"/>
      <c r="E25" s="189"/>
      <c r="F25" s="199" t="s">
        <v>913</v>
      </c>
      <c r="G25" s="142"/>
      <c r="H25" s="142" t="s">
        <v>241</v>
      </c>
      <c r="I25" s="142"/>
      <c r="J25" s="142" t="s">
        <v>930</v>
      </c>
      <c r="K25" s="205"/>
      <c r="L25" s="199" t="s">
        <v>60</v>
      </c>
      <c r="M25" s="142" t="s">
        <v>369</v>
      </c>
      <c r="N25" s="205"/>
      <c r="O25" s="199">
        <v>0</v>
      </c>
      <c r="P25" s="142">
        <v>0</v>
      </c>
      <c r="Q25" s="142">
        <v>0</v>
      </c>
      <c r="R25" s="205">
        <v>0</v>
      </c>
      <c r="S25" s="203">
        <v>0</v>
      </c>
      <c r="T25" s="199" t="s">
        <v>499</v>
      </c>
      <c r="U25" s="205"/>
      <c r="V25" s="199" t="s">
        <v>58</v>
      </c>
      <c r="W25" s="142" t="s">
        <v>57</v>
      </c>
      <c r="X25" s="205" t="s">
        <v>59</v>
      </c>
      <c r="Y25" s="199" t="s">
        <v>57</v>
      </c>
      <c r="Z25" s="205" t="s">
        <v>57</v>
      </c>
      <c r="AA25" s="32"/>
      <c r="AB25" s="160">
        <f>D25*G25*VLOOKUP(F25,'Standard data'!$B$210:$E$286,2,FALSE)*44/28</f>
        <v>0</v>
      </c>
      <c r="AC25" s="161">
        <f>$N25*$D25*'Standard data'!$C$13*44/28</f>
        <v>0</v>
      </c>
      <c r="AD25" s="161">
        <v>0</v>
      </c>
      <c r="AE25" s="161">
        <f>$D$17*'Standard data'!$C$24*44/28*$AD25</f>
        <v>0</v>
      </c>
      <c r="AF25" s="161">
        <v>0</v>
      </c>
      <c r="AG25" s="161">
        <f>$D$17*'Standard data'!$C$28*44/28*$AF25</f>
        <v>0</v>
      </c>
      <c r="AH25" s="161">
        <f t="shared" si="0"/>
        <v>0</v>
      </c>
      <c r="AI25" s="162">
        <f>IF(AND($Y25="yes",$Z25="yes"),$D25*'Standard data'!$C$16*44/28,0)</f>
        <v>0</v>
      </c>
      <c r="AJ25" s="160">
        <f>VLOOKUP(C25,CropsRef!$B$8:$Z$157,24,FALSE)</f>
        <v>0</v>
      </c>
      <c r="AK25" s="161">
        <f>VLOOKUP(C25,CropsRef!$B$8:$Z$157,13,FALSE)</f>
        <v>0</v>
      </c>
      <c r="AL25" s="161">
        <f>VLOOKUP($C25,CropsRef!$B$8:$Z$157,14,FALSE)</f>
        <v>0</v>
      </c>
      <c r="AM25" s="161">
        <f>VLOOKUP($C25,CropsRef!$B$8:$Z$157,15,FALSE)</f>
        <v>0</v>
      </c>
      <c r="AN25" s="161">
        <v>1</v>
      </c>
      <c r="AO25" s="161">
        <f t="shared" si="1"/>
        <v>0</v>
      </c>
      <c r="AP25" s="161">
        <f>VLOOKUP($C25,CropsRef!$B$8:$Z$157,16,FALSE)</f>
        <v>0</v>
      </c>
      <c r="AQ25" s="161">
        <f>VLOOKUP($C25,CropsRef!$B$8:$Z$157,17,FALSE)</f>
        <v>0</v>
      </c>
      <c r="AR25" s="161">
        <f>VLOOKUP($C25,CropsRef!$B$8:$Z$157,9,FALSE)</f>
        <v>0</v>
      </c>
      <c r="AS25" s="161">
        <f>AK25*(E25*AR25)+AL25</f>
        <v>0</v>
      </c>
      <c r="AT25" s="161">
        <f>D25*AP25*AS25*(1-AO25)*AN25</f>
        <v>0</v>
      </c>
      <c r="AU25" s="161">
        <f>AT25*1000*'Standard data'!$C$14*44/28</f>
        <v>0</v>
      </c>
      <c r="AV25" s="161">
        <f>D25*AQ25*AM25*(E25*AR25+(AK25*E25*AR25+AL25))*AN25</f>
        <v>0</v>
      </c>
      <c r="AW25" s="161">
        <f>AV25*'Standard data'!$C$14*44/28*1000</f>
        <v>0</v>
      </c>
      <c r="AX25" s="161">
        <f t="shared" si="2"/>
        <v>0</v>
      </c>
      <c r="AY25" s="161" t="str">
        <f>IF($V25="burnt",$AS25*$AJ25*'Standard data'!$D$199*$D25,"0")</f>
        <v>0</v>
      </c>
      <c r="AZ25" s="161" t="str">
        <f>IF($V25="burnt",$AS25*$AJ25*'Standard data'!$C$199*$D25,"0")</f>
        <v>0</v>
      </c>
      <c r="BA25" s="233">
        <f t="shared" si="3"/>
        <v>0</v>
      </c>
      <c r="BB25" s="233" t="str">
        <f t="shared" si="4"/>
        <v>0</v>
      </c>
      <c r="BC25" s="160">
        <f>$D25*$G25*VLOOKUP($F25,'Standard data'!$B$210:$D$286,3,FALSE)</f>
        <v>0</v>
      </c>
      <c r="BD25" s="161">
        <f>$D25*$I25*VLOOKUP($H25,'Standard data'!$B$210:$D$286,3,FALSE)</f>
        <v>0</v>
      </c>
      <c r="BE25" s="161">
        <f>$D25*$K25*VLOOKUP($J25,'Standard data'!$B$210:$D$286,3,FALSE)</f>
        <v>0</v>
      </c>
      <c r="BF25" s="233">
        <f t="shared" si="6"/>
        <v>0</v>
      </c>
      <c r="BG25" s="160">
        <f>$O25*$D25*'Standard data'!$F$296</f>
        <v>0</v>
      </c>
      <c r="BH25" s="161">
        <f>$P25*'Standard data'!$C$298*'Standard data'!$D$298*$D25</f>
        <v>0</v>
      </c>
      <c r="BI25" s="161">
        <f>$Q25*$D25*'Standard data'!$F$297</f>
        <v>0</v>
      </c>
      <c r="BJ25" s="162">
        <f>$R25*$D25*'Standard data'!$F$299</f>
        <v>0</v>
      </c>
      <c r="BK25" s="233">
        <f t="shared" si="5"/>
        <v>0</v>
      </c>
      <c r="BL25" s="233">
        <f>$S25*$D25*VLOOKUP($C25,CropsRef!$B$8:$Z$157,20,FALSE)</f>
        <v>0</v>
      </c>
      <c r="BM25" s="233">
        <f>$D25*$U25*VLOOKUP($T25,'Standard data'!$B$307:$P$309,7,FALSE)</f>
        <v>0</v>
      </c>
      <c r="BN25" s="72"/>
      <c r="BO25" s="32"/>
    </row>
    <row r="26" spans="2:67" ht="18" customHeight="1">
      <c r="B26" s="142">
        <v>10</v>
      </c>
      <c r="C26" s="142" t="s">
        <v>858</v>
      </c>
      <c r="D26" s="142"/>
      <c r="E26" s="189"/>
      <c r="F26" s="199" t="s">
        <v>913</v>
      </c>
      <c r="G26" s="142"/>
      <c r="H26" s="142" t="s">
        <v>241</v>
      </c>
      <c r="I26" s="142"/>
      <c r="J26" s="142" t="s">
        <v>930</v>
      </c>
      <c r="K26" s="205"/>
      <c r="L26" s="199" t="s">
        <v>60</v>
      </c>
      <c r="M26" s="142" t="s">
        <v>369</v>
      </c>
      <c r="N26" s="205"/>
      <c r="O26" s="199">
        <v>0</v>
      </c>
      <c r="P26" s="142">
        <v>0</v>
      </c>
      <c r="Q26" s="142">
        <v>0</v>
      </c>
      <c r="R26" s="205">
        <v>0</v>
      </c>
      <c r="S26" s="203">
        <v>0</v>
      </c>
      <c r="T26" s="199" t="s">
        <v>499</v>
      </c>
      <c r="U26" s="205"/>
      <c r="V26" s="199" t="s">
        <v>58</v>
      </c>
      <c r="W26" s="142" t="s">
        <v>57</v>
      </c>
      <c r="X26" s="205" t="s">
        <v>59</v>
      </c>
      <c r="Y26" s="199" t="s">
        <v>57</v>
      </c>
      <c r="Z26" s="205" t="s">
        <v>57</v>
      </c>
      <c r="AA26" s="32"/>
      <c r="AB26" s="160">
        <f>D26*G26*VLOOKUP(F26,'Standard data'!$B$210:$E$286,2,FALSE)*44/28</f>
        <v>0</v>
      </c>
      <c r="AC26" s="161">
        <f>$N26*$D26*'Standard data'!$C$13*44/28</f>
        <v>0</v>
      </c>
      <c r="AD26" s="161">
        <v>0</v>
      </c>
      <c r="AE26" s="161">
        <f>$D$17*'Standard data'!$C$24*44/28*$AD26</f>
        <v>0</v>
      </c>
      <c r="AF26" s="161">
        <v>0</v>
      </c>
      <c r="AG26" s="161">
        <f>$D$17*'Standard data'!$C$28*44/28*$AF26</f>
        <v>0</v>
      </c>
      <c r="AH26" s="161">
        <f t="shared" si="0"/>
        <v>0</v>
      </c>
      <c r="AI26" s="162">
        <f>IF(AND($Y26="yes",$Z26="yes"),$D26*'Standard data'!$C$16*44/28,0)</f>
        <v>0</v>
      </c>
      <c r="AJ26" s="160">
        <f>VLOOKUP(C26,CropsRef!$B$8:$Z$157,24,FALSE)</f>
        <v>0</v>
      </c>
      <c r="AK26" s="161">
        <f>VLOOKUP(C26,CropsRef!$B$8:$Z$157,13,FALSE)</f>
        <v>0</v>
      </c>
      <c r="AL26" s="161">
        <f>VLOOKUP($C26,CropsRef!$B$8:$Z$157,14,FALSE)</f>
        <v>0</v>
      </c>
      <c r="AM26" s="161">
        <f>VLOOKUP($C26,CropsRef!$B$8:$Z$157,15,FALSE)</f>
        <v>0</v>
      </c>
      <c r="AN26" s="161">
        <v>1</v>
      </c>
      <c r="AO26" s="161">
        <f t="shared" si="1"/>
        <v>0</v>
      </c>
      <c r="AP26" s="161">
        <f>VLOOKUP($C26,CropsRef!$B$8:$Z$157,16,FALSE)</f>
        <v>0</v>
      </c>
      <c r="AQ26" s="161">
        <f>VLOOKUP($C26,CropsRef!$B$8:$Z$157,17,FALSE)</f>
        <v>0</v>
      </c>
      <c r="AR26" s="161">
        <f>VLOOKUP($C26,CropsRef!$B$8:$Z$157,9,FALSE)</f>
        <v>0</v>
      </c>
      <c r="AS26" s="161">
        <f>AK26*(E26*AR26)+AL26</f>
        <v>0</v>
      </c>
      <c r="AT26" s="161">
        <f>D26*AP26*AS26*(1-AO26)*AN26</f>
        <v>0</v>
      </c>
      <c r="AU26" s="161">
        <f>AT26*1000*'Standard data'!$C$14*44/28</f>
        <v>0</v>
      </c>
      <c r="AV26" s="161">
        <f>D26*AQ26*AM26*(E26*AR26+(AK26*E26*AR26+AL26))*AN26</f>
        <v>0</v>
      </c>
      <c r="AW26" s="161">
        <f>AV26*'Standard data'!$C$14*44/28*1000</f>
        <v>0</v>
      </c>
      <c r="AX26" s="161">
        <f t="shared" si="2"/>
        <v>0</v>
      </c>
      <c r="AY26" s="161" t="str">
        <f>IF($V26="burnt",$AS26*$AJ26*'Standard data'!$D$199*$D26,"0")</f>
        <v>0</v>
      </c>
      <c r="AZ26" s="161" t="str">
        <f>IF($V26="burnt",$AS26*$AJ26*'Standard data'!$C$199*$D26,"0")</f>
        <v>0</v>
      </c>
      <c r="BA26" s="233">
        <f t="shared" si="3"/>
        <v>0</v>
      </c>
      <c r="BB26" s="233" t="str">
        <f t="shared" si="4"/>
        <v>0</v>
      </c>
      <c r="BC26" s="160">
        <f>$D26*$G26*VLOOKUP($F26,'Standard data'!$B$210:$D$286,3,FALSE)</f>
        <v>0</v>
      </c>
      <c r="BD26" s="161">
        <f>$D26*$I26*VLOOKUP($H26,'Standard data'!$B$210:$D$286,3,FALSE)</f>
        <v>0</v>
      </c>
      <c r="BE26" s="161">
        <f>$D26*$K26*VLOOKUP($J26,'Standard data'!$B$210:$D$286,3,FALSE)</f>
        <v>0</v>
      </c>
      <c r="BF26" s="233">
        <f t="shared" si="6"/>
        <v>0</v>
      </c>
      <c r="BG26" s="160">
        <f>$O26*$D26*'Standard data'!$F$296</f>
        <v>0</v>
      </c>
      <c r="BH26" s="161">
        <f>$P26*'Standard data'!$C$298*'Standard data'!$D$298*$D26</f>
        <v>0</v>
      </c>
      <c r="BI26" s="161">
        <f>$Q26*$D26*'Standard data'!$F$297</f>
        <v>0</v>
      </c>
      <c r="BJ26" s="162">
        <f>$R26*$D26*'Standard data'!$F$299</f>
        <v>0</v>
      </c>
      <c r="BK26" s="233">
        <f t="shared" si="5"/>
        <v>0</v>
      </c>
      <c r="BL26" s="233">
        <f>$S26*$D26*VLOOKUP($C26,CropsRef!$B$8:$Z$157,20,FALSE)</f>
        <v>0</v>
      </c>
      <c r="BM26" s="233">
        <f>$D26*$U26*VLOOKUP($T26,'Standard data'!$B$307:$P$309,7,FALSE)</f>
        <v>0</v>
      </c>
      <c r="BN26" s="72"/>
      <c r="BO26" s="32"/>
    </row>
    <row r="27" spans="2:67" ht="18" customHeight="1">
      <c r="B27" s="142">
        <v>11</v>
      </c>
      <c r="C27" s="142" t="s">
        <v>858</v>
      </c>
      <c r="D27" s="142"/>
      <c r="E27" s="189"/>
      <c r="F27" s="199" t="s">
        <v>913</v>
      </c>
      <c r="G27" s="142"/>
      <c r="H27" s="142" t="s">
        <v>241</v>
      </c>
      <c r="I27" s="142"/>
      <c r="J27" s="142" t="s">
        <v>930</v>
      </c>
      <c r="K27" s="205"/>
      <c r="L27" s="199" t="s">
        <v>60</v>
      </c>
      <c r="M27" s="142" t="s">
        <v>369</v>
      </c>
      <c r="N27" s="205"/>
      <c r="O27" s="199">
        <v>0</v>
      </c>
      <c r="P27" s="142">
        <v>0</v>
      </c>
      <c r="Q27" s="142">
        <v>0</v>
      </c>
      <c r="R27" s="205">
        <v>0</v>
      </c>
      <c r="S27" s="203">
        <v>0</v>
      </c>
      <c r="T27" s="199" t="s">
        <v>499</v>
      </c>
      <c r="U27" s="205"/>
      <c r="V27" s="199" t="s">
        <v>58</v>
      </c>
      <c r="W27" s="142" t="s">
        <v>57</v>
      </c>
      <c r="X27" s="205" t="s">
        <v>59</v>
      </c>
      <c r="Y27" s="199" t="s">
        <v>57</v>
      </c>
      <c r="Z27" s="205" t="s">
        <v>57</v>
      </c>
      <c r="AA27" s="32"/>
      <c r="AB27" s="160">
        <f>D27*G27*VLOOKUP(F27,'Standard data'!$B$210:$E$286,2,FALSE)*44/28</f>
        <v>0</v>
      </c>
      <c r="AC27" s="161">
        <f>$N27*$D27*'Standard data'!$C$13*44/28</f>
        <v>0</v>
      </c>
      <c r="AD27" s="161">
        <v>0</v>
      </c>
      <c r="AE27" s="161">
        <f>$D$17*'Standard data'!$C$24*44/28*$AD27</f>
        <v>0</v>
      </c>
      <c r="AF27" s="161">
        <v>0</v>
      </c>
      <c r="AG27" s="161">
        <f>$D$17*'Standard data'!$C$28*44/28*$AF27</f>
        <v>0</v>
      </c>
      <c r="AH27" s="161">
        <f t="shared" si="0"/>
        <v>0</v>
      </c>
      <c r="AI27" s="162">
        <f>IF(AND($Y27="yes",$Z27="yes"),$D27*'Standard data'!$C$16*44/28,0)</f>
        <v>0</v>
      </c>
      <c r="AJ27" s="160">
        <f>VLOOKUP(C27,CropsRef!$B$8:$Z$157,24,FALSE)</f>
        <v>0</v>
      </c>
      <c r="AK27" s="161">
        <f>VLOOKUP(C27,CropsRef!$B$8:$Z$157,13,FALSE)</f>
        <v>0</v>
      </c>
      <c r="AL27" s="161">
        <f>VLOOKUP($C27,CropsRef!$B$8:$Z$157,14,FALSE)</f>
        <v>0</v>
      </c>
      <c r="AM27" s="161">
        <f>VLOOKUP($C27,CropsRef!$B$8:$Z$157,15,FALSE)</f>
        <v>0</v>
      </c>
      <c r="AN27" s="161">
        <v>1</v>
      </c>
      <c r="AO27" s="161">
        <f t="shared" si="1"/>
        <v>0</v>
      </c>
      <c r="AP27" s="161">
        <f>VLOOKUP($C27,CropsRef!$B$8:$Z$157,16,FALSE)</f>
        <v>0</v>
      </c>
      <c r="AQ27" s="161">
        <f>VLOOKUP($C27,CropsRef!$B$8:$Z$157,17,FALSE)</f>
        <v>0</v>
      </c>
      <c r="AR27" s="161">
        <f>VLOOKUP($C27,CropsRef!$B$8:$Z$157,9,FALSE)</f>
        <v>0</v>
      </c>
      <c r="AS27" s="161">
        <f>AK27*(E27*AR27)+AL27</f>
        <v>0</v>
      </c>
      <c r="AT27" s="161">
        <f>D27*AP27*AS27*(1-AO27)*AN27</f>
        <v>0</v>
      </c>
      <c r="AU27" s="161">
        <f>AT27*1000*'Standard data'!$C$14*44/28</f>
        <v>0</v>
      </c>
      <c r="AV27" s="161">
        <f>D27*AQ27*AM27*(E27*AR27+(AK27*E27*AR27+AL27))*AN27</f>
        <v>0</v>
      </c>
      <c r="AW27" s="161">
        <f>AV27*'Standard data'!$C$14*44/28*1000</f>
        <v>0</v>
      </c>
      <c r="AX27" s="161">
        <f t="shared" si="2"/>
        <v>0</v>
      </c>
      <c r="AY27" s="161" t="str">
        <f>IF($V27="burnt",$AS27*$AJ27*'Standard data'!$D$199*$D27,"0")</f>
        <v>0</v>
      </c>
      <c r="AZ27" s="161" t="str">
        <f>IF($V27="burnt",$AS27*$AJ27*'Standard data'!$C$199*$D27,"0")</f>
        <v>0</v>
      </c>
      <c r="BA27" s="233">
        <f t="shared" si="3"/>
        <v>0</v>
      </c>
      <c r="BB27" s="233" t="str">
        <f t="shared" si="4"/>
        <v>0</v>
      </c>
      <c r="BC27" s="160">
        <f>$D27*$G27*VLOOKUP($F27,'Standard data'!$B$210:$D$286,3,FALSE)</f>
        <v>0</v>
      </c>
      <c r="BD27" s="161">
        <f>$D27*$I27*VLOOKUP($H27,'Standard data'!$B$210:$D$286,3,FALSE)</f>
        <v>0</v>
      </c>
      <c r="BE27" s="161">
        <f>$D27*$K27*VLOOKUP($J27,'Standard data'!$B$210:$D$286,3,FALSE)</f>
        <v>0</v>
      </c>
      <c r="BF27" s="233">
        <f t="shared" si="6"/>
        <v>0</v>
      </c>
      <c r="BG27" s="160">
        <f>$O27*$D27*'Standard data'!$F$296</f>
        <v>0</v>
      </c>
      <c r="BH27" s="161">
        <f>$P27*'Standard data'!$C$298*'Standard data'!$D$298*$D27</f>
        <v>0</v>
      </c>
      <c r="BI27" s="161">
        <f>$Q27*$D27*'Standard data'!$F$297</f>
        <v>0</v>
      </c>
      <c r="BJ27" s="162">
        <f>$R27*$D27*'Standard data'!$F$299</f>
        <v>0</v>
      </c>
      <c r="BK27" s="233">
        <f t="shared" si="5"/>
        <v>0</v>
      </c>
      <c r="BL27" s="233">
        <f>$S27*$D27*VLOOKUP($C27,CropsRef!$B$8:$Z$157,20,FALSE)</f>
        <v>0</v>
      </c>
      <c r="BM27" s="233">
        <f>$D27*$U27*VLOOKUP($T27,'Standard data'!$B$307:$P$309,7,FALSE)</f>
        <v>0</v>
      </c>
      <c r="BN27" s="72"/>
      <c r="BO27" s="32"/>
    </row>
    <row r="28" spans="2:67" ht="18" customHeight="1">
      <c r="B28" s="142">
        <v>12</v>
      </c>
      <c r="C28" s="142" t="s">
        <v>858</v>
      </c>
      <c r="D28" s="142"/>
      <c r="E28" s="189"/>
      <c r="F28" s="199" t="s">
        <v>913</v>
      </c>
      <c r="G28" s="142"/>
      <c r="H28" s="142" t="s">
        <v>241</v>
      </c>
      <c r="I28" s="142"/>
      <c r="J28" s="142" t="s">
        <v>930</v>
      </c>
      <c r="K28" s="205"/>
      <c r="L28" s="199" t="s">
        <v>60</v>
      </c>
      <c r="M28" s="142" t="s">
        <v>369</v>
      </c>
      <c r="N28" s="205"/>
      <c r="O28" s="199">
        <v>0</v>
      </c>
      <c r="P28" s="142">
        <v>0</v>
      </c>
      <c r="Q28" s="142">
        <v>0</v>
      </c>
      <c r="R28" s="205">
        <v>0</v>
      </c>
      <c r="S28" s="203">
        <v>0</v>
      </c>
      <c r="T28" s="199" t="s">
        <v>499</v>
      </c>
      <c r="U28" s="205"/>
      <c r="V28" s="199" t="s">
        <v>58</v>
      </c>
      <c r="W28" s="142" t="s">
        <v>57</v>
      </c>
      <c r="X28" s="205" t="s">
        <v>59</v>
      </c>
      <c r="Y28" s="199" t="s">
        <v>57</v>
      </c>
      <c r="Z28" s="205" t="s">
        <v>57</v>
      </c>
      <c r="AA28" s="32"/>
      <c r="AB28" s="160">
        <f>D28*G28*VLOOKUP(F28,'Standard data'!$B$210:$E$286,2,FALSE)*44/28</f>
        <v>0</v>
      </c>
      <c r="AC28" s="161">
        <f>$N28*$D28*'Standard data'!$C$13*44/28</f>
        <v>0</v>
      </c>
      <c r="AD28" s="161">
        <v>0</v>
      </c>
      <c r="AE28" s="161">
        <f>$D$17*'Standard data'!$C$24*44/28*$AD28</f>
        <v>0</v>
      </c>
      <c r="AF28" s="161">
        <v>0</v>
      </c>
      <c r="AG28" s="161">
        <f>$D$17*'Standard data'!$C$28*44/28*$AF28</f>
        <v>0</v>
      </c>
      <c r="AH28" s="161">
        <f t="shared" si="0"/>
        <v>0</v>
      </c>
      <c r="AI28" s="162">
        <f>IF(AND($Y28="yes",$Z28="yes"),$D28*'Standard data'!$C$16*44/28,0)</f>
        <v>0</v>
      </c>
      <c r="AJ28" s="160">
        <f>VLOOKUP(C28,CropsRef!$B$8:$Z$157,24,FALSE)</f>
        <v>0</v>
      </c>
      <c r="AK28" s="161">
        <f>VLOOKUP(C28,CropsRef!$B$8:$Z$157,13,FALSE)</f>
        <v>0</v>
      </c>
      <c r="AL28" s="161">
        <f>VLOOKUP($C28,CropsRef!$B$8:$Z$157,14,FALSE)</f>
        <v>0</v>
      </c>
      <c r="AM28" s="161">
        <f>VLOOKUP($C28,CropsRef!$B$8:$Z$157,15,FALSE)</f>
        <v>0</v>
      </c>
      <c r="AN28" s="161">
        <v>1</v>
      </c>
      <c r="AO28" s="161">
        <f t="shared" si="1"/>
        <v>0</v>
      </c>
      <c r="AP28" s="161">
        <f>VLOOKUP($C28,CropsRef!$B$8:$Z$157,16,FALSE)</f>
        <v>0</v>
      </c>
      <c r="AQ28" s="161">
        <f>VLOOKUP($C28,CropsRef!$B$8:$Z$157,17,FALSE)</f>
        <v>0</v>
      </c>
      <c r="AR28" s="161">
        <f>VLOOKUP($C28,CropsRef!$B$8:$Z$157,9,FALSE)</f>
        <v>0</v>
      </c>
      <c r="AS28" s="161">
        <f>AK28*(E28*AR28)+AL28</f>
        <v>0</v>
      </c>
      <c r="AT28" s="161">
        <f>D28*AP28*AS28*(1-AO28)*AN28</f>
        <v>0</v>
      </c>
      <c r="AU28" s="161">
        <f>AT28*1000*'Standard data'!$C$14*44/28</f>
        <v>0</v>
      </c>
      <c r="AV28" s="161">
        <f>D28*AQ28*AM28*(E28*AR28+(AK28*E28*AR28+AL28))*AN28</f>
        <v>0</v>
      </c>
      <c r="AW28" s="161">
        <f>AV28*'Standard data'!$C$14*44/28*1000</f>
        <v>0</v>
      </c>
      <c r="AX28" s="161">
        <f t="shared" si="2"/>
        <v>0</v>
      </c>
      <c r="AY28" s="161" t="str">
        <f>IF($V28="burnt",$AS28*$AJ28*'Standard data'!$D$199*$D28,"0")</f>
        <v>0</v>
      </c>
      <c r="AZ28" s="161" t="str">
        <f>IF($V28="burnt",$AS28*$AJ28*'Standard data'!$C$199*$D28,"0")</f>
        <v>0</v>
      </c>
      <c r="BA28" s="233">
        <f t="shared" si="3"/>
        <v>0</v>
      </c>
      <c r="BB28" s="233" t="str">
        <f t="shared" si="4"/>
        <v>0</v>
      </c>
      <c r="BC28" s="160">
        <f>$D28*$G28*VLOOKUP($F28,'Standard data'!$B$210:$D$286,3,FALSE)</f>
        <v>0</v>
      </c>
      <c r="BD28" s="161">
        <f>$D28*$I28*VLOOKUP($H28,'Standard data'!$B$210:$D$286,3,FALSE)</f>
        <v>0</v>
      </c>
      <c r="BE28" s="161">
        <f>$D28*$K28*VLOOKUP($J28,'Standard data'!$B$210:$D$286,3,FALSE)</f>
        <v>0</v>
      </c>
      <c r="BF28" s="233">
        <f t="shared" si="6"/>
        <v>0</v>
      </c>
      <c r="BG28" s="160">
        <f>$O28*$D28*'Standard data'!$F$296</f>
        <v>0</v>
      </c>
      <c r="BH28" s="161">
        <f>$P28*'Standard data'!$C$298*'Standard data'!$D$298*$D28</f>
        <v>0</v>
      </c>
      <c r="BI28" s="161">
        <f>$Q28*$D28*'Standard data'!$F$297</f>
        <v>0</v>
      </c>
      <c r="BJ28" s="162">
        <f>$R28*$D28*'Standard data'!$F$299</f>
        <v>0</v>
      </c>
      <c r="BK28" s="233">
        <f t="shared" si="5"/>
        <v>0</v>
      </c>
      <c r="BL28" s="233">
        <f>$S28*$D28*VLOOKUP($C28,CropsRef!$B$8:$Z$157,20,FALSE)</f>
        <v>0</v>
      </c>
      <c r="BM28" s="233">
        <f>$D28*$U28*VLOOKUP($T28,'Standard data'!$B$307:$P$309,7,FALSE)</f>
        <v>0</v>
      </c>
      <c r="BN28" s="72"/>
      <c r="BO28" s="32"/>
    </row>
    <row r="29" spans="2:67" ht="18" customHeight="1">
      <c r="B29" s="142">
        <v>13</v>
      </c>
      <c r="C29" s="142" t="s">
        <v>858</v>
      </c>
      <c r="D29" s="142"/>
      <c r="E29" s="189"/>
      <c r="F29" s="199" t="s">
        <v>913</v>
      </c>
      <c r="G29" s="142"/>
      <c r="H29" s="142" t="s">
        <v>241</v>
      </c>
      <c r="I29" s="142"/>
      <c r="J29" s="142" t="s">
        <v>930</v>
      </c>
      <c r="K29" s="205"/>
      <c r="L29" s="199" t="s">
        <v>60</v>
      </c>
      <c r="M29" s="142" t="s">
        <v>369</v>
      </c>
      <c r="N29" s="205"/>
      <c r="O29" s="199">
        <v>0</v>
      </c>
      <c r="P29" s="142">
        <v>0</v>
      </c>
      <c r="Q29" s="142">
        <v>0</v>
      </c>
      <c r="R29" s="205">
        <v>0</v>
      </c>
      <c r="S29" s="203">
        <v>0</v>
      </c>
      <c r="T29" s="199" t="s">
        <v>499</v>
      </c>
      <c r="U29" s="205"/>
      <c r="V29" s="199" t="s">
        <v>58</v>
      </c>
      <c r="W29" s="142" t="s">
        <v>57</v>
      </c>
      <c r="X29" s="205" t="s">
        <v>59</v>
      </c>
      <c r="Y29" s="199" t="s">
        <v>57</v>
      </c>
      <c r="Z29" s="205" t="s">
        <v>57</v>
      </c>
      <c r="AA29" s="32"/>
      <c r="AB29" s="160">
        <f>D29*G29*VLOOKUP(F29,'Standard data'!$B$210:$E$286,2,FALSE)*44/28</f>
        <v>0</v>
      </c>
      <c r="AC29" s="161">
        <f>$N29*$D29*'Standard data'!$C$13*44/28</f>
        <v>0</v>
      </c>
      <c r="AD29" s="161">
        <v>0</v>
      </c>
      <c r="AE29" s="161">
        <f>$D$17*'Standard data'!$C$24*44/28*$AD29</f>
        <v>0</v>
      </c>
      <c r="AF29" s="161">
        <v>0</v>
      </c>
      <c r="AG29" s="161">
        <f>$D$17*'Standard data'!$C$28*44/28*$AF29</f>
        <v>0</v>
      </c>
      <c r="AH29" s="161">
        <f t="shared" si="0"/>
        <v>0</v>
      </c>
      <c r="AI29" s="162">
        <f>IF(AND($Y29="yes",$Z29="yes"),$D29*'Standard data'!$C$16*44/28,0)</f>
        <v>0</v>
      </c>
      <c r="AJ29" s="160">
        <f>VLOOKUP(C29,CropsRef!$B$8:$Z$157,24,FALSE)</f>
        <v>0</v>
      </c>
      <c r="AK29" s="161">
        <f>VLOOKUP(C29,CropsRef!$B$8:$Z$157,13,FALSE)</f>
        <v>0</v>
      </c>
      <c r="AL29" s="161">
        <f>VLOOKUP($C29,CropsRef!$B$8:$Z$157,14,FALSE)</f>
        <v>0</v>
      </c>
      <c r="AM29" s="161">
        <f>VLOOKUP($C29,CropsRef!$B$8:$Z$157,15,FALSE)</f>
        <v>0</v>
      </c>
      <c r="AN29" s="161">
        <v>1</v>
      </c>
      <c r="AO29" s="161">
        <f t="shared" si="1"/>
        <v>0</v>
      </c>
      <c r="AP29" s="161">
        <f>VLOOKUP($C29,CropsRef!$B$8:$Z$157,16,FALSE)</f>
        <v>0</v>
      </c>
      <c r="AQ29" s="161">
        <f>VLOOKUP($C29,CropsRef!$B$8:$Z$157,17,FALSE)</f>
        <v>0</v>
      </c>
      <c r="AR29" s="161">
        <f>VLOOKUP($C29,CropsRef!$B$8:$Z$157,9,FALSE)</f>
        <v>0</v>
      </c>
      <c r="AS29" s="161">
        <f>AK29*(E29*AR29)+AL29</f>
        <v>0</v>
      </c>
      <c r="AT29" s="161">
        <f>D29*AP29*AS29*(1-AO29)*AN29</f>
        <v>0</v>
      </c>
      <c r="AU29" s="161">
        <f>AT29*1000*'Standard data'!$C$14*44/28</f>
        <v>0</v>
      </c>
      <c r="AV29" s="161">
        <f>D29*AQ29*AM29*(E29*AR29+(AK29*E29*AR29+AL29))*AN29</f>
        <v>0</v>
      </c>
      <c r="AW29" s="161">
        <f>AV29*'Standard data'!$C$14*44/28*1000</f>
        <v>0</v>
      </c>
      <c r="AX29" s="161">
        <f t="shared" si="2"/>
        <v>0</v>
      </c>
      <c r="AY29" s="161" t="str">
        <f>IF($V29="burnt",$AS29*$AJ29*'Standard data'!$D$199*$D29,"0")</f>
        <v>0</v>
      </c>
      <c r="AZ29" s="161" t="str">
        <f>IF($V29="burnt",$AS29*$AJ29*'Standard data'!$C$199*$D29,"0")</f>
        <v>0</v>
      </c>
      <c r="BA29" s="233">
        <f t="shared" si="3"/>
        <v>0</v>
      </c>
      <c r="BB29" s="233" t="str">
        <f t="shared" si="4"/>
        <v>0</v>
      </c>
      <c r="BC29" s="160">
        <f>$D29*$G29*VLOOKUP($F29,'Standard data'!$B$210:$D$286,3,FALSE)</f>
        <v>0</v>
      </c>
      <c r="BD29" s="161">
        <f>$D29*$I29*VLOOKUP($H29,'Standard data'!$B$210:$D$286,3,FALSE)</f>
        <v>0</v>
      </c>
      <c r="BE29" s="161">
        <f>$D29*$K29*VLOOKUP($J29,'Standard data'!$B$210:$D$286,3,FALSE)</f>
        <v>0</v>
      </c>
      <c r="BF29" s="233">
        <f t="shared" si="6"/>
        <v>0</v>
      </c>
      <c r="BG29" s="160">
        <f>$O29*$D29*'Standard data'!$F$296</f>
        <v>0</v>
      </c>
      <c r="BH29" s="161">
        <f>$P29*'Standard data'!$C$298*'Standard data'!$D$298*$D29</f>
        <v>0</v>
      </c>
      <c r="BI29" s="161">
        <f>$Q29*$D29*'Standard data'!$F$297</f>
        <v>0</v>
      </c>
      <c r="BJ29" s="162">
        <f>$R29*$D29*'Standard data'!$F$299</f>
        <v>0</v>
      </c>
      <c r="BK29" s="233">
        <f t="shared" si="5"/>
        <v>0</v>
      </c>
      <c r="BL29" s="233">
        <f>$S29*$D29*VLOOKUP($C29,CropsRef!$B$8:$Z$157,20,FALSE)</f>
        <v>0</v>
      </c>
      <c r="BM29" s="233">
        <f>$D29*$U29*VLOOKUP($T29,'Standard data'!$B$307:$P$309,7,FALSE)</f>
        <v>0</v>
      </c>
      <c r="BN29" s="72"/>
      <c r="BO29" s="32"/>
    </row>
    <row r="30" spans="2:67" ht="18" customHeight="1">
      <c r="B30" s="142">
        <v>14</v>
      </c>
      <c r="C30" s="142" t="s">
        <v>858</v>
      </c>
      <c r="D30" s="142"/>
      <c r="E30" s="189"/>
      <c r="F30" s="199" t="s">
        <v>913</v>
      </c>
      <c r="G30" s="142"/>
      <c r="H30" s="142" t="s">
        <v>241</v>
      </c>
      <c r="I30" s="142"/>
      <c r="J30" s="142" t="s">
        <v>930</v>
      </c>
      <c r="K30" s="205"/>
      <c r="L30" s="199" t="s">
        <v>60</v>
      </c>
      <c r="M30" s="142" t="s">
        <v>369</v>
      </c>
      <c r="N30" s="205"/>
      <c r="O30" s="199">
        <v>0</v>
      </c>
      <c r="P30" s="142">
        <v>0</v>
      </c>
      <c r="Q30" s="142">
        <v>0</v>
      </c>
      <c r="R30" s="205">
        <v>0</v>
      </c>
      <c r="S30" s="203">
        <v>0</v>
      </c>
      <c r="T30" s="199" t="s">
        <v>499</v>
      </c>
      <c r="U30" s="205"/>
      <c r="V30" s="199" t="s">
        <v>58</v>
      </c>
      <c r="W30" s="142" t="s">
        <v>57</v>
      </c>
      <c r="X30" s="205" t="s">
        <v>59</v>
      </c>
      <c r="Y30" s="199" t="s">
        <v>57</v>
      </c>
      <c r="Z30" s="205" t="s">
        <v>57</v>
      </c>
      <c r="AA30" s="32"/>
      <c r="AB30" s="160">
        <f>D30*G30*VLOOKUP(F30,'Standard data'!$B$210:$E$286,2,FALSE)*44/28</f>
        <v>0</v>
      </c>
      <c r="AC30" s="161">
        <f>$N30*$D30*'Standard data'!$C$13*44/28</f>
        <v>0</v>
      </c>
      <c r="AD30" s="161">
        <v>0</v>
      </c>
      <c r="AE30" s="161">
        <f>$D$17*'Standard data'!$C$24*44/28*$AD30</f>
        <v>0</v>
      </c>
      <c r="AF30" s="161">
        <v>0</v>
      </c>
      <c r="AG30" s="161">
        <f>$D$17*'Standard data'!$C$28*44/28*$AF30</f>
        <v>0</v>
      </c>
      <c r="AH30" s="161">
        <f t="shared" si="0"/>
        <v>0</v>
      </c>
      <c r="AI30" s="162">
        <f>IF(AND($Y30="yes",$Z30="yes"),$D30*'Standard data'!$C$16*44/28,0)</f>
        <v>0</v>
      </c>
      <c r="AJ30" s="160">
        <f>VLOOKUP(C30,CropsRef!$B$8:$Z$157,24,FALSE)</f>
        <v>0</v>
      </c>
      <c r="AK30" s="161">
        <f>VLOOKUP(C30,CropsRef!$B$8:$Z$157,13,FALSE)</f>
        <v>0</v>
      </c>
      <c r="AL30" s="161">
        <f>VLOOKUP($C30,CropsRef!$B$8:$Z$157,14,FALSE)</f>
        <v>0</v>
      </c>
      <c r="AM30" s="161">
        <f>VLOOKUP($C30,CropsRef!$B$8:$Z$157,15,FALSE)</f>
        <v>0</v>
      </c>
      <c r="AN30" s="161">
        <v>1</v>
      </c>
      <c r="AO30" s="161">
        <f t="shared" si="1"/>
        <v>0</v>
      </c>
      <c r="AP30" s="161">
        <f>VLOOKUP($C30,CropsRef!$B$8:$Z$157,16,FALSE)</f>
        <v>0</v>
      </c>
      <c r="AQ30" s="161">
        <f>VLOOKUP($C30,CropsRef!$B$8:$Z$157,17,FALSE)</f>
        <v>0</v>
      </c>
      <c r="AR30" s="161">
        <f>VLOOKUP($C30,CropsRef!$B$8:$Z$157,9,FALSE)</f>
        <v>0</v>
      </c>
      <c r="AS30" s="161">
        <f>AK30*(E30*AR30)+AL30</f>
        <v>0</v>
      </c>
      <c r="AT30" s="161">
        <f>D30*AP30*AS30*(1-AO30)*AN30</f>
        <v>0</v>
      </c>
      <c r="AU30" s="161">
        <f>AT30*1000*'Standard data'!$C$14*44/28</f>
        <v>0</v>
      </c>
      <c r="AV30" s="161">
        <f>D30*AQ30*AM30*(E30*AR30+(AK30*E30*AR30+AL30))*AN30</f>
        <v>0</v>
      </c>
      <c r="AW30" s="161">
        <f>AV30*'Standard data'!$C$14*44/28*1000</f>
        <v>0</v>
      </c>
      <c r="AX30" s="161">
        <f t="shared" si="2"/>
        <v>0</v>
      </c>
      <c r="AY30" s="161" t="str">
        <f>IF($V30="burnt",$AS30*$AJ30*'Standard data'!$D$199*$D30,"0")</f>
        <v>0</v>
      </c>
      <c r="AZ30" s="161" t="str">
        <f>IF($V30="burnt",$AS30*$AJ30*'Standard data'!$C$199*$D30,"0")</f>
        <v>0</v>
      </c>
      <c r="BA30" s="233">
        <f t="shared" si="3"/>
        <v>0</v>
      </c>
      <c r="BB30" s="233" t="str">
        <f t="shared" si="4"/>
        <v>0</v>
      </c>
      <c r="BC30" s="160">
        <f>$D30*$G30*VLOOKUP($F30,'Standard data'!$B$210:$D$286,3,FALSE)</f>
        <v>0</v>
      </c>
      <c r="BD30" s="161">
        <f>$D30*$I30*VLOOKUP($H30,'Standard data'!$B$210:$D$286,3,FALSE)</f>
        <v>0</v>
      </c>
      <c r="BE30" s="161">
        <f>$D30*$K30*VLOOKUP($J30,'Standard data'!$B$210:$D$286,3,FALSE)</f>
        <v>0</v>
      </c>
      <c r="BF30" s="233">
        <f t="shared" si="6"/>
        <v>0</v>
      </c>
      <c r="BG30" s="160">
        <f>$O30*$D30*'Standard data'!$F$296</f>
        <v>0</v>
      </c>
      <c r="BH30" s="161">
        <f>$P30*'Standard data'!$C$298*'Standard data'!$D$298*$D30</f>
        <v>0</v>
      </c>
      <c r="BI30" s="161">
        <f>$Q30*$D30*'Standard data'!$F$297</f>
        <v>0</v>
      </c>
      <c r="BJ30" s="162">
        <f>$R30*$D30*'Standard data'!$F$299</f>
        <v>0</v>
      </c>
      <c r="BK30" s="233">
        <f t="shared" si="5"/>
        <v>0</v>
      </c>
      <c r="BL30" s="233">
        <f>$S30*$D30*VLOOKUP($C30,CropsRef!$B$8:$Z$157,20,FALSE)</f>
        <v>0</v>
      </c>
      <c r="BM30" s="233">
        <f>$D30*$U30*VLOOKUP($T30,'Standard data'!$B$307:$P$309,7,FALSE)</f>
        <v>0</v>
      </c>
      <c r="BN30" s="72"/>
      <c r="BO30" s="32"/>
    </row>
    <row r="31" spans="2:67" ht="18" customHeight="1">
      <c r="B31" s="142">
        <v>15</v>
      </c>
      <c r="C31" s="142" t="s">
        <v>858</v>
      </c>
      <c r="D31" s="142"/>
      <c r="E31" s="189"/>
      <c r="F31" s="199" t="s">
        <v>913</v>
      </c>
      <c r="G31" s="142"/>
      <c r="H31" s="142" t="s">
        <v>241</v>
      </c>
      <c r="I31" s="142"/>
      <c r="J31" s="142" t="s">
        <v>930</v>
      </c>
      <c r="K31" s="205"/>
      <c r="L31" s="199" t="s">
        <v>60</v>
      </c>
      <c r="M31" s="142" t="s">
        <v>369</v>
      </c>
      <c r="N31" s="205"/>
      <c r="O31" s="199">
        <v>0</v>
      </c>
      <c r="P31" s="142">
        <v>0</v>
      </c>
      <c r="Q31" s="142">
        <v>0</v>
      </c>
      <c r="R31" s="205">
        <v>0</v>
      </c>
      <c r="S31" s="203">
        <v>0</v>
      </c>
      <c r="T31" s="199" t="s">
        <v>499</v>
      </c>
      <c r="U31" s="205"/>
      <c r="V31" s="199" t="s">
        <v>58</v>
      </c>
      <c r="W31" s="142" t="s">
        <v>57</v>
      </c>
      <c r="X31" s="205" t="s">
        <v>59</v>
      </c>
      <c r="Y31" s="199" t="s">
        <v>57</v>
      </c>
      <c r="Z31" s="205" t="s">
        <v>57</v>
      </c>
      <c r="AA31" s="32"/>
      <c r="AB31" s="160">
        <f>D31*G31*VLOOKUP(F31,'Standard data'!$B$210:$E$286,2,FALSE)*44/28</f>
        <v>0</v>
      </c>
      <c r="AC31" s="161">
        <f>$N31*$D31*'Standard data'!$C$13*44/28</f>
        <v>0</v>
      </c>
      <c r="AD31" s="161">
        <v>0</v>
      </c>
      <c r="AE31" s="161">
        <f>$D$17*'Standard data'!$C$24*44/28*$AD31</f>
        <v>0</v>
      </c>
      <c r="AF31" s="161">
        <v>0</v>
      </c>
      <c r="AG31" s="161">
        <f>$D$17*'Standard data'!$C$28*44/28*$AF31</f>
        <v>0</v>
      </c>
      <c r="AH31" s="161">
        <f t="shared" si="0"/>
        <v>0</v>
      </c>
      <c r="AI31" s="162">
        <f>IF(AND($Y31="yes",$Z31="yes"),$D31*'Standard data'!$C$16*44/28,0)</f>
        <v>0</v>
      </c>
      <c r="AJ31" s="160">
        <f>VLOOKUP(C31,CropsRef!$B$8:$Z$157,24,FALSE)</f>
        <v>0</v>
      </c>
      <c r="AK31" s="161">
        <f>VLOOKUP(C31,CropsRef!$B$8:$Z$157,13,FALSE)</f>
        <v>0</v>
      </c>
      <c r="AL31" s="161">
        <f>VLOOKUP($C31,CropsRef!$B$8:$Z$157,14,FALSE)</f>
        <v>0</v>
      </c>
      <c r="AM31" s="161">
        <f>VLOOKUP($C31,CropsRef!$B$8:$Z$157,15,FALSE)</f>
        <v>0</v>
      </c>
      <c r="AN31" s="161">
        <v>1</v>
      </c>
      <c r="AO31" s="161">
        <f t="shared" si="1"/>
        <v>0</v>
      </c>
      <c r="AP31" s="161">
        <f>VLOOKUP($C31,CropsRef!$B$8:$Z$157,16,FALSE)</f>
        <v>0</v>
      </c>
      <c r="AQ31" s="161">
        <f>VLOOKUP($C31,CropsRef!$B$8:$Z$157,17,FALSE)</f>
        <v>0</v>
      </c>
      <c r="AR31" s="161">
        <f>VLOOKUP($C31,CropsRef!$B$8:$Z$157,9,FALSE)</f>
        <v>0</v>
      </c>
      <c r="AS31" s="161">
        <f>AK31*(E31*AR31)+AL31</f>
        <v>0</v>
      </c>
      <c r="AT31" s="161">
        <f>D31*AP31*AS31*(1-AO31)*AN31</f>
        <v>0</v>
      </c>
      <c r="AU31" s="161">
        <f>AT31*1000*'Standard data'!$C$14*44/28</f>
        <v>0</v>
      </c>
      <c r="AV31" s="161">
        <f>D31*AQ31*AM31*(E31*AR31+(AK31*E31*AR31+AL31))*AN31</f>
        <v>0</v>
      </c>
      <c r="AW31" s="161">
        <f>AV31*'Standard data'!$C$14*44/28*1000</f>
        <v>0</v>
      </c>
      <c r="AX31" s="161">
        <f t="shared" si="2"/>
        <v>0</v>
      </c>
      <c r="AY31" s="161" t="str">
        <f>IF($V31="burnt",$AS31*$AJ31*'Standard data'!$D$199*$D31,"0")</f>
        <v>0</v>
      </c>
      <c r="AZ31" s="161" t="str">
        <f>IF($V31="burnt",$AS31*$AJ31*'Standard data'!$C$199*$D31,"0")</f>
        <v>0</v>
      </c>
      <c r="BA31" s="233">
        <f t="shared" si="3"/>
        <v>0</v>
      </c>
      <c r="BB31" s="233" t="str">
        <f t="shared" si="4"/>
        <v>0</v>
      </c>
      <c r="BC31" s="160">
        <f>$D31*$G31*VLOOKUP($F31,'Standard data'!$B$210:$D$286,3,FALSE)</f>
        <v>0</v>
      </c>
      <c r="BD31" s="161">
        <f>$D31*$I31*VLOOKUP($H31,'Standard data'!$B$210:$D$286,3,FALSE)</f>
        <v>0</v>
      </c>
      <c r="BE31" s="161">
        <f>$D31*$K31*VLOOKUP($J31,'Standard data'!$B$210:$D$286,3,FALSE)</f>
        <v>0</v>
      </c>
      <c r="BF31" s="233">
        <f t="shared" si="6"/>
        <v>0</v>
      </c>
      <c r="BG31" s="160">
        <f>$O31*$D31*'Standard data'!$F$296</f>
        <v>0</v>
      </c>
      <c r="BH31" s="161">
        <f>$P31*'Standard data'!$C$298*'Standard data'!$D$298*$D31</f>
        <v>0</v>
      </c>
      <c r="BI31" s="161">
        <f>$Q31*$D31*'Standard data'!$F$297</f>
        <v>0</v>
      </c>
      <c r="BJ31" s="162">
        <f>$R31*$D31*'Standard data'!$F$299</f>
        <v>0</v>
      </c>
      <c r="BK31" s="233">
        <f t="shared" si="5"/>
        <v>0</v>
      </c>
      <c r="BL31" s="233">
        <f>$S31*$D31*VLOOKUP($C31,CropsRef!$B$8:$Z$157,20,FALSE)</f>
        <v>0</v>
      </c>
      <c r="BM31" s="233">
        <f>$D31*$U31*VLOOKUP($T31,'Standard data'!$B$307:$P$309,7,FALSE)</f>
        <v>0</v>
      </c>
      <c r="BN31" s="72"/>
      <c r="BO31" s="32"/>
    </row>
    <row r="32" spans="2:67" ht="18" customHeight="1">
      <c r="B32" s="142">
        <v>16</v>
      </c>
      <c r="C32" s="142" t="s">
        <v>858</v>
      </c>
      <c r="D32" s="142"/>
      <c r="E32" s="189"/>
      <c r="F32" s="199" t="s">
        <v>913</v>
      </c>
      <c r="G32" s="142"/>
      <c r="H32" s="142" t="s">
        <v>241</v>
      </c>
      <c r="I32" s="142"/>
      <c r="J32" s="142" t="s">
        <v>930</v>
      </c>
      <c r="K32" s="205"/>
      <c r="L32" s="199" t="s">
        <v>60</v>
      </c>
      <c r="M32" s="142" t="s">
        <v>369</v>
      </c>
      <c r="N32" s="205"/>
      <c r="O32" s="199">
        <v>0</v>
      </c>
      <c r="P32" s="142">
        <v>0</v>
      </c>
      <c r="Q32" s="142">
        <v>0</v>
      </c>
      <c r="R32" s="205">
        <v>0</v>
      </c>
      <c r="S32" s="203">
        <v>0</v>
      </c>
      <c r="T32" s="199" t="s">
        <v>499</v>
      </c>
      <c r="U32" s="205"/>
      <c r="V32" s="199" t="s">
        <v>58</v>
      </c>
      <c r="W32" s="142" t="s">
        <v>57</v>
      </c>
      <c r="X32" s="205" t="s">
        <v>59</v>
      </c>
      <c r="Y32" s="199" t="s">
        <v>57</v>
      </c>
      <c r="Z32" s="205" t="s">
        <v>57</v>
      </c>
      <c r="AA32" s="32"/>
      <c r="AB32" s="160">
        <f>D32*G32*VLOOKUP(F32,'Standard data'!$B$210:$E$286,2,FALSE)*44/28</f>
        <v>0</v>
      </c>
      <c r="AC32" s="161">
        <f>$N32*$D32*'Standard data'!$C$13*44/28</f>
        <v>0</v>
      </c>
      <c r="AD32" s="161">
        <v>0</v>
      </c>
      <c r="AE32" s="161">
        <f>$D$17*'Standard data'!$C$24*44/28*$AD32</f>
        <v>0</v>
      </c>
      <c r="AF32" s="161">
        <v>0</v>
      </c>
      <c r="AG32" s="161">
        <f>$D$17*'Standard data'!$C$28*44/28*$AF32</f>
        <v>0</v>
      </c>
      <c r="AH32" s="161">
        <f t="shared" si="0"/>
        <v>0</v>
      </c>
      <c r="AI32" s="162">
        <f>IF(AND($Y32="yes",$Z32="yes"),$D32*'Standard data'!$C$16*44/28,0)</f>
        <v>0</v>
      </c>
      <c r="AJ32" s="160">
        <f>VLOOKUP(C32,CropsRef!$B$8:$Z$157,24,FALSE)</f>
        <v>0</v>
      </c>
      <c r="AK32" s="161">
        <f>VLOOKUP(C32,CropsRef!$B$8:$Z$157,13,FALSE)</f>
        <v>0</v>
      </c>
      <c r="AL32" s="161">
        <f>VLOOKUP($C32,CropsRef!$B$8:$Z$157,14,FALSE)</f>
        <v>0</v>
      </c>
      <c r="AM32" s="161">
        <f>VLOOKUP($C32,CropsRef!$B$8:$Z$157,15,FALSE)</f>
        <v>0</v>
      </c>
      <c r="AN32" s="161">
        <v>1</v>
      </c>
      <c r="AO32" s="161">
        <f t="shared" si="1"/>
        <v>0</v>
      </c>
      <c r="AP32" s="161">
        <f>VLOOKUP($C32,CropsRef!$B$8:$Z$157,16,FALSE)</f>
        <v>0</v>
      </c>
      <c r="AQ32" s="161">
        <f>VLOOKUP($C32,CropsRef!$B$8:$Z$157,17,FALSE)</f>
        <v>0</v>
      </c>
      <c r="AR32" s="161">
        <f>VLOOKUP($C32,CropsRef!$B$8:$Z$157,9,FALSE)</f>
        <v>0</v>
      </c>
      <c r="AS32" s="161">
        <f>AK32*(E32*AR32)+AL32</f>
        <v>0</v>
      </c>
      <c r="AT32" s="161">
        <f>D32*AP32*AS32*(1-AO32)*AN32</f>
        <v>0</v>
      </c>
      <c r="AU32" s="161">
        <f>AT32*1000*'Standard data'!$C$14*44/28</f>
        <v>0</v>
      </c>
      <c r="AV32" s="161">
        <f>D32*AQ32*AM32*(E32*AR32+(AK32*E32*AR32+AL32))*AN32</f>
        <v>0</v>
      </c>
      <c r="AW32" s="161">
        <f>AV32*'Standard data'!$C$14*44/28*1000</f>
        <v>0</v>
      </c>
      <c r="AX32" s="161">
        <f t="shared" si="2"/>
        <v>0</v>
      </c>
      <c r="AY32" s="161" t="str">
        <f>IF($V32="burnt",$AS32*$AJ32*'Standard data'!$D$199*$D32,"0")</f>
        <v>0</v>
      </c>
      <c r="AZ32" s="161" t="str">
        <f>IF($V32="burnt",$AS32*$AJ32*'Standard data'!$C$199*$D32,"0")</f>
        <v>0</v>
      </c>
      <c r="BA32" s="233">
        <f t="shared" si="3"/>
        <v>0</v>
      </c>
      <c r="BB32" s="233" t="str">
        <f t="shared" si="4"/>
        <v>0</v>
      </c>
      <c r="BC32" s="160">
        <f>$D32*$G32*VLOOKUP($F32,'Standard data'!$B$210:$D$286,3,FALSE)</f>
        <v>0</v>
      </c>
      <c r="BD32" s="161">
        <f>$D32*$I32*VLOOKUP($H32,'Standard data'!$B$210:$D$286,3,FALSE)</f>
        <v>0</v>
      </c>
      <c r="BE32" s="161">
        <f>$D32*$K32*VLOOKUP($J32,'Standard data'!$B$210:$D$286,3,FALSE)</f>
        <v>0</v>
      </c>
      <c r="BF32" s="233">
        <f t="shared" si="6"/>
        <v>0</v>
      </c>
      <c r="BG32" s="160">
        <f>$O32*$D32*'Standard data'!$F$296</f>
        <v>0</v>
      </c>
      <c r="BH32" s="161">
        <f>$P32*'Standard data'!$C$298*'Standard data'!$D$298*$D32</f>
        <v>0</v>
      </c>
      <c r="BI32" s="161">
        <f>$Q32*$D32*'Standard data'!$F$297</f>
        <v>0</v>
      </c>
      <c r="BJ32" s="162">
        <f>$R32*$D32*'Standard data'!$F$299</f>
        <v>0</v>
      </c>
      <c r="BK32" s="233">
        <f t="shared" si="5"/>
        <v>0</v>
      </c>
      <c r="BL32" s="233">
        <f>$S32*$D32*VLOOKUP($C32,CropsRef!$B$8:$Z$157,20,FALSE)</f>
        <v>0</v>
      </c>
      <c r="BM32" s="233">
        <f>$D32*$U32*VLOOKUP($T32,'Standard data'!$B$307:$P$309,7,FALSE)</f>
        <v>0</v>
      </c>
      <c r="BN32" s="72"/>
      <c r="BO32" s="32"/>
    </row>
    <row r="33" spans="2:67" ht="18" customHeight="1">
      <c r="B33" s="142">
        <v>17</v>
      </c>
      <c r="C33" s="142" t="s">
        <v>858</v>
      </c>
      <c r="D33" s="142"/>
      <c r="E33" s="189"/>
      <c r="F33" s="199" t="s">
        <v>913</v>
      </c>
      <c r="G33" s="142"/>
      <c r="H33" s="142" t="s">
        <v>241</v>
      </c>
      <c r="I33" s="142"/>
      <c r="J33" s="142" t="s">
        <v>930</v>
      </c>
      <c r="K33" s="205"/>
      <c r="L33" s="199" t="s">
        <v>60</v>
      </c>
      <c r="M33" s="142" t="s">
        <v>369</v>
      </c>
      <c r="N33" s="205"/>
      <c r="O33" s="199">
        <v>0</v>
      </c>
      <c r="P33" s="142">
        <v>0</v>
      </c>
      <c r="Q33" s="142">
        <v>0</v>
      </c>
      <c r="R33" s="205">
        <v>0</v>
      </c>
      <c r="S33" s="203">
        <v>0</v>
      </c>
      <c r="T33" s="199" t="s">
        <v>499</v>
      </c>
      <c r="U33" s="205"/>
      <c r="V33" s="199" t="s">
        <v>58</v>
      </c>
      <c r="W33" s="142" t="s">
        <v>57</v>
      </c>
      <c r="X33" s="205" t="s">
        <v>59</v>
      </c>
      <c r="Y33" s="199" t="s">
        <v>57</v>
      </c>
      <c r="Z33" s="205" t="s">
        <v>57</v>
      </c>
      <c r="AA33" s="32"/>
      <c r="AB33" s="160">
        <f>D33*G33*VLOOKUP(F33,'Standard data'!$B$210:$E$286,2,FALSE)*44/28</f>
        <v>0</v>
      </c>
      <c r="AC33" s="161">
        <f>$N33*$D33*'Standard data'!$C$13*44/28</f>
        <v>0</v>
      </c>
      <c r="AD33" s="161">
        <v>0</v>
      </c>
      <c r="AE33" s="161">
        <f>$D$17*'Standard data'!$C$24*44/28*$AD33</f>
        <v>0</v>
      </c>
      <c r="AF33" s="161">
        <v>0</v>
      </c>
      <c r="AG33" s="161">
        <f>$D$17*'Standard data'!$C$28*44/28*$AF33</f>
        <v>0</v>
      </c>
      <c r="AH33" s="161">
        <f t="shared" si="0"/>
        <v>0</v>
      </c>
      <c r="AI33" s="162">
        <f>IF(AND($Y33="yes",$Z33="yes"),$D33*'Standard data'!$C$16*44/28,0)</f>
        <v>0</v>
      </c>
      <c r="AJ33" s="160">
        <f>VLOOKUP(C33,CropsRef!$B$8:$Z$157,24,FALSE)</f>
        <v>0</v>
      </c>
      <c r="AK33" s="161">
        <f>VLOOKUP(C33,CropsRef!$B$8:$Z$157,13,FALSE)</f>
        <v>0</v>
      </c>
      <c r="AL33" s="161">
        <f>VLOOKUP($C33,CropsRef!$B$8:$Z$157,14,FALSE)</f>
        <v>0</v>
      </c>
      <c r="AM33" s="161">
        <f>VLOOKUP($C33,CropsRef!$B$8:$Z$157,15,FALSE)</f>
        <v>0</v>
      </c>
      <c r="AN33" s="161">
        <v>1</v>
      </c>
      <c r="AO33" s="161">
        <f t="shared" si="1"/>
        <v>0</v>
      </c>
      <c r="AP33" s="161">
        <f>VLOOKUP($C33,CropsRef!$B$8:$Z$157,16,FALSE)</f>
        <v>0</v>
      </c>
      <c r="AQ33" s="161">
        <f>VLOOKUP($C33,CropsRef!$B$8:$Z$157,17,FALSE)</f>
        <v>0</v>
      </c>
      <c r="AR33" s="161">
        <f>VLOOKUP($C33,CropsRef!$B$8:$Z$157,9,FALSE)</f>
        <v>0</v>
      </c>
      <c r="AS33" s="161">
        <f>AK33*(E33*AR33)+AL33</f>
        <v>0</v>
      </c>
      <c r="AT33" s="161">
        <f>D33*AP33*AS33*(1-AO33)*AN33</f>
        <v>0</v>
      </c>
      <c r="AU33" s="161">
        <f>AT33*1000*'Standard data'!$C$14*44/28</f>
        <v>0</v>
      </c>
      <c r="AV33" s="161">
        <f>D33*AQ33*AM33*(E33*AR33+(AK33*E33*AR33+AL33))*AN33</f>
        <v>0</v>
      </c>
      <c r="AW33" s="161">
        <f>AV33*'Standard data'!$C$14*44/28*1000</f>
        <v>0</v>
      </c>
      <c r="AX33" s="161">
        <f t="shared" si="2"/>
        <v>0</v>
      </c>
      <c r="AY33" s="161" t="str">
        <f>IF($V33="burnt",$AS33*$AJ33*'Standard data'!$D$199*$D33,"0")</f>
        <v>0</v>
      </c>
      <c r="AZ33" s="161" t="str">
        <f>IF($V33="burnt",$AS33*$AJ33*'Standard data'!$C$199*$D33,"0")</f>
        <v>0</v>
      </c>
      <c r="BA33" s="233">
        <f t="shared" si="3"/>
        <v>0</v>
      </c>
      <c r="BB33" s="233" t="str">
        <f t="shared" si="4"/>
        <v>0</v>
      </c>
      <c r="BC33" s="160">
        <f>$D33*$G33*VLOOKUP($F33,'Standard data'!$B$210:$D$286,3,FALSE)</f>
        <v>0</v>
      </c>
      <c r="BD33" s="161">
        <f>$D33*$I33*VLOOKUP($H33,'Standard data'!$B$210:$D$286,3,FALSE)</f>
        <v>0</v>
      </c>
      <c r="BE33" s="161">
        <f>$D33*$K33*VLOOKUP($J33,'Standard data'!$B$210:$D$286,3,FALSE)</f>
        <v>0</v>
      </c>
      <c r="BF33" s="233">
        <f t="shared" si="6"/>
        <v>0</v>
      </c>
      <c r="BG33" s="160">
        <f>$O33*$D33*'Standard data'!$F$296</f>
        <v>0</v>
      </c>
      <c r="BH33" s="161">
        <f>$P33*'Standard data'!$C$298*'Standard data'!$D$298*$D33</f>
        <v>0</v>
      </c>
      <c r="BI33" s="161">
        <f>$Q33*$D33*'Standard data'!$F$297</f>
        <v>0</v>
      </c>
      <c r="BJ33" s="162">
        <f>$R33*$D33*'Standard data'!$F$299</f>
        <v>0</v>
      </c>
      <c r="BK33" s="233">
        <f t="shared" si="5"/>
        <v>0</v>
      </c>
      <c r="BL33" s="233">
        <f>$S33*$D33*VLOOKUP($C33,CropsRef!$B$8:$Z$157,20,FALSE)</f>
        <v>0</v>
      </c>
      <c r="BM33" s="233">
        <f>$D33*$U33*VLOOKUP($T33,'Standard data'!$B$307:$P$309,7,FALSE)</f>
        <v>0</v>
      </c>
      <c r="BN33" s="72"/>
      <c r="BO33" s="32"/>
    </row>
    <row r="34" spans="2:67" ht="18" customHeight="1">
      <c r="B34" s="142">
        <v>18</v>
      </c>
      <c r="C34" s="142" t="s">
        <v>858</v>
      </c>
      <c r="D34" s="142"/>
      <c r="E34" s="189"/>
      <c r="F34" s="199" t="s">
        <v>913</v>
      </c>
      <c r="G34" s="142"/>
      <c r="H34" s="142" t="s">
        <v>241</v>
      </c>
      <c r="I34" s="142"/>
      <c r="J34" s="142" t="s">
        <v>930</v>
      </c>
      <c r="K34" s="205"/>
      <c r="L34" s="199" t="s">
        <v>60</v>
      </c>
      <c r="M34" s="142" t="s">
        <v>369</v>
      </c>
      <c r="N34" s="205"/>
      <c r="O34" s="199">
        <v>0</v>
      </c>
      <c r="P34" s="142">
        <v>0</v>
      </c>
      <c r="Q34" s="142">
        <v>0</v>
      </c>
      <c r="R34" s="205">
        <v>0</v>
      </c>
      <c r="S34" s="203">
        <v>0</v>
      </c>
      <c r="T34" s="199" t="s">
        <v>499</v>
      </c>
      <c r="U34" s="205"/>
      <c r="V34" s="199" t="s">
        <v>58</v>
      </c>
      <c r="W34" s="142" t="s">
        <v>57</v>
      </c>
      <c r="X34" s="205" t="s">
        <v>59</v>
      </c>
      <c r="Y34" s="199" t="s">
        <v>57</v>
      </c>
      <c r="Z34" s="205" t="s">
        <v>57</v>
      </c>
      <c r="AA34" s="32"/>
      <c r="AB34" s="160">
        <f>D34*G34*VLOOKUP(F34,'Standard data'!$B$210:$E$286,2,FALSE)*44/28</f>
        <v>0</v>
      </c>
      <c r="AC34" s="161">
        <f>$N34*$D34*'Standard data'!$C$13*44/28</f>
        <v>0</v>
      </c>
      <c r="AD34" s="161">
        <v>0</v>
      </c>
      <c r="AE34" s="161">
        <f>$D$17*'Standard data'!$C$24*44/28*$AD34</f>
        <v>0</v>
      </c>
      <c r="AF34" s="161">
        <v>0</v>
      </c>
      <c r="AG34" s="161">
        <f>$D$17*'Standard data'!$C$28*44/28*$AF34</f>
        <v>0</v>
      </c>
      <c r="AH34" s="161">
        <f t="shared" si="0"/>
        <v>0</v>
      </c>
      <c r="AI34" s="162">
        <f>IF(AND($Y34="yes",$Z34="yes"),$D34*'Standard data'!$C$16*44/28,0)</f>
        <v>0</v>
      </c>
      <c r="AJ34" s="160">
        <f>VLOOKUP(C34,CropsRef!$B$8:$Z$157,24,FALSE)</f>
        <v>0</v>
      </c>
      <c r="AK34" s="161">
        <f>VLOOKUP(C34,CropsRef!$B$8:$Z$157,13,FALSE)</f>
        <v>0</v>
      </c>
      <c r="AL34" s="161">
        <f>VLOOKUP($C34,CropsRef!$B$8:$Z$157,14,FALSE)</f>
        <v>0</v>
      </c>
      <c r="AM34" s="161">
        <f>VLOOKUP($C34,CropsRef!$B$8:$Z$157,15,FALSE)</f>
        <v>0</v>
      </c>
      <c r="AN34" s="161">
        <v>1</v>
      </c>
      <c r="AO34" s="161">
        <f t="shared" si="1"/>
        <v>0</v>
      </c>
      <c r="AP34" s="161">
        <f>VLOOKUP($C34,CropsRef!$B$8:$Z$157,16,FALSE)</f>
        <v>0</v>
      </c>
      <c r="AQ34" s="161">
        <f>VLOOKUP($C34,CropsRef!$B$8:$Z$157,17,FALSE)</f>
        <v>0</v>
      </c>
      <c r="AR34" s="161">
        <f>VLOOKUP($C34,CropsRef!$B$8:$Z$157,9,FALSE)</f>
        <v>0</v>
      </c>
      <c r="AS34" s="161">
        <f>AK34*(E34*AR34)+AL34</f>
        <v>0</v>
      </c>
      <c r="AT34" s="161">
        <f>D34*AP34*AS34*(1-AO34)*AN34</f>
        <v>0</v>
      </c>
      <c r="AU34" s="161">
        <f>AT34*1000*'Standard data'!$C$14*44/28</f>
        <v>0</v>
      </c>
      <c r="AV34" s="161">
        <f>D34*AQ34*AM34*(E34*AR34+(AK34*E34*AR34+AL34))*AN34</f>
        <v>0</v>
      </c>
      <c r="AW34" s="161">
        <f>AV34*'Standard data'!$C$14*44/28*1000</f>
        <v>0</v>
      </c>
      <c r="AX34" s="161">
        <f t="shared" si="2"/>
        <v>0</v>
      </c>
      <c r="AY34" s="161" t="str">
        <f>IF($V34="burnt",$AS34*$AJ34*'Standard data'!$D$199*$D34,"0")</f>
        <v>0</v>
      </c>
      <c r="AZ34" s="161" t="str">
        <f>IF($V34="burnt",$AS34*$AJ34*'Standard data'!$C$199*$D34,"0")</f>
        <v>0</v>
      </c>
      <c r="BA34" s="233">
        <f t="shared" si="3"/>
        <v>0</v>
      </c>
      <c r="BB34" s="233" t="str">
        <f t="shared" si="4"/>
        <v>0</v>
      </c>
      <c r="BC34" s="160">
        <f>$D34*$G34*VLOOKUP($F34,'Standard data'!$B$210:$D$286,3,FALSE)</f>
        <v>0</v>
      </c>
      <c r="BD34" s="161">
        <f>$D34*$I34*VLOOKUP($H34,'Standard data'!$B$210:$D$286,3,FALSE)</f>
        <v>0</v>
      </c>
      <c r="BE34" s="161">
        <f>$D34*$K34*VLOOKUP($J34,'Standard data'!$B$210:$D$286,3,FALSE)</f>
        <v>0</v>
      </c>
      <c r="BF34" s="233">
        <f t="shared" si="6"/>
        <v>0</v>
      </c>
      <c r="BG34" s="160">
        <f>$O34*$D34*'Standard data'!$F$296</f>
        <v>0</v>
      </c>
      <c r="BH34" s="161">
        <f>$P34*'Standard data'!$C$298*'Standard data'!$D$298*$D34</f>
        <v>0</v>
      </c>
      <c r="BI34" s="161">
        <f>$Q34*$D34*'Standard data'!$F$297</f>
        <v>0</v>
      </c>
      <c r="BJ34" s="162">
        <f>$R34*$D34*'Standard data'!$F$299</f>
        <v>0</v>
      </c>
      <c r="BK34" s="233">
        <f t="shared" si="5"/>
        <v>0</v>
      </c>
      <c r="BL34" s="233">
        <f>$S34*$D34*VLOOKUP($C34,CropsRef!$B$8:$Z$157,20,FALSE)</f>
        <v>0</v>
      </c>
      <c r="BM34" s="233">
        <f>$D34*$U34*VLOOKUP($T34,'Standard data'!$B$307:$P$309,7,FALSE)</f>
        <v>0</v>
      </c>
      <c r="BN34" s="72"/>
      <c r="BO34" s="32"/>
    </row>
    <row r="35" spans="2:67" ht="18" customHeight="1">
      <c r="B35" s="142">
        <v>19</v>
      </c>
      <c r="C35" s="142" t="s">
        <v>858</v>
      </c>
      <c r="D35" s="142"/>
      <c r="E35" s="189"/>
      <c r="F35" s="199" t="s">
        <v>913</v>
      </c>
      <c r="G35" s="142"/>
      <c r="H35" s="142" t="s">
        <v>241</v>
      </c>
      <c r="I35" s="142"/>
      <c r="J35" s="142" t="s">
        <v>930</v>
      </c>
      <c r="K35" s="205"/>
      <c r="L35" s="199" t="s">
        <v>60</v>
      </c>
      <c r="M35" s="142" t="s">
        <v>369</v>
      </c>
      <c r="N35" s="205"/>
      <c r="O35" s="199">
        <v>0</v>
      </c>
      <c r="P35" s="142">
        <v>0</v>
      </c>
      <c r="Q35" s="142">
        <v>0</v>
      </c>
      <c r="R35" s="205">
        <v>0</v>
      </c>
      <c r="S35" s="203">
        <v>0</v>
      </c>
      <c r="T35" s="199" t="s">
        <v>499</v>
      </c>
      <c r="U35" s="205"/>
      <c r="V35" s="199" t="s">
        <v>58</v>
      </c>
      <c r="W35" s="142" t="s">
        <v>57</v>
      </c>
      <c r="X35" s="205" t="s">
        <v>59</v>
      </c>
      <c r="Y35" s="199" t="s">
        <v>57</v>
      </c>
      <c r="Z35" s="205" t="s">
        <v>57</v>
      </c>
      <c r="AA35" s="32"/>
      <c r="AB35" s="160">
        <f>D35*G35*VLOOKUP(F35,'Standard data'!$B$210:$E$286,2,FALSE)*44/28</f>
        <v>0</v>
      </c>
      <c r="AC35" s="161">
        <f>$N35*$D35*'Standard data'!$C$13*44/28</f>
        <v>0</v>
      </c>
      <c r="AD35" s="161">
        <v>0</v>
      </c>
      <c r="AE35" s="161">
        <f>$D$17*'Standard data'!$C$24*44/28*$AD35</f>
        <v>0</v>
      </c>
      <c r="AF35" s="161">
        <v>0</v>
      </c>
      <c r="AG35" s="161">
        <f>$D$17*'Standard data'!$C$28*44/28*$AF35</f>
        <v>0</v>
      </c>
      <c r="AH35" s="161">
        <f t="shared" si="0"/>
        <v>0</v>
      </c>
      <c r="AI35" s="162">
        <f>IF(AND($Y35="yes",$Z35="yes"),$D35*'Standard data'!$C$16*44/28,0)</f>
        <v>0</v>
      </c>
      <c r="AJ35" s="160">
        <f>VLOOKUP(C35,CropsRef!$B$8:$Z$157,24,FALSE)</f>
        <v>0</v>
      </c>
      <c r="AK35" s="161">
        <f>VLOOKUP(C35,CropsRef!$B$8:$Z$157,13,FALSE)</f>
        <v>0</v>
      </c>
      <c r="AL35" s="161">
        <f>VLOOKUP($C35,CropsRef!$B$8:$Z$157,14,FALSE)</f>
        <v>0</v>
      </c>
      <c r="AM35" s="161">
        <f>VLOOKUP($C35,CropsRef!$B$8:$Z$157,15,FALSE)</f>
        <v>0</v>
      </c>
      <c r="AN35" s="161">
        <v>1</v>
      </c>
      <c r="AO35" s="161">
        <f t="shared" si="1"/>
        <v>0</v>
      </c>
      <c r="AP35" s="161">
        <f>VLOOKUP($C35,CropsRef!$B$8:$Z$157,16,FALSE)</f>
        <v>0</v>
      </c>
      <c r="AQ35" s="161">
        <f>VLOOKUP($C35,CropsRef!$B$8:$Z$157,17,FALSE)</f>
        <v>0</v>
      </c>
      <c r="AR35" s="161">
        <f>VLOOKUP($C35,CropsRef!$B$8:$Z$157,9,FALSE)</f>
        <v>0</v>
      </c>
      <c r="AS35" s="161">
        <f>AK35*(E35*AR35)+AL35</f>
        <v>0</v>
      </c>
      <c r="AT35" s="161">
        <f>D35*AP35*AS35*(1-AO35)*AN35</f>
        <v>0</v>
      </c>
      <c r="AU35" s="161">
        <f>AT35*1000*'Standard data'!$C$14*44/28</f>
        <v>0</v>
      </c>
      <c r="AV35" s="161">
        <f>D35*AQ35*AM35*(E35*AR35+(AK35*E35*AR35+AL35))*AN35</f>
        <v>0</v>
      </c>
      <c r="AW35" s="161">
        <f>AV35*'Standard data'!$C$14*44/28*1000</f>
        <v>0</v>
      </c>
      <c r="AX35" s="161">
        <f t="shared" si="2"/>
        <v>0</v>
      </c>
      <c r="AY35" s="161" t="str">
        <f>IF($V35="burnt",$AS35*$AJ35*'Standard data'!$D$199*$D35,"0")</f>
        <v>0</v>
      </c>
      <c r="AZ35" s="161" t="str">
        <f>IF($V35="burnt",$AS35*$AJ35*'Standard data'!$C$199*$D35,"0")</f>
        <v>0</v>
      </c>
      <c r="BA35" s="233">
        <f t="shared" si="3"/>
        <v>0</v>
      </c>
      <c r="BB35" s="233" t="str">
        <f t="shared" si="4"/>
        <v>0</v>
      </c>
      <c r="BC35" s="160">
        <f>$D35*$G35*VLOOKUP($F35,'Standard data'!$B$210:$D$286,3,FALSE)</f>
        <v>0</v>
      </c>
      <c r="BD35" s="161">
        <f>$D35*$I35*VLOOKUP($H35,'Standard data'!$B$210:$D$286,3,FALSE)</f>
        <v>0</v>
      </c>
      <c r="BE35" s="161">
        <f>$D35*$K35*VLOOKUP($J35,'Standard data'!$B$210:$D$286,3,FALSE)</f>
        <v>0</v>
      </c>
      <c r="BF35" s="233">
        <f t="shared" si="6"/>
        <v>0</v>
      </c>
      <c r="BG35" s="160">
        <f>$O35*$D35*'Standard data'!$F$296</f>
        <v>0</v>
      </c>
      <c r="BH35" s="161">
        <f>$P35*'Standard data'!$C$298*'Standard data'!$D$298*$D35</f>
        <v>0</v>
      </c>
      <c r="BI35" s="161">
        <f>$Q35*$D35*'Standard data'!$F$297</f>
        <v>0</v>
      </c>
      <c r="BJ35" s="162">
        <f>$R35*$D35*'Standard data'!$F$299</f>
        <v>0</v>
      </c>
      <c r="BK35" s="233">
        <f t="shared" si="5"/>
        <v>0</v>
      </c>
      <c r="BL35" s="233">
        <f>$S35*$D35*VLOOKUP($C35,CropsRef!$B$8:$Z$157,20,FALSE)</f>
        <v>0</v>
      </c>
      <c r="BM35" s="233">
        <f>$D35*$U35*VLOOKUP($T35,'Standard data'!$B$307:$P$309,7,FALSE)</f>
        <v>0</v>
      </c>
      <c r="BN35" s="72"/>
      <c r="BO35" s="32"/>
    </row>
    <row r="36" spans="2:67" ht="18" customHeight="1">
      <c r="B36" s="142">
        <v>20</v>
      </c>
      <c r="C36" s="142" t="s">
        <v>858</v>
      </c>
      <c r="D36" s="142"/>
      <c r="E36" s="189"/>
      <c r="F36" s="199" t="s">
        <v>913</v>
      </c>
      <c r="G36" s="142"/>
      <c r="H36" s="142" t="s">
        <v>241</v>
      </c>
      <c r="I36" s="142"/>
      <c r="J36" s="142" t="s">
        <v>930</v>
      </c>
      <c r="K36" s="205"/>
      <c r="L36" s="199" t="s">
        <v>60</v>
      </c>
      <c r="M36" s="142" t="s">
        <v>369</v>
      </c>
      <c r="N36" s="205"/>
      <c r="O36" s="199">
        <v>0</v>
      </c>
      <c r="P36" s="142">
        <v>0</v>
      </c>
      <c r="Q36" s="142">
        <v>0</v>
      </c>
      <c r="R36" s="205">
        <v>0</v>
      </c>
      <c r="S36" s="203">
        <v>0</v>
      </c>
      <c r="T36" s="199" t="s">
        <v>499</v>
      </c>
      <c r="U36" s="205"/>
      <c r="V36" s="199" t="s">
        <v>58</v>
      </c>
      <c r="W36" s="142" t="s">
        <v>57</v>
      </c>
      <c r="X36" s="205" t="s">
        <v>59</v>
      </c>
      <c r="Y36" s="199" t="s">
        <v>57</v>
      </c>
      <c r="Z36" s="205" t="s">
        <v>57</v>
      </c>
      <c r="AA36" s="32"/>
      <c r="AB36" s="160">
        <f>D36*G36*VLOOKUP(F36,'Standard data'!$B$210:$E$286,2,FALSE)*44/28</f>
        <v>0</v>
      </c>
      <c r="AC36" s="161">
        <f>$N36*$D36*'Standard data'!$C$13*44/28</f>
        <v>0</v>
      </c>
      <c r="AD36" s="161">
        <v>0</v>
      </c>
      <c r="AE36" s="161">
        <f>$D$17*'Standard data'!$C$24*44/28*$AD36</f>
        <v>0</v>
      </c>
      <c r="AF36" s="161">
        <v>0</v>
      </c>
      <c r="AG36" s="161">
        <f>$D$17*'Standard data'!$C$28*44/28*$AF36</f>
        <v>0</v>
      </c>
      <c r="AH36" s="161">
        <f t="shared" si="0"/>
        <v>0</v>
      </c>
      <c r="AI36" s="162">
        <f>IF(AND($Y36="yes",$Z36="yes"),$D36*'Standard data'!$C$16*44/28,0)</f>
        <v>0</v>
      </c>
      <c r="AJ36" s="160">
        <f>VLOOKUP(C36,CropsRef!$B$8:$Z$157,24,FALSE)</f>
        <v>0</v>
      </c>
      <c r="AK36" s="161">
        <f>VLOOKUP(C36,CropsRef!$B$8:$Z$157,13,FALSE)</f>
        <v>0</v>
      </c>
      <c r="AL36" s="161">
        <f>VLOOKUP($C36,CropsRef!$B$8:$Z$157,14,FALSE)</f>
        <v>0</v>
      </c>
      <c r="AM36" s="161">
        <f>VLOOKUP($C36,CropsRef!$B$8:$Z$157,15,FALSE)</f>
        <v>0</v>
      </c>
      <c r="AN36" s="161">
        <v>1</v>
      </c>
      <c r="AO36" s="161">
        <f t="shared" si="1"/>
        <v>0</v>
      </c>
      <c r="AP36" s="161">
        <f>VLOOKUP($C36,CropsRef!$B$8:$Z$157,16,FALSE)</f>
        <v>0</v>
      </c>
      <c r="AQ36" s="161">
        <f>VLOOKUP($C36,CropsRef!$B$8:$Z$157,17,FALSE)</f>
        <v>0</v>
      </c>
      <c r="AR36" s="161">
        <f>VLOOKUP($C36,CropsRef!$B$8:$Z$157,9,FALSE)</f>
        <v>0</v>
      </c>
      <c r="AS36" s="161">
        <f>AK36*(E36*AR36)+AL36</f>
        <v>0</v>
      </c>
      <c r="AT36" s="161">
        <f>D36*AP36*AS36*(1-AO36)*AN36</f>
        <v>0</v>
      </c>
      <c r="AU36" s="161">
        <f>AT36*1000*'Standard data'!$C$14*44/28</f>
        <v>0</v>
      </c>
      <c r="AV36" s="161">
        <f>D36*AQ36*AM36*(E36*AR36+(AK36*E36*AR36+AL36))*AN36</f>
        <v>0</v>
      </c>
      <c r="AW36" s="161">
        <f>AV36*'Standard data'!$C$14*44/28*1000</f>
        <v>0</v>
      </c>
      <c r="AX36" s="161">
        <f t="shared" si="2"/>
        <v>0</v>
      </c>
      <c r="AY36" s="161" t="str">
        <f>IF($V36="burnt",$AS36*$AJ36*'Standard data'!$D$199*$D36,"0")</f>
        <v>0</v>
      </c>
      <c r="AZ36" s="161" t="str">
        <f>IF($V36="burnt",$AS36*$AJ36*'Standard data'!$C$199*$D36,"0")</f>
        <v>0</v>
      </c>
      <c r="BA36" s="233">
        <f t="shared" si="3"/>
        <v>0</v>
      </c>
      <c r="BB36" s="233" t="str">
        <f t="shared" si="4"/>
        <v>0</v>
      </c>
      <c r="BC36" s="160">
        <f>$D36*$G36*VLOOKUP($F36,'Standard data'!$B$210:$D$286,3,FALSE)</f>
        <v>0</v>
      </c>
      <c r="BD36" s="161">
        <f>$D36*$I36*VLOOKUP($H36,'Standard data'!$B$210:$D$286,3,FALSE)</f>
        <v>0</v>
      </c>
      <c r="BE36" s="161">
        <f>$D36*$K36*VLOOKUP($J36,'Standard data'!$B$210:$D$286,3,FALSE)</f>
        <v>0</v>
      </c>
      <c r="BF36" s="233">
        <f t="shared" si="6"/>
        <v>0</v>
      </c>
      <c r="BG36" s="160">
        <f>$O36*$D36*'Standard data'!$F$296</f>
        <v>0</v>
      </c>
      <c r="BH36" s="161">
        <f>$P36*'Standard data'!$C$298*'Standard data'!$D$298*$D36</f>
        <v>0</v>
      </c>
      <c r="BI36" s="161">
        <f>$Q36*$D36*'Standard data'!$F$297</f>
        <v>0</v>
      </c>
      <c r="BJ36" s="162">
        <f>$R36*$D36*'Standard data'!$F$299</f>
        <v>0</v>
      </c>
      <c r="BK36" s="233">
        <f t="shared" si="5"/>
        <v>0</v>
      </c>
      <c r="BL36" s="233">
        <f>$S36*$D36*VLOOKUP($C36,CropsRef!$B$8:$Z$157,20,FALSE)</f>
        <v>0</v>
      </c>
      <c r="BM36" s="233">
        <f>$D36*$U36*VLOOKUP($T36,'Standard data'!$B$307:$P$309,7,FALSE)</f>
        <v>0</v>
      </c>
      <c r="BN36" s="72"/>
      <c r="BO36" s="32"/>
    </row>
    <row r="37" spans="2:67" ht="18" customHeight="1">
      <c r="B37" s="142">
        <v>21</v>
      </c>
      <c r="C37" s="142" t="s">
        <v>858</v>
      </c>
      <c r="D37" s="142"/>
      <c r="E37" s="189"/>
      <c r="F37" s="199" t="s">
        <v>913</v>
      </c>
      <c r="G37" s="142"/>
      <c r="H37" s="142" t="s">
        <v>241</v>
      </c>
      <c r="I37" s="142"/>
      <c r="J37" s="142" t="s">
        <v>930</v>
      </c>
      <c r="K37" s="205"/>
      <c r="L37" s="199" t="s">
        <v>60</v>
      </c>
      <c r="M37" s="142" t="s">
        <v>369</v>
      </c>
      <c r="N37" s="205"/>
      <c r="O37" s="199">
        <v>0</v>
      </c>
      <c r="P37" s="142">
        <v>0</v>
      </c>
      <c r="Q37" s="142">
        <v>0</v>
      </c>
      <c r="R37" s="205">
        <v>0</v>
      </c>
      <c r="S37" s="203">
        <v>0</v>
      </c>
      <c r="T37" s="199" t="s">
        <v>499</v>
      </c>
      <c r="U37" s="205"/>
      <c r="V37" s="199" t="s">
        <v>58</v>
      </c>
      <c r="W37" s="142" t="s">
        <v>57</v>
      </c>
      <c r="X37" s="205" t="s">
        <v>59</v>
      </c>
      <c r="Y37" s="199" t="s">
        <v>57</v>
      </c>
      <c r="Z37" s="205" t="s">
        <v>57</v>
      </c>
      <c r="AA37" s="32"/>
      <c r="AB37" s="160">
        <f>D37*G37*VLOOKUP(F37,'Standard data'!$B$210:$E$286,2,FALSE)*44/28</f>
        <v>0</v>
      </c>
      <c r="AC37" s="161">
        <f>$N37*$D37*'Standard data'!$C$13*44/28</f>
        <v>0</v>
      </c>
      <c r="AD37" s="161">
        <v>0</v>
      </c>
      <c r="AE37" s="161">
        <f>$D$17*'Standard data'!$C$24*44/28*$AD37</f>
        <v>0</v>
      </c>
      <c r="AF37" s="161">
        <v>0</v>
      </c>
      <c r="AG37" s="161">
        <f>$D$17*'Standard data'!$C$28*44/28*$AF37</f>
        <v>0</v>
      </c>
      <c r="AH37" s="161">
        <f t="shared" si="0"/>
        <v>0</v>
      </c>
      <c r="AI37" s="162">
        <f>IF(AND($Y37="yes",$Z37="yes"),$D37*'Standard data'!$C$16*44/28,0)</f>
        <v>0</v>
      </c>
      <c r="AJ37" s="160">
        <f>VLOOKUP(C37,CropsRef!$B$8:$Z$157,24,FALSE)</f>
        <v>0</v>
      </c>
      <c r="AK37" s="161">
        <f>VLOOKUP(C37,CropsRef!$B$8:$Z$157,13,FALSE)</f>
        <v>0</v>
      </c>
      <c r="AL37" s="161">
        <f>VLOOKUP($C37,CropsRef!$B$8:$Z$157,14,FALSE)</f>
        <v>0</v>
      </c>
      <c r="AM37" s="161">
        <f>VLOOKUP($C37,CropsRef!$B$8:$Z$157,15,FALSE)</f>
        <v>0</v>
      </c>
      <c r="AN37" s="161">
        <v>1</v>
      </c>
      <c r="AO37" s="161">
        <f t="shared" si="1"/>
        <v>0</v>
      </c>
      <c r="AP37" s="161">
        <f>VLOOKUP($C37,CropsRef!$B$8:$Z$157,16,FALSE)</f>
        <v>0</v>
      </c>
      <c r="AQ37" s="161">
        <f>VLOOKUP($C37,CropsRef!$B$8:$Z$157,17,FALSE)</f>
        <v>0</v>
      </c>
      <c r="AR37" s="161">
        <f>VLOOKUP($C37,CropsRef!$B$8:$Z$157,9,FALSE)</f>
        <v>0</v>
      </c>
      <c r="AS37" s="161">
        <f>AK37*(E37*AR37)+AL37</f>
        <v>0</v>
      </c>
      <c r="AT37" s="161">
        <f>D37*AP37*AS37*(1-AO37)*AN37</f>
        <v>0</v>
      </c>
      <c r="AU37" s="161">
        <f>AT37*1000*'Standard data'!$C$14*44/28</f>
        <v>0</v>
      </c>
      <c r="AV37" s="161">
        <f>D37*AQ37*AM37*(E37*AR37+(AK37*E37*AR37+AL37))*AN37</f>
        <v>0</v>
      </c>
      <c r="AW37" s="161">
        <f>AV37*'Standard data'!$C$14*44/28*1000</f>
        <v>0</v>
      </c>
      <c r="AX37" s="161">
        <f t="shared" si="2"/>
        <v>0</v>
      </c>
      <c r="AY37" s="161" t="str">
        <f>IF($V37="burnt",$AS37*$AJ37*'Standard data'!$D$199*$D37,"0")</f>
        <v>0</v>
      </c>
      <c r="AZ37" s="161" t="str">
        <f>IF($V37="burnt",$AS37*$AJ37*'Standard data'!$C$199*$D37,"0")</f>
        <v>0</v>
      </c>
      <c r="BA37" s="233">
        <f t="shared" si="3"/>
        <v>0</v>
      </c>
      <c r="BB37" s="233" t="str">
        <f t="shared" si="4"/>
        <v>0</v>
      </c>
      <c r="BC37" s="160">
        <f>$D37*$G37*VLOOKUP($F37,'Standard data'!$B$210:$D$286,3,FALSE)</f>
        <v>0</v>
      </c>
      <c r="BD37" s="161">
        <f>$D37*$I37*VLOOKUP($H37,'Standard data'!$B$210:$D$286,3,FALSE)</f>
        <v>0</v>
      </c>
      <c r="BE37" s="161">
        <f>$D37*$K37*VLOOKUP($J37,'Standard data'!$B$210:$D$286,3,FALSE)</f>
        <v>0</v>
      </c>
      <c r="BF37" s="233">
        <f t="shared" si="6"/>
        <v>0</v>
      </c>
      <c r="BG37" s="160">
        <f>$O37*$D37*'Standard data'!$F$296</f>
        <v>0</v>
      </c>
      <c r="BH37" s="161">
        <f>$P37*'Standard data'!$C$298*'Standard data'!$D$298*$D37</f>
        <v>0</v>
      </c>
      <c r="BI37" s="161">
        <f>$Q37*$D37*'Standard data'!$F$297</f>
        <v>0</v>
      </c>
      <c r="BJ37" s="162">
        <f>$R37*$D37*'Standard data'!$F$299</f>
        <v>0</v>
      </c>
      <c r="BK37" s="233">
        <f t="shared" si="5"/>
        <v>0</v>
      </c>
      <c r="BL37" s="233">
        <f>$S37*$D37*VLOOKUP($C37,CropsRef!$B$8:$Z$157,20,FALSE)</f>
        <v>0</v>
      </c>
      <c r="BM37" s="233">
        <f>$D37*$U37*VLOOKUP($T37,'Standard data'!$B$307:$P$309,7,FALSE)</f>
        <v>0</v>
      </c>
      <c r="BN37" s="72"/>
      <c r="BO37" s="32"/>
    </row>
    <row r="38" spans="2:67" ht="18" customHeight="1">
      <c r="B38" s="142">
        <v>22</v>
      </c>
      <c r="C38" s="142" t="s">
        <v>858</v>
      </c>
      <c r="D38" s="142"/>
      <c r="E38" s="189"/>
      <c r="F38" s="199" t="s">
        <v>913</v>
      </c>
      <c r="G38" s="142"/>
      <c r="H38" s="142" t="s">
        <v>241</v>
      </c>
      <c r="I38" s="142"/>
      <c r="J38" s="142" t="s">
        <v>930</v>
      </c>
      <c r="K38" s="205"/>
      <c r="L38" s="199" t="s">
        <v>60</v>
      </c>
      <c r="M38" s="142" t="s">
        <v>369</v>
      </c>
      <c r="N38" s="205"/>
      <c r="O38" s="199">
        <v>0</v>
      </c>
      <c r="P38" s="142">
        <v>0</v>
      </c>
      <c r="Q38" s="142">
        <v>0</v>
      </c>
      <c r="R38" s="205">
        <v>0</v>
      </c>
      <c r="S38" s="203">
        <v>0</v>
      </c>
      <c r="T38" s="199" t="s">
        <v>499</v>
      </c>
      <c r="U38" s="205"/>
      <c r="V38" s="199" t="s">
        <v>58</v>
      </c>
      <c r="W38" s="142" t="s">
        <v>57</v>
      </c>
      <c r="X38" s="205" t="s">
        <v>59</v>
      </c>
      <c r="Y38" s="199" t="s">
        <v>57</v>
      </c>
      <c r="Z38" s="205" t="s">
        <v>57</v>
      </c>
      <c r="AA38" s="32"/>
      <c r="AB38" s="160">
        <f>D38*G38*VLOOKUP(F38,'Standard data'!$B$210:$E$286,2,FALSE)*44/28</f>
        <v>0</v>
      </c>
      <c r="AC38" s="161">
        <f>$N38*$D38*'Standard data'!$C$13*44/28</f>
        <v>0</v>
      </c>
      <c r="AD38" s="161">
        <v>0</v>
      </c>
      <c r="AE38" s="161">
        <f>$D$17*'Standard data'!$C$24*44/28*$AD38</f>
        <v>0</v>
      </c>
      <c r="AF38" s="161">
        <v>0</v>
      </c>
      <c r="AG38" s="161">
        <f>$D$17*'Standard data'!$C$28*44/28*$AF38</f>
        <v>0</v>
      </c>
      <c r="AH38" s="161">
        <f t="shared" si="0"/>
        <v>0</v>
      </c>
      <c r="AI38" s="162">
        <f>IF(AND($Y38="yes",$Z38="yes"),$D38*'Standard data'!$C$16*44/28,0)</f>
        <v>0</v>
      </c>
      <c r="AJ38" s="160">
        <f>VLOOKUP(C38,CropsRef!$B$8:$Z$157,24,FALSE)</f>
        <v>0</v>
      </c>
      <c r="AK38" s="161">
        <f>VLOOKUP(C38,CropsRef!$B$8:$Z$157,13,FALSE)</f>
        <v>0</v>
      </c>
      <c r="AL38" s="161">
        <f>VLOOKUP($C38,CropsRef!$B$8:$Z$157,14,FALSE)</f>
        <v>0</v>
      </c>
      <c r="AM38" s="161">
        <f>VLOOKUP($C38,CropsRef!$B$8:$Z$157,15,FALSE)</f>
        <v>0</v>
      </c>
      <c r="AN38" s="161">
        <v>1</v>
      </c>
      <c r="AO38" s="161">
        <f t="shared" si="1"/>
        <v>0</v>
      </c>
      <c r="AP38" s="161">
        <f>VLOOKUP($C38,CropsRef!$B$8:$Z$157,16,FALSE)</f>
        <v>0</v>
      </c>
      <c r="AQ38" s="161">
        <f>VLOOKUP($C38,CropsRef!$B$8:$Z$157,17,FALSE)</f>
        <v>0</v>
      </c>
      <c r="AR38" s="161">
        <f>VLOOKUP($C38,CropsRef!$B$8:$Z$157,9,FALSE)</f>
        <v>0</v>
      </c>
      <c r="AS38" s="161">
        <f>AK38*(E38*AR38)+AL38</f>
        <v>0</v>
      </c>
      <c r="AT38" s="161">
        <f>D38*AP38*AS38*(1-AO38)*AN38</f>
        <v>0</v>
      </c>
      <c r="AU38" s="161">
        <f>AT38*1000*'Standard data'!$C$14*44/28</f>
        <v>0</v>
      </c>
      <c r="AV38" s="161">
        <f>D38*AQ38*AM38*(E38*AR38+(AK38*E38*AR38+AL38))*AN38</f>
        <v>0</v>
      </c>
      <c r="AW38" s="161">
        <f>AV38*'Standard data'!$C$14*44/28*1000</f>
        <v>0</v>
      </c>
      <c r="AX38" s="161">
        <f t="shared" si="2"/>
        <v>0</v>
      </c>
      <c r="AY38" s="161" t="str">
        <f>IF($V38="burnt",$AS38*$AJ38*'Standard data'!$D$199*$D38,"0")</f>
        <v>0</v>
      </c>
      <c r="AZ38" s="161" t="str">
        <f>IF($V38="burnt",$AS38*$AJ38*'Standard data'!$C$199*$D38,"0")</f>
        <v>0</v>
      </c>
      <c r="BA38" s="233">
        <f t="shared" si="3"/>
        <v>0</v>
      </c>
      <c r="BB38" s="233" t="str">
        <f t="shared" si="4"/>
        <v>0</v>
      </c>
      <c r="BC38" s="160">
        <f>$D38*$G38*VLOOKUP($F38,'Standard data'!$B$210:$D$286,3,FALSE)</f>
        <v>0</v>
      </c>
      <c r="BD38" s="161">
        <f>$D38*$I38*VLOOKUP($H38,'Standard data'!$B$210:$D$286,3,FALSE)</f>
        <v>0</v>
      </c>
      <c r="BE38" s="161">
        <f>$D38*$K38*VLOOKUP($J38,'Standard data'!$B$210:$D$286,3,FALSE)</f>
        <v>0</v>
      </c>
      <c r="BF38" s="233">
        <f t="shared" si="6"/>
        <v>0</v>
      </c>
      <c r="BG38" s="160">
        <f>$O38*$D38*'Standard data'!$F$296</f>
        <v>0</v>
      </c>
      <c r="BH38" s="161">
        <f>$P38*'Standard data'!$C$298*'Standard data'!$D$298*$D38</f>
        <v>0</v>
      </c>
      <c r="BI38" s="161">
        <f>$Q38*$D38*'Standard data'!$F$297</f>
        <v>0</v>
      </c>
      <c r="BJ38" s="162">
        <f>$R38*$D38*'Standard data'!$F$299</f>
        <v>0</v>
      </c>
      <c r="BK38" s="233">
        <f t="shared" si="5"/>
        <v>0</v>
      </c>
      <c r="BL38" s="233">
        <f>$S38*$D38*VLOOKUP($C38,CropsRef!$B$8:$Z$157,20,FALSE)</f>
        <v>0</v>
      </c>
      <c r="BM38" s="233">
        <f>$D38*$U38*VLOOKUP($T38,'Standard data'!$B$307:$P$309,7,FALSE)</f>
        <v>0</v>
      </c>
      <c r="BN38" s="72"/>
      <c r="BO38" s="32"/>
    </row>
    <row r="39" spans="2:67" ht="18" customHeight="1" thickBot="1">
      <c r="B39" s="142">
        <v>23</v>
      </c>
      <c r="C39" s="142" t="s">
        <v>858</v>
      </c>
      <c r="D39" s="142"/>
      <c r="E39" s="189"/>
      <c r="F39" s="199" t="s">
        <v>913</v>
      </c>
      <c r="G39" s="142"/>
      <c r="H39" s="142" t="s">
        <v>241</v>
      </c>
      <c r="I39" s="142"/>
      <c r="J39" s="142" t="s">
        <v>930</v>
      </c>
      <c r="K39" s="205"/>
      <c r="L39" s="199" t="s">
        <v>60</v>
      </c>
      <c r="M39" s="142" t="s">
        <v>369</v>
      </c>
      <c r="N39" s="205"/>
      <c r="O39" s="199">
        <v>0</v>
      </c>
      <c r="P39" s="142">
        <v>0</v>
      </c>
      <c r="Q39" s="142">
        <v>0</v>
      </c>
      <c r="R39" s="205">
        <v>0</v>
      </c>
      <c r="S39" s="203">
        <v>0</v>
      </c>
      <c r="T39" s="199" t="s">
        <v>499</v>
      </c>
      <c r="U39" s="205"/>
      <c r="V39" s="199" t="s">
        <v>58</v>
      </c>
      <c r="W39" s="142" t="s">
        <v>57</v>
      </c>
      <c r="X39" s="205" t="s">
        <v>59</v>
      </c>
      <c r="Y39" s="199" t="s">
        <v>57</v>
      </c>
      <c r="Z39" s="205" t="s">
        <v>57</v>
      </c>
      <c r="AA39" s="32"/>
      <c r="AB39" s="160">
        <f>D39*G39*VLOOKUP(F39,'Standard data'!$B$210:$E$286,2,FALSE)*44/28</f>
        <v>0</v>
      </c>
      <c r="AC39" s="161">
        <f>$N39*$D39*'Standard data'!$C$13*44/28</f>
        <v>0</v>
      </c>
      <c r="AD39" s="161">
        <v>0</v>
      </c>
      <c r="AE39" s="161">
        <f>$D$17*'Standard data'!$C$24*44/28*$AD39</f>
        <v>0</v>
      </c>
      <c r="AF39" s="161">
        <v>0</v>
      </c>
      <c r="AG39" s="161">
        <f>$D$17*'Standard data'!$C$28*44/28*$AF39</f>
        <v>0</v>
      </c>
      <c r="AH39" s="161">
        <f t="shared" si="0"/>
        <v>0</v>
      </c>
      <c r="AI39" s="162">
        <f>IF(AND($Y39="yes",$Z39="yes"),$D39*'Standard data'!$C$16*44/28,0)</f>
        <v>0</v>
      </c>
      <c r="AJ39" s="160">
        <f>VLOOKUP(C39,CropsRef!$B$8:$Z$157,24,FALSE)</f>
        <v>0</v>
      </c>
      <c r="AK39" s="161">
        <f>VLOOKUP(C39,CropsRef!$B$8:$Z$157,13,FALSE)</f>
        <v>0</v>
      </c>
      <c r="AL39" s="161">
        <f>VLOOKUP($C39,CropsRef!$B$8:$Z$157,14,FALSE)</f>
        <v>0</v>
      </c>
      <c r="AM39" s="161">
        <f>VLOOKUP($C39,CropsRef!$B$8:$Z$157,15,FALSE)</f>
        <v>0</v>
      </c>
      <c r="AN39" s="161">
        <v>1</v>
      </c>
      <c r="AO39" s="161">
        <f t="shared" si="1"/>
        <v>0</v>
      </c>
      <c r="AP39" s="161">
        <f>VLOOKUP($C39,CropsRef!$B$8:$Z$157,16,FALSE)</f>
        <v>0</v>
      </c>
      <c r="AQ39" s="161">
        <f>VLOOKUP($C39,CropsRef!$B$8:$Z$157,17,FALSE)</f>
        <v>0</v>
      </c>
      <c r="AR39" s="161">
        <f>VLOOKUP($C39,CropsRef!$B$8:$Z$157,9,FALSE)</f>
        <v>0</v>
      </c>
      <c r="AS39" s="161">
        <f>AK39*(E39*AR39)+AL39</f>
        <v>0</v>
      </c>
      <c r="AT39" s="161">
        <f>D39*AP39*AS39*(1-AO39)*AN39</f>
        <v>0</v>
      </c>
      <c r="AU39" s="161">
        <f>AT39*1000*'Standard data'!$C$14*44/28</f>
        <v>0</v>
      </c>
      <c r="AV39" s="161">
        <f>D39*AQ39*AM39*(E39*AR39+(AK39*E39*AR39+AL39))*AN39</f>
        <v>0</v>
      </c>
      <c r="AW39" s="161">
        <f>AV39*'Standard data'!$C$14*44/28*1000</f>
        <v>0</v>
      </c>
      <c r="AX39" s="161">
        <f t="shared" si="2"/>
        <v>0</v>
      </c>
      <c r="AY39" s="161" t="str">
        <f>IF($V39="burnt",$AS39*$AJ39*'Standard data'!$D$199*$D39,"0")</f>
        <v>0</v>
      </c>
      <c r="AZ39" s="161" t="str">
        <f>IF($V39="burnt",$AS39*$AJ39*'Standard data'!$C$199*$D39,"0")</f>
        <v>0</v>
      </c>
      <c r="BA39" s="325">
        <f t="shared" si="3"/>
        <v>0</v>
      </c>
      <c r="BB39" s="325" t="str">
        <f t="shared" si="4"/>
        <v>0</v>
      </c>
      <c r="BC39" s="160">
        <f>$D39*$G39*VLOOKUP($F39,'Standard data'!$B$210:$D$286,3,FALSE)</f>
        <v>0</v>
      </c>
      <c r="BD39" s="161">
        <f>$D39*$I39*VLOOKUP($H39,'Standard data'!$B$210:$D$286,3,FALSE)</f>
        <v>0</v>
      </c>
      <c r="BE39" s="161">
        <f>$D39*$K39*VLOOKUP($J39,'Standard data'!$B$210:$D$286,3,FALSE)</f>
        <v>0</v>
      </c>
      <c r="BF39" s="233">
        <f t="shared" si="6"/>
        <v>0</v>
      </c>
      <c r="BG39" s="160">
        <f>$O39*$D39*'Standard data'!$F$296</f>
        <v>0</v>
      </c>
      <c r="BH39" s="161">
        <f>$P39*'Standard data'!$C$298*'Standard data'!$D$298*$D39</f>
        <v>0</v>
      </c>
      <c r="BI39" s="161">
        <f>$Q39*$D39*'Standard data'!$F$297</f>
        <v>0</v>
      </c>
      <c r="BJ39" s="162">
        <f>$R39*$D39*'Standard data'!$F$299</f>
        <v>0</v>
      </c>
      <c r="BK39" s="325">
        <f t="shared" si="5"/>
        <v>0</v>
      </c>
      <c r="BL39" s="325">
        <f>$S39*$D39*VLOOKUP($C39,CropsRef!$B$8:$Z$157,20,FALSE)</f>
        <v>0</v>
      </c>
      <c r="BM39" s="325">
        <f>$D39*$U39*VLOOKUP($T39,'Standard data'!$B$307:$P$309,7,FALSE)</f>
        <v>0</v>
      </c>
      <c r="BN39" s="72"/>
      <c r="BO39" s="32"/>
    </row>
    <row r="40" spans="2:67" s="39" customFormat="1" ht="18" customHeight="1" thickBot="1">
      <c r="B40" s="241">
        <v>24</v>
      </c>
      <c r="C40" s="142" t="s">
        <v>858</v>
      </c>
      <c r="D40" s="241"/>
      <c r="E40" s="250"/>
      <c r="F40" s="199" t="s">
        <v>913</v>
      </c>
      <c r="G40" s="241"/>
      <c r="H40" s="142" t="s">
        <v>241</v>
      </c>
      <c r="I40" s="241"/>
      <c r="J40" s="142" t="s">
        <v>930</v>
      </c>
      <c r="K40" s="253"/>
      <c r="L40" s="252"/>
      <c r="M40" s="241"/>
      <c r="N40" s="253"/>
      <c r="O40" s="252"/>
      <c r="P40" s="241"/>
      <c r="Q40" s="241"/>
      <c r="R40" s="253"/>
      <c r="S40" s="266"/>
      <c r="T40" s="252"/>
      <c r="U40" s="253"/>
      <c r="V40" s="252"/>
      <c r="W40" s="241"/>
      <c r="X40" s="253"/>
      <c r="Y40" s="252"/>
      <c r="Z40" s="253"/>
      <c r="AA40" s="32"/>
      <c r="AB40" s="160">
        <f>D40*G40*VLOOKUP(F40,'Standard data'!$B$210:$E$286,2,FALSE)*44/28</f>
        <v>0</v>
      </c>
      <c r="AC40" s="161"/>
      <c r="AD40" s="161"/>
      <c r="AE40" s="161"/>
      <c r="AF40" s="161"/>
      <c r="AG40" s="161"/>
      <c r="AH40" s="161"/>
      <c r="AI40" s="162"/>
      <c r="AJ40" s="160"/>
      <c r="AK40" s="161"/>
      <c r="AL40" s="161"/>
      <c r="AM40" s="161"/>
      <c r="AN40" s="161"/>
      <c r="AO40" s="161"/>
      <c r="AP40" s="161"/>
      <c r="AQ40" s="161"/>
      <c r="AR40" s="161"/>
      <c r="AS40" s="161"/>
      <c r="AT40" s="161"/>
      <c r="AU40" s="161"/>
      <c r="AV40" s="161"/>
      <c r="AW40" s="161"/>
      <c r="AX40" s="161"/>
      <c r="AY40" s="161"/>
      <c r="AZ40" s="233" t="s">
        <v>718</v>
      </c>
      <c r="BA40" s="326">
        <f>SUM(BA17:BA39)</f>
        <v>0</v>
      </c>
      <c r="BB40" s="326">
        <f>SUM(BB17:BB39)</f>
        <v>0</v>
      </c>
      <c r="BC40" s="160"/>
      <c r="BD40" s="161"/>
      <c r="BE40" s="161"/>
      <c r="BF40" s="326">
        <f>SUM(BF17:BF39)</f>
        <v>0</v>
      </c>
      <c r="BG40" s="160"/>
      <c r="BH40" s="161"/>
      <c r="BI40" s="161"/>
      <c r="BJ40" s="233" t="s">
        <v>718</v>
      </c>
      <c r="BK40" s="326">
        <f>SUM(BK17:BK39)</f>
        <v>0</v>
      </c>
      <c r="BL40" s="326">
        <f>SUM(BL17:BL39)</f>
        <v>0</v>
      </c>
      <c r="BM40" s="326">
        <f>SUM(BM17:BM39)</f>
        <v>0</v>
      </c>
      <c r="BN40" s="72"/>
    </row>
    <row r="41" spans="2:67" s="67" customFormat="1" ht="18" customHeight="1">
      <c r="C41" s="242"/>
      <c r="D41" s="243"/>
      <c r="E41" s="243"/>
      <c r="F41" s="254"/>
      <c r="G41" s="244"/>
      <c r="H41" s="244"/>
      <c r="I41" s="244"/>
      <c r="J41" s="244"/>
      <c r="K41" s="270"/>
      <c r="L41" s="261"/>
      <c r="M41" s="245"/>
      <c r="N41" s="269"/>
      <c r="O41" s="261"/>
      <c r="P41" s="245"/>
      <c r="Q41" s="245"/>
      <c r="R41" s="255"/>
      <c r="S41" s="267"/>
      <c r="T41" s="261"/>
      <c r="U41" s="255"/>
      <c r="V41" s="263"/>
      <c r="W41" s="245"/>
      <c r="X41" s="264"/>
      <c r="Y41" s="261"/>
      <c r="Z41" s="255"/>
      <c r="AA41" s="32"/>
      <c r="AB41" s="160"/>
      <c r="AC41" s="161"/>
      <c r="AD41" s="161"/>
      <c r="AE41" s="161"/>
      <c r="AF41" s="161"/>
      <c r="AG41" s="161"/>
      <c r="AH41" s="161"/>
      <c r="AI41" s="162"/>
      <c r="AJ41" s="160"/>
      <c r="AK41" s="161"/>
      <c r="AL41" s="161"/>
      <c r="AM41" s="161"/>
      <c r="AN41" s="161"/>
      <c r="AO41" s="161"/>
      <c r="AP41" s="161"/>
      <c r="AQ41" s="161"/>
      <c r="AR41" s="161"/>
      <c r="AS41" s="161"/>
      <c r="AT41" s="161"/>
      <c r="AU41" s="161"/>
      <c r="AV41" s="161"/>
      <c r="AW41" s="161"/>
      <c r="AX41" s="161"/>
      <c r="AY41" s="161"/>
      <c r="AZ41" s="161"/>
      <c r="BA41" s="291"/>
      <c r="BB41" s="291"/>
      <c r="BC41" s="160"/>
      <c r="BD41" s="161"/>
      <c r="BE41" s="161"/>
      <c r="BF41" s="291"/>
      <c r="BG41" s="160"/>
      <c r="BH41" s="161"/>
      <c r="BI41" s="161"/>
      <c r="BJ41" s="162"/>
      <c r="BK41" s="291"/>
      <c r="BL41" s="291"/>
      <c r="BM41" s="291"/>
      <c r="BN41" s="72"/>
    </row>
    <row r="42" spans="2:67" s="67" customFormat="1" ht="18" customHeight="1">
      <c r="B42" s="246" t="s">
        <v>588</v>
      </c>
      <c r="D42" s="243"/>
      <c r="E42" s="243"/>
      <c r="F42" s="254"/>
      <c r="G42" s="244"/>
      <c r="H42" s="244"/>
      <c r="I42" s="244"/>
      <c r="J42" s="244"/>
      <c r="K42" s="270"/>
      <c r="L42" s="261"/>
      <c r="M42" s="245"/>
      <c r="N42" s="269"/>
      <c r="O42" s="261"/>
      <c r="P42" s="245"/>
      <c r="Q42" s="245"/>
      <c r="R42" s="255"/>
      <c r="S42" s="267"/>
      <c r="T42" s="261"/>
      <c r="U42" s="255"/>
      <c r="V42" s="263"/>
      <c r="W42" s="245"/>
      <c r="X42" s="264"/>
      <c r="Y42" s="261"/>
      <c r="Z42" s="255"/>
      <c r="AA42" s="32"/>
      <c r="AB42" s="160"/>
      <c r="AC42" s="161"/>
      <c r="AD42" s="161"/>
      <c r="AE42" s="161"/>
      <c r="AF42" s="161"/>
      <c r="AG42" s="161"/>
      <c r="AH42" s="161"/>
      <c r="AI42" s="162"/>
      <c r="AJ42" s="160"/>
      <c r="AK42" s="161"/>
      <c r="AL42" s="161"/>
      <c r="AM42" s="161"/>
      <c r="AN42" s="161"/>
      <c r="AO42" s="161"/>
      <c r="AP42" s="161"/>
      <c r="AQ42" s="161"/>
      <c r="AR42" s="161"/>
      <c r="AS42" s="161"/>
      <c r="AT42" s="161"/>
      <c r="AU42" s="161"/>
      <c r="AV42" s="161"/>
      <c r="AW42" s="161"/>
      <c r="AX42" s="161"/>
      <c r="AY42" s="161"/>
      <c r="AZ42" s="161"/>
      <c r="BA42" s="233"/>
      <c r="BB42" s="233"/>
      <c r="BC42" s="160"/>
      <c r="BD42" s="161"/>
      <c r="BE42" s="161"/>
      <c r="BF42" s="233"/>
      <c r="BG42" s="160"/>
      <c r="BH42" s="161"/>
      <c r="BI42" s="161"/>
      <c r="BJ42" s="162"/>
      <c r="BK42" s="233"/>
      <c r="BL42" s="233"/>
      <c r="BM42" s="233"/>
      <c r="BN42" s="72"/>
    </row>
    <row r="43" spans="2:67" ht="18" customHeight="1">
      <c r="B43" s="142">
        <v>1</v>
      </c>
      <c r="C43" s="142" t="s">
        <v>834</v>
      </c>
      <c r="D43" s="142"/>
      <c r="E43" s="189"/>
      <c r="F43" s="199" t="s">
        <v>913</v>
      </c>
      <c r="G43" s="142"/>
      <c r="H43" s="142" t="s">
        <v>241</v>
      </c>
      <c r="I43" s="142"/>
      <c r="J43" s="142" t="s">
        <v>930</v>
      </c>
      <c r="K43" s="205"/>
      <c r="L43" s="199" t="s">
        <v>60</v>
      </c>
      <c r="M43" s="142" t="s">
        <v>369</v>
      </c>
      <c r="N43" s="205"/>
      <c r="O43" s="199">
        <v>0</v>
      </c>
      <c r="P43" s="142">
        <v>0</v>
      </c>
      <c r="Q43" s="142">
        <v>0</v>
      </c>
      <c r="R43" s="205">
        <v>0</v>
      </c>
      <c r="S43" s="203">
        <v>0</v>
      </c>
      <c r="T43" s="199" t="s">
        <v>499</v>
      </c>
      <c r="U43" s="205"/>
      <c r="V43" s="199"/>
      <c r="W43" s="142"/>
      <c r="X43" s="205" t="s">
        <v>102</v>
      </c>
      <c r="Y43" s="199" t="s">
        <v>57</v>
      </c>
      <c r="Z43" s="205" t="s">
        <v>57</v>
      </c>
      <c r="AA43" s="32"/>
      <c r="AB43" s="160">
        <f>D43*G43*VLOOKUP(F43,'Standard data'!$B$210:$E$286,2,FALSE)*44/28</f>
        <v>0</v>
      </c>
      <c r="AC43" s="161">
        <f>$N43*$D43*'Standard data'!$C$13*44/28</f>
        <v>0</v>
      </c>
      <c r="AD43" s="161">
        <v>0</v>
      </c>
      <c r="AE43" s="161">
        <f>$D$17*'Standard data'!$C$24*44/28*$AD43</f>
        <v>0</v>
      </c>
      <c r="AF43" s="161">
        <v>0</v>
      </c>
      <c r="AG43" s="161">
        <f>$D$17*'Standard data'!$C$28*44/28*$AF43</f>
        <v>0</v>
      </c>
      <c r="AH43" s="161">
        <f t="shared" ref="AH43:AH53" si="7">AU43+AW43</f>
        <v>0</v>
      </c>
      <c r="AI43" s="162">
        <f>IF(AND($Y43="yes",$Z43="yes"),$D43*'Standard data'!$C$16*44/28,0)</f>
        <v>0</v>
      </c>
      <c r="AJ43" s="160"/>
      <c r="AK43" s="161"/>
      <c r="AL43" s="161"/>
      <c r="AM43" s="161"/>
      <c r="AN43" s="161"/>
      <c r="AO43" s="161"/>
      <c r="AP43" s="161"/>
      <c r="AQ43" s="161"/>
      <c r="AR43" s="161"/>
      <c r="AS43" s="161"/>
      <c r="AT43" s="161"/>
      <c r="AU43" s="161"/>
      <c r="AV43" s="161"/>
      <c r="AW43" s="161"/>
      <c r="AX43" s="161"/>
      <c r="AY43" s="161"/>
      <c r="AZ43" s="161"/>
      <c r="BA43" s="233">
        <f t="shared" ref="BA43:BA53" si="8">SUM(AY43,AI43,AH43,AE43,AC43,AB43)</f>
        <v>0</v>
      </c>
      <c r="BB43" s="233">
        <f t="shared" ref="BB43:BB53" si="9">AZ43</f>
        <v>0</v>
      </c>
      <c r="BC43" s="160">
        <f>$D43*$G43*VLOOKUP($F43,'Standard data'!$B$210:$D$286,3,FALSE)</f>
        <v>0</v>
      </c>
      <c r="BD43" s="161">
        <f>$D43*$I43*VLOOKUP($H43,'Standard data'!$B$210:$D$286,3,FALSE)</f>
        <v>0</v>
      </c>
      <c r="BE43" s="161">
        <f>$D43*$K43*VLOOKUP($J43,'Standard data'!$B$210:$D$286,3,FALSE)</f>
        <v>0</v>
      </c>
      <c r="BF43" s="233">
        <f>SUM(BC43:BE43)</f>
        <v>0</v>
      </c>
      <c r="BG43" s="160">
        <f>$O43*$D43*'Standard data'!$F$296</f>
        <v>0</v>
      </c>
      <c r="BH43" s="161">
        <f>$P43*'Standard data'!$C$298*'Standard data'!$D$298*$D43</f>
        <v>0</v>
      </c>
      <c r="BI43" s="161">
        <f>$Q43*$D43*'Standard data'!$F$297</f>
        <v>0</v>
      </c>
      <c r="BJ43" s="162">
        <f>$R43*$D43*'Standard data'!$F$299</f>
        <v>0</v>
      </c>
      <c r="BK43" s="233">
        <f t="shared" ref="BK43:BK53" si="10">$BG43+$BH43+$BI43+$BJ43</f>
        <v>0</v>
      </c>
      <c r="BL43" s="233">
        <f>$S43*$D43*VLOOKUP($C43,CropsRef!$B$8:$Z$157,20,FALSE)</f>
        <v>0</v>
      </c>
      <c r="BM43" s="233">
        <f>$D43*$U43*VLOOKUP($T43,'Standard data'!$B$307:$P$309,7,FALSE)</f>
        <v>0</v>
      </c>
      <c r="BN43" s="72"/>
      <c r="BO43" s="32"/>
    </row>
    <row r="44" spans="2:67" ht="18" customHeight="1">
      <c r="B44" s="142">
        <v>2</v>
      </c>
      <c r="C44" s="142" t="s">
        <v>834</v>
      </c>
      <c r="D44" s="142"/>
      <c r="E44" s="189"/>
      <c r="F44" s="199" t="s">
        <v>913</v>
      </c>
      <c r="G44" s="142"/>
      <c r="H44" s="142" t="s">
        <v>241</v>
      </c>
      <c r="I44" s="142"/>
      <c r="J44" s="142" t="s">
        <v>930</v>
      </c>
      <c r="K44" s="205"/>
      <c r="L44" s="199" t="s">
        <v>60</v>
      </c>
      <c r="M44" s="142" t="s">
        <v>369</v>
      </c>
      <c r="N44" s="205"/>
      <c r="O44" s="199">
        <v>0</v>
      </c>
      <c r="P44" s="142">
        <v>0</v>
      </c>
      <c r="Q44" s="142">
        <v>0</v>
      </c>
      <c r="R44" s="205">
        <v>0</v>
      </c>
      <c r="S44" s="203">
        <v>0</v>
      </c>
      <c r="T44" s="199" t="s">
        <v>499</v>
      </c>
      <c r="U44" s="205"/>
      <c r="V44" s="199"/>
      <c r="W44" s="142"/>
      <c r="X44" s="205" t="s">
        <v>102</v>
      </c>
      <c r="Y44" s="199" t="s">
        <v>57</v>
      </c>
      <c r="Z44" s="205" t="s">
        <v>57</v>
      </c>
      <c r="AA44" s="32"/>
      <c r="AB44" s="160">
        <f>D44*G44*VLOOKUP(F44,'Standard data'!$B$210:$E$286,2,FALSE)*44/28</f>
        <v>0</v>
      </c>
      <c r="AC44" s="161">
        <f>$N44*$D44*'Standard data'!$C$13*44/28</f>
        <v>0</v>
      </c>
      <c r="AD44" s="161">
        <v>0</v>
      </c>
      <c r="AE44" s="161">
        <f>$D$17*'Standard data'!$C$24*44/28*$AD44</f>
        <v>0</v>
      </c>
      <c r="AF44" s="161">
        <v>0</v>
      </c>
      <c r="AG44" s="161">
        <f>$D$17*'Standard data'!$C$28*44/28*$AF44</f>
        <v>0</v>
      </c>
      <c r="AH44" s="161">
        <f t="shared" si="7"/>
        <v>0</v>
      </c>
      <c r="AI44" s="162">
        <f>IF(AND($Y44="yes",$Z44="yes"),$D44*'Standard data'!$C$16*44/28,0)</f>
        <v>0</v>
      </c>
      <c r="AJ44" s="160"/>
      <c r="AK44" s="161"/>
      <c r="AL44" s="161"/>
      <c r="AM44" s="161"/>
      <c r="AN44" s="161"/>
      <c r="AO44" s="161"/>
      <c r="AP44" s="161"/>
      <c r="AQ44" s="161"/>
      <c r="AR44" s="161"/>
      <c r="AS44" s="161"/>
      <c r="AT44" s="161"/>
      <c r="AU44" s="161"/>
      <c r="AV44" s="161"/>
      <c r="AW44" s="161"/>
      <c r="AX44" s="161"/>
      <c r="AY44" s="161"/>
      <c r="AZ44" s="161"/>
      <c r="BA44" s="233">
        <f t="shared" si="8"/>
        <v>0</v>
      </c>
      <c r="BB44" s="233">
        <f t="shared" si="9"/>
        <v>0</v>
      </c>
      <c r="BC44" s="160">
        <f>$D44*$G44*VLOOKUP($F44,'Standard data'!$B$210:$D$286,3,FALSE)</f>
        <v>0</v>
      </c>
      <c r="BD44" s="161">
        <f>$D44*$I44*VLOOKUP($H44,'Standard data'!$B$210:$D$286,3,FALSE)</f>
        <v>0</v>
      </c>
      <c r="BE44" s="161">
        <f>$D44*$K44*VLOOKUP($J44,'Standard data'!$B$210:$D$286,3,FALSE)</f>
        <v>0</v>
      </c>
      <c r="BF44" s="233">
        <f>SUM(BC44:BE44)</f>
        <v>0</v>
      </c>
      <c r="BG44" s="160">
        <f>$O44*$D44*'Standard data'!$F$296</f>
        <v>0</v>
      </c>
      <c r="BH44" s="161">
        <f>$P44*'Standard data'!$C$298*'Standard data'!$D$298*$D44</f>
        <v>0</v>
      </c>
      <c r="BI44" s="161">
        <f>$Q44*$D44*'Standard data'!$F$297</f>
        <v>0</v>
      </c>
      <c r="BJ44" s="162">
        <f>$R44*$D44*'Standard data'!$F$299</f>
        <v>0</v>
      </c>
      <c r="BK44" s="233">
        <f t="shared" si="10"/>
        <v>0</v>
      </c>
      <c r="BL44" s="233">
        <f>$S44*$D44*VLOOKUP($C44,CropsRef!$B$8:$Z$157,20,FALSE)</f>
        <v>0</v>
      </c>
      <c r="BM44" s="233">
        <f>$D44*$U44*VLOOKUP($T44,'Standard data'!$B$307:$P$309,7,FALSE)</f>
        <v>0</v>
      </c>
      <c r="BN44" s="72"/>
      <c r="BO44" s="32"/>
    </row>
    <row r="45" spans="2:67" ht="18" customHeight="1">
      <c r="B45" s="142">
        <v>3</v>
      </c>
      <c r="C45" s="142" t="s">
        <v>834</v>
      </c>
      <c r="D45" s="142"/>
      <c r="E45" s="189"/>
      <c r="F45" s="199" t="s">
        <v>913</v>
      </c>
      <c r="G45" s="142"/>
      <c r="H45" s="142" t="s">
        <v>241</v>
      </c>
      <c r="I45" s="142"/>
      <c r="J45" s="142" t="s">
        <v>930</v>
      </c>
      <c r="K45" s="205"/>
      <c r="L45" s="199" t="s">
        <v>60</v>
      </c>
      <c r="M45" s="142" t="s">
        <v>369</v>
      </c>
      <c r="N45" s="205"/>
      <c r="O45" s="199">
        <v>0</v>
      </c>
      <c r="P45" s="142">
        <v>0</v>
      </c>
      <c r="Q45" s="142">
        <v>0</v>
      </c>
      <c r="R45" s="205">
        <v>0</v>
      </c>
      <c r="S45" s="203">
        <v>0</v>
      </c>
      <c r="T45" s="199" t="s">
        <v>499</v>
      </c>
      <c r="U45" s="205"/>
      <c r="V45" s="199"/>
      <c r="W45" s="142"/>
      <c r="X45" s="205" t="s">
        <v>102</v>
      </c>
      <c r="Y45" s="199" t="s">
        <v>57</v>
      </c>
      <c r="Z45" s="205" t="s">
        <v>57</v>
      </c>
      <c r="AA45" s="32"/>
      <c r="AB45" s="160">
        <f>D45*G45*VLOOKUP(F45,'Standard data'!$B$210:$E$286,2,FALSE)*44/28</f>
        <v>0</v>
      </c>
      <c r="AC45" s="161">
        <f>$N45*$D45*'Standard data'!$C$13*44/28</f>
        <v>0</v>
      </c>
      <c r="AD45" s="161">
        <v>0</v>
      </c>
      <c r="AE45" s="161">
        <f>$D$17*'Standard data'!$C$24*44/28*$AD45</f>
        <v>0</v>
      </c>
      <c r="AF45" s="161">
        <v>0</v>
      </c>
      <c r="AG45" s="161">
        <f>$D$17*'Standard data'!$C$28*44/28*$AF45</f>
        <v>0</v>
      </c>
      <c r="AH45" s="161">
        <f t="shared" si="7"/>
        <v>0</v>
      </c>
      <c r="AI45" s="162">
        <f>IF(AND($Y45="yes",$Z45="yes"),$D45*'Standard data'!$C$16*44/28,0)</f>
        <v>0</v>
      </c>
      <c r="AJ45" s="160"/>
      <c r="AK45" s="161"/>
      <c r="AL45" s="161"/>
      <c r="AM45" s="161"/>
      <c r="AN45" s="161"/>
      <c r="AO45" s="161"/>
      <c r="AP45" s="161"/>
      <c r="AQ45" s="161"/>
      <c r="AR45" s="161"/>
      <c r="AS45" s="161"/>
      <c r="AT45" s="161"/>
      <c r="AU45" s="161"/>
      <c r="AV45" s="161"/>
      <c r="AW45" s="161"/>
      <c r="AX45" s="161"/>
      <c r="AY45" s="161"/>
      <c r="AZ45" s="161"/>
      <c r="BA45" s="233">
        <f t="shared" si="8"/>
        <v>0</v>
      </c>
      <c r="BB45" s="233">
        <f t="shared" si="9"/>
        <v>0</v>
      </c>
      <c r="BC45" s="160">
        <f>$D45*$G45*VLOOKUP($F45,'Standard data'!$B$210:$D$286,3,FALSE)</f>
        <v>0</v>
      </c>
      <c r="BD45" s="161">
        <f>$D45*$I45*VLOOKUP($H45,'Standard data'!$B$210:$D$286,3,FALSE)</f>
        <v>0</v>
      </c>
      <c r="BE45" s="161">
        <f>$D45*$K45*VLOOKUP($J45,'Standard data'!$B$210:$D$286,3,FALSE)</f>
        <v>0</v>
      </c>
      <c r="BF45" s="233">
        <f>SUM(BC45:BE45)</f>
        <v>0</v>
      </c>
      <c r="BG45" s="160">
        <f>$O45*$D45*'Standard data'!$F$296</f>
        <v>0</v>
      </c>
      <c r="BH45" s="161">
        <f>$P45*'Standard data'!$C$298*'Standard data'!$D$298*$D45</f>
        <v>0</v>
      </c>
      <c r="BI45" s="161">
        <f>$Q45*$D45*'Standard data'!$F$297</f>
        <v>0</v>
      </c>
      <c r="BJ45" s="162">
        <f>$R45*$D45*'Standard data'!$F$299</f>
        <v>0</v>
      </c>
      <c r="BK45" s="233">
        <f t="shared" si="10"/>
        <v>0</v>
      </c>
      <c r="BL45" s="233">
        <f>$S45*$D45*VLOOKUP($C45,CropsRef!$B$8:$Z$157,20,FALSE)</f>
        <v>0</v>
      </c>
      <c r="BM45" s="233">
        <f>$D45*$U45*VLOOKUP($T45,'Standard data'!$B$307:$P$309,7,FALSE)</f>
        <v>0</v>
      </c>
      <c r="BN45" s="72"/>
      <c r="BO45" s="32"/>
    </row>
    <row r="46" spans="2:67" ht="18" customHeight="1">
      <c r="B46" s="142">
        <v>4</v>
      </c>
      <c r="C46" s="142" t="s">
        <v>834</v>
      </c>
      <c r="D46" s="142"/>
      <c r="E46" s="189"/>
      <c r="F46" s="199" t="s">
        <v>913</v>
      </c>
      <c r="G46" s="142"/>
      <c r="H46" s="142" t="s">
        <v>241</v>
      </c>
      <c r="I46" s="142"/>
      <c r="J46" s="142" t="s">
        <v>930</v>
      </c>
      <c r="K46" s="205"/>
      <c r="L46" s="199" t="s">
        <v>60</v>
      </c>
      <c r="M46" s="142" t="s">
        <v>369</v>
      </c>
      <c r="N46" s="205"/>
      <c r="O46" s="199">
        <v>0</v>
      </c>
      <c r="P46" s="142">
        <v>0</v>
      </c>
      <c r="Q46" s="142">
        <v>0</v>
      </c>
      <c r="R46" s="205">
        <v>0</v>
      </c>
      <c r="S46" s="203">
        <v>0</v>
      </c>
      <c r="T46" s="199" t="s">
        <v>499</v>
      </c>
      <c r="U46" s="205"/>
      <c r="V46" s="199"/>
      <c r="W46" s="142"/>
      <c r="X46" s="205" t="s">
        <v>102</v>
      </c>
      <c r="Y46" s="199" t="s">
        <v>57</v>
      </c>
      <c r="Z46" s="205" t="s">
        <v>57</v>
      </c>
      <c r="AA46" s="32"/>
      <c r="AB46" s="160">
        <f>D46*G46*VLOOKUP(F46,'Standard data'!$B$210:$E$286,2,FALSE)*44/28</f>
        <v>0</v>
      </c>
      <c r="AC46" s="161">
        <f>$N46*$D46*'Standard data'!$C$13*44/28</f>
        <v>0</v>
      </c>
      <c r="AD46" s="161">
        <v>0</v>
      </c>
      <c r="AE46" s="161">
        <f>$D$17*'Standard data'!$C$24*44/28*$AD46</f>
        <v>0</v>
      </c>
      <c r="AF46" s="161">
        <v>0</v>
      </c>
      <c r="AG46" s="161">
        <f>$D$17*'Standard data'!$C$28*44/28*$AF46</f>
        <v>0</v>
      </c>
      <c r="AH46" s="161">
        <f t="shared" si="7"/>
        <v>0</v>
      </c>
      <c r="AI46" s="162">
        <f>IF(AND($Y46="yes",$Z46="yes"),$D46*'Standard data'!$C$16*44/28,0)</f>
        <v>0</v>
      </c>
      <c r="AJ46" s="160"/>
      <c r="AK46" s="161"/>
      <c r="AL46" s="161"/>
      <c r="AM46" s="161"/>
      <c r="AN46" s="161"/>
      <c r="AO46" s="161"/>
      <c r="AP46" s="161"/>
      <c r="AQ46" s="161"/>
      <c r="AR46" s="161"/>
      <c r="AS46" s="161"/>
      <c r="AT46" s="161"/>
      <c r="AU46" s="161"/>
      <c r="AV46" s="161"/>
      <c r="AW46" s="161"/>
      <c r="AX46" s="161"/>
      <c r="AY46" s="161"/>
      <c r="AZ46" s="161"/>
      <c r="BA46" s="233">
        <f t="shared" si="8"/>
        <v>0</v>
      </c>
      <c r="BB46" s="233">
        <f t="shared" si="9"/>
        <v>0</v>
      </c>
      <c r="BC46" s="160">
        <f>$D46*$G46*VLOOKUP($F46,'Standard data'!$B$210:$D$286,3,FALSE)</f>
        <v>0</v>
      </c>
      <c r="BD46" s="161">
        <f>$D46*$I46*VLOOKUP($H46,'Standard data'!$B$210:$D$286,3,FALSE)</f>
        <v>0</v>
      </c>
      <c r="BE46" s="161">
        <f>$D46*$K46*VLOOKUP($J46,'Standard data'!$B$210:$D$286,3,FALSE)</f>
        <v>0</v>
      </c>
      <c r="BF46" s="233">
        <f>SUM(BC46:BE46)</f>
        <v>0</v>
      </c>
      <c r="BG46" s="160">
        <f>$O46*$D46*'Standard data'!$F$296</f>
        <v>0</v>
      </c>
      <c r="BH46" s="161">
        <f>$P46*'Standard data'!$C$298*'Standard data'!$D$298*$D46</f>
        <v>0</v>
      </c>
      <c r="BI46" s="161">
        <f>$Q46*$D46*'Standard data'!$F$297</f>
        <v>0</v>
      </c>
      <c r="BJ46" s="162">
        <f>$R46*$D46*'Standard data'!$F$299</f>
        <v>0</v>
      </c>
      <c r="BK46" s="233">
        <f t="shared" si="10"/>
        <v>0</v>
      </c>
      <c r="BL46" s="233">
        <f>$S46*$D46*VLOOKUP($C46,CropsRef!$B$8:$Z$157,20,FALSE)</f>
        <v>0</v>
      </c>
      <c r="BM46" s="233">
        <f>$D46*$U46*VLOOKUP($T46,'Standard data'!$B$307:$P$309,7,FALSE)</f>
        <v>0</v>
      </c>
      <c r="BN46" s="72"/>
      <c r="BO46" s="32"/>
    </row>
    <row r="47" spans="2:67" ht="18" customHeight="1">
      <c r="B47" s="142">
        <v>5</v>
      </c>
      <c r="C47" s="142" t="s">
        <v>834</v>
      </c>
      <c r="D47" s="142"/>
      <c r="E47" s="189"/>
      <c r="F47" s="199" t="s">
        <v>913</v>
      </c>
      <c r="G47" s="142"/>
      <c r="H47" s="142" t="s">
        <v>241</v>
      </c>
      <c r="I47" s="142"/>
      <c r="J47" s="142" t="s">
        <v>930</v>
      </c>
      <c r="K47" s="205"/>
      <c r="L47" s="199" t="s">
        <v>60</v>
      </c>
      <c r="M47" s="142" t="s">
        <v>369</v>
      </c>
      <c r="N47" s="205"/>
      <c r="O47" s="199">
        <v>0</v>
      </c>
      <c r="P47" s="142">
        <v>0</v>
      </c>
      <c r="Q47" s="142">
        <v>0</v>
      </c>
      <c r="R47" s="205">
        <v>0</v>
      </c>
      <c r="S47" s="203">
        <v>0</v>
      </c>
      <c r="T47" s="199" t="s">
        <v>499</v>
      </c>
      <c r="U47" s="205"/>
      <c r="V47" s="199"/>
      <c r="W47" s="142"/>
      <c r="X47" s="205" t="s">
        <v>102</v>
      </c>
      <c r="Y47" s="199" t="s">
        <v>57</v>
      </c>
      <c r="Z47" s="205" t="s">
        <v>57</v>
      </c>
      <c r="AA47" s="32"/>
      <c r="AB47" s="160">
        <f>D47*G47*VLOOKUP(F47,'Standard data'!$B$210:$E$286,2,FALSE)*44/28</f>
        <v>0</v>
      </c>
      <c r="AC47" s="161">
        <f>$N47*$D47*'Standard data'!$C$13*44/28</f>
        <v>0</v>
      </c>
      <c r="AD47" s="161">
        <v>0</v>
      </c>
      <c r="AE47" s="161">
        <f>$D$17*'Standard data'!$C$24*44/28*$AD47</f>
        <v>0</v>
      </c>
      <c r="AF47" s="161">
        <v>0</v>
      </c>
      <c r="AG47" s="161">
        <f>$D$17*'Standard data'!$C$28*44/28*$AF47</f>
        <v>0</v>
      </c>
      <c r="AH47" s="161">
        <f t="shared" si="7"/>
        <v>0</v>
      </c>
      <c r="AI47" s="162">
        <f>IF(AND($Y47="yes",$Z47="yes"),$D47*'Standard data'!$C$16*44/28,0)</f>
        <v>0</v>
      </c>
      <c r="AJ47" s="160"/>
      <c r="AK47" s="161"/>
      <c r="AL47" s="161"/>
      <c r="AM47" s="161"/>
      <c r="AN47" s="161"/>
      <c r="AO47" s="161"/>
      <c r="AP47" s="161"/>
      <c r="AQ47" s="161"/>
      <c r="AR47" s="161"/>
      <c r="AS47" s="161"/>
      <c r="AT47" s="161"/>
      <c r="AU47" s="161"/>
      <c r="AV47" s="161"/>
      <c r="AW47" s="161"/>
      <c r="AX47" s="161"/>
      <c r="AY47" s="161"/>
      <c r="AZ47" s="161"/>
      <c r="BA47" s="233">
        <f t="shared" si="8"/>
        <v>0</v>
      </c>
      <c r="BB47" s="233">
        <f t="shared" si="9"/>
        <v>0</v>
      </c>
      <c r="BC47" s="160">
        <f>$D47*$G47*VLOOKUP($F47,'Standard data'!$B$210:$D$286,3,FALSE)</f>
        <v>0</v>
      </c>
      <c r="BD47" s="161">
        <f>$D47*$I47*VLOOKUP($H47,'Standard data'!$B$210:$D$286,3,FALSE)</f>
        <v>0</v>
      </c>
      <c r="BE47" s="161">
        <f>$D47*$K47*VLOOKUP($J47,'Standard data'!$B$210:$D$286,3,FALSE)</f>
        <v>0</v>
      </c>
      <c r="BF47" s="233">
        <f>SUM(BC47:BE47)</f>
        <v>0</v>
      </c>
      <c r="BG47" s="160">
        <f>$O47*$D47*'Standard data'!$F$296</f>
        <v>0</v>
      </c>
      <c r="BH47" s="161">
        <f>$P47*'Standard data'!$C$298*'Standard data'!$D$298*$D47</f>
        <v>0</v>
      </c>
      <c r="BI47" s="161">
        <f>$Q47*$D47*'Standard data'!$F$297</f>
        <v>0</v>
      </c>
      <c r="BJ47" s="162">
        <f>$R47*$D47*'Standard data'!$F$299</f>
        <v>0</v>
      </c>
      <c r="BK47" s="233">
        <f t="shared" si="10"/>
        <v>0</v>
      </c>
      <c r="BL47" s="233">
        <f>$S47*$D47*VLOOKUP($C47,CropsRef!$B$8:$Z$157,20,FALSE)</f>
        <v>0</v>
      </c>
      <c r="BM47" s="233">
        <f>$D47*$U47*VLOOKUP($T47,'Standard data'!$B$307:$P$309,7,FALSE)</f>
        <v>0</v>
      </c>
      <c r="BN47" s="72"/>
      <c r="BO47" s="32"/>
    </row>
    <row r="48" spans="2:67" ht="18" customHeight="1">
      <c r="B48" s="142">
        <v>6</v>
      </c>
      <c r="C48" s="142" t="s">
        <v>834</v>
      </c>
      <c r="D48" s="142"/>
      <c r="E48" s="189"/>
      <c r="F48" s="199" t="s">
        <v>913</v>
      </c>
      <c r="G48" s="142"/>
      <c r="H48" s="142" t="s">
        <v>241</v>
      </c>
      <c r="I48" s="142"/>
      <c r="J48" s="142" t="s">
        <v>930</v>
      </c>
      <c r="K48" s="205"/>
      <c r="L48" s="199" t="s">
        <v>60</v>
      </c>
      <c r="M48" s="142" t="s">
        <v>369</v>
      </c>
      <c r="N48" s="205"/>
      <c r="O48" s="199">
        <v>0</v>
      </c>
      <c r="P48" s="142">
        <v>0</v>
      </c>
      <c r="Q48" s="142">
        <v>0</v>
      </c>
      <c r="R48" s="205">
        <v>0</v>
      </c>
      <c r="S48" s="203">
        <v>0</v>
      </c>
      <c r="T48" s="199" t="s">
        <v>499</v>
      </c>
      <c r="U48" s="205"/>
      <c r="V48" s="199"/>
      <c r="W48" s="142"/>
      <c r="X48" s="205" t="s">
        <v>102</v>
      </c>
      <c r="Y48" s="199" t="s">
        <v>57</v>
      </c>
      <c r="Z48" s="205" t="s">
        <v>57</v>
      </c>
      <c r="AA48" s="32"/>
      <c r="AB48" s="160">
        <f>D48*G48*VLOOKUP(F48,'Standard data'!$B$210:$E$286,2,FALSE)*44/28</f>
        <v>0</v>
      </c>
      <c r="AC48" s="161">
        <f>$N48*$D48*'Standard data'!$C$13*44/28</f>
        <v>0</v>
      </c>
      <c r="AD48" s="161">
        <v>0</v>
      </c>
      <c r="AE48" s="161">
        <f>$D$17*'Standard data'!$C$24*44/28*$AD48</f>
        <v>0</v>
      </c>
      <c r="AF48" s="161">
        <v>0</v>
      </c>
      <c r="AG48" s="161">
        <f>$D$17*'Standard data'!$C$28*44/28*$AF48</f>
        <v>0</v>
      </c>
      <c r="AH48" s="161">
        <f t="shared" si="7"/>
        <v>0</v>
      </c>
      <c r="AI48" s="162">
        <f>IF(AND($Y48="yes",$Z48="yes"),$D48*'Standard data'!$C$16*44/28,0)</f>
        <v>0</v>
      </c>
      <c r="AJ48" s="160"/>
      <c r="AK48" s="161"/>
      <c r="AL48" s="161"/>
      <c r="AM48" s="161"/>
      <c r="AN48" s="161"/>
      <c r="AO48" s="161"/>
      <c r="AP48" s="161"/>
      <c r="AQ48" s="161"/>
      <c r="AR48" s="161"/>
      <c r="AS48" s="161"/>
      <c r="AT48" s="161"/>
      <c r="AU48" s="161"/>
      <c r="AV48" s="161"/>
      <c r="AW48" s="161"/>
      <c r="AX48" s="161"/>
      <c r="AY48" s="161"/>
      <c r="AZ48" s="161"/>
      <c r="BA48" s="233">
        <f t="shared" si="8"/>
        <v>0</v>
      </c>
      <c r="BB48" s="233">
        <f t="shared" si="9"/>
        <v>0</v>
      </c>
      <c r="BC48" s="160">
        <f>$D48*$G48*VLOOKUP($F48,'Standard data'!$B$210:$D$286,3,FALSE)</f>
        <v>0</v>
      </c>
      <c r="BD48" s="161">
        <f>$D48*$I48*VLOOKUP($H48,'Standard data'!$B$210:$D$286,3,FALSE)</f>
        <v>0</v>
      </c>
      <c r="BE48" s="161">
        <f>$D48*$K48*VLOOKUP($J48,'Standard data'!$B$210:$D$286,3,FALSE)</f>
        <v>0</v>
      </c>
      <c r="BF48" s="233">
        <f>SUM(BC48:BE48)</f>
        <v>0</v>
      </c>
      <c r="BG48" s="160">
        <f>$O48*$D48*'Standard data'!$F$296</f>
        <v>0</v>
      </c>
      <c r="BH48" s="161">
        <f>$P48*'Standard data'!$C$298*'Standard data'!$D$298*$D48</f>
        <v>0</v>
      </c>
      <c r="BI48" s="161">
        <f>$Q48*$D48*'Standard data'!$F$297</f>
        <v>0</v>
      </c>
      <c r="BJ48" s="162">
        <f>$R48*$D48*'Standard data'!$F$299</f>
        <v>0</v>
      </c>
      <c r="BK48" s="233">
        <f t="shared" si="10"/>
        <v>0</v>
      </c>
      <c r="BL48" s="233">
        <f>$S48*$D48*VLOOKUP($C48,CropsRef!$B$8:$Z$157,20,FALSE)</f>
        <v>0</v>
      </c>
      <c r="BM48" s="233">
        <f>$D48*$U48*VLOOKUP($T48,'Standard data'!$B$307:$P$309,7,FALSE)</f>
        <v>0</v>
      </c>
      <c r="BN48" s="72"/>
      <c r="BO48" s="32"/>
    </row>
    <row r="49" spans="2:122" ht="18" customHeight="1">
      <c r="B49" s="142">
        <v>7</v>
      </c>
      <c r="C49" s="142" t="s">
        <v>834</v>
      </c>
      <c r="D49" s="142"/>
      <c r="E49" s="189"/>
      <c r="F49" s="199" t="s">
        <v>913</v>
      </c>
      <c r="G49" s="142"/>
      <c r="H49" s="142" t="s">
        <v>241</v>
      </c>
      <c r="I49" s="142"/>
      <c r="J49" s="142" t="s">
        <v>930</v>
      </c>
      <c r="K49" s="205"/>
      <c r="L49" s="199" t="s">
        <v>60</v>
      </c>
      <c r="M49" s="142" t="s">
        <v>369</v>
      </c>
      <c r="N49" s="205"/>
      <c r="O49" s="199">
        <v>0</v>
      </c>
      <c r="P49" s="142">
        <v>0</v>
      </c>
      <c r="Q49" s="142">
        <v>0</v>
      </c>
      <c r="R49" s="205">
        <v>0</v>
      </c>
      <c r="S49" s="203">
        <v>0</v>
      </c>
      <c r="T49" s="199" t="s">
        <v>499</v>
      </c>
      <c r="U49" s="205"/>
      <c r="V49" s="199"/>
      <c r="W49" s="142"/>
      <c r="X49" s="205" t="s">
        <v>102</v>
      </c>
      <c r="Y49" s="199" t="s">
        <v>57</v>
      </c>
      <c r="Z49" s="205" t="s">
        <v>57</v>
      </c>
      <c r="AA49" s="32"/>
      <c r="AB49" s="160">
        <f>D49*G49*VLOOKUP(F49,'Standard data'!$B$210:$E$286,2,FALSE)*44/28</f>
        <v>0</v>
      </c>
      <c r="AC49" s="161">
        <f>$N49*$D49*'Standard data'!$C$13*44/28</f>
        <v>0</v>
      </c>
      <c r="AD49" s="161">
        <v>0</v>
      </c>
      <c r="AE49" s="161">
        <f>$D$17*'Standard data'!$C$24*44/28*$AD49</f>
        <v>0</v>
      </c>
      <c r="AF49" s="161">
        <v>0</v>
      </c>
      <c r="AG49" s="161">
        <f>$D$17*'Standard data'!$C$28*44/28*$AF49</f>
        <v>0</v>
      </c>
      <c r="AH49" s="161">
        <f t="shared" si="7"/>
        <v>0</v>
      </c>
      <c r="AI49" s="162">
        <f>IF(AND($Y49="yes",$Z49="yes"),$D49*'Standard data'!$C$16*44/28,0)</f>
        <v>0</v>
      </c>
      <c r="AJ49" s="160"/>
      <c r="AK49" s="161"/>
      <c r="AL49" s="161"/>
      <c r="AM49" s="161"/>
      <c r="AN49" s="161"/>
      <c r="AO49" s="161"/>
      <c r="AP49" s="161"/>
      <c r="AQ49" s="161"/>
      <c r="AR49" s="161"/>
      <c r="AS49" s="161"/>
      <c r="AT49" s="161"/>
      <c r="AU49" s="161"/>
      <c r="AV49" s="161"/>
      <c r="AW49" s="161"/>
      <c r="AX49" s="161"/>
      <c r="AY49" s="161"/>
      <c r="AZ49" s="161"/>
      <c r="BA49" s="233">
        <f t="shared" si="8"/>
        <v>0</v>
      </c>
      <c r="BB49" s="233">
        <f t="shared" si="9"/>
        <v>0</v>
      </c>
      <c r="BC49" s="160">
        <f>$D49*$G49*VLOOKUP($F49,'Standard data'!$B$210:$D$286,3,FALSE)</f>
        <v>0</v>
      </c>
      <c r="BD49" s="161">
        <f>$D49*$I49*VLOOKUP($H49,'Standard data'!$B$210:$D$286,3,FALSE)</f>
        <v>0</v>
      </c>
      <c r="BE49" s="161">
        <f>$D49*$K49*VLOOKUP($J49,'Standard data'!$B$210:$D$286,3,FALSE)</f>
        <v>0</v>
      </c>
      <c r="BF49" s="233">
        <f>SUM(BC49:BE49)</f>
        <v>0</v>
      </c>
      <c r="BG49" s="160">
        <f>$O49*$D49*'Standard data'!$F$296</f>
        <v>0</v>
      </c>
      <c r="BH49" s="161">
        <f>$P49*'Standard data'!$C$298*'Standard data'!$D$298*$D49</f>
        <v>0</v>
      </c>
      <c r="BI49" s="161">
        <f>$Q49*$D49*'Standard data'!$F$297</f>
        <v>0</v>
      </c>
      <c r="BJ49" s="162">
        <f>$R49*$D49*'Standard data'!$F$299</f>
        <v>0</v>
      </c>
      <c r="BK49" s="233">
        <f t="shared" si="10"/>
        <v>0</v>
      </c>
      <c r="BL49" s="233">
        <f>$S49*$D49*VLOOKUP($C49,CropsRef!$B$8:$Z$157,20,FALSE)</f>
        <v>0</v>
      </c>
      <c r="BM49" s="233">
        <f>$D49*$U49*VLOOKUP($T49,'Standard data'!$B$307:$P$309,7,FALSE)</f>
        <v>0</v>
      </c>
      <c r="BN49" s="72"/>
      <c r="BO49" s="32"/>
    </row>
    <row r="50" spans="2:122" ht="18" customHeight="1">
      <c r="B50" s="142">
        <v>8</v>
      </c>
      <c r="C50" s="142" t="s">
        <v>834</v>
      </c>
      <c r="D50" s="142"/>
      <c r="E50" s="189"/>
      <c r="F50" s="199" t="s">
        <v>913</v>
      </c>
      <c r="G50" s="142"/>
      <c r="H50" s="142" t="s">
        <v>241</v>
      </c>
      <c r="I50" s="142"/>
      <c r="J50" s="142" t="s">
        <v>930</v>
      </c>
      <c r="K50" s="205"/>
      <c r="L50" s="199" t="s">
        <v>60</v>
      </c>
      <c r="M50" s="142" t="s">
        <v>369</v>
      </c>
      <c r="N50" s="205"/>
      <c r="O50" s="199">
        <v>0</v>
      </c>
      <c r="P50" s="142">
        <v>0</v>
      </c>
      <c r="Q50" s="142">
        <v>0</v>
      </c>
      <c r="R50" s="205">
        <v>0</v>
      </c>
      <c r="S50" s="203">
        <v>0</v>
      </c>
      <c r="T50" s="199" t="s">
        <v>499</v>
      </c>
      <c r="U50" s="205"/>
      <c r="V50" s="199"/>
      <c r="W50" s="142"/>
      <c r="X50" s="205" t="s">
        <v>102</v>
      </c>
      <c r="Y50" s="199" t="s">
        <v>57</v>
      </c>
      <c r="Z50" s="205" t="s">
        <v>57</v>
      </c>
      <c r="AA50" s="32"/>
      <c r="AB50" s="160">
        <f>D50*G50*VLOOKUP(F50,'Standard data'!$B$210:$E$286,2,FALSE)*44/28</f>
        <v>0</v>
      </c>
      <c r="AC50" s="161">
        <f>$N50*$D50*'Standard data'!$C$13*44/28</f>
        <v>0</v>
      </c>
      <c r="AD50" s="161">
        <v>0</v>
      </c>
      <c r="AE50" s="161">
        <f>$D$17*'Standard data'!$C$24*44/28*$AD50</f>
        <v>0</v>
      </c>
      <c r="AF50" s="161">
        <v>0</v>
      </c>
      <c r="AG50" s="161">
        <f>$D$17*'Standard data'!$C$28*44/28*$AF50</f>
        <v>0</v>
      </c>
      <c r="AH50" s="161">
        <f t="shared" si="7"/>
        <v>0</v>
      </c>
      <c r="AI50" s="162">
        <f>IF(AND($Y50="yes",$Z50="yes"),$D50*'Standard data'!$C$16*44/28,0)</f>
        <v>0</v>
      </c>
      <c r="AJ50" s="160"/>
      <c r="AK50" s="161"/>
      <c r="AL50" s="161"/>
      <c r="AM50" s="161"/>
      <c r="AN50" s="161"/>
      <c r="AO50" s="161"/>
      <c r="AP50" s="161"/>
      <c r="AQ50" s="161"/>
      <c r="AR50" s="161"/>
      <c r="AS50" s="161"/>
      <c r="AT50" s="161"/>
      <c r="AU50" s="161"/>
      <c r="AV50" s="161"/>
      <c r="AW50" s="161"/>
      <c r="AX50" s="161"/>
      <c r="AY50" s="161"/>
      <c r="AZ50" s="161"/>
      <c r="BA50" s="233">
        <f t="shared" si="8"/>
        <v>0</v>
      </c>
      <c r="BB50" s="233">
        <f t="shared" si="9"/>
        <v>0</v>
      </c>
      <c r="BC50" s="160">
        <f>$D50*$G50*VLOOKUP($F50,'Standard data'!$B$210:$D$286,3,FALSE)</f>
        <v>0</v>
      </c>
      <c r="BD50" s="161">
        <f>$D50*$I50*VLOOKUP($H50,'Standard data'!$B$210:$D$286,3,FALSE)</f>
        <v>0</v>
      </c>
      <c r="BE50" s="161">
        <f>$D50*$K50*VLOOKUP($J50,'Standard data'!$B$210:$D$286,3,FALSE)</f>
        <v>0</v>
      </c>
      <c r="BF50" s="233">
        <f>SUM(BC50:BE50)</f>
        <v>0</v>
      </c>
      <c r="BG50" s="160">
        <f>$O50*$D50*'Standard data'!$F$296</f>
        <v>0</v>
      </c>
      <c r="BH50" s="161">
        <f>$P50*'Standard data'!$C$298*'Standard data'!$D$298*$D50</f>
        <v>0</v>
      </c>
      <c r="BI50" s="161">
        <f>$Q50*$D50*'Standard data'!$F$297</f>
        <v>0</v>
      </c>
      <c r="BJ50" s="162">
        <f>$R50*$D50*'Standard data'!$F$299</f>
        <v>0</v>
      </c>
      <c r="BK50" s="233">
        <f t="shared" si="10"/>
        <v>0</v>
      </c>
      <c r="BL50" s="233">
        <f>$S50*$D50*VLOOKUP($C50,CropsRef!$B$8:$Z$157,20,FALSE)</f>
        <v>0</v>
      </c>
      <c r="BM50" s="233">
        <f>$D50*$U50*VLOOKUP($T50,'Standard data'!$B$307:$P$309,7,FALSE)</f>
        <v>0</v>
      </c>
      <c r="BN50" s="72"/>
      <c r="BO50" s="32"/>
    </row>
    <row r="51" spans="2:122" ht="18" customHeight="1">
      <c r="B51" s="142">
        <v>9</v>
      </c>
      <c r="C51" s="142" t="s">
        <v>834</v>
      </c>
      <c r="D51" s="142"/>
      <c r="E51" s="189"/>
      <c r="F51" s="199" t="s">
        <v>913</v>
      </c>
      <c r="G51" s="142"/>
      <c r="H51" s="142" t="s">
        <v>241</v>
      </c>
      <c r="I51" s="142"/>
      <c r="J51" s="142" t="s">
        <v>930</v>
      </c>
      <c r="K51" s="205"/>
      <c r="L51" s="199" t="s">
        <v>60</v>
      </c>
      <c r="M51" s="142" t="s">
        <v>369</v>
      </c>
      <c r="N51" s="205"/>
      <c r="O51" s="199">
        <v>0</v>
      </c>
      <c r="P51" s="142">
        <v>0</v>
      </c>
      <c r="Q51" s="142">
        <v>0</v>
      </c>
      <c r="R51" s="205">
        <v>0</v>
      </c>
      <c r="S51" s="203">
        <v>0</v>
      </c>
      <c r="T51" s="199" t="s">
        <v>499</v>
      </c>
      <c r="U51" s="205"/>
      <c r="V51" s="199"/>
      <c r="W51" s="142"/>
      <c r="X51" s="205" t="s">
        <v>102</v>
      </c>
      <c r="Y51" s="199" t="s">
        <v>57</v>
      </c>
      <c r="Z51" s="205" t="s">
        <v>57</v>
      </c>
      <c r="AA51" s="32"/>
      <c r="AB51" s="160">
        <f>D51*G51*VLOOKUP(F51,'Standard data'!$B$210:$E$286,2,FALSE)*44/28</f>
        <v>0</v>
      </c>
      <c r="AC51" s="161">
        <f>$N51*$D51*'Standard data'!$C$13*44/28</f>
        <v>0</v>
      </c>
      <c r="AD51" s="161">
        <v>0</v>
      </c>
      <c r="AE51" s="161">
        <f>$D$17*'Standard data'!$C$24*44/28*$AD51</f>
        <v>0</v>
      </c>
      <c r="AF51" s="161">
        <v>0</v>
      </c>
      <c r="AG51" s="161">
        <f>$D$17*'Standard data'!$C$28*44/28*$AF51</f>
        <v>0</v>
      </c>
      <c r="AH51" s="161">
        <f t="shared" si="7"/>
        <v>0</v>
      </c>
      <c r="AI51" s="162">
        <f>IF(AND($Y51="yes",$Z51="yes"),$D51*'Standard data'!$C$16*44/28,0)</f>
        <v>0</v>
      </c>
      <c r="AJ51" s="160"/>
      <c r="AK51" s="161"/>
      <c r="AL51" s="161"/>
      <c r="AM51" s="161"/>
      <c r="AN51" s="161"/>
      <c r="AO51" s="161"/>
      <c r="AP51" s="161"/>
      <c r="AQ51" s="161"/>
      <c r="AR51" s="161"/>
      <c r="AS51" s="161"/>
      <c r="AT51" s="161"/>
      <c r="AU51" s="161"/>
      <c r="AV51" s="161"/>
      <c r="AW51" s="161"/>
      <c r="AX51" s="161"/>
      <c r="AY51" s="161"/>
      <c r="AZ51" s="161"/>
      <c r="BA51" s="233">
        <f t="shared" si="8"/>
        <v>0</v>
      </c>
      <c r="BB51" s="233">
        <f t="shared" si="9"/>
        <v>0</v>
      </c>
      <c r="BC51" s="160">
        <f>$D51*$G51*VLOOKUP($F51,'Standard data'!$B$210:$D$286,3,FALSE)</f>
        <v>0</v>
      </c>
      <c r="BD51" s="161">
        <f>$D51*$I51*VLOOKUP($H51,'Standard data'!$B$210:$D$286,3,FALSE)</f>
        <v>0</v>
      </c>
      <c r="BE51" s="161">
        <f>$D51*$K51*VLOOKUP($J51,'Standard data'!$B$210:$D$286,3,FALSE)</f>
        <v>0</v>
      </c>
      <c r="BF51" s="233">
        <f>SUM(BC51:BE51)</f>
        <v>0</v>
      </c>
      <c r="BG51" s="160">
        <f>$O51*$D51*'Standard data'!$F$296</f>
        <v>0</v>
      </c>
      <c r="BH51" s="161">
        <f>$P51*'Standard data'!$C$298*'Standard data'!$D$298*$D51</f>
        <v>0</v>
      </c>
      <c r="BI51" s="161">
        <f>$Q51*$D51*'Standard data'!$F$297</f>
        <v>0</v>
      </c>
      <c r="BJ51" s="162">
        <f>$R51*$D51*'Standard data'!$F$299</f>
        <v>0</v>
      </c>
      <c r="BK51" s="233">
        <f t="shared" si="10"/>
        <v>0</v>
      </c>
      <c r="BL51" s="233">
        <f>$S51*$D51*VLOOKUP($C51,CropsRef!$B$8:$Z$157,20,FALSE)</f>
        <v>0</v>
      </c>
      <c r="BM51" s="233">
        <f>$D51*$U51*VLOOKUP($T51,'Standard data'!$B$307:$P$309,7,FALSE)</f>
        <v>0</v>
      </c>
      <c r="BN51" s="72"/>
      <c r="BO51" s="32"/>
    </row>
    <row r="52" spans="2:122" ht="18" customHeight="1">
      <c r="B52" s="142">
        <v>10</v>
      </c>
      <c r="C52" s="142" t="s">
        <v>834</v>
      </c>
      <c r="D52" s="142"/>
      <c r="E52" s="189"/>
      <c r="F52" s="199" t="s">
        <v>913</v>
      </c>
      <c r="G52" s="142"/>
      <c r="H52" s="142" t="s">
        <v>241</v>
      </c>
      <c r="I52" s="142"/>
      <c r="J52" s="142" t="s">
        <v>930</v>
      </c>
      <c r="K52" s="205"/>
      <c r="L52" s="199" t="s">
        <v>60</v>
      </c>
      <c r="M52" s="142" t="s">
        <v>369</v>
      </c>
      <c r="N52" s="205"/>
      <c r="O52" s="199">
        <v>0</v>
      </c>
      <c r="P52" s="142">
        <v>0</v>
      </c>
      <c r="Q52" s="142">
        <v>0</v>
      </c>
      <c r="R52" s="205">
        <v>0</v>
      </c>
      <c r="S52" s="203">
        <v>0</v>
      </c>
      <c r="T52" s="199" t="s">
        <v>499</v>
      </c>
      <c r="U52" s="205"/>
      <c r="V52" s="199"/>
      <c r="W52" s="142"/>
      <c r="X52" s="205" t="s">
        <v>102</v>
      </c>
      <c r="Y52" s="199" t="s">
        <v>57</v>
      </c>
      <c r="Z52" s="205" t="s">
        <v>57</v>
      </c>
      <c r="AA52" s="32"/>
      <c r="AB52" s="160">
        <f>D52*G52*VLOOKUP(F52,'Standard data'!$B$210:$E$286,2,FALSE)*44/28</f>
        <v>0</v>
      </c>
      <c r="AC52" s="161">
        <f>$N52*$D52*'Standard data'!$C$13*44/28</f>
        <v>0</v>
      </c>
      <c r="AD52" s="161">
        <v>0</v>
      </c>
      <c r="AE52" s="161">
        <f>$D$17*'Standard data'!$C$24*44/28*$AD52</f>
        <v>0</v>
      </c>
      <c r="AF52" s="161">
        <v>0</v>
      </c>
      <c r="AG52" s="161">
        <f>$D$17*'Standard data'!$C$28*44/28*$AF52</f>
        <v>0</v>
      </c>
      <c r="AH52" s="161">
        <f t="shared" si="7"/>
        <v>0</v>
      </c>
      <c r="AI52" s="162">
        <f>IF(AND($Y52="yes",$Z52="yes"),$D52*'Standard data'!$C$16*44/28,0)</f>
        <v>0</v>
      </c>
      <c r="AJ52" s="160"/>
      <c r="AK52" s="161"/>
      <c r="AL52" s="161"/>
      <c r="AM52" s="161"/>
      <c r="AN52" s="161"/>
      <c r="AO52" s="161"/>
      <c r="AP52" s="161"/>
      <c r="AQ52" s="161"/>
      <c r="AR52" s="161"/>
      <c r="AS52" s="161"/>
      <c r="AT52" s="161"/>
      <c r="AU52" s="161"/>
      <c r="AV52" s="161"/>
      <c r="AW52" s="161"/>
      <c r="AX52" s="161"/>
      <c r="AY52" s="161"/>
      <c r="AZ52" s="161"/>
      <c r="BA52" s="233">
        <f t="shared" si="8"/>
        <v>0</v>
      </c>
      <c r="BB52" s="233">
        <f t="shared" si="9"/>
        <v>0</v>
      </c>
      <c r="BC52" s="160">
        <f>$D52*$G52*VLOOKUP($F52,'Standard data'!$B$210:$D$286,3,FALSE)</f>
        <v>0</v>
      </c>
      <c r="BD52" s="161">
        <f>$D52*$I52*VLOOKUP($H52,'Standard data'!$B$210:$D$286,3,FALSE)</f>
        <v>0</v>
      </c>
      <c r="BE52" s="161">
        <f>$D52*$K52*VLOOKUP($J52,'Standard data'!$B$210:$D$286,3,FALSE)</f>
        <v>0</v>
      </c>
      <c r="BF52" s="233">
        <f>SUM(BC52:BE52)</f>
        <v>0</v>
      </c>
      <c r="BG52" s="160">
        <f>$O52*$D52*'Standard data'!$F$296</f>
        <v>0</v>
      </c>
      <c r="BH52" s="161">
        <f>$P52*'Standard data'!$C$298*'Standard data'!$D$298*$D52</f>
        <v>0</v>
      </c>
      <c r="BI52" s="161">
        <f>$Q52*$D52*'Standard data'!$F$297</f>
        <v>0</v>
      </c>
      <c r="BJ52" s="162">
        <f>$R52*$D52*'Standard data'!$F$299</f>
        <v>0</v>
      </c>
      <c r="BK52" s="233">
        <f t="shared" si="10"/>
        <v>0</v>
      </c>
      <c r="BL52" s="233">
        <f>$S52*$D52*VLOOKUP($C52,CropsRef!$B$8:$Z$157,20,FALSE)</f>
        <v>0</v>
      </c>
      <c r="BM52" s="233">
        <f>$D52*$U52*VLOOKUP($T52,'Standard data'!$B$307:$P$309,7,FALSE)</f>
        <v>0</v>
      </c>
      <c r="BN52" s="72"/>
      <c r="BO52" s="32"/>
    </row>
    <row r="53" spans="2:122" ht="18" customHeight="1" thickBot="1">
      <c r="B53" s="142">
        <v>11</v>
      </c>
      <c r="C53" s="142" t="s">
        <v>834</v>
      </c>
      <c r="D53" s="142"/>
      <c r="E53" s="189"/>
      <c r="F53" s="200" t="s">
        <v>913</v>
      </c>
      <c r="G53" s="197"/>
      <c r="H53" s="197" t="s">
        <v>241</v>
      </c>
      <c r="I53" s="197"/>
      <c r="J53" s="197" t="s">
        <v>930</v>
      </c>
      <c r="K53" s="206"/>
      <c r="L53" s="200" t="s">
        <v>60</v>
      </c>
      <c r="M53" s="197" t="s">
        <v>369</v>
      </c>
      <c r="N53" s="206"/>
      <c r="O53" s="200">
        <v>0</v>
      </c>
      <c r="P53" s="197">
        <v>0</v>
      </c>
      <c r="Q53" s="197">
        <v>0</v>
      </c>
      <c r="R53" s="206">
        <v>0</v>
      </c>
      <c r="S53" s="204">
        <v>0</v>
      </c>
      <c r="T53" s="200" t="s">
        <v>499</v>
      </c>
      <c r="U53" s="206"/>
      <c r="V53" s="200"/>
      <c r="W53" s="197"/>
      <c r="X53" s="206" t="s">
        <v>102</v>
      </c>
      <c r="Y53" s="200" t="s">
        <v>57</v>
      </c>
      <c r="Z53" s="206" t="s">
        <v>57</v>
      </c>
      <c r="AA53" s="32"/>
      <c r="AB53" s="160">
        <f>D53*G53*VLOOKUP(F53,'Standard data'!$B$210:$E$286,2,FALSE)*44/28</f>
        <v>0</v>
      </c>
      <c r="AC53" s="180">
        <f>$N53*$D53*'Standard data'!$C$13*44/28</f>
        <v>0</v>
      </c>
      <c r="AD53" s="180">
        <v>0</v>
      </c>
      <c r="AE53" s="180">
        <f>$D$17*'Standard data'!$C$24*44/28*$AD53</f>
        <v>0</v>
      </c>
      <c r="AF53" s="180">
        <v>0</v>
      </c>
      <c r="AG53" s="180">
        <f>$D$17*'Standard data'!$C$28*44/28*$AF53</f>
        <v>0</v>
      </c>
      <c r="AH53" s="180">
        <f t="shared" si="7"/>
        <v>0</v>
      </c>
      <c r="AI53" s="177">
        <f>IF(AND($Y53="yes",$Z53="yes"),$D53*'Standard data'!$C$16*44/28,0)</f>
        <v>0</v>
      </c>
      <c r="AJ53" s="176"/>
      <c r="AK53" s="180"/>
      <c r="AL53" s="180"/>
      <c r="AM53" s="180"/>
      <c r="AN53" s="180"/>
      <c r="AO53" s="180"/>
      <c r="AP53" s="180"/>
      <c r="AQ53" s="180"/>
      <c r="AR53" s="180"/>
      <c r="AS53" s="180"/>
      <c r="AT53" s="180"/>
      <c r="AU53" s="180"/>
      <c r="AV53" s="180"/>
      <c r="AW53" s="180"/>
      <c r="AX53" s="180"/>
      <c r="AY53" s="180"/>
      <c r="AZ53" s="233"/>
      <c r="BA53" s="325">
        <f t="shared" si="8"/>
        <v>0</v>
      </c>
      <c r="BB53" s="325">
        <f t="shared" si="9"/>
        <v>0</v>
      </c>
      <c r="BC53" s="160">
        <f>$D53*$G53*VLOOKUP($F53,'Standard data'!$B$210:$D$286,3,FALSE)</f>
        <v>0</v>
      </c>
      <c r="BD53" s="161">
        <f>$D53*$I53*VLOOKUP($H53,'Standard data'!$B$210:$D$286,3,FALSE)</f>
        <v>0</v>
      </c>
      <c r="BE53" s="161">
        <f>$D53*$K53*VLOOKUP($J53,'Standard data'!$B$210:$D$286,3,FALSE)</f>
        <v>0</v>
      </c>
      <c r="BF53" s="234">
        <f>SUM(BC53:BE53)</f>
        <v>0</v>
      </c>
      <c r="BG53" s="176">
        <f>$O53*$D53*'Standard data'!$F$296</f>
        <v>0</v>
      </c>
      <c r="BH53" s="180">
        <f>$P53*'Standard data'!$C$298*'Standard data'!$D$298*$D53</f>
        <v>0</v>
      </c>
      <c r="BI53" s="180">
        <f>$Q53*$D53*'Standard data'!$F$297</f>
        <v>0</v>
      </c>
      <c r="BJ53" s="177">
        <f>$R53*$D53*'Standard data'!$F$299</f>
        <v>0</v>
      </c>
      <c r="BK53" s="234">
        <f t="shared" si="10"/>
        <v>0</v>
      </c>
      <c r="BL53" s="234">
        <f>$S53*$D53*VLOOKUP($C53,CropsRef!$B$8:$Z$157,20,FALSE)</f>
        <v>0</v>
      </c>
      <c r="BM53" s="234">
        <f>$D53*$U53*VLOOKUP($T53,'Standard data'!$B$307:$P$309,7,FALSE)</f>
        <v>0</v>
      </c>
      <c r="BN53" s="72"/>
      <c r="BO53" s="32"/>
    </row>
    <row r="54" spans="2:122" s="67" customFormat="1" ht="17.25" customHeight="1" thickBot="1">
      <c r="C54" s="71"/>
      <c r="D54" s="71"/>
      <c r="AA54" s="32"/>
      <c r="AZ54" s="60" t="s">
        <v>718</v>
      </c>
      <c r="BA54" s="326">
        <f>SUM(BA43:BA53)</f>
        <v>0</v>
      </c>
      <c r="BB54" s="326">
        <f>SUM(BB43:BB53)</f>
        <v>0</v>
      </c>
      <c r="BF54" s="326">
        <f>SUM(BF43:BF53)</f>
        <v>0</v>
      </c>
      <c r="BK54" s="326">
        <f>SUM(BK43:BK53)</f>
        <v>0</v>
      </c>
      <c r="BL54" s="326">
        <f>SUM(BL43:BL53)</f>
        <v>0</v>
      </c>
      <c r="BM54" s="326">
        <f>SUM(BM43:BM53)</f>
        <v>0</v>
      </c>
    </row>
    <row r="55" spans="2:122" s="39" customFormat="1">
      <c r="C55" s="67"/>
      <c r="D55" s="67"/>
      <c r="E55" s="67"/>
      <c r="X55" s="109"/>
      <c r="AA55" s="32"/>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row>
    <row r="56" spans="2:122">
      <c r="C56" s="65"/>
      <c r="D56" s="65"/>
      <c r="E56" s="65"/>
      <c r="X56"/>
      <c r="AA56" s="32"/>
      <c r="AE56"/>
      <c r="AG56"/>
      <c r="BF56" s="32"/>
      <c r="BO56" s="32"/>
    </row>
    <row r="57" spans="2:122">
      <c r="AA57" s="32"/>
      <c r="AB57"/>
      <c r="BF57" s="32"/>
      <c r="BO57" s="32"/>
    </row>
    <row r="58" spans="2:122">
      <c r="AA58" s="32"/>
      <c r="AB58"/>
      <c r="BF58" s="32"/>
      <c r="BO58" s="32"/>
    </row>
    <row r="59" spans="2:122">
      <c r="AA59" s="32"/>
      <c r="AB59"/>
      <c r="BF59" s="32"/>
      <c r="BO59" s="32"/>
    </row>
    <row r="60" spans="2:122">
      <c r="AA60" s="32"/>
      <c r="AB60"/>
      <c r="BF60" s="32"/>
      <c r="BO60" s="32"/>
    </row>
    <row r="61" spans="2:122" ht="55.5" customHeight="1">
      <c r="AA61" s="32"/>
      <c r="AB61"/>
      <c r="BF61" s="32"/>
      <c r="BO61" s="32"/>
      <c r="DP61" s="33"/>
      <c r="DQ61" s="33"/>
      <c r="DR61" s="33"/>
    </row>
    <row r="62" spans="2:122" ht="21.95" customHeight="1">
      <c r="AA62" s="32"/>
      <c r="AB62"/>
      <c r="BF62" s="32"/>
      <c r="BO62" s="32"/>
    </row>
    <row r="63" spans="2:122" ht="21.95" customHeight="1">
      <c r="AA63" s="32"/>
      <c r="AB63"/>
      <c r="BF63" s="32"/>
      <c r="BO63" s="32"/>
    </row>
    <row r="64" spans="2:122" ht="21.95" customHeight="1">
      <c r="AA64" s="32"/>
      <c r="AB64"/>
      <c r="BF64" s="32"/>
      <c r="BO64" s="32"/>
    </row>
    <row r="65" spans="16:143" ht="21.95" customHeight="1">
      <c r="AA65" s="32"/>
      <c r="AH65"/>
      <c r="AY65"/>
      <c r="BA65"/>
      <c r="BF65" s="32"/>
      <c r="BO65" s="32"/>
    </row>
    <row r="66" spans="16:143" ht="21.95" customHeight="1">
      <c r="P66" s="75"/>
      <c r="Q66" s="75"/>
      <c r="R66" s="67"/>
      <c r="S66" s="67"/>
      <c r="T66" s="67"/>
      <c r="U66" s="67"/>
      <c r="AA66" s="32"/>
      <c r="AH66"/>
      <c r="AY66"/>
      <c r="BA66"/>
      <c r="BF66" s="32"/>
      <c r="BO66" s="32"/>
    </row>
    <row r="67" spans="16:143" ht="21.95" customHeight="1">
      <c r="AA67" s="32"/>
      <c r="AH67"/>
      <c r="AY67"/>
      <c r="BA67"/>
      <c r="BF67" s="32"/>
      <c r="BO67" s="32"/>
    </row>
    <row r="68" spans="16:143" ht="21.95" customHeight="1">
      <c r="P68" s="75"/>
      <c r="Q68" s="75"/>
      <c r="R68" s="67"/>
      <c r="S68" s="67"/>
      <c r="T68" s="67"/>
      <c r="U68" s="67"/>
      <c r="AA68" s="32"/>
      <c r="AH68"/>
      <c r="AY68"/>
      <c r="BA68"/>
      <c r="BF68" s="32"/>
      <c r="BO68" s="32"/>
    </row>
    <row r="69" spans="16:143" ht="24" customHeight="1">
      <c r="AA69" s="32"/>
      <c r="EM69" s="33"/>
    </row>
    <row r="70" spans="16:143" ht="21.95" customHeight="1">
      <c r="AA70" s="32"/>
      <c r="AB70" s="73"/>
      <c r="AC70" s="74"/>
      <c r="AD70" s="67"/>
      <c r="AE70" s="67"/>
      <c r="AF70" s="67"/>
      <c r="AG70" s="67"/>
      <c r="AH70" s="67"/>
      <c r="AI70" s="75"/>
      <c r="AY70" s="67"/>
      <c r="AZ70" s="75"/>
      <c r="BA70" s="75"/>
      <c r="BB70" s="67"/>
      <c r="BG70" s="67"/>
    </row>
    <row r="71" spans="16:143" ht="21.95" customHeight="1">
      <c r="AA71" s="32"/>
      <c r="AS71" s="56"/>
      <c r="AT71" s="56"/>
    </row>
    <row r="72" spans="16:143" ht="25.5" customHeight="1">
      <c r="AA72" s="32"/>
      <c r="AB72" s="73"/>
      <c r="AC72" s="74"/>
      <c r="AD72" s="67"/>
      <c r="AE72" s="67"/>
      <c r="AF72" s="67"/>
      <c r="AG72" s="67"/>
      <c r="AH72" s="67"/>
      <c r="AI72" s="75"/>
      <c r="AY72" s="67"/>
      <c r="AZ72" s="75"/>
      <c r="BA72" s="75"/>
      <c r="BB72" s="67"/>
      <c r="BG72" s="67"/>
    </row>
    <row r="73" spans="16:143" ht="27" customHeight="1">
      <c r="AA73" s="32"/>
    </row>
    <row r="74" spans="16:143" ht="21.95" customHeight="1">
      <c r="AA74" s="32"/>
      <c r="AB74" s="73"/>
      <c r="AC74" s="74"/>
      <c r="AD74" s="67"/>
      <c r="AE74" s="67"/>
      <c r="AF74" s="67"/>
      <c r="AG74" s="67"/>
      <c r="AH74" s="67"/>
      <c r="AI74" s="75"/>
      <c r="AY74" s="67"/>
      <c r="AZ74" s="75"/>
      <c r="BA74" s="75"/>
      <c r="BB74" s="67"/>
      <c r="BC74" s="37"/>
      <c r="BD74" s="67"/>
      <c r="BE74" s="67"/>
      <c r="BG74" s="67"/>
      <c r="CW74" s="56"/>
    </row>
    <row r="75" spans="16:143" ht="21.95" customHeight="1">
      <c r="S75" s="67"/>
      <c r="T75" s="67"/>
      <c r="U75" s="67"/>
      <c r="X75" s="67"/>
      <c r="AA75" s="32"/>
      <c r="AN75" s="67"/>
      <c r="AO75" s="67"/>
      <c r="BC75" s="37"/>
      <c r="BD75" s="67"/>
      <c r="BE75" s="67"/>
      <c r="CT75" s="56"/>
      <c r="CU75" s="56"/>
    </row>
    <row r="76" spans="16:143" ht="28.5" customHeight="1">
      <c r="S76" s="67"/>
      <c r="T76" s="67"/>
      <c r="U76" s="67"/>
      <c r="X76" s="67"/>
      <c r="AA76" s="32"/>
      <c r="AB76" s="73"/>
      <c r="AC76" s="74"/>
      <c r="AD76" s="67"/>
      <c r="AE76" s="67"/>
      <c r="AF76" s="67"/>
      <c r="AG76" s="67"/>
      <c r="AH76" s="67"/>
      <c r="AI76" s="75"/>
      <c r="AN76" s="67"/>
      <c r="AO76" s="67"/>
      <c r="AY76" s="67"/>
      <c r="AZ76" s="75"/>
      <c r="BA76" s="75"/>
      <c r="BB76" s="67"/>
      <c r="BC76" s="67"/>
      <c r="BD76" s="67"/>
      <c r="BE76" s="67"/>
      <c r="BG76" s="67"/>
      <c r="CT76" s="56"/>
      <c r="CU76" s="56"/>
    </row>
    <row r="77" spans="16:143" ht="24.75" customHeight="1">
      <c r="S77" s="67"/>
      <c r="T77" s="67"/>
      <c r="U77" s="67"/>
      <c r="X77" s="67"/>
      <c r="AA77" s="32"/>
      <c r="AN77" s="67"/>
      <c r="AO77" s="67"/>
      <c r="BC77" s="67"/>
      <c r="BD77" s="67"/>
      <c r="BE77" s="67"/>
      <c r="CT77" s="56"/>
      <c r="CU77" s="56"/>
    </row>
    <row r="78" spans="16:143" ht="21.95" customHeight="1">
      <c r="S78" s="67"/>
      <c r="T78" s="67"/>
      <c r="U78" s="67"/>
      <c r="X78" s="67"/>
      <c r="AA78" s="32"/>
      <c r="AB78" s="73"/>
      <c r="AC78" s="74"/>
      <c r="AD78" s="67"/>
      <c r="AE78" s="67"/>
      <c r="AF78" s="67"/>
      <c r="AG78" s="67"/>
      <c r="AH78" s="67"/>
      <c r="AI78" s="75"/>
      <c r="AN78" s="67"/>
      <c r="AO78" s="67"/>
      <c r="AY78" s="67"/>
      <c r="AZ78" s="75"/>
      <c r="BA78" s="75"/>
      <c r="BB78" s="67"/>
      <c r="BC78" s="67"/>
      <c r="BD78" s="67"/>
      <c r="BE78" s="67"/>
      <c r="BG78" s="67"/>
      <c r="BV78" s="69"/>
      <c r="CU78" s="56"/>
      <c r="CV78" s="56"/>
    </row>
    <row r="79" spans="16:143" ht="21.95" customHeight="1">
      <c r="S79" s="67"/>
      <c r="T79" s="67"/>
      <c r="U79" s="67"/>
      <c r="X79" s="67"/>
      <c r="AA79" s="32"/>
      <c r="AN79" s="67"/>
      <c r="AO79" s="67"/>
      <c r="BC79" s="67"/>
      <c r="BD79" s="67"/>
      <c r="BE79" s="67"/>
      <c r="BW79" s="69"/>
      <c r="CU79" s="56"/>
      <c r="CV79" s="56"/>
      <c r="DR79" s="56"/>
    </row>
    <row r="80" spans="16:143" ht="21.95" customHeight="1">
      <c r="S80" s="67"/>
      <c r="T80" s="67"/>
      <c r="U80" s="67"/>
      <c r="X80" s="67"/>
      <c r="AA80" s="32"/>
      <c r="AB80" s="73"/>
      <c r="AC80" s="74"/>
      <c r="AD80" s="67"/>
      <c r="AE80" s="67"/>
      <c r="AF80" s="67"/>
      <c r="AG80" s="67"/>
      <c r="AH80" s="67"/>
      <c r="AI80" s="75"/>
      <c r="AN80" s="67"/>
      <c r="AO80" s="67"/>
      <c r="AY80" s="67"/>
      <c r="AZ80" s="75"/>
      <c r="BA80" s="75"/>
      <c r="BB80" s="67"/>
      <c r="BC80" s="67"/>
      <c r="BD80" s="67"/>
      <c r="BE80" s="67"/>
      <c r="BG80" s="67"/>
      <c r="BV80" s="61"/>
      <c r="CU80" s="56"/>
      <c r="CV80" s="56"/>
      <c r="DR80" s="56"/>
    </row>
    <row r="81" spans="15:122" ht="21.95" customHeight="1">
      <c r="S81" s="67"/>
      <c r="T81" s="67"/>
      <c r="U81" s="67"/>
      <c r="X81" s="67"/>
      <c r="AA81" s="32"/>
      <c r="AN81" s="67"/>
      <c r="AO81" s="67"/>
      <c r="BC81" s="67"/>
      <c r="BD81" s="67"/>
      <c r="BE81" s="67"/>
      <c r="BV81" s="61"/>
      <c r="CU81" s="56"/>
      <c r="CV81" s="56"/>
      <c r="DR81" s="56"/>
    </row>
    <row r="82" spans="15:122" ht="21.95" customHeight="1">
      <c r="S82" s="67"/>
      <c r="T82" s="67"/>
      <c r="U82" s="67"/>
      <c r="X82" s="67"/>
      <c r="AA82" s="32"/>
      <c r="AB82" s="73"/>
      <c r="AC82" s="74"/>
      <c r="AD82" s="67"/>
      <c r="AE82" s="67"/>
      <c r="AF82" s="67"/>
      <c r="AG82" s="67"/>
      <c r="AH82" s="67"/>
      <c r="AI82" s="75"/>
      <c r="AN82" s="67"/>
      <c r="AO82" s="67"/>
      <c r="AY82" s="67"/>
      <c r="AZ82" s="75"/>
      <c r="BA82" s="75"/>
      <c r="BB82" s="67"/>
      <c r="BC82" s="67"/>
      <c r="BD82" s="67"/>
      <c r="BE82" s="67"/>
      <c r="BG82" s="67"/>
      <c r="BV82" s="61"/>
      <c r="CU82" s="56"/>
      <c r="CV82" s="56"/>
      <c r="DR82" s="56"/>
    </row>
    <row r="83" spans="15:122" ht="21.95" customHeight="1">
      <c r="S83" s="67"/>
      <c r="T83" s="67"/>
      <c r="U83" s="67"/>
      <c r="X83" s="67"/>
      <c r="AA83" s="32"/>
      <c r="AN83" s="67"/>
      <c r="AO83" s="67"/>
      <c r="BC83" s="67"/>
      <c r="BD83" s="67"/>
      <c r="BE83" s="67"/>
      <c r="BV83" s="61"/>
      <c r="CS83" s="56"/>
      <c r="CT83" s="56"/>
      <c r="DR83" s="56"/>
    </row>
    <row r="84" spans="15:122" ht="21.95" customHeight="1">
      <c r="S84" s="67"/>
      <c r="T84" s="67"/>
      <c r="U84" s="67"/>
      <c r="X84" s="67"/>
      <c r="AA84" s="32"/>
      <c r="AB84" s="73"/>
      <c r="AC84" s="74"/>
      <c r="AD84" s="67"/>
      <c r="AE84" s="67"/>
      <c r="AF84" s="67"/>
      <c r="AG84" s="67"/>
      <c r="AH84" s="67"/>
      <c r="AI84" s="75"/>
      <c r="AN84" s="67"/>
      <c r="AO84" s="67"/>
      <c r="AY84" s="67"/>
      <c r="AZ84" s="75"/>
      <c r="BA84" s="75"/>
      <c r="BB84" s="67"/>
      <c r="BC84" s="67"/>
      <c r="BD84" s="67"/>
      <c r="BE84" s="67"/>
      <c r="BG84" s="67"/>
      <c r="BV84" s="61"/>
      <c r="CS84" s="56"/>
      <c r="CT84" s="56"/>
      <c r="DR84" s="56"/>
    </row>
    <row r="85" spans="15:122" ht="24.75" customHeight="1">
      <c r="AA85" s="32"/>
      <c r="CS85" s="56"/>
      <c r="CT85" s="56"/>
      <c r="DR85" s="56"/>
    </row>
    <row r="86" spans="15:122" ht="25.5" customHeight="1">
      <c r="AA86" s="32"/>
      <c r="AB86" s="73"/>
      <c r="AC86" s="74"/>
      <c r="AD86" s="67"/>
      <c r="AE86" s="67"/>
      <c r="AF86" s="67"/>
      <c r="AG86" s="67"/>
      <c r="AH86" s="67"/>
      <c r="AI86" s="75"/>
      <c r="AY86" s="67"/>
      <c r="AZ86" s="75"/>
      <c r="BA86" s="75"/>
      <c r="BB86" s="67"/>
      <c r="BG86" s="67"/>
      <c r="CS86" s="56"/>
      <c r="CT86" s="56"/>
      <c r="DR86" s="56"/>
    </row>
    <row r="87" spans="15:122" ht="29.25" customHeight="1">
      <c r="AA87" s="32"/>
      <c r="CS87" s="56"/>
      <c r="CT87" s="56"/>
      <c r="DR87" s="56"/>
    </row>
    <row r="88" spans="15:122" ht="26.25" customHeight="1">
      <c r="AA88" s="32"/>
      <c r="AB88" s="73"/>
      <c r="AC88" s="74"/>
      <c r="AD88" s="67"/>
      <c r="AE88" s="67"/>
      <c r="AF88" s="67"/>
      <c r="AG88" s="67"/>
      <c r="AH88" s="67"/>
      <c r="AI88" s="75"/>
      <c r="AU88" s="56"/>
      <c r="AV88" s="56"/>
      <c r="AY88" s="67"/>
      <c r="AZ88" s="75"/>
      <c r="BA88" s="75"/>
      <c r="BB88" s="67"/>
      <c r="BG88" s="67"/>
      <c r="CS88" s="56"/>
      <c r="CT88" s="56"/>
    </row>
    <row r="89" spans="15:122" ht="21.95" customHeight="1">
      <c r="AA89" s="32"/>
      <c r="AU89" s="56"/>
      <c r="AV89" s="56"/>
      <c r="CS89" s="56"/>
      <c r="CT89" s="56"/>
    </row>
    <row r="90" spans="15:122" ht="21.95" customHeight="1">
      <c r="AA90" s="32"/>
      <c r="AB90" s="73"/>
      <c r="AC90" s="74"/>
      <c r="AD90" s="67"/>
      <c r="AE90" s="67"/>
      <c r="AF90" s="67"/>
      <c r="AG90" s="67"/>
      <c r="AH90" s="67"/>
      <c r="AI90" s="75"/>
      <c r="AV90" s="56"/>
      <c r="AW90" s="56"/>
      <c r="AY90" s="67"/>
      <c r="AZ90" s="75"/>
      <c r="BA90" s="75"/>
      <c r="BB90" s="67"/>
      <c r="BG90" s="67"/>
      <c r="CS90" s="56"/>
      <c r="CT90" s="56"/>
    </row>
    <row r="91" spans="15:122" ht="21.95" customHeight="1">
      <c r="O91" s="56"/>
      <c r="P91" s="56"/>
      <c r="AA91" s="32"/>
      <c r="CS91" s="56"/>
      <c r="CT91" s="56"/>
    </row>
    <row r="92" spans="15:122" ht="21.95" customHeight="1">
      <c r="P92" s="56"/>
      <c r="Q92" s="56"/>
      <c r="X92" s="39"/>
      <c r="AA92" s="32"/>
      <c r="AB92" s="73"/>
      <c r="AC92" s="74"/>
      <c r="AD92" s="67"/>
      <c r="AE92" s="67"/>
      <c r="AF92" s="67"/>
      <c r="AG92" s="67"/>
      <c r="AH92" s="67"/>
      <c r="AI92" s="75"/>
      <c r="AY92" s="67"/>
      <c r="AZ92" s="75"/>
      <c r="BA92" s="75"/>
      <c r="BB92" s="67"/>
      <c r="BG92" s="67"/>
      <c r="BU92" s="67"/>
      <c r="CS92" s="56"/>
      <c r="CT92" s="56"/>
    </row>
    <row r="93" spans="15:122" ht="21.95" customHeight="1">
      <c r="R93" s="56"/>
      <c r="X93" s="39"/>
      <c r="AA93" s="32"/>
      <c r="CS93" s="56"/>
      <c r="CT93" s="56"/>
      <c r="DP93" s="56"/>
    </row>
    <row r="94" spans="15:122" ht="45.75" customHeight="1">
      <c r="X94" s="39"/>
      <c r="AA94" s="32"/>
      <c r="AB94" s="73"/>
      <c r="AC94" s="74"/>
      <c r="AD94" s="67"/>
      <c r="AE94" s="67"/>
      <c r="AF94" s="67"/>
      <c r="AG94" s="67"/>
      <c r="AH94" s="67"/>
      <c r="AI94" s="75"/>
      <c r="AQ94" s="39"/>
      <c r="AY94" s="67"/>
      <c r="AZ94" s="75"/>
      <c r="BA94" s="75"/>
      <c r="BB94" s="67"/>
      <c r="BG94" s="67"/>
      <c r="CS94" s="56"/>
      <c r="CT94" s="56"/>
    </row>
    <row r="95" spans="15:122" ht="57" customHeight="1">
      <c r="X95" s="43"/>
      <c r="AA95" s="32"/>
      <c r="AQ95" s="43"/>
      <c r="CS95" s="56"/>
      <c r="CT95" s="56"/>
      <c r="DP95" s="55"/>
    </row>
    <row r="96" spans="15:122" ht="40.5" customHeight="1">
      <c r="X96" s="47"/>
      <c r="AA96" s="32"/>
      <c r="AB96" s="73"/>
      <c r="AC96" s="74"/>
      <c r="AD96" s="67"/>
      <c r="AE96" s="67"/>
      <c r="AF96" s="67"/>
      <c r="AG96" s="67"/>
      <c r="AH96" s="67"/>
      <c r="AI96" s="75"/>
      <c r="AQ96" s="47"/>
      <c r="AY96" s="67"/>
      <c r="AZ96" s="75"/>
      <c r="BA96" s="75"/>
      <c r="BB96" s="67"/>
      <c r="BG96" s="67"/>
      <c r="CS96" s="56"/>
      <c r="CT96" s="56"/>
      <c r="DP96" s="44"/>
    </row>
    <row r="97" spans="24:120" ht="38.25" customHeight="1">
      <c r="X97" s="47"/>
      <c r="AA97" s="32"/>
      <c r="AQ97" s="47"/>
      <c r="CS97" s="56"/>
      <c r="CT97" s="56"/>
      <c r="DP97" s="48"/>
    </row>
    <row r="98" spans="24:120">
      <c r="X98" s="47"/>
      <c r="AA98" s="32"/>
      <c r="AB98" s="73"/>
      <c r="AC98" s="74"/>
      <c r="AD98" s="67"/>
      <c r="AE98" s="67"/>
      <c r="AF98" s="67"/>
      <c r="AG98" s="67"/>
      <c r="AH98" s="67"/>
      <c r="AI98" s="75"/>
      <c r="AQ98" s="47"/>
      <c r="AY98" s="67"/>
      <c r="AZ98" s="75"/>
      <c r="BA98" s="75"/>
      <c r="BB98" s="67"/>
      <c r="BG98" s="67"/>
      <c r="CS98" s="56"/>
      <c r="CT98" s="56"/>
      <c r="DP98" s="48"/>
    </row>
    <row r="99" spans="24:120">
      <c r="X99" s="47"/>
      <c r="AA99" s="32"/>
      <c r="AQ99" s="47"/>
      <c r="CS99" s="56"/>
      <c r="CT99" s="56"/>
      <c r="DP99" s="48"/>
    </row>
    <row r="100" spans="24:120">
      <c r="X100" s="47"/>
      <c r="AA100" s="32"/>
      <c r="AB100" s="73"/>
      <c r="AC100" s="74"/>
      <c r="AD100" s="67"/>
      <c r="AE100" s="67"/>
      <c r="AF100" s="67"/>
      <c r="AG100" s="67"/>
      <c r="AH100" s="67"/>
      <c r="AI100" s="75"/>
      <c r="AQ100" s="47"/>
      <c r="AY100" s="67"/>
      <c r="AZ100" s="75"/>
      <c r="BA100" s="75"/>
      <c r="BB100" s="67"/>
      <c r="BG100" s="67"/>
      <c r="CS100" s="56"/>
      <c r="CT100" s="56"/>
      <c r="DP100" s="48"/>
    </row>
    <row r="101" spans="24:120">
      <c r="X101" s="47"/>
      <c r="AA101" s="32"/>
      <c r="AQ101" s="47"/>
      <c r="CS101" s="56"/>
      <c r="CT101" s="56"/>
      <c r="DP101" s="48"/>
    </row>
    <row r="102" spans="24:120">
      <c r="X102" s="47"/>
      <c r="AA102" s="32"/>
      <c r="AB102" s="73"/>
      <c r="AC102" s="74"/>
      <c r="AD102" s="67"/>
      <c r="AE102" s="67"/>
      <c r="AF102" s="67"/>
      <c r="AG102" s="67"/>
      <c r="AH102" s="67"/>
      <c r="AI102" s="75"/>
      <c r="AQ102" s="47"/>
      <c r="AY102" s="67"/>
      <c r="AZ102" s="75"/>
      <c r="BA102" s="75"/>
      <c r="BB102" s="67"/>
      <c r="BG102" s="67"/>
      <c r="CS102" s="56"/>
      <c r="CT102" s="56"/>
      <c r="DP102" s="48"/>
    </row>
    <row r="103" spans="24:120">
      <c r="X103" s="47"/>
      <c r="AA103" s="32"/>
      <c r="AQ103" s="47"/>
      <c r="CS103" s="56"/>
      <c r="CT103" s="56"/>
      <c r="DP103" s="48"/>
    </row>
    <row r="104" spans="24:120">
      <c r="X104" s="47"/>
      <c r="AA104" s="32"/>
      <c r="AB104" s="73"/>
      <c r="AC104" s="74"/>
      <c r="AD104" s="67"/>
      <c r="AE104" s="67"/>
      <c r="AF104" s="67"/>
      <c r="AG104" s="67"/>
      <c r="AH104" s="67"/>
      <c r="AI104" s="75"/>
      <c r="AQ104" s="47"/>
      <c r="AY104" s="67"/>
      <c r="AZ104" s="75"/>
      <c r="BA104" s="75"/>
      <c r="BB104" s="67"/>
      <c r="BG104" s="67"/>
      <c r="CS104" s="56"/>
      <c r="CT104" s="56"/>
      <c r="DP104" s="48"/>
    </row>
    <row r="105" spans="24:120">
      <c r="X105" s="47"/>
      <c r="AA105" s="110"/>
      <c r="AQ105" s="47"/>
      <c r="CS105" s="56"/>
      <c r="CT105" s="56"/>
      <c r="DP105" s="48"/>
    </row>
    <row r="106" spans="24:120">
      <c r="X106" s="47"/>
      <c r="AA106" s="110"/>
      <c r="AB106" s="73"/>
      <c r="AC106" s="74"/>
      <c r="AD106" s="67"/>
      <c r="AE106" s="67"/>
      <c r="AF106" s="67"/>
      <c r="AG106" s="67"/>
      <c r="AH106" s="67"/>
      <c r="AI106" s="75"/>
      <c r="AQ106" s="47"/>
      <c r="AY106" s="67"/>
      <c r="AZ106" s="75"/>
      <c r="BA106" s="75"/>
      <c r="BB106" s="67"/>
      <c r="BG106" s="67"/>
      <c r="CS106" s="56"/>
      <c r="CT106" s="56"/>
      <c r="DP106" s="48"/>
    </row>
    <row r="107" spans="24:120">
      <c r="X107" s="47"/>
      <c r="AA107" s="110"/>
      <c r="AQ107" s="47"/>
      <c r="CS107" s="56"/>
      <c r="CT107" s="56"/>
      <c r="DP107" s="48"/>
    </row>
    <row r="108" spans="24:120">
      <c r="X108" s="47"/>
      <c r="AA108" s="110"/>
      <c r="AB108" s="73"/>
      <c r="AC108" s="74"/>
      <c r="AD108" s="67"/>
      <c r="AE108" s="67"/>
      <c r="AF108" s="67"/>
      <c r="AG108" s="67"/>
      <c r="AH108" s="67"/>
      <c r="AI108" s="75"/>
      <c r="AN108" s="47"/>
      <c r="AO108" s="47"/>
      <c r="AQ108" s="47"/>
      <c r="AY108" s="67"/>
      <c r="AZ108" s="75"/>
      <c r="BA108" s="75"/>
      <c r="BB108" s="67"/>
      <c r="BG108" s="67"/>
      <c r="CS108" s="56"/>
      <c r="CT108" s="56"/>
      <c r="DP108" s="48"/>
    </row>
    <row r="109" spans="24:120">
      <c r="X109" s="47"/>
      <c r="AA109" s="110"/>
      <c r="AN109" s="47"/>
      <c r="AO109" s="47"/>
      <c r="AQ109" s="47"/>
      <c r="CS109" s="56"/>
      <c r="CT109" s="56"/>
    </row>
    <row r="110" spans="24:120">
      <c r="X110" s="53"/>
      <c r="AA110" s="111"/>
      <c r="AB110" s="73"/>
      <c r="AC110" s="74"/>
      <c r="AD110" s="67"/>
      <c r="AE110" s="67"/>
      <c r="AF110" s="67"/>
      <c r="AG110" s="67"/>
      <c r="AH110" s="67"/>
      <c r="AI110" s="75"/>
      <c r="AN110" s="53"/>
      <c r="AO110" s="53"/>
      <c r="AQ110" s="53"/>
      <c r="AY110" s="67"/>
      <c r="AZ110" s="75"/>
      <c r="BA110" s="75"/>
      <c r="BB110" s="67"/>
      <c r="BG110" s="67"/>
      <c r="CS110" s="56"/>
      <c r="CT110" s="56"/>
    </row>
    <row r="111" spans="24:120">
      <c r="X111" s="53"/>
      <c r="AA111" s="111"/>
      <c r="AN111" s="53"/>
      <c r="AO111" s="53"/>
      <c r="AQ111" s="53"/>
      <c r="CS111" s="56"/>
      <c r="CT111" s="56"/>
    </row>
    <row r="112" spans="24:120">
      <c r="AB112" s="73"/>
      <c r="AC112" s="74"/>
      <c r="AD112" s="67"/>
      <c r="AE112" s="67"/>
      <c r="AF112" s="67"/>
      <c r="AG112" s="67"/>
      <c r="AH112" s="67"/>
      <c r="AI112" s="75"/>
      <c r="AY112" s="67"/>
      <c r="AZ112" s="75"/>
      <c r="BA112" s="75"/>
      <c r="BB112" s="67"/>
      <c r="BG112" s="67"/>
      <c r="CS112" s="56"/>
      <c r="CT112" s="56"/>
    </row>
    <row r="113" spans="28:98">
      <c r="CS113" s="56"/>
      <c r="CT113" s="56"/>
    </row>
    <row r="114" spans="28:98">
      <c r="AB114" s="73"/>
      <c r="AC114" s="74"/>
      <c r="AD114" s="67"/>
      <c r="AE114" s="67"/>
      <c r="AF114" s="67"/>
      <c r="AG114" s="67"/>
      <c r="AH114" s="67"/>
      <c r="AI114" s="75"/>
      <c r="AY114" s="67"/>
      <c r="AZ114" s="75"/>
      <c r="BA114" s="75"/>
      <c r="BB114" s="67"/>
      <c r="BG114" s="67"/>
      <c r="CS114" s="56"/>
      <c r="CT114" s="56"/>
    </row>
    <row r="115" spans="28:98">
      <c r="CS115" s="56"/>
      <c r="CT115" s="56"/>
    </row>
    <row r="116" spans="28:98">
      <c r="CS116" s="56"/>
      <c r="CT116" s="56"/>
    </row>
    <row r="117" spans="28:98">
      <c r="CS117" s="56"/>
      <c r="CT117" s="56"/>
    </row>
    <row r="118" spans="28:98">
      <c r="CS118" s="56"/>
      <c r="CT118" s="56"/>
    </row>
    <row r="119" spans="28:98">
      <c r="CS119" s="56"/>
      <c r="CT119" s="56"/>
    </row>
    <row r="120" spans="28:98">
      <c r="CS120" s="56"/>
      <c r="CT120" s="56"/>
    </row>
    <row r="121" spans="28:98">
      <c r="CS121" s="56"/>
      <c r="CT121" s="56"/>
    </row>
    <row r="122" spans="28:98">
      <c r="CS122" s="56"/>
      <c r="CT122" s="56"/>
    </row>
    <row r="123" spans="28:98">
      <c r="CS123" s="56"/>
      <c r="CT123" s="56"/>
    </row>
    <row r="124" spans="28:98">
      <c r="CS124" s="56"/>
      <c r="CT124" s="56"/>
    </row>
    <row r="125" spans="28:98">
      <c r="CS125" s="56"/>
      <c r="CT125" s="56"/>
    </row>
    <row r="126" spans="28:98">
      <c r="AW126" s="56"/>
      <c r="CS126" s="56"/>
      <c r="CT126" s="56"/>
    </row>
    <row r="127" spans="28:98">
      <c r="AW127" s="56"/>
      <c r="CS127" s="56"/>
      <c r="CT127" s="56"/>
    </row>
    <row r="128" spans="28:98">
      <c r="AW128" s="56"/>
      <c r="CS128" s="56"/>
      <c r="CT128" s="56"/>
    </row>
    <row r="129" spans="45:98">
      <c r="AV129" s="56"/>
      <c r="AW129" s="56"/>
      <c r="CS129" s="56"/>
      <c r="CT129" s="56"/>
    </row>
    <row r="130" spans="45:98">
      <c r="AT130" s="56"/>
      <c r="AU130" s="56"/>
      <c r="CS130" s="56"/>
      <c r="CT130" s="56"/>
    </row>
    <row r="131" spans="45:98">
      <c r="AT131" s="56"/>
      <c r="AU131" s="56"/>
      <c r="CS131" s="56"/>
      <c r="CT131" s="56"/>
    </row>
    <row r="132" spans="45:98">
      <c r="AT132" s="56"/>
      <c r="AU132" s="56"/>
      <c r="CS132" s="56"/>
      <c r="CT132" s="56"/>
    </row>
    <row r="133" spans="45:98">
      <c r="AT133" s="56"/>
      <c r="AU133" s="56"/>
      <c r="CS133" s="56"/>
      <c r="CT133" s="56"/>
    </row>
    <row r="134" spans="45:98">
      <c r="AS134" s="56"/>
      <c r="AT134" s="56"/>
      <c r="CS134" s="56"/>
      <c r="CT134" s="56"/>
    </row>
    <row r="135" spans="45:98">
      <c r="AS135" s="56"/>
      <c r="AT135" s="56"/>
      <c r="CS135" s="56"/>
      <c r="CT135" s="56"/>
    </row>
    <row r="136" spans="45:98">
      <c r="AS136" s="56"/>
      <c r="CS136" s="56"/>
      <c r="CT136" s="56"/>
    </row>
    <row r="137" spans="45:98">
      <c r="CS137" s="56"/>
      <c r="CT137" s="56"/>
    </row>
    <row r="138" spans="45:98">
      <c r="CS138" s="56"/>
      <c r="CT138" s="56"/>
    </row>
    <row r="139" spans="45:98">
      <c r="CS139" s="56"/>
      <c r="CT139" s="56"/>
    </row>
    <row r="140" spans="45:98">
      <c r="CS140" s="56"/>
      <c r="CT140" s="56"/>
    </row>
    <row r="141" spans="45:98">
      <c r="CS141" s="56"/>
      <c r="CT141" s="56"/>
    </row>
    <row r="142" spans="45:98">
      <c r="CS142" s="56"/>
      <c r="CT142" s="56"/>
    </row>
    <row r="143" spans="45:98">
      <c r="CS143" s="56"/>
      <c r="CT143" s="56"/>
    </row>
    <row r="144" spans="45:98">
      <c r="CS144" s="56"/>
      <c r="CT144" s="56"/>
    </row>
    <row r="145" spans="97:98">
      <c r="CS145" s="56"/>
      <c r="CT145" s="56"/>
    </row>
    <row r="146" spans="97:98">
      <c r="CS146" s="56"/>
      <c r="CT146" s="56"/>
    </row>
    <row r="147" spans="97:98">
      <c r="CS147" s="56"/>
      <c r="CT147" s="56"/>
    </row>
    <row r="148" spans="97:98">
      <c r="CS148" s="56"/>
      <c r="CT148" s="56"/>
    </row>
    <row r="149" spans="97:98">
      <c r="CS149" s="56"/>
      <c r="CT149" s="56"/>
    </row>
    <row r="150" spans="97:98">
      <c r="CS150" s="56"/>
      <c r="CT150" s="56"/>
    </row>
    <row r="151" spans="97:98">
      <c r="CS151" s="56"/>
      <c r="CT151" s="56"/>
    </row>
    <row r="152" spans="97:98">
      <c r="CS152" s="56"/>
      <c r="CT152" s="56"/>
    </row>
    <row r="153" spans="97:98">
      <c r="CS153" s="56"/>
      <c r="CT153" s="56"/>
    </row>
    <row r="154" spans="97:98">
      <c r="CS154" s="56"/>
      <c r="CT154" s="56"/>
    </row>
    <row r="155" spans="97:98">
      <c r="CS155" s="56"/>
      <c r="CT155" s="56"/>
    </row>
    <row r="156" spans="97:98">
      <c r="CS156" s="56"/>
      <c r="CT156" s="56"/>
    </row>
    <row r="157" spans="97:98">
      <c r="CS157" s="56"/>
      <c r="CT157" s="56"/>
    </row>
    <row r="158" spans="97:98">
      <c r="CS158" s="56"/>
      <c r="CT158" s="56"/>
    </row>
    <row r="159" spans="97:98">
      <c r="CS159" s="56"/>
      <c r="CT159" s="56"/>
    </row>
    <row r="160" spans="97:98">
      <c r="CS160" s="56"/>
      <c r="CT160" s="56"/>
    </row>
    <row r="161" spans="97:98">
      <c r="CS161" s="56"/>
      <c r="CT161" s="56"/>
    </row>
    <row r="162" spans="97:98">
      <c r="CS162" s="56"/>
      <c r="CT162" s="56"/>
    </row>
    <row r="163" spans="97:98">
      <c r="CS163" s="56"/>
      <c r="CT163" s="56"/>
    </row>
    <row r="164" spans="97:98">
      <c r="CS164" s="56"/>
      <c r="CT164" s="56"/>
    </row>
    <row r="165" spans="97:98">
      <c r="CS165" s="56"/>
      <c r="CT165" s="56"/>
    </row>
    <row r="166" spans="97:98">
      <c r="CS166" s="56"/>
      <c r="CT166" s="56"/>
    </row>
    <row r="167" spans="97:98">
      <c r="CS167" s="56"/>
      <c r="CT167" s="56"/>
    </row>
    <row r="168" spans="97:98">
      <c r="CS168" s="56"/>
      <c r="CT168" s="56"/>
    </row>
    <row r="169" spans="97:98">
      <c r="CS169" s="56"/>
      <c r="CT169" s="56"/>
    </row>
    <row r="170" spans="97:98">
      <c r="CS170" s="56"/>
      <c r="CT170" s="56"/>
    </row>
    <row r="171" spans="97:98">
      <c r="CS171" s="56"/>
      <c r="CT171" s="56"/>
    </row>
    <row r="172" spans="97:98">
      <c r="CS172" s="56"/>
      <c r="CT172" s="56"/>
    </row>
    <row r="173" spans="97:98">
      <c r="CS173" s="56"/>
      <c r="CT173" s="56"/>
    </row>
    <row r="174" spans="97:98">
      <c r="CS174" s="56"/>
      <c r="CT174" s="56"/>
    </row>
    <row r="175" spans="97:98">
      <c r="CS175" s="56"/>
      <c r="CT175" s="56"/>
    </row>
    <row r="176" spans="97:98">
      <c r="CS176" s="56"/>
      <c r="CT176" s="56"/>
    </row>
    <row r="177" spans="97:98">
      <c r="CS177" s="56"/>
      <c r="CT177" s="56"/>
    </row>
    <row r="178" spans="97:98">
      <c r="CS178" s="56"/>
      <c r="CT178" s="56"/>
    </row>
    <row r="179" spans="97:98">
      <c r="CS179" s="56"/>
      <c r="CT179" s="56"/>
    </row>
    <row r="180" spans="97:98">
      <c r="CS180" s="56"/>
      <c r="CT180" s="56"/>
    </row>
    <row r="181" spans="97:98">
      <c r="CS181" s="56"/>
      <c r="CT181" s="56"/>
    </row>
    <row r="182" spans="97:98">
      <c r="CS182" s="56"/>
      <c r="CT182" s="56"/>
    </row>
    <row r="183" spans="97:98">
      <c r="CS183" s="56"/>
      <c r="CT183" s="56"/>
    </row>
    <row r="184" spans="97:98">
      <c r="CS184" s="56"/>
      <c r="CT184" s="56"/>
    </row>
    <row r="185" spans="97:98">
      <c r="CS185" s="56"/>
      <c r="CT185" s="56"/>
    </row>
    <row r="186" spans="97:98">
      <c r="CS186" s="56"/>
      <c r="CT186" s="56"/>
    </row>
    <row r="187" spans="97:98">
      <c r="CS187" s="56"/>
      <c r="CT187" s="56"/>
    </row>
    <row r="188" spans="97:98">
      <c r="CS188" s="56"/>
      <c r="CT188" s="56"/>
    </row>
    <row r="189" spans="97:98">
      <c r="CS189" s="56"/>
      <c r="CT189" s="56"/>
    </row>
    <row r="190" spans="97:98">
      <c r="CS190" s="56"/>
      <c r="CT190" s="56"/>
    </row>
    <row r="191" spans="97:98">
      <c r="CS191" s="56"/>
      <c r="CT191" s="56"/>
    </row>
    <row r="192" spans="97:98">
      <c r="CS192" s="56"/>
      <c r="CT192" s="56"/>
    </row>
    <row r="193" spans="97:98">
      <c r="CS193" s="56"/>
      <c r="CT193" s="56"/>
    </row>
    <row r="194" spans="97:98">
      <c r="CS194" s="56"/>
      <c r="CT194" s="56"/>
    </row>
    <row r="195" spans="97:98">
      <c r="CS195" s="56"/>
      <c r="CT195" s="56"/>
    </row>
    <row r="196" spans="97:98">
      <c r="CS196" s="56"/>
      <c r="CT196" s="56"/>
    </row>
    <row r="197" spans="97:98">
      <c r="CS197" s="56"/>
      <c r="CT197" s="56"/>
    </row>
    <row r="198" spans="97:98">
      <c r="CS198" s="56"/>
      <c r="CT198" s="56"/>
    </row>
    <row r="199" spans="97:98">
      <c r="CS199" s="56"/>
      <c r="CT199" s="56"/>
    </row>
    <row r="200" spans="97:98">
      <c r="CS200" s="56"/>
      <c r="CT200" s="56"/>
    </row>
    <row r="201" spans="97:98">
      <c r="CS201" s="56"/>
      <c r="CT201" s="56"/>
    </row>
    <row r="202" spans="97:98">
      <c r="CS202" s="56"/>
      <c r="CT202" s="56"/>
    </row>
    <row r="203" spans="97:98">
      <c r="CS203" s="56"/>
      <c r="CT203" s="56"/>
    </row>
    <row r="204" spans="97:98">
      <c r="CS204" s="56"/>
      <c r="CT204" s="56"/>
    </row>
    <row r="205" spans="97:98">
      <c r="CS205" s="56"/>
      <c r="CT205" s="56"/>
    </row>
    <row r="206" spans="97:98">
      <c r="CS206" s="56"/>
      <c r="CT206" s="56"/>
    </row>
    <row r="207" spans="97:98">
      <c r="CS207" s="56"/>
      <c r="CT207" s="56"/>
    </row>
    <row r="208" spans="97:98">
      <c r="CS208" s="56"/>
      <c r="CT208" s="56"/>
    </row>
    <row r="209" spans="97:98">
      <c r="CS209" s="56"/>
      <c r="CT209" s="56"/>
    </row>
    <row r="210" spans="97:98">
      <c r="CS210" s="56"/>
      <c r="CT210" s="56"/>
    </row>
    <row r="211" spans="97:98">
      <c r="CS211" s="56"/>
      <c r="CT211" s="56"/>
    </row>
    <row r="212" spans="97:98">
      <c r="CS212" s="56"/>
      <c r="CT212" s="56"/>
    </row>
    <row r="213" spans="97:98">
      <c r="CS213" s="56"/>
      <c r="CT213" s="56"/>
    </row>
    <row r="214" spans="97:98">
      <c r="CS214" s="56"/>
      <c r="CT214" s="56"/>
    </row>
    <row r="215" spans="97:98">
      <c r="CS215" s="56"/>
      <c r="CT215" s="56"/>
    </row>
    <row r="216" spans="97:98">
      <c r="CS216" s="56"/>
      <c r="CT216" s="56"/>
    </row>
    <row r="217" spans="97:98">
      <c r="CS217" s="56"/>
      <c r="CT217" s="56"/>
    </row>
    <row r="218" spans="97:98">
      <c r="CS218" s="56"/>
      <c r="CT218" s="56"/>
    </row>
    <row r="219" spans="97:98">
      <c r="CS219" s="56"/>
      <c r="CT219" s="56"/>
    </row>
    <row r="220" spans="97:98">
      <c r="CS220" s="56"/>
      <c r="CT220" s="56"/>
    </row>
    <row r="221" spans="97:98">
      <c r="CS221" s="56"/>
      <c r="CT221" s="56"/>
    </row>
    <row r="222" spans="97:98">
      <c r="CS222" s="56"/>
      <c r="CT222" s="56"/>
    </row>
    <row r="223" spans="97:98">
      <c r="CS223" s="56"/>
      <c r="CT223" s="56"/>
    </row>
    <row r="224" spans="97:98">
      <c r="CS224" s="56"/>
      <c r="CT224" s="56"/>
    </row>
    <row r="225" spans="97:98">
      <c r="CS225" s="56"/>
      <c r="CT225" s="56"/>
    </row>
    <row r="226" spans="97:98">
      <c r="CS226" s="56"/>
      <c r="CT226" s="56"/>
    </row>
    <row r="227" spans="97:98">
      <c r="CS227" s="56"/>
      <c r="CT227" s="56"/>
    </row>
    <row r="228" spans="97:98">
      <c r="CS228" s="56"/>
      <c r="CT228" s="56"/>
    </row>
    <row r="229" spans="97:98">
      <c r="CS229" s="56"/>
      <c r="CT229" s="56"/>
    </row>
    <row r="230" spans="97:98">
      <c r="CS230" s="56"/>
      <c r="CT230" s="56"/>
    </row>
    <row r="231" spans="97:98">
      <c r="CS231" s="56"/>
      <c r="CT231" s="56"/>
    </row>
    <row r="232" spans="97:98">
      <c r="CS232" s="56"/>
      <c r="CT232" s="56"/>
    </row>
    <row r="233" spans="97:98">
      <c r="CS233" s="56"/>
      <c r="CT233" s="56"/>
    </row>
    <row r="234" spans="97:98">
      <c r="CS234" s="56"/>
      <c r="CT234" s="56"/>
    </row>
    <row r="235" spans="97:98">
      <c r="CS235" s="56"/>
      <c r="CT235" s="56"/>
    </row>
    <row r="236" spans="97:98">
      <c r="CS236" s="56"/>
      <c r="CT236" s="56"/>
    </row>
    <row r="237" spans="97:98">
      <c r="CS237" s="56"/>
      <c r="CT237" s="56"/>
    </row>
    <row r="238" spans="97:98">
      <c r="CS238" s="56"/>
      <c r="CT238" s="56"/>
    </row>
    <row r="239" spans="97:98">
      <c r="CS239" s="56"/>
      <c r="CT239" s="56"/>
    </row>
    <row r="240" spans="97:98">
      <c r="CS240" s="56"/>
      <c r="CT240" s="56"/>
    </row>
    <row r="241" spans="97:98">
      <c r="CS241" s="56"/>
      <c r="CT241" s="56"/>
    </row>
    <row r="242" spans="97:98">
      <c r="CS242" s="56"/>
      <c r="CT242" s="56"/>
    </row>
    <row r="243" spans="97:98">
      <c r="CS243" s="56"/>
      <c r="CT243" s="56"/>
    </row>
    <row r="244" spans="97:98">
      <c r="CS244" s="56"/>
      <c r="CT244" s="56"/>
    </row>
    <row r="245" spans="97:98">
      <c r="CS245" s="56"/>
      <c r="CT245" s="56"/>
    </row>
    <row r="246" spans="97:98">
      <c r="CS246" s="56"/>
      <c r="CT246" s="56"/>
    </row>
    <row r="247" spans="97:98">
      <c r="CS247" s="56"/>
      <c r="CT247" s="56"/>
    </row>
    <row r="248" spans="97:98">
      <c r="CS248" s="56"/>
      <c r="CT248" s="56"/>
    </row>
    <row r="249" spans="97:98">
      <c r="CS249" s="56"/>
      <c r="CT249" s="56"/>
    </row>
    <row r="250" spans="97:98">
      <c r="CS250" s="56"/>
      <c r="CT250" s="56"/>
    </row>
    <row r="251" spans="97:98">
      <c r="CS251" s="56"/>
      <c r="CT251" s="56"/>
    </row>
    <row r="252" spans="97:98">
      <c r="CS252" s="56"/>
      <c r="CT252" s="56"/>
    </row>
    <row r="253" spans="97:98">
      <c r="CS253" s="56"/>
      <c r="CT253" s="56"/>
    </row>
    <row r="254" spans="97:98">
      <c r="CS254" s="56"/>
      <c r="CT254" s="56"/>
    </row>
    <row r="255" spans="97:98">
      <c r="CS255" s="56"/>
      <c r="CT255" s="56"/>
    </row>
    <row r="256" spans="97:98">
      <c r="CS256" s="56"/>
      <c r="CT256" s="56"/>
    </row>
    <row r="257" spans="97:98">
      <c r="CS257" s="56"/>
      <c r="CT257" s="56"/>
    </row>
    <row r="258" spans="97:98">
      <c r="CS258" s="56"/>
      <c r="CT258" s="56"/>
    </row>
    <row r="259" spans="97:98">
      <c r="CS259" s="56"/>
      <c r="CT259" s="56"/>
    </row>
    <row r="260" spans="97:98">
      <c r="CS260" s="56"/>
      <c r="CT260" s="56"/>
    </row>
    <row r="261" spans="97:98">
      <c r="CS261" s="56"/>
      <c r="CT261" s="56"/>
    </row>
    <row r="262" spans="97:98">
      <c r="CS262" s="56"/>
      <c r="CT262" s="56"/>
    </row>
    <row r="263" spans="97:98">
      <c r="CS263" s="56"/>
      <c r="CT263" s="56"/>
    </row>
    <row r="264" spans="97:98">
      <c r="CS264" s="56"/>
      <c r="CT264" s="56"/>
    </row>
    <row r="265" spans="97:98">
      <c r="CS265" s="56"/>
      <c r="CT265" s="56"/>
    </row>
    <row r="266" spans="97:98">
      <c r="CS266" s="56"/>
      <c r="CT266" s="56"/>
    </row>
    <row r="267" spans="97:98">
      <c r="CS267" s="56"/>
      <c r="CT267" s="56"/>
    </row>
    <row r="268" spans="97:98">
      <c r="CS268" s="56"/>
      <c r="CT268" s="56"/>
    </row>
    <row r="269" spans="97:98">
      <c r="CS269" s="56"/>
      <c r="CT269" s="56"/>
    </row>
    <row r="270" spans="97:98">
      <c r="CS270" s="56"/>
      <c r="CT270" s="56"/>
    </row>
    <row r="271" spans="97:98">
      <c r="CS271" s="56"/>
      <c r="CT271" s="56"/>
    </row>
    <row r="272" spans="97:98">
      <c r="CS272" s="56"/>
      <c r="CT272" s="56"/>
    </row>
    <row r="273" spans="97:98">
      <c r="CS273" s="56"/>
      <c r="CT273" s="56"/>
    </row>
    <row r="274" spans="97:98">
      <c r="CS274" s="56"/>
      <c r="CT274" s="56"/>
    </row>
    <row r="275" spans="97:98">
      <c r="CS275" s="56"/>
      <c r="CT275" s="56"/>
    </row>
    <row r="276" spans="97:98">
      <c r="CS276" s="56"/>
      <c r="CT276" s="56"/>
    </row>
    <row r="277" spans="97:98">
      <c r="CS277" s="56"/>
      <c r="CT277" s="56"/>
    </row>
    <row r="278" spans="97:98">
      <c r="CS278" s="56"/>
      <c r="CT278" s="56"/>
    </row>
    <row r="279" spans="97:98">
      <c r="CS279" s="56"/>
      <c r="CT279" s="56"/>
    </row>
    <row r="280" spans="97:98">
      <c r="CS280" s="56"/>
      <c r="CT280" s="56"/>
    </row>
    <row r="281" spans="97:98">
      <c r="CS281" s="56"/>
      <c r="CT281" s="56"/>
    </row>
    <row r="282" spans="97:98">
      <c r="CS282" s="56"/>
      <c r="CT282" s="56"/>
    </row>
    <row r="283" spans="97:98">
      <c r="CS283" s="56"/>
      <c r="CT283" s="56"/>
    </row>
    <row r="284" spans="97:98">
      <c r="CS284" s="56"/>
      <c r="CT284" s="56"/>
    </row>
    <row r="285" spans="97:98">
      <c r="CS285" s="56"/>
      <c r="CT285" s="56"/>
    </row>
    <row r="286" spans="97:98">
      <c r="CS286" s="56"/>
      <c r="CT286" s="56"/>
    </row>
    <row r="287" spans="97:98">
      <c r="CS287" s="56"/>
      <c r="CT287" s="56"/>
    </row>
    <row r="288" spans="97:98">
      <c r="CS288" s="56"/>
      <c r="CT288" s="56"/>
    </row>
    <row r="289" spans="97:98">
      <c r="CS289" s="56"/>
      <c r="CT289" s="56"/>
    </row>
    <row r="290" spans="97:98">
      <c r="CS290" s="56"/>
      <c r="CT290" s="56"/>
    </row>
    <row r="291" spans="97:98">
      <c r="CS291" s="56"/>
      <c r="CT291" s="56"/>
    </row>
    <row r="292" spans="97:98">
      <c r="CS292" s="56"/>
      <c r="CT292" s="56"/>
    </row>
    <row r="293" spans="97:98">
      <c r="CS293" s="56"/>
      <c r="CT293" s="56"/>
    </row>
    <row r="294" spans="97:98">
      <c r="CS294" s="56"/>
      <c r="CT294" s="56"/>
    </row>
    <row r="295" spans="97:98">
      <c r="CS295" s="56"/>
      <c r="CT295" s="56"/>
    </row>
    <row r="296" spans="97:98">
      <c r="CS296" s="56"/>
      <c r="CT296" s="56"/>
    </row>
    <row r="297" spans="97:98">
      <c r="CS297" s="56"/>
      <c r="CT297" s="56"/>
    </row>
    <row r="298" spans="97:98">
      <c r="CS298" s="56"/>
      <c r="CT298" s="56"/>
    </row>
    <row r="299" spans="97:98">
      <c r="CS299" s="56"/>
      <c r="CT299" s="56"/>
    </row>
    <row r="300" spans="97:98">
      <c r="CS300" s="56"/>
      <c r="CT300" s="56"/>
    </row>
    <row r="301" spans="97:98">
      <c r="CS301" s="56"/>
      <c r="CT301" s="56"/>
    </row>
    <row r="302" spans="97:98">
      <c r="CS302" s="56"/>
      <c r="CT302" s="56"/>
    </row>
    <row r="303" spans="97:98">
      <c r="CS303" s="56"/>
      <c r="CT303" s="56"/>
    </row>
    <row r="304" spans="97:98">
      <c r="CS304" s="56"/>
      <c r="CT304" s="56"/>
    </row>
    <row r="305" spans="97:98">
      <c r="CS305" s="56"/>
      <c r="CT305" s="56"/>
    </row>
    <row r="306" spans="97:98">
      <c r="CS306" s="56"/>
      <c r="CT306" s="56"/>
    </row>
    <row r="307" spans="97:98">
      <c r="CS307" s="56"/>
      <c r="CT307" s="56"/>
    </row>
    <row r="308" spans="97:98">
      <c r="CS308" s="56"/>
      <c r="CT308" s="56"/>
    </row>
    <row r="309" spans="97:98">
      <c r="CS309" s="56"/>
      <c r="CT309" s="56"/>
    </row>
    <row r="310" spans="97:98">
      <c r="CS310" s="56"/>
      <c r="CT310" s="56"/>
    </row>
    <row r="311" spans="97:98">
      <c r="CS311" s="56"/>
      <c r="CT311" s="56"/>
    </row>
    <row r="312" spans="97:98">
      <c r="CS312" s="56"/>
      <c r="CT312" s="56"/>
    </row>
    <row r="313" spans="97:98">
      <c r="CS313" s="56"/>
      <c r="CT313" s="56"/>
    </row>
    <row r="314" spans="97:98">
      <c r="CS314" s="56"/>
      <c r="CT314" s="56"/>
    </row>
    <row r="315" spans="97:98">
      <c r="CS315" s="56"/>
      <c r="CT315" s="56"/>
    </row>
    <row r="316" spans="97:98">
      <c r="CS316" s="56"/>
      <c r="CT316" s="56"/>
    </row>
    <row r="317" spans="97:98">
      <c r="CS317" s="56"/>
      <c r="CT317" s="56"/>
    </row>
    <row r="318" spans="97:98">
      <c r="CS318" s="56"/>
      <c r="CT318" s="56"/>
    </row>
    <row r="319" spans="97:98">
      <c r="CS319" s="56"/>
      <c r="CT319" s="56"/>
    </row>
    <row r="320" spans="97:98">
      <c r="CS320" s="56"/>
      <c r="CT320" s="56"/>
    </row>
  </sheetData>
  <dataValidations count="16">
    <dataValidation type="list" allowBlank="1" showInputMessage="1" showErrorMessage="1" sqref="F41:F42">
      <formula1>Fert_N</formula1>
    </dataValidation>
    <dataValidation type="list" allowBlank="1" showInputMessage="1" showErrorMessage="1" sqref="H41:H42 J41:J42">
      <formula1>fert_oth</formula1>
    </dataValidation>
    <dataValidation type="list" allowBlank="1" showInputMessage="1" showErrorMessage="1" sqref="M17:M39 M41:M53">
      <formula1>"liquid, solid, both"</formula1>
    </dataValidation>
    <dataValidation type="list" allowBlank="1" showInputMessage="1" showErrorMessage="1" sqref="V17:V39">
      <formula1>"incorporated,removed,burnt"</formula1>
    </dataValidation>
    <dataValidation type="list" allowBlank="1" showInputMessage="1" showErrorMessage="1" sqref="L17:L39 Y17:Z39 W17:W39 Y41:Z53 L41:L53">
      <formula1>"yes,no"</formula1>
    </dataValidation>
    <dataValidation type="list" allowBlank="1" showInputMessage="1" showErrorMessage="1" sqref="T17:T39 T41:T53">
      <formula1>fuel_mach</formula1>
    </dataValidation>
    <dataValidation type="list" allowBlank="1" showInputMessage="1" showErrorMessage="1" sqref="C4">
      <formula1>climate</formula1>
    </dataValidation>
    <dataValidation type="list" allowBlank="1" showInputMessage="1" showErrorMessage="1" sqref="C5">
      <formula1>temp_regi</formula1>
    </dataValidation>
    <dataValidation type="list" allowBlank="1" showInputMessage="1" showErrorMessage="1" sqref="C6">
      <formula1>moist_regi</formula1>
    </dataValidation>
    <dataValidation type="list" allowBlank="1" showInputMessage="1" showErrorMessage="1" sqref="C7">
      <formula1>soil</formula1>
    </dataValidation>
    <dataValidation type="list" allowBlank="1" showInputMessage="1" showErrorMessage="1" sqref="X43:X53 X17:X39">
      <formula1>"full tillage,reduced tillage,no tillage"</formula1>
    </dataValidation>
    <dataValidation type="list" allowBlank="1" showInputMessage="1" showErrorMessage="1" sqref="C17:C40">
      <formula1>crop_ID_annual</formula1>
    </dataValidation>
    <dataValidation type="list" allowBlank="1" showInputMessage="1" showErrorMessage="1" sqref="C43:C53">
      <formula1>crop_ID_trees</formula1>
    </dataValidation>
    <dataValidation type="list" allowBlank="1" showInputMessage="1" showErrorMessage="1" sqref="F17:F40 F43:F53">
      <formula1>fertilizer_ID_N</formula1>
    </dataValidation>
    <dataValidation type="list" allowBlank="1" showInputMessage="1" showErrorMessage="1" sqref="H17:H40 H43:H53">
      <formula1>fertilizer_ID_lime</formula1>
    </dataValidation>
    <dataValidation type="list" allowBlank="1" showInputMessage="1" showErrorMessage="1" sqref="J17:J40 J43:J53">
      <formula1>fertilizer_ID_other</formula1>
    </dataValidation>
  </dataValidations>
  <printOptions horizontalCentered="1"/>
  <pageMargins left="0.78740157480314965" right="0.78740157480314965" top="0.78740157480314965" bottom="0.78740157480314965" header="0.51181102362204722" footer="0.51181102362204722"/>
  <pageSetup paperSize="9" scale="62" orientation="landscape" horizontalDpi="300" verticalDpi="300" r:id="rId1"/>
  <headerFooter>
    <oddHeader>&amp;R&amp;"Arial,Gras italique"&amp;12Données Assolement et  pratiques culturales</oddHeader>
    <oddFooter>&amp;LSOLAGRO - Bilan PLANETE+GES+N agriculture v1 juillet 2006&amp;R&amp;A - page &amp;P/&amp;N</oddFooter>
  </headerFooter>
  <colBreaks count="1" manualBreakCount="1">
    <brk id="6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298"/>
  <sheetViews>
    <sheetView topLeftCell="A7" zoomScale="80" zoomScaleNormal="80" zoomScaleSheetLayoutView="75" workbookViewId="0">
      <pane xSplit="3" ySplit="9" topLeftCell="D16" activePane="bottomRight" state="frozen"/>
      <selection activeCell="A7" sqref="A7"/>
      <selection pane="topRight" activeCell="D7" sqref="D7"/>
      <selection pane="bottomLeft" activeCell="A16" sqref="A16"/>
      <selection pane="bottomRight" activeCell="X13" sqref="X13"/>
    </sheetView>
  </sheetViews>
  <sheetFormatPr baseColWidth="10" defaultColWidth="11.42578125" defaultRowHeight="15" outlineLevelCol="1"/>
  <cols>
    <col min="1" max="1" width="11.42578125" style="32"/>
    <col min="2" max="2" width="22.140625" style="32" customWidth="1"/>
    <col min="3" max="3" width="40.42578125" style="32" customWidth="1"/>
    <col min="4" max="4" width="13.85546875" style="32" customWidth="1"/>
    <col min="5" max="5" width="14.28515625" style="32" customWidth="1"/>
    <col min="6" max="6" width="32.85546875" style="32" customWidth="1" outlineLevel="1"/>
    <col min="7" max="7" width="9.28515625" style="32" customWidth="1" outlineLevel="1"/>
    <col min="8" max="8" width="31.7109375" style="32" customWidth="1" outlineLevel="1"/>
    <col min="9" max="9" width="12" style="32" customWidth="1" outlineLevel="1"/>
    <col min="10" max="10" width="34.5703125" style="32" customWidth="1" outlineLevel="1"/>
    <col min="11" max="11" width="14.42578125" style="32" customWidth="1" outlineLevel="1"/>
    <col min="12" max="12" width="26.5703125" style="32" customWidth="1" outlineLevel="1"/>
    <col min="13" max="13" width="20.140625" style="32" customWidth="1" outlineLevel="1"/>
    <col min="14" max="14" width="23.28515625" style="32" customWidth="1" outlineLevel="1"/>
    <col min="15" max="16" width="10.85546875" style="32" customWidth="1" outlineLevel="1"/>
    <col min="17" max="17" width="14.5703125" style="32" customWidth="1" outlineLevel="1"/>
    <col min="18" max="18" width="20.140625" style="32" customWidth="1"/>
    <col min="19" max="21" width="21.85546875" style="32" customWidth="1"/>
    <col min="22" max="23" width="20.140625" style="32" customWidth="1"/>
    <col min="24" max="24" width="12.5703125" style="32" customWidth="1"/>
    <col min="25" max="25" width="16.85546875" style="32" customWidth="1"/>
    <col min="26" max="26" width="4.42578125" style="39" customWidth="1"/>
    <col min="27" max="27" width="21.7109375" style="32" customWidth="1" outlineLevel="1"/>
    <col min="28" max="28" width="17.5703125" style="32" customWidth="1" outlineLevel="1"/>
    <col min="29" max="29" width="22.28515625" style="32" customWidth="1" outlineLevel="1"/>
    <col min="30" max="30" width="26.42578125" style="32" customWidth="1" outlineLevel="1"/>
    <col min="31" max="31" width="22.28515625" style="32" customWidth="1" outlineLevel="1"/>
    <col min="32" max="32" width="26.42578125" style="32" customWidth="1" outlineLevel="1"/>
    <col min="33" max="33" width="15" style="32" customWidth="1" outlineLevel="1"/>
    <col min="34" max="34" width="22.42578125" style="32" customWidth="1" outlineLevel="1"/>
    <col min="35" max="35" width="28.7109375" style="32" customWidth="1"/>
    <col min="36" max="36" width="13.140625" style="32" customWidth="1"/>
    <col min="37" max="37" width="25.85546875" style="32" customWidth="1"/>
    <col min="38" max="38" width="13.140625" style="32" customWidth="1"/>
    <col min="39" max="39" width="10.28515625" style="32" customWidth="1"/>
    <col min="40" max="40" width="11.85546875" style="32" customWidth="1"/>
    <col min="41" max="41" width="17.140625" style="32" customWidth="1"/>
    <col min="42" max="42" width="14.7109375" style="32" customWidth="1"/>
    <col min="43" max="43" width="15.5703125" style="32" customWidth="1" collapsed="1"/>
    <col min="44" max="44" width="11.42578125" style="32" collapsed="1"/>
    <col min="45" max="48" width="11.42578125" style="32"/>
    <col min="49" max="49" width="15.28515625" style="32" customWidth="1"/>
    <col min="50" max="50" width="20.28515625" style="32" customWidth="1"/>
    <col min="51" max="51" width="18" style="32" customWidth="1"/>
    <col min="52" max="52" width="3.85546875" style="67" customWidth="1"/>
    <col min="53" max="53" width="17.5703125" style="32" customWidth="1"/>
    <col min="54" max="54" width="19.28515625" style="32" customWidth="1"/>
    <col min="55" max="55" width="18.42578125" style="32" customWidth="1"/>
    <col min="56" max="56" width="15.85546875" customWidth="1"/>
    <col min="57" max="57" width="18.85546875" style="32" customWidth="1"/>
    <col min="58" max="58" width="16.28515625" style="32" customWidth="1"/>
    <col min="59" max="59" width="11.42578125" style="67" customWidth="1"/>
    <col min="60" max="60" width="11.42578125" customWidth="1"/>
    <col min="61" max="61" width="11.42578125" style="32" customWidth="1"/>
    <col min="62" max="62" width="17.5703125" style="32" customWidth="1"/>
    <col min="63" max="63" width="10.5703125" style="32" customWidth="1"/>
    <col min="64" max="65" width="11.42578125" style="32" customWidth="1"/>
    <col min="66" max="66" width="11.85546875" style="32" customWidth="1"/>
    <col min="67" max="67" width="10.7109375" style="32" customWidth="1"/>
    <col min="68" max="68" width="12" style="32" customWidth="1"/>
    <col min="69" max="70" width="11.42578125" style="32" customWidth="1"/>
    <col min="71" max="71" width="18.140625" style="32" customWidth="1"/>
    <col min="72" max="72" width="14" style="32" customWidth="1"/>
    <col min="73" max="73" width="21.42578125" style="32" customWidth="1"/>
    <col min="74" max="74" width="11.7109375" style="32" customWidth="1"/>
    <col min="75" max="75" width="15.85546875" style="32" customWidth="1"/>
    <col min="76" max="77" width="10" style="32" customWidth="1"/>
    <col min="78" max="85" width="9" style="32" customWidth="1"/>
    <col min="86" max="87" width="11.42578125" style="32" customWidth="1"/>
    <col min="88" max="88" width="18" style="32" customWidth="1"/>
    <col min="89" max="91" width="11.42578125" style="32" customWidth="1"/>
    <col min="92" max="92" width="13.42578125" style="32" customWidth="1"/>
    <col min="93" max="94" width="11.42578125" style="32" customWidth="1"/>
    <col min="95" max="95" width="20" style="32" customWidth="1"/>
    <col min="96" max="96" width="21.5703125" style="32" customWidth="1"/>
    <col min="97" max="97" width="11.5703125" style="32" customWidth="1"/>
    <col min="98" max="98" width="16.28515625" style="32" customWidth="1"/>
    <col min="99" max="99" width="15.85546875" style="32" customWidth="1"/>
    <col min="100" max="100" width="17" style="32" customWidth="1"/>
    <col min="101" max="101" width="13.28515625" style="32" customWidth="1"/>
    <col min="102" max="102" width="16.5703125" style="32" customWidth="1"/>
    <col min="103" max="109" width="11.42578125" style="32"/>
    <col min="110" max="110" width="14.42578125" style="32" bestFit="1" customWidth="1"/>
    <col min="111" max="112" width="11.42578125" style="32"/>
    <col min="113" max="113" width="13.42578125" style="32" customWidth="1"/>
    <col min="114" max="114" width="11.42578125" style="32"/>
    <col min="115" max="115" width="11.42578125" style="32" customWidth="1" outlineLevel="1"/>
    <col min="116" max="116" width="14.7109375" style="32" customWidth="1"/>
    <col min="117" max="117" width="20.42578125" style="32" customWidth="1"/>
    <col min="118" max="118" width="12.85546875" style="32" customWidth="1"/>
    <col min="119" max="119" width="13.28515625" style="32" customWidth="1"/>
    <col min="120" max="147" width="11.42578125" style="32"/>
    <col min="148" max="148" width="11.42578125" style="32" customWidth="1"/>
    <col min="149" max="16384" width="11.42578125" style="32"/>
  </cols>
  <sheetData>
    <row r="1" spans="1:165" ht="39">
      <c r="A1" s="184" t="s">
        <v>581</v>
      </c>
      <c r="E1" s="62"/>
      <c r="K1" s="62"/>
      <c r="S1" s="33"/>
      <c r="T1" s="33"/>
      <c r="U1" s="33"/>
      <c r="X1" s="33"/>
      <c r="Y1" s="63"/>
      <c r="AL1" s="66"/>
      <c r="AR1" s="64"/>
      <c r="AS1" s="33"/>
      <c r="AT1" s="33"/>
      <c r="AW1" s="33"/>
      <c r="CY1" s="64"/>
      <c r="FE1" s="57" t="s">
        <v>162</v>
      </c>
      <c r="FF1" s="58">
        <f>[2]Manure!P29+[2]Manure!Q29</f>
        <v>0</v>
      </c>
      <c r="FG1" s="58">
        <f>[2]Manure!P30</f>
        <v>0</v>
      </c>
      <c r="FH1" s="58">
        <f>[2]Manure!Q30</f>
        <v>0</v>
      </c>
      <c r="FI1" s="33" t="s">
        <v>163</v>
      </c>
    </row>
    <row r="2" spans="1:165" ht="18">
      <c r="B2" s="184"/>
      <c r="E2" s="62"/>
      <c r="K2" s="62"/>
      <c r="S2" s="33"/>
      <c r="T2" s="33"/>
      <c r="U2" s="33"/>
      <c r="X2" s="33"/>
      <c r="Y2" s="63"/>
      <c r="AL2" s="66"/>
      <c r="AR2" s="64"/>
      <c r="AS2" s="33"/>
      <c r="AT2" s="33"/>
      <c r="AW2" s="33"/>
      <c r="CY2" s="64"/>
      <c r="FE2" s="57"/>
      <c r="FF2" s="58"/>
      <c r="FG2" s="58"/>
      <c r="FH2" s="58"/>
      <c r="FI2" s="33"/>
    </row>
    <row r="3" spans="1:165" ht="18.75">
      <c r="B3" s="185" t="s">
        <v>576</v>
      </c>
      <c r="C3" s="150"/>
      <c r="D3" s="150"/>
      <c r="E3" s="150"/>
      <c r="H3" s="240" t="s">
        <v>587</v>
      </c>
    </row>
    <row r="4" spans="1:165">
      <c r="B4" s="150"/>
      <c r="C4" s="150"/>
      <c r="D4" s="150"/>
      <c r="E4" s="150"/>
    </row>
    <row r="5" spans="1:165">
      <c r="B5" s="150" t="str">
        <f>Crops!B4</f>
        <v>Climate</v>
      </c>
      <c r="C5" s="150" t="str">
        <f>Crops!C4</f>
        <v>warm temperate dry</v>
      </c>
      <c r="D5" s="150" t="str">
        <f>Crops!D4</f>
        <v>Row climate</v>
      </c>
      <c r="E5" s="150">
        <f>Crops!E4</f>
        <v>4</v>
      </c>
    </row>
    <row r="6" spans="1:165">
      <c r="B6" s="150" t="str">
        <f>Crops!B5</f>
        <v>Temperature regime</v>
      </c>
      <c r="C6" s="150" t="str">
        <f>Crops!C5</f>
        <v>temperate boreal</v>
      </c>
      <c r="D6" s="150" t="str">
        <f>Crops!D5</f>
        <v>Column soil</v>
      </c>
      <c r="E6" s="150">
        <f>Crops!E5</f>
        <v>2</v>
      </c>
    </row>
    <row r="7" spans="1:165">
      <c r="B7" s="150" t="str">
        <f>Crops!B6</f>
        <v>Moisture regime</v>
      </c>
      <c r="C7" s="150" t="str">
        <f>Crops!C6</f>
        <v>moist</v>
      </c>
      <c r="D7" s="150"/>
      <c r="E7" s="150"/>
    </row>
    <row r="8" spans="1:165">
      <c r="B8" s="150" t="str">
        <f>Crops!B7</f>
        <v>Soil</v>
      </c>
      <c r="C8" s="150" t="str">
        <f>Crops!C7</f>
        <v>Acrisol</v>
      </c>
      <c r="D8" s="150"/>
      <c r="E8" s="150"/>
    </row>
    <row r="9" spans="1:165">
      <c r="B9" s="150" t="str">
        <f>Crops!B8</f>
        <v>Dominant soil</v>
      </c>
      <c r="C9" s="150" t="str">
        <f>Crops!C8</f>
        <v>LAC soils</v>
      </c>
      <c r="D9" s="150"/>
      <c r="E9" s="150"/>
      <c r="AK9"/>
      <c r="AL9"/>
      <c r="AM9"/>
      <c r="AN9"/>
      <c r="AO9"/>
      <c r="AP9"/>
      <c r="AQ9"/>
      <c r="AR9"/>
      <c r="AS9"/>
      <c r="AT9"/>
      <c r="AU9"/>
      <c r="AV9"/>
      <c r="AW9"/>
      <c r="AX9"/>
      <c r="AY9"/>
    </row>
    <row r="10" spans="1:165" customFormat="1" ht="15.75" thickBot="1">
      <c r="B10" s="150" t="str">
        <f>Crops!B9</f>
        <v>Climate zone (organic soil factor)</v>
      </c>
      <c r="C10" s="150" t="str">
        <f>Crops!C9</f>
        <v>warm temperate</v>
      </c>
      <c r="D10" s="150"/>
      <c r="E10" s="150"/>
      <c r="F10" s="32"/>
      <c r="G10" s="32"/>
      <c r="H10" s="32"/>
      <c r="I10" s="32"/>
      <c r="J10" s="32"/>
      <c r="K10" s="32"/>
      <c r="L10" s="32"/>
      <c r="M10" s="59"/>
      <c r="N10" s="59"/>
      <c r="O10" s="59"/>
      <c r="P10" s="59"/>
      <c r="Q10" s="59"/>
      <c r="R10" s="32"/>
      <c r="S10" s="32"/>
      <c r="T10" s="32"/>
      <c r="U10" s="32"/>
      <c r="V10" s="32"/>
      <c r="W10" s="32"/>
      <c r="X10" s="32"/>
      <c r="Y10" s="32"/>
      <c r="Z10" s="32"/>
      <c r="AA10" s="32"/>
      <c r="AB10" s="32"/>
      <c r="AC10" s="32"/>
      <c r="AD10" s="32"/>
      <c r="AE10" s="32"/>
      <c r="AF10" s="32"/>
      <c r="AG10" s="32"/>
      <c r="AI10" s="32"/>
      <c r="AJ10" s="32"/>
      <c r="BB10" s="32"/>
      <c r="BC10" s="32"/>
      <c r="BF10" s="32"/>
    </row>
    <row r="11" spans="1:165" ht="39" customHeight="1" thickBot="1">
      <c r="F11" s="237" t="s">
        <v>467</v>
      </c>
      <c r="G11" s="238"/>
      <c r="H11" s="238"/>
      <c r="I11" s="238"/>
      <c r="J11" s="238"/>
      <c r="K11" s="238"/>
      <c r="L11" s="238"/>
      <c r="M11" s="238"/>
      <c r="N11" s="238"/>
      <c r="O11" s="238"/>
      <c r="P11" s="238"/>
      <c r="Q11" s="239"/>
      <c r="R11" s="209" t="s">
        <v>468</v>
      </c>
      <c r="S11" s="257"/>
      <c r="T11" s="213"/>
      <c r="U11" s="213"/>
      <c r="V11" s="213"/>
      <c r="W11" s="215"/>
      <c r="X11" s="215"/>
      <c r="Y11" s="192"/>
      <c r="AA11" s="228" t="s">
        <v>472</v>
      </c>
      <c r="AB11" s="229"/>
      <c r="AC11" s="230"/>
      <c r="AD11" s="230"/>
      <c r="AE11" s="230"/>
      <c r="AF11" s="230"/>
      <c r="AG11" s="230"/>
      <c r="AH11" s="231"/>
      <c r="AI11" s="220" t="s">
        <v>475</v>
      </c>
      <c r="AJ11" s="158"/>
      <c r="AK11" s="158"/>
      <c r="AL11" s="158"/>
      <c r="AM11" s="158"/>
      <c r="AN11" s="158"/>
      <c r="AO11" s="158"/>
      <c r="AP11" s="158"/>
      <c r="AQ11" s="158"/>
      <c r="AR11" s="158"/>
      <c r="AS11" s="158"/>
      <c r="AT11" s="158"/>
      <c r="AU11" s="158"/>
      <c r="AV11" s="158"/>
      <c r="AW11" s="158"/>
      <c r="AX11" s="232"/>
      <c r="AY11" s="232"/>
      <c r="BA11" s="222" t="s">
        <v>463</v>
      </c>
      <c r="BB11" s="223"/>
      <c r="BC11" s="223"/>
      <c r="BD11" s="223"/>
      <c r="BE11" s="223"/>
      <c r="BF11" s="236"/>
      <c r="BH11" s="32"/>
      <c r="BK11" s="30"/>
      <c r="BL11" s="30"/>
      <c r="CC11" s="59"/>
    </row>
    <row r="12" spans="1:165" ht="32.25" customHeight="1">
      <c r="F12" s="190" t="s">
        <v>366</v>
      </c>
      <c r="G12" s="191"/>
      <c r="H12" s="191"/>
      <c r="I12" s="191"/>
      <c r="J12" s="191"/>
      <c r="K12" s="191"/>
      <c r="L12" s="201" t="s">
        <v>155</v>
      </c>
      <c r="M12" s="178"/>
      <c r="N12" s="192"/>
      <c r="O12" s="201" t="s">
        <v>157</v>
      </c>
      <c r="P12" s="198" t="s">
        <v>3</v>
      </c>
      <c r="Q12" s="207"/>
      <c r="R12" s="210" t="s">
        <v>578</v>
      </c>
      <c r="S12" s="258" t="s">
        <v>589</v>
      </c>
      <c r="T12" s="198" t="s">
        <v>579</v>
      </c>
      <c r="U12" s="214"/>
      <c r="V12" s="190" t="s">
        <v>580</v>
      </c>
      <c r="W12" s="192"/>
      <c r="X12" s="210" t="s">
        <v>486</v>
      </c>
      <c r="Y12" s="216" t="s">
        <v>471</v>
      </c>
      <c r="AA12" s="224" t="s">
        <v>473</v>
      </c>
      <c r="AB12" s="225"/>
      <c r="AC12" s="226" t="s">
        <v>462</v>
      </c>
      <c r="AD12" s="153"/>
      <c r="AE12" s="226" t="s">
        <v>462</v>
      </c>
      <c r="AF12" s="153"/>
      <c r="AG12" s="227"/>
      <c r="AH12" s="232" t="s">
        <v>582</v>
      </c>
      <c r="AI12" s="224"/>
      <c r="AJ12" s="153"/>
      <c r="AK12" s="153"/>
      <c r="AL12" s="153"/>
      <c r="AM12" s="153"/>
      <c r="AN12" s="153"/>
      <c r="AO12" s="153"/>
      <c r="AP12" s="153"/>
      <c r="AQ12" s="153"/>
      <c r="AR12" s="153"/>
      <c r="AS12" s="153"/>
      <c r="AT12" s="153"/>
      <c r="AU12" s="153"/>
      <c r="AV12" s="153"/>
      <c r="AW12" s="153"/>
      <c r="AX12" s="291" t="s">
        <v>582</v>
      </c>
      <c r="AY12" s="291"/>
      <c r="BA12" s="220" t="s">
        <v>481</v>
      </c>
      <c r="BB12" s="221"/>
      <c r="BC12" s="221"/>
      <c r="BD12" s="232" t="s">
        <v>582</v>
      </c>
      <c r="BE12" s="232" t="s">
        <v>157</v>
      </c>
      <c r="BF12" s="232" t="s">
        <v>3</v>
      </c>
      <c r="BG12" s="103"/>
    </row>
    <row r="13" spans="1:165" s="107" customFormat="1" ht="88.5" customHeight="1">
      <c r="B13" s="186" t="s">
        <v>548</v>
      </c>
      <c r="C13" s="186" t="s">
        <v>6</v>
      </c>
      <c r="D13" s="186" t="s">
        <v>469</v>
      </c>
      <c r="E13" s="188" t="s">
        <v>470</v>
      </c>
      <c r="F13" s="365" t="s">
        <v>363</v>
      </c>
      <c r="G13" s="366" t="s">
        <v>364</v>
      </c>
      <c r="H13" s="366" t="s">
        <v>1007</v>
      </c>
      <c r="I13" s="366" t="s">
        <v>364</v>
      </c>
      <c r="J13" s="366" t="s">
        <v>1008</v>
      </c>
      <c r="K13" s="366" t="s">
        <v>364</v>
      </c>
      <c r="L13" s="193" t="s">
        <v>11</v>
      </c>
      <c r="M13" s="186" t="s">
        <v>368</v>
      </c>
      <c r="N13" s="194" t="s">
        <v>364</v>
      </c>
      <c r="O13" s="202" t="s">
        <v>364</v>
      </c>
      <c r="P13" s="193" t="s">
        <v>394</v>
      </c>
      <c r="Q13" s="188" t="s">
        <v>364</v>
      </c>
      <c r="R13" s="211"/>
      <c r="S13" s="298" t="s">
        <v>630</v>
      </c>
      <c r="T13" s="193" t="s">
        <v>562</v>
      </c>
      <c r="U13" s="194" t="s">
        <v>563</v>
      </c>
      <c r="V13" s="193" t="s">
        <v>558</v>
      </c>
      <c r="W13" s="194" t="s">
        <v>559</v>
      </c>
      <c r="X13" s="380" t="s">
        <v>1015</v>
      </c>
      <c r="Y13" s="217"/>
      <c r="Z13" s="39"/>
      <c r="AA13" s="379" t="s">
        <v>1011</v>
      </c>
      <c r="AB13" s="316" t="s">
        <v>367</v>
      </c>
      <c r="AC13" s="377" t="s">
        <v>490</v>
      </c>
      <c r="AD13" s="316" t="s">
        <v>20</v>
      </c>
      <c r="AE13" s="377" t="s">
        <v>489</v>
      </c>
      <c r="AF13" s="316" t="s">
        <v>491</v>
      </c>
      <c r="AG13" s="318" t="s">
        <v>19</v>
      </c>
      <c r="AH13" s="233" t="s">
        <v>21</v>
      </c>
      <c r="AI13" s="160" t="s">
        <v>476</v>
      </c>
      <c r="AJ13" s="316" t="s">
        <v>477</v>
      </c>
      <c r="AK13" s="316" t="s">
        <v>478</v>
      </c>
      <c r="AL13" s="316" t="s">
        <v>13</v>
      </c>
      <c r="AM13" s="316" t="s">
        <v>4</v>
      </c>
      <c r="AN13" s="316" t="s">
        <v>5</v>
      </c>
      <c r="AO13" s="316" t="s">
        <v>14</v>
      </c>
      <c r="AP13" s="316" t="s">
        <v>15</v>
      </c>
      <c r="AQ13" s="316" t="s">
        <v>16</v>
      </c>
      <c r="AR13" s="316" t="s">
        <v>17</v>
      </c>
      <c r="AS13" s="316" t="s">
        <v>482</v>
      </c>
      <c r="AT13" s="316" t="s">
        <v>483</v>
      </c>
      <c r="AU13" s="316" t="s">
        <v>484</v>
      </c>
      <c r="AV13" s="316" t="s">
        <v>485</v>
      </c>
      <c r="AW13" s="316" t="s">
        <v>18</v>
      </c>
      <c r="AX13" s="233" t="s">
        <v>480</v>
      </c>
      <c r="AY13" s="233" t="s">
        <v>479</v>
      </c>
      <c r="AZ13" s="104"/>
      <c r="BA13" s="369" t="s">
        <v>363</v>
      </c>
      <c r="BB13" s="370" t="s">
        <v>1014</v>
      </c>
      <c r="BC13" s="370" t="s">
        <v>1008</v>
      </c>
      <c r="BD13" s="233" t="s">
        <v>583</v>
      </c>
      <c r="BE13" s="233" t="s">
        <v>584</v>
      </c>
      <c r="BF13" s="233" t="s">
        <v>585</v>
      </c>
      <c r="BG13" s="43"/>
    </row>
    <row r="14" spans="1:165" s="107" customFormat="1" ht="29.25" customHeight="1">
      <c r="B14" s="186"/>
      <c r="C14" s="186"/>
      <c r="D14" s="186" t="s">
        <v>41</v>
      </c>
      <c r="E14" s="188" t="s">
        <v>45</v>
      </c>
      <c r="F14" s="365"/>
      <c r="G14" s="366" t="s">
        <v>168</v>
      </c>
      <c r="H14" s="366"/>
      <c r="I14" s="366" t="s">
        <v>1009</v>
      </c>
      <c r="J14" s="366"/>
      <c r="K14" s="366" t="s">
        <v>1010</v>
      </c>
      <c r="L14" s="193" t="s">
        <v>42</v>
      </c>
      <c r="M14" s="186"/>
      <c r="N14" s="194" t="s">
        <v>168</v>
      </c>
      <c r="O14" s="202" t="s">
        <v>365</v>
      </c>
      <c r="P14" s="193"/>
      <c r="Q14" s="188" t="s">
        <v>158</v>
      </c>
      <c r="R14" s="202" t="s">
        <v>44</v>
      </c>
      <c r="S14" s="193" t="s">
        <v>43</v>
      </c>
      <c r="T14" s="193" t="s">
        <v>42</v>
      </c>
      <c r="U14" s="194" t="s">
        <v>42</v>
      </c>
      <c r="V14" s="193" t="s">
        <v>42</v>
      </c>
      <c r="W14" s="194" t="s">
        <v>42</v>
      </c>
      <c r="X14" s="202" t="s">
        <v>42</v>
      </c>
      <c r="Y14" s="218" t="s">
        <v>42</v>
      </c>
      <c r="Z14" s="39"/>
      <c r="AA14" s="160" t="s">
        <v>52</v>
      </c>
      <c r="AB14" s="161" t="s">
        <v>52</v>
      </c>
      <c r="AC14" s="161" t="s">
        <v>54</v>
      </c>
      <c r="AD14" s="161" t="s">
        <v>52</v>
      </c>
      <c r="AE14" s="161" t="s">
        <v>54</v>
      </c>
      <c r="AF14" s="161" t="s">
        <v>52</v>
      </c>
      <c r="AG14" s="162" t="s">
        <v>52</v>
      </c>
      <c r="AH14" s="233" t="s">
        <v>52</v>
      </c>
      <c r="AI14" s="160"/>
      <c r="AJ14" s="161"/>
      <c r="AK14" s="161"/>
      <c r="AL14" s="161"/>
      <c r="AM14" s="161" t="s">
        <v>46</v>
      </c>
      <c r="AN14" s="161" t="s">
        <v>46</v>
      </c>
      <c r="AO14" s="161" t="s">
        <v>47</v>
      </c>
      <c r="AP14" s="161" t="s">
        <v>48</v>
      </c>
      <c r="AQ14" s="161" t="s">
        <v>49</v>
      </c>
      <c r="AR14" s="161" t="s">
        <v>50</v>
      </c>
      <c r="AS14" s="161" t="s">
        <v>51</v>
      </c>
      <c r="AT14" s="161" t="s">
        <v>52</v>
      </c>
      <c r="AU14" s="161" t="s">
        <v>51</v>
      </c>
      <c r="AV14" s="161" t="s">
        <v>52</v>
      </c>
      <c r="AW14" s="161" t="s">
        <v>51</v>
      </c>
      <c r="AX14" s="233" t="s">
        <v>52</v>
      </c>
      <c r="AY14" s="233" t="s">
        <v>53</v>
      </c>
      <c r="AZ14" s="105"/>
      <c r="BA14" s="160" t="s">
        <v>465</v>
      </c>
      <c r="BB14" s="161" t="s">
        <v>465</v>
      </c>
      <c r="BC14" s="161" t="s">
        <v>465</v>
      </c>
      <c r="BD14" s="233" t="s">
        <v>465</v>
      </c>
      <c r="BE14" s="233" t="s">
        <v>465</v>
      </c>
      <c r="BF14" s="233" t="s">
        <v>465</v>
      </c>
      <c r="BG14" s="75"/>
    </row>
    <row r="15" spans="1:165" s="39" customFormat="1" ht="18" customHeight="1">
      <c r="A15" s="290" t="s">
        <v>635</v>
      </c>
      <c r="B15" s="342" t="s">
        <v>638</v>
      </c>
      <c r="C15" s="342" t="s">
        <v>725</v>
      </c>
      <c r="D15" s="342" t="s">
        <v>639</v>
      </c>
      <c r="E15" s="342" t="s">
        <v>730</v>
      </c>
      <c r="F15" s="292" t="s">
        <v>728</v>
      </c>
      <c r="G15" s="293" t="s">
        <v>727</v>
      </c>
      <c r="H15" s="292" t="s">
        <v>728</v>
      </c>
      <c r="I15" s="293" t="s">
        <v>727</v>
      </c>
      <c r="J15" s="292" t="s">
        <v>728</v>
      </c>
      <c r="K15" s="293" t="s">
        <v>727</v>
      </c>
      <c r="L15" s="292" t="s">
        <v>640</v>
      </c>
      <c r="M15" s="349" t="s">
        <v>729</v>
      </c>
      <c r="N15" s="295" t="s">
        <v>726</v>
      </c>
      <c r="O15" s="297" t="s">
        <v>641</v>
      </c>
      <c r="P15" s="296" t="s">
        <v>642</v>
      </c>
      <c r="Q15" s="295" t="s">
        <v>643</v>
      </c>
      <c r="R15" s="300" t="s">
        <v>644</v>
      </c>
      <c r="S15" s="193"/>
      <c r="T15" s="300" t="s">
        <v>645</v>
      </c>
      <c r="U15" s="300" t="s">
        <v>646</v>
      </c>
      <c r="V15" s="300" t="s">
        <v>647</v>
      </c>
      <c r="W15" s="300" t="s">
        <v>648</v>
      </c>
      <c r="X15" s="298" t="s">
        <v>649</v>
      </c>
      <c r="Y15" s="300" t="s">
        <v>650</v>
      </c>
      <c r="AA15" s="373"/>
      <c r="AB15" s="374"/>
      <c r="AC15" s="374"/>
      <c r="AD15" s="374"/>
      <c r="AE15" s="374"/>
      <c r="AF15" s="374"/>
      <c r="AG15" s="375"/>
      <c r="AH15" s="376"/>
      <c r="AI15" s="373"/>
      <c r="AJ15" s="374"/>
      <c r="AK15" s="374"/>
      <c r="AL15" s="374"/>
      <c r="AM15" s="374"/>
      <c r="AN15" s="374"/>
      <c r="AO15" s="374"/>
      <c r="AP15" s="374"/>
      <c r="AQ15" s="374"/>
      <c r="AR15" s="374"/>
      <c r="AS15" s="374"/>
      <c r="AT15" s="374"/>
      <c r="AU15" s="374"/>
      <c r="AV15" s="374"/>
      <c r="AW15" s="374"/>
      <c r="AX15" s="376"/>
      <c r="AY15" s="376"/>
      <c r="AZ15" s="72"/>
      <c r="BA15" s="373"/>
      <c r="BB15" s="374"/>
      <c r="BC15" s="374"/>
      <c r="BD15" s="376"/>
      <c r="BE15" s="376"/>
      <c r="BF15" s="376"/>
      <c r="BG15" s="72"/>
    </row>
    <row r="16" spans="1:165" ht="18" customHeight="1">
      <c r="B16" s="142">
        <v>1</v>
      </c>
      <c r="C16" s="142" t="s">
        <v>898</v>
      </c>
      <c r="D16" s="143">
        <v>1</v>
      </c>
      <c r="E16" s="189"/>
      <c r="F16" s="199" t="s">
        <v>913</v>
      </c>
      <c r="G16" s="142">
        <v>1</v>
      </c>
      <c r="H16" s="142" t="s">
        <v>241</v>
      </c>
      <c r="I16" s="142"/>
      <c r="J16" s="142" t="s">
        <v>930</v>
      </c>
      <c r="K16" s="142"/>
      <c r="L16" s="199" t="s">
        <v>60</v>
      </c>
      <c r="M16" s="142" t="s">
        <v>369</v>
      </c>
      <c r="N16" s="205"/>
      <c r="O16" s="203"/>
      <c r="P16" s="195" t="s">
        <v>499</v>
      </c>
      <c r="Q16" s="189"/>
      <c r="R16" s="212" t="s">
        <v>102</v>
      </c>
      <c r="S16" s="199" t="s">
        <v>58</v>
      </c>
      <c r="T16" s="199" t="s">
        <v>57</v>
      </c>
      <c r="U16" s="196" t="s">
        <v>57</v>
      </c>
      <c r="V16" s="199" t="s">
        <v>57</v>
      </c>
      <c r="W16" s="196" t="s">
        <v>57</v>
      </c>
      <c r="X16" s="203" t="s">
        <v>57</v>
      </c>
      <c r="Y16" s="219" t="s">
        <v>57</v>
      </c>
      <c r="AA16" s="160">
        <f>D16*G16*VLOOKUP(F16,'Standard data'!$B$210:$E$286,2,FALSE)*44/28</f>
        <v>1.0999999999999999E-2</v>
      </c>
      <c r="AB16" s="161">
        <f>$N16*$D16*'Standard data'!$C$13*44/28</f>
        <v>0</v>
      </c>
      <c r="AC16" s="161">
        <v>0</v>
      </c>
      <c r="AD16" s="161">
        <f>AC16*'Standard data'!$C$24*44/28*$AC16</f>
        <v>0</v>
      </c>
      <c r="AE16" s="161">
        <v>0</v>
      </c>
      <c r="AF16" s="161">
        <f>AE16*'Standard data'!$C$28*44/28*$AE16</f>
        <v>0</v>
      </c>
      <c r="AG16" s="162">
        <f>IF(AND($X16="yes",$Y16="yes"),$D16*'Standard data'!$C$16*44/28,0)</f>
        <v>0</v>
      </c>
      <c r="AH16" s="233">
        <f t="shared" ref="AH16:AH31" si="0">SUM(AG16,AD16,AB16,AA16)</f>
        <v>1.0999999999999999E-2</v>
      </c>
      <c r="AI16" s="160">
        <f>VLOOKUP(C16,CropsRef!$B$8:$Z$157,24,FALSE)</f>
        <v>0.8</v>
      </c>
      <c r="AJ16" s="161">
        <f>VLOOKUP($C16,CropsRef!$B$8:$Z$157,13,FALSE)</f>
        <v>0.28999999999999998</v>
      </c>
      <c r="AK16" s="161">
        <f>VLOOKUP($C16,CropsRef!$B$8:$Z$157,14,FALSE)</f>
        <v>0</v>
      </c>
      <c r="AL16" s="161">
        <f>VLOOKUP($C16,CropsRef!$B$8:$Z$157,15,FALSE)</f>
        <v>0.4</v>
      </c>
      <c r="AM16" s="161">
        <f t="shared" ref="AM16:AM31" si="1">IF(O16&gt;0,1,0)</f>
        <v>0</v>
      </c>
      <c r="AN16" s="161">
        <f>IF(U16="incorporated",0%,100%)</f>
        <v>1</v>
      </c>
      <c r="AO16" s="161">
        <f>VLOOKUP($C16,CropsRef!$B$8:$Z$157,16,FALSE)</f>
        <v>2.7E-2</v>
      </c>
      <c r="AP16" s="161">
        <f>VLOOKUP($C16,CropsRef!$B$8:$Z$157,17,FALSE)</f>
        <v>1.9E-2</v>
      </c>
      <c r="AQ16" s="161">
        <f>VLOOKUP($C16,CropsRef!$B$8:$Z$157,9,FALSE)</f>
        <v>1</v>
      </c>
      <c r="AR16" s="161">
        <f>AJ16*(E16*AQ16)+AK16</f>
        <v>0</v>
      </c>
      <c r="AS16" s="161">
        <f>D16*AO16*AR16*(1-AN16)*AM16</f>
        <v>0</v>
      </c>
      <c r="AT16" s="161">
        <f>AS16*1000*'Standard data'!$C$14*44/28</f>
        <v>0</v>
      </c>
      <c r="AU16" s="161">
        <f>D16*AP16*AL16*(E16*AQ16+(AJ16*E16*AQ16+AK16))*AM16</f>
        <v>0</v>
      </c>
      <c r="AV16" s="161">
        <f>AU16*'Standard data'!$C$14*44/28*1000</f>
        <v>0</v>
      </c>
      <c r="AW16" s="161">
        <f t="shared" ref="AW16:AW31" si="2">AS16+AU16</f>
        <v>0</v>
      </c>
      <c r="AX16" s="233" t="str">
        <f>IF($S16="burnt",$AT16*$AK16*'Standard data'!$D$199*$D16,"0")</f>
        <v>0</v>
      </c>
      <c r="AY16" s="233" t="str">
        <f>IF($S16="burnt",$AT16*$AK16*'Standard data'!$C$199*$D16,"0")</f>
        <v>0</v>
      </c>
      <c r="AZ16" s="72"/>
      <c r="BA16" s="378">
        <f>$D16*$G16*VLOOKUP($F16,'Standard data'!$B$210:$E$286,3,FALSE)</f>
        <v>3468.65671641791</v>
      </c>
      <c r="BB16" s="378">
        <f>$D16*$I16*VLOOKUP($H16,'Standard data'!$B$210:$E$286,3,FALSE)</f>
        <v>0</v>
      </c>
      <c r="BC16" s="378">
        <f>$D16*$K16*VLOOKUP($J16,'Standard data'!$B$210:$E$286,3,FALSE)</f>
        <v>0</v>
      </c>
      <c r="BD16" s="233">
        <f>SUM(BA16:BC16)</f>
        <v>3468.65671641791</v>
      </c>
      <c r="BE16" s="233">
        <f>$O16*$D16*VLOOKUP($C16,CropsRef!$B$8:$Z$157,20,FALSE)</f>
        <v>0</v>
      </c>
      <c r="BF16" s="233">
        <f>$D16*$Q16*VLOOKUP($P16,'Standard data'!$B$307:$P$309,7,FALSE)</f>
        <v>0</v>
      </c>
      <c r="BG16" s="72"/>
      <c r="BH16" s="32"/>
    </row>
    <row r="17" spans="2:62" ht="18" customHeight="1">
      <c r="B17" s="142">
        <v>2</v>
      </c>
      <c r="C17" s="142" t="s">
        <v>898</v>
      </c>
      <c r="D17" s="143"/>
      <c r="E17" s="189"/>
      <c r="F17" s="199" t="s">
        <v>913</v>
      </c>
      <c r="G17" s="142"/>
      <c r="H17" s="142" t="s">
        <v>241</v>
      </c>
      <c r="I17" s="142"/>
      <c r="J17" s="142" t="s">
        <v>930</v>
      </c>
      <c r="K17" s="142"/>
      <c r="L17" s="199" t="s">
        <v>60</v>
      </c>
      <c r="M17" s="142" t="s">
        <v>369</v>
      </c>
      <c r="N17" s="205"/>
      <c r="O17" s="203"/>
      <c r="P17" s="195" t="s">
        <v>499</v>
      </c>
      <c r="Q17" s="189"/>
      <c r="R17" s="212" t="s">
        <v>102</v>
      </c>
      <c r="S17" s="199" t="s">
        <v>58</v>
      </c>
      <c r="T17" s="199" t="s">
        <v>57</v>
      </c>
      <c r="U17" s="196" t="s">
        <v>57</v>
      </c>
      <c r="V17" s="199" t="s">
        <v>57</v>
      </c>
      <c r="W17" s="196" t="s">
        <v>57</v>
      </c>
      <c r="X17" s="203" t="s">
        <v>57</v>
      </c>
      <c r="Y17" s="219" t="s">
        <v>57</v>
      </c>
      <c r="AA17" s="160">
        <f>D17*G17*VLOOKUP(F17,'Standard data'!$B$210:$E$286,2,FALSE)*44/28</f>
        <v>0</v>
      </c>
      <c r="AB17" s="161">
        <f>$N17*$D17*'Standard data'!$C$13*44/28</f>
        <v>0</v>
      </c>
      <c r="AC17" s="161">
        <v>0</v>
      </c>
      <c r="AD17" s="161">
        <f>AC17*'Standard data'!$C$24*44/28*$AC17</f>
        <v>0</v>
      </c>
      <c r="AE17" s="161">
        <v>0</v>
      </c>
      <c r="AF17" s="161">
        <f>AE17*'Standard data'!$C$28*44/28*$AE17</f>
        <v>0</v>
      </c>
      <c r="AG17" s="162">
        <f>IF(AND($X17="yes",$Y17="yes"),$D17*'Standard data'!$C$16*44/28,0)</f>
        <v>0</v>
      </c>
      <c r="AH17" s="233">
        <f t="shared" si="0"/>
        <v>0</v>
      </c>
      <c r="AI17" s="160">
        <f>VLOOKUP(C17,CropsRef!$B$8:$Z$157,24,FALSE)</f>
        <v>0.8</v>
      </c>
      <c r="AJ17" s="161">
        <f>VLOOKUP($C17,CropsRef!$B$8:$Z$157,13,FALSE)</f>
        <v>0.28999999999999998</v>
      </c>
      <c r="AK17" s="161">
        <f>VLOOKUP($C17,CropsRef!$B$8:$Z$157,14,FALSE)</f>
        <v>0</v>
      </c>
      <c r="AL17" s="161">
        <f>VLOOKUP($C17,CropsRef!$B$8:$Z$157,15,FALSE)</f>
        <v>0.4</v>
      </c>
      <c r="AM17" s="161">
        <f t="shared" si="1"/>
        <v>0</v>
      </c>
      <c r="AN17" s="161">
        <f t="shared" ref="AN17:AN31" si="3">IF(U17="incorporated",0%,100%)</f>
        <v>1</v>
      </c>
      <c r="AO17" s="161">
        <f>VLOOKUP($C17,CropsRef!$B$8:$Z$157,16,FALSE)</f>
        <v>2.7E-2</v>
      </c>
      <c r="AP17" s="161">
        <f>VLOOKUP($C17,CropsRef!$B$8:$Z$157,17,FALSE)</f>
        <v>1.9E-2</v>
      </c>
      <c r="AQ17" s="161">
        <f>VLOOKUP($C17,CropsRef!$B$8:$Z$157,9,FALSE)</f>
        <v>1</v>
      </c>
      <c r="AR17" s="161">
        <f>AJ17*(E17*AQ17)+AK17</f>
        <v>0</v>
      </c>
      <c r="AS17" s="161">
        <f>D17*AO17*AR17*(1-AN17)*AM17</f>
        <v>0</v>
      </c>
      <c r="AT17" s="161">
        <f>AS17*1000*'Standard data'!$C$14*44/28</f>
        <v>0</v>
      </c>
      <c r="AU17" s="161">
        <f>D17*AP17*AL17*(E17*AQ17+(AJ17*E17*AQ17+AK17))*AM17</f>
        <v>0</v>
      </c>
      <c r="AV17" s="161">
        <f>AU17*'Standard data'!$C$14*44/28*1000</f>
        <v>0</v>
      </c>
      <c r="AW17" s="161">
        <f t="shared" si="2"/>
        <v>0</v>
      </c>
      <c r="AX17" s="233" t="str">
        <f>IF($S17="burnt",$AT17*$AK17*'Standard data'!$D$199*$D17,"0")</f>
        <v>0</v>
      </c>
      <c r="AY17" s="233" t="str">
        <f>IF($S17="burnt",$AT17*$AK17*'Standard data'!$C$199*$D17,"0")</f>
        <v>0</v>
      </c>
      <c r="AZ17" s="72"/>
      <c r="BA17" s="378">
        <f>$D17*$G17*VLOOKUP($F17,'Standard data'!$B$210:$E$286,3,FALSE)</f>
        <v>0</v>
      </c>
      <c r="BB17" s="378">
        <f>$D17*$I17*VLOOKUP($H17,'Standard data'!$B$210:$E$286,3,FALSE)</f>
        <v>0</v>
      </c>
      <c r="BC17" s="378">
        <f>$D17*$K17*VLOOKUP($J17,'Standard data'!$B$210:$E$286,3,FALSE)</f>
        <v>0</v>
      </c>
      <c r="BD17" s="233">
        <f>SUM(BA17:BC17)</f>
        <v>0</v>
      </c>
      <c r="BE17" s="233">
        <f>$O17*$D17*VLOOKUP($C17,CropsRef!$B$8:$Z$157,20,FALSE)</f>
        <v>0</v>
      </c>
      <c r="BF17" s="233">
        <f>$D17*$Q17*VLOOKUP($P17,'Standard data'!$B$307:$P$309,7,FALSE)</f>
        <v>0</v>
      </c>
      <c r="BG17" s="72"/>
      <c r="BH17" s="32"/>
    </row>
    <row r="18" spans="2:62" ht="18" customHeight="1">
      <c r="B18" s="142">
        <v>3</v>
      </c>
      <c r="C18" s="142" t="s">
        <v>898</v>
      </c>
      <c r="D18" s="143"/>
      <c r="E18" s="189"/>
      <c r="F18" s="199" t="s">
        <v>913</v>
      </c>
      <c r="G18" s="142"/>
      <c r="H18" s="142" t="s">
        <v>241</v>
      </c>
      <c r="I18" s="142"/>
      <c r="J18" s="142" t="s">
        <v>930</v>
      </c>
      <c r="K18" s="142"/>
      <c r="L18" s="199" t="s">
        <v>60</v>
      </c>
      <c r="M18" s="142" t="s">
        <v>369</v>
      </c>
      <c r="N18" s="205"/>
      <c r="O18" s="203"/>
      <c r="P18" s="195" t="s">
        <v>499</v>
      </c>
      <c r="Q18" s="189"/>
      <c r="R18" s="212" t="s">
        <v>102</v>
      </c>
      <c r="S18" s="199" t="s">
        <v>58</v>
      </c>
      <c r="T18" s="199" t="s">
        <v>57</v>
      </c>
      <c r="U18" s="196" t="s">
        <v>57</v>
      </c>
      <c r="V18" s="199" t="s">
        <v>57</v>
      </c>
      <c r="W18" s="196" t="s">
        <v>57</v>
      </c>
      <c r="X18" s="203" t="s">
        <v>57</v>
      </c>
      <c r="Y18" s="219" t="s">
        <v>57</v>
      </c>
      <c r="AA18" s="160">
        <f>D18*G18*VLOOKUP(F18,'Standard data'!$B$210:$E$286,2,FALSE)*44/28</f>
        <v>0</v>
      </c>
      <c r="AB18" s="161">
        <f>$N18*$D18*'Standard data'!$C$13*44/28</f>
        <v>0</v>
      </c>
      <c r="AC18" s="161">
        <v>0</v>
      </c>
      <c r="AD18" s="161">
        <f>AC18*'Standard data'!$C$24*44/28*$AC18</f>
        <v>0</v>
      </c>
      <c r="AE18" s="161">
        <v>0</v>
      </c>
      <c r="AF18" s="161">
        <f>AE18*'Standard data'!$C$28*44/28*$AE18</f>
        <v>0</v>
      </c>
      <c r="AG18" s="162">
        <f>IF(AND($X18="yes",$Y18="yes"),$D18*'Standard data'!$C$16*44/28,0)</f>
        <v>0</v>
      </c>
      <c r="AH18" s="233">
        <f t="shared" si="0"/>
        <v>0</v>
      </c>
      <c r="AI18" s="160">
        <f>VLOOKUP(C18,CropsRef!$B$8:$Z$157,24,FALSE)</f>
        <v>0.8</v>
      </c>
      <c r="AJ18" s="161">
        <f>VLOOKUP($C18,CropsRef!$B$8:$Z$157,13,FALSE)</f>
        <v>0.28999999999999998</v>
      </c>
      <c r="AK18" s="161">
        <f>VLOOKUP($C18,CropsRef!$B$8:$Z$157,14,FALSE)</f>
        <v>0</v>
      </c>
      <c r="AL18" s="161">
        <f>VLOOKUP($C18,CropsRef!$B$8:$Z$157,15,FALSE)</f>
        <v>0.4</v>
      </c>
      <c r="AM18" s="161">
        <f t="shared" si="1"/>
        <v>0</v>
      </c>
      <c r="AN18" s="161">
        <f t="shared" si="3"/>
        <v>1</v>
      </c>
      <c r="AO18" s="161">
        <f>VLOOKUP($C18,CropsRef!$B$8:$Z$157,16,FALSE)</f>
        <v>2.7E-2</v>
      </c>
      <c r="AP18" s="161">
        <f>VLOOKUP($C18,CropsRef!$B$8:$Z$157,17,FALSE)</f>
        <v>1.9E-2</v>
      </c>
      <c r="AQ18" s="161">
        <f>VLOOKUP($C18,CropsRef!$B$8:$Z$157,9,FALSE)</f>
        <v>1</v>
      </c>
      <c r="AR18" s="161">
        <f>AJ18*(E18*AQ18)+AK18</f>
        <v>0</v>
      </c>
      <c r="AS18" s="161">
        <f>D18*AO18*AR18*(1-AN18)*AM18</f>
        <v>0</v>
      </c>
      <c r="AT18" s="161">
        <f>AS18*1000*'Standard data'!$C$14*44/28</f>
        <v>0</v>
      </c>
      <c r="AU18" s="161">
        <f>D18*AP18*AL18*(E18*AQ18+(AJ18*E18*AQ18+AK18))*AM18</f>
        <v>0</v>
      </c>
      <c r="AV18" s="161">
        <f>AU18*'Standard data'!$C$14*44/28*1000</f>
        <v>0</v>
      </c>
      <c r="AW18" s="161">
        <f t="shared" si="2"/>
        <v>0</v>
      </c>
      <c r="AX18" s="233" t="str">
        <f>IF($S18="burnt",$AT18*$AK18*'Standard data'!$D$199*$D18,"0")</f>
        <v>0</v>
      </c>
      <c r="AY18" s="233" t="str">
        <f>IF($S18="burnt",$AT18*$AK18*'Standard data'!$C$199*$D18,"0")</f>
        <v>0</v>
      </c>
      <c r="AZ18" s="72"/>
      <c r="BA18" s="378">
        <f>$D18*$G18*VLOOKUP($F18,'Standard data'!$B$210:$E$286,3,FALSE)</f>
        <v>0</v>
      </c>
      <c r="BB18" s="378">
        <f>$D18*$I18*VLOOKUP($H18,'Standard data'!$B$210:$E$286,3,FALSE)</f>
        <v>0</v>
      </c>
      <c r="BC18" s="378">
        <f>$D18*$K18*VLOOKUP($J18,'Standard data'!$B$210:$E$286,3,FALSE)</f>
        <v>0</v>
      </c>
      <c r="BD18" s="233">
        <f>SUM(BA18:BC18)</f>
        <v>0</v>
      </c>
      <c r="BE18" s="233">
        <f>$O18*$D18*VLOOKUP($C18,CropsRef!$B$8:$Z$157,20,FALSE)</f>
        <v>0</v>
      </c>
      <c r="BF18" s="233">
        <f>$D18*$Q18*VLOOKUP($P18,'Standard data'!$B$307:$P$309,7,FALSE)</f>
        <v>0</v>
      </c>
      <c r="BG18" s="72"/>
      <c r="BH18" s="32"/>
    </row>
    <row r="19" spans="2:62" ht="18" customHeight="1">
      <c r="B19" s="142">
        <v>4</v>
      </c>
      <c r="C19" s="142" t="s">
        <v>898</v>
      </c>
      <c r="D19" s="143"/>
      <c r="E19" s="189"/>
      <c r="F19" s="199" t="s">
        <v>913</v>
      </c>
      <c r="G19" s="142"/>
      <c r="H19" s="142" t="s">
        <v>241</v>
      </c>
      <c r="I19" s="142"/>
      <c r="J19" s="142" t="s">
        <v>930</v>
      </c>
      <c r="K19" s="142"/>
      <c r="L19" s="199" t="s">
        <v>60</v>
      </c>
      <c r="M19" s="142" t="s">
        <v>369</v>
      </c>
      <c r="N19" s="205"/>
      <c r="O19" s="203"/>
      <c r="P19" s="195" t="s">
        <v>499</v>
      </c>
      <c r="Q19" s="189"/>
      <c r="R19" s="212" t="s">
        <v>102</v>
      </c>
      <c r="S19" s="199" t="s">
        <v>58</v>
      </c>
      <c r="T19" s="199" t="s">
        <v>57</v>
      </c>
      <c r="U19" s="196" t="s">
        <v>57</v>
      </c>
      <c r="V19" s="199" t="s">
        <v>57</v>
      </c>
      <c r="W19" s="196" t="s">
        <v>57</v>
      </c>
      <c r="X19" s="203" t="s">
        <v>57</v>
      </c>
      <c r="Y19" s="219" t="s">
        <v>57</v>
      </c>
      <c r="AA19" s="160">
        <f>D19*G19*VLOOKUP(F19,'Standard data'!$B$210:$E$286,2,FALSE)*44/28</f>
        <v>0</v>
      </c>
      <c r="AB19" s="161">
        <f>$N19*$D19*'Standard data'!$C$13*44/28</f>
        <v>0</v>
      </c>
      <c r="AC19" s="161">
        <v>0</v>
      </c>
      <c r="AD19" s="161">
        <f>AC19*'Standard data'!$C$24*44/28*$AC19</f>
        <v>0</v>
      </c>
      <c r="AE19" s="161">
        <v>0</v>
      </c>
      <c r="AF19" s="161">
        <f>AE19*'Standard data'!$C$28*44/28*$AE19</f>
        <v>0</v>
      </c>
      <c r="AG19" s="162">
        <f>IF(AND($X19="yes",$Y19="yes"),$D19*'Standard data'!$C$16*44/28,0)</f>
        <v>0</v>
      </c>
      <c r="AH19" s="233">
        <f t="shared" si="0"/>
        <v>0</v>
      </c>
      <c r="AI19" s="160">
        <f>VLOOKUP(C19,CropsRef!$B$8:$Z$157,24,FALSE)</f>
        <v>0.8</v>
      </c>
      <c r="AJ19" s="161">
        <f>VLOOKUP($C19,CropsRef!$B$8:$Z$157,13,FALSE)</f>
        <v>0.28999999999999998</v>
      </c>
      <c r="AK19" s="161">
        <f>VLOOKUP($C19,CropsRef!$B$8:$Z$157,14,FALSE)</f>
        <v>0</v>
      </c>
      <c r="AL19" s="161">
        <f>VLOOKUP($C19,CropsRef!$B$8:$Z$157,15,FALSE)</f>
        <v>0.4</v>
      </c>
      <c r="AM19" s="161">
        <f t="shared" si="1"/>
        <v>0</v>
      </c>
      <c r="AN19" s="161">
        <f t="shared" si="3"/>
        <v>1</v>
      </c>
      <c r="AO19" s="161">
        <f>VLOOKUP($C19,CropsRef!$B$8:$Z$157,16,FALSE)</f>
        <v>2.7E-2</v>
      </c>
      <c r="AP19" s="161">
        <f>VLOOKUP($C19,CropsRef!$B$8:$Z$157,17,FALSE)</f>
        <v>1.9E-2</v>
      </c>
      <c r="AQ19" s="161">
        <f>VLOOKUP($C19,CropsRef!$B$8:$Z$157,9,FALSE)</f>
        <v>1</v>
      </c>
      <c r="AR19" s="161">
        <f>AJ19*(E19*AQ19)+AK19</f>
        <v>0</v>
      </c>
      <c r="AS19" s="161">
        <f>D19*AO19*AR19*(1-AN19)*AM19</f>
        <v>0</v>
      </c>
      <c r="AT19" s="161">
        <f>AS19*1000*'Standard data'!$C$14*44/28</f>
        <v>0</v>
      </c>
      <c r="AU19" s="161">
        <f>D19*AP19*AL19*(E19*AQ19+(AJ19*E19*AQ19+AK19))*AM19</f>
        <v>0</v>
      </c>
      <c r="AV19" s="161">
        <f>AU19*'Standard data'!$C$14*44/28*1000</f>
        <v>0</v>
      </c>
      <c r="AW19" s="161">
        <f t="shared" si="2"/>
        <v>0</v>
      </c>
      <c r="AX19" s="233" t="str">
        <f>IF($S19="burnt",$AT19*$AK19*'Standard data'!$D$199*$D19,"0")</f>
        <v>0</v>
      </c>
      <c r="AY19" s="233" t="str">
        <f>IF($S19="burnt",$AT19*$AK19*'Standard data'!$C$199*$D19,"0")</f>
        <v>0</v>
      </c>
      <c r="AZ19" s="72"/>
      <c r="BA19" s="378">
        <f>$D19*$G19*VLOOKUP($F19,'Standard data'!$B$210:$E$286,3,FALSE)</f>
        <v>0</v>
      </c>
      <c r="BB19" s="378">
        <f>$D19*$I19*VLOOKUP($H19,'Standard data'!$B$210:$E$286,3,FALSE)</f>
        <v>0</v>
      </c>
      <c r="BC19" s="378">
        <f>$D19*$K19*VLOOKUP($J19,'Standard data'!$B$210:$E$286,3,FALSE)</f>
        <v>0</v>
      </c>
      <c r="BD19" s="233">
        <f>SUM(BA19:BC19)</f>
        <v>0</v>
      </c>
      <c r="BE19" s="233">
        <f>$O19*$D19*VLOOKUP($C19,CropsRef!$B$8:$Z$157,20,FALSE)</f>
        <v>0</v>
      </c>
      <c r="BF19" s="233">
        <f>$D19*$Q19*VLOOKUP($P19,'Standard data'!$B$307:$P$309,7,FALSE)</f>
        <v>0</v>
      </c>
      <c r="BG19" s="72"/>
      <c r="BH19" s="32"/>
    </row>
    <row r="20" spans="2:62" ht="18" customHeight="1">
      <c r="B20" s="142">
        <v>5</v>
      </c>
      <c r="C20" s="142" t="s">
        <v>898</v>
      </c>
      <c r="D20" s="143"/>
      <c r="E20" s="189"/>
      <c r="F20" s="199" t="s">
        <v>913</v>
      </c>
      <c r="G20" s="142"/>
      <c r="H20" s="142" t="s">
        <v>241</v>
      </c>
      <c r="I20" s="142"/>
      <c r="J20" s="142" t="s">
        <v>930</v>
      </c>
      <c r="K20" s="142"/>
      <c r="L20" s="199" t="s">
        <v>60</v>
      </c>
      <c r="M20" s="142" t="s">
        <v>369</v>
      </c>
      <c r="N20" s="205"/>
      <c r="O20" s="203"/>
      <c r="P20" s="195" t="s">
        <v>499</v>
      </c>
      <c r="Q20" s="189"/>
      <c r="R20" s="212" t="s">
        <v>102</v>
      </c>
      <c r="S20" s="199" t="s">
        <v>58</v>
      </c>
      <c r="T20" s="199" t="s">
        <v>57</v>
      </c>
      <c r="U20" s="196" t="s">
        <v>57</v>
      </c>
      <c r="V20" s="199" t="s">
        <v>57</v>
      </c>
      <c r="W20" s="196" t="s">
        <v>57</v>
      </c>
      <c r="X20" s="203" t="s">
        <v>57</v>
      </c>
      <c r="Y20" s="219" t="s">
        <v>57</v>
      </c>
      <c r="AA20" s="160">
        <f>D20*G20*VLOOKUP(F20,'Standard data'!$B$210:$E$286,2,FALSE)*44/28</f>
        <v>0</v>
      </c>
      <c r="AB20" s="161">
        <f>$N20*$D20*'Standard data'!$C$13*44/28</f>
        <v>0</v>
      </c>
      <c r="AC20" s="161">
        <v>0</v>
      </c>
      <c r="AD20" s="161">
        <f>AC20*'Standard data'!$C$24*44/28*$AC20</f>
        <v>0</v>
      </c>
      <c r="AE20" s="161">
        <v>0</v>
      </c>
      <c r="AF20" s="161">
        <f>AE20*'Standard data'!$C$28*44/28*$AE20</f>
        <v>0</v>
      </c>
      <c r="AG20" s="162">
        <f>IF(AND($X20="yes",$Y20="yes"),$D20*'Standard data'!$C$16*44/28,0)</f>
        <v>0</v>
      </c>
      <c r="AH20" s="233">
        <f t="shared" si="0"/>
        <v>0</v>
      </c>
      <c r="AI20" s="160">
        <f>VLOOKUP(C20,CropsRef!$B$8:$Z$157,24,FALSE)</f>
        <v>0.8</v>
      </c>
      <c r="AJ20" s="161">
        <f>VLOOKUP($C20,CropsRef!$B$8:$Z$157,13,FALSE)</f>
        <v>0.28999999999999998</v>
      </c>
      <c r="AK20" s="161">
        <f>VLOOKUP($C20,CropsRef!$B$8:$Z$157,14,FALSE)</f>
        <v>0</v>
      </c>
      <c r="AL20" s="161">
        <f>VLOOKUP($C20,CropsRef!$B$8:$Z$157,15,FALSE)</f>
        <v>0.4</v>
      </c>
      <c r="AM20" s="161">
        <f t="shared" si="1"/>
        <v>0</v>
      </c>
      <c r="AN20" s="161">
        <f t="shared" si="3"/>
        <v>1</v>
      </c>
      <c r="AO20" s="161">
        <f>VLOOKUP($C20,CropsRef!$B$8:$Z$157,16,FALSE)</f>
        <v>2.7E-2</v>
      </c>
      <c r="AP20" s="161">
        <f>VLOOKUP($C20,CropsRef!$B$8:$Z$157,17,FALSE)</f>
        <v>1.9E-2</v>
      </c>
      <c r="AQ20" s="161">
        <f>VLOOKUP($C20,CropsRef!$B$8:$Z$157,9,FALSE)</f>
        <v>1</v>
      </c>
      <c r="AR20" s="161">
        <f>AJ20*(E20*AQ20)+AK20</f>
        <v>0</v>
      </c>
      <c r="AS20" s="161">
        <f>D20*AO20*AR20*(1-AN20)*AM20</f>
        <v>0</v>
      </c>
      <c r="AT20" s="161">
        <f>AS20*1000*'Standard data'!$C$14*44/28</f>
        <v>0</v>
      </c>
      <c r="AU20" s="161">
        <f>D20*AP20*AL20*(E20*AQ20+(AJ20*E20*AQ20+AK20))*AM20</f>
        <v>0</v>
      </c>
      <c r="AV20" s="161">
        <f>AU20*'Standard data'!$C$14*44/28*1000</f>
        <v>0</v>
      </c>
      <c r="AW20" s="161">
        <f t="shared" si="2"/>
        <v>0</v>
      </c>
      <c r="AX20" s="233" t="str">
        <f>IF($S20="burnt",$AT20*$AK20*'Standard data'!$D$199*$D20,"0")</f>
        <v>0</v>
      </c>
      <c r="AY20" s="233" t="str">
        <f>IF($S20="burnt",$AT20*$AK20*'Standard data'!$C$199*$D20,"0")</f>
        <v>0</v>
      </c>
      <c r="AZ20" s="72"/>
      <c r="BA20" s="378">
        <f>$D20*$G20*VLOOKUP($F20,'Standard data'!$B$210:$E$286,3,FALSE)</f>
        <v>0</v>
      </c>
      <c r="BB20" s="378">
        <f>$D20*$I20*VLOOKUP($H20,'Standard data'!$B$210:$E$286,3,FALSE)</f>
        <v>0</v>
      </c>
      <c r="BC20" s="378">
        <f>$D20*$K20*VLOOKUP($J20,'Standard data'!$B$210:$E$286,3,FALSE)</f>
        <v>0</v>
      </c>
      <c r="BD20" s="233">
        <f>SUM(BA20:BC20)</f>
        <v>0</v>
      </c>
      <c r="BE20" s="233">
        <f>$O20*$D20*VLOOKUP($C20,CropsRef!$B$8:$Z$157,20,FALSE)</f>
        <v>0</v>
      </c>
      <c r="BF20" s="233">
        <f>$D20*$Q20*VLOOKUP($P20,'Standard data'!$B$307:$P$309,7,FALSE)</f>
        <v>0</v>
      </c>
      <c r="BG20" s="72"/>
      <c r="BH20" s="32"/>
    </row>
    <row r="21" spans="2:62" ht="18" customHeight="1">
      <c r="B21" s="142">
        <v>6</v>
      </c>
      <c r="C21" s="142" t="s">
        <v>898</v>
      </c>
      <c r="D21" s="143"/>
      <c r="E21" s="189"/>
      <c r="F21" s="199" t="s">
        <v>913</v>
      </c>
      <c r="G21" s="142"/>
      <c r="H21" s="142" t="s">
        <v>241</v>
      </c>
      <c r="I21" s="142"/>
      <c r="J21" s="142" t="s">
        <v>930</v>
      </c>
      <c r="K21" s="142"/>
      <c r="L21" s="199" t="s">
        <v>60</v>
      </c>
      <c r="M21" s="142" t="s">
        <v>369</v>
      </c>
      <c r="N21" s="205"/>
      <c r="O21" s="203"/>
      <c r="P21" s="195" t="s">
        <v>499</v>
      </c>
      <c r="Q21" s="189"/>
      <c r="R21" s="212" t="s">
        <v>102</v>
      </c>
      <c r="S21" s="199" t="s">
        <v>58</v>
      </c>
      <c r="T21" s="199" t="s">
        <v>57</v>
      </c>
      <c r="U21" s="196" t="s">
        <v>57</v>
      </c>
      <c r="V21" s="199" t="s">
        <v>57</v>
      </c>
      <c r="W21" s="196" t="s">
        <v>57</v>
      </c>
      <c r="X21" s="203" t="s">
        <v>57</v>
      </c>
      <c r="Y21" s="219" t="s">
        <v>57</v>
      </c>
      <c r="AA21" s="160">
        <f>D21*G21*VLOOKUP(F21,'Standard data'!$B$210:$E$286,2,FALSE)*44/28</f>
        <v>0</v>
      </c>
      <c r="AB21" s="161">
        <f>$N21*$D21*'Standard data'!$C$13*44/28</f>
        <v>0</v>
      </c>
      <c r="AC21" s="161">
        <v>0</v>
      </c>
      <c r="AD21" s="161">
        <f>AC21*'Standard data'!$C$24*44/28*$AC21</f>
        <v>0</v>
      </c>
      <c r="AE21" s="161">
        <v>0</v>
      </c>
      <c r="AF21" s="161">
        <f>AE21*'Standard data'!$C$28*44/28*$AE21</f>
        <v>0</v>
      </c>
      <c r="AG21" s="162">
        <f>IF(AND($X21="yes",$Y21="yes"),$D21*'Standard data'!$C$16*44/28,0)</f>
        <v>0</v>
      </c>
      <c r="AH21" s="233">
        <f t="shared" si="0"/>
        <v>0</v>
      </c>
      <c r="AI21" s="160">
        <f>VLOOKUP(C21,CropsRef!$B$8:$Z$157,24,FALSE)</f>
        <v>0.8</v>
      </c>
      <c r="AJ21" s="161">
        <f>VLOOKUP($C21,CropsRef!$B$8:$Z$157,13,FALSE)</f>
        <v>0.28999999999999998</v>
      </c>
      <c r="AK21" s="161">
        <f>VLOOKUP($C21,CropsRef!$B$8:$Z$157,14,FALSE)</f>
        <v>0</v>
      </c>
      <c r="AL21" s="161">
        <f>VLOOKUP($C21,CropsRef!$B$8:$Z$157,15,FALSE)</f>
        <v>0.4</v>
      </c>
      <c r="AM21" s="161">
        <f t="shared" si="1"/>
        <v>0</v>
      </c>
      <c r="AN21" s="161">
        <f t="shared" si="3"/>
        <v>1</v>
      </c>
      <c r="AO21" s="161">
        <f>VLOOKUP($C21,CropsRef!$B$8:$Z$157,16,FALSE)</f>
        <v>2.7E-2</v>
      </c>
      <c r="AP21" s="161">
        <f>VLOOKUP($C21,CropsRef!$B$8:$Z$157,17,FALSE)</f>
        <v>1.9E-2</v>
      </c>
      <c r="AQ21" s="161">
        <f>VLOOKUP($C21,CropsRef!$B$8:$Z$157,9,FALSE)</f>
        <v>1</v>
      </c>
      <c r="AR21" s="161">
        <f>AJ21*(E21*AQ21)+AK21</f>
        <v>0</v>
      </c>
      <c r="AS21" s="161">
        <f>D21*AO21*AR21*(1-AN21)*AM21</f>
        <v>0</v>
      </c>
      <c r="AT21" s="161">
        <f>AS21*1000*'Standard data'!$C$14*44/28</f>
        <v>0</v>
      </c>
      <c r="AU21" s="161">
        <f>D21*AP21*AL21*(E21*AQ21+(AJ21*E21*AQ21+AK21))*AM21</f>
        <v>0</v>
      </c>
      <c r="AV21" s="161">
        <f>AU21*'Standard data'!$C$14*44/28*1000</f>
        <v>0</v>
      </c>
      <c r="AW21" s="161">
        <f t="shared" si="2"/>
        <v>0</v>
      </c>
      <c r="AX21" s="233" t="str">
        <f>IF($S21="burnt",$AT21*$AK21*'Standard data'!$D$199*$D21,"0")</f>
        <v>0</v>
      </c>
      <c r="AY21" s="233" t="str">
        <f>IF($S21="burnt",$AT21*$AK21*'Standard data'!$C$199*$D21,"0")</f>
        <v>0</v>
      </c>
      <c r="AZ21" s="72"/>
      <c r="BA21" s="378">
        <f>$D21*$G21*VLOOKUP($F21,'Standard data'!$B$210:$E$286,3,FALSE)</f>
        <v>0</v>
      </c>
      <c r="BB21" s="378">
        <f>$D21*$I21*VLOOKUP($H21,'Standard data'!$B$210:$E$286,3,FALSE)</f>
        <v>0</v>
      </c>
      <c r="BC21" s="378">
        <f>$D21*$K21*VLOOKUP($J21,'Standard data'!$B$210:$E$286,3,FALSE)</f>
        <v>0</v>
      </c>
      <c r="BD21" s="233">
        <f>SUM(BA21:BC21)</f>
        <v>0</v>
      </c>
      <c r="BE21" s="233">
        <f>$O21*$D21*VLOOKUP($C21,CropsRef!$B$8:$Z$157,20,FALSE)</f>
        <v>0</v>
      </c>
      <c r="BF21" s="233">
        <f>$D21*$Q21*VLOOKUP($P21,'Standard data'!$B$307:$P$309,7,FALSE)</f>
        <v>0</v>
      </c>
      <c r="BG21" s="72"/>
      <c r="BH21" s="32"/>
    </row>
    <row r="22" spans="2:62" ht="18" customHeight="1">
      <c r="B22" s="142">
        <v>7</v>
      </c>
      <c r="C22" s="142" t="s">
        <v>898</v>
      </c>
      <c r="D22" s="143"/>
      <c r="E22" s="189"/>
      <c r="F22" s="199" t="s">
        <v>913</v>
      </c>
      <c r="G22" s="142"/>
      <c r="H22" s="142" t="s">
        <v>241</v>
      </c>
      <c r="I22" s="142"/>
      <c r="J22" s="142" t="s">
        <v>930</v>
      </c>
      <c r="K22" s="142"/>
      <c r="L22" s="199" t="s">
        <v>60</v>
      </c>
      <c r="M22" s="142" t="s">
        <v>369</v>
      </c>
      <c r="N22" s="205"/>
      <c r="O22" s="203"/>
      <c r="P22" s="195" t="s">
        <v>499</v>
      </c>
      <c r="Q22" s="189"/>
      <c r="R22" s="212" t="s">
        <v>102</v>
      </c>
      <c r="S22" s="199" t="s">
        <v>58</v>
      </c>
      <c r="T22" s="199" t="s">
        <v>57</v>
      </c>
      <c r="U22" s="196" t="s">
        <v>57</v>
      </c>
      <c r="V22" s="199" t="s">
        <v>57</v>
      </c>
      <c r="W22" s="196" t="s">
        <v>57</v>
      </c>
      <c r="X22" s="203" t="s">
        <v>57</v>
      </c>
      <c r="Y22" s="219" t="s">
        <v>57</v>
      </c>
      <c r="AA22" s="160">
        <f>D22*G22*VLOOKUP(F22,'Standard data'!$B$210:$E$286,2,FALSE)*44/28</f>
        <v>0</v>
      </c>
      <c r="AB22" s="161">
        <f>$N22*$D22*'Standard data'!$C$13*44/28</f>
        <v>0</v>
      </c>
      <c r="AC22" s="161">
        <v>0</v>
      </c>
      <c r="AD22" s="161">
        <f>AC22*'Standard data'!$C$24*44/28*$AC22</f>
        <v>0</v>
      </c>
      <c r="AE22" s="161">
        <v>0</v>
      </c>
      <c r="AF22" s="161">
        <f>AE22*'Standard data'!$C$28*44/28*$AE22</f>
        <v>0</v>
      </c>
      <c r="AG22" s="162">
        <f>IF(AND($X22="yes",$Y22="yes"),$D22*'Standard data'!$C$16*44/28,0)</f>
        <v>0</v>
      </c>
      <c r="AH22" s="233">
        <f t="shared" si="0"/>
        <v>0</v>
      </c>
      <c r="AI22" s="160">
        <f>VLOOKUP(C22,CropsRef!$B$8:$Z$157,24,FALSE)</f>
        <v>0.8</v>
      </c>
      <c r="AJ22" s="161">
        <f>VLOOKUP($C22,CropsRef!$B$8:$Z$157,13,FALSE)</f>
        <v>0.28999999999999998</v>
      </c>
      <c r="AK22" s="161">
        <f>VLOOKUP($C22,CropsRef!$B$8:$Z$157,14,FALSE)</f>
        <v>0</v>
      </c>
      <c r="AL22" s="161">
        <f>VLOOKUP($C22,CropsRef!$B$8:$Z$157,15,FALSE)</f>
        <v>0.4</v>
      </c>
      <c r="AM22" s="161">
        <f t="shared" si="1"/>
        <v>0</v>
      </c>
      <c r="AN22" s="161">
        <f t="shared" si="3"/>
        <v>1</v>
      </c>
      <c r="AO22" s="161">
        <f>VLOOKUP($C22,CropsRef!$B$8:$Z$157,16,FALSE)</f>
        <v>2.7E-2</v>
      </c>
      <c r="AP22" s="161">
        <f>VLOOKUP($C22,CropsRef!$B$8:$Z$157,17,FALSE)</f>
        <v>1.9E-2</v>
      </c>
      <c r="AQ22" s="161">
        <f>VLOOKUP($C22,CropsRef!$B$8:$Z$157,9,FALSE)</f>
        <v>1</v>
      </c>
      <c r="AR22" s="161">
        <f>AJ22*(E22*AQ22)+AK22</f>
        <v>0</v>
      </c>
      <c r="AS22" s="161">
        <f>D22*AO22*AR22*(1-AN22)*AM22</f>
        <v>0</v>
      </c>
      <c r="AT22" s="161">
        <f>AS22*1000*'Standard data'!$C$14*44/28</f>
        <v>0</v>
      </c>
      <c r="AU22" s="161">
        <f>D22*AP22*AL22*(E22*AQ22+(AJ22*E22*AQ22+AK22))*AM22</f>
        <v>0</v>
      </c>
      <c r="AV22" s="161">
        <f>AU22*'Standard data'!$C$14*44/28*1000</f>
        <v>0</v>
      </c>
      <c r="AW22" s="161">
        <f t="shared" si="2"/>
        <v>0</v>
      </c>
      <c r="AX22" s="233" t="str">
        <f>IF($S22="burnt",$AT22*$AK22*'Standard data'!$D$199*$D22,"0")</f>
        <v>0</v>
      </c>
      <c r="AY22" s="233" t="str">
        <f>IF($S22="burnt",$AT22*$AK22*'Standard data'!$C$199*$D22,"0")</f>
        <v>0</v>
      </c>
      <c r="AZ22" s="72"/>
      <c r="BA22" s="378">
        <f>$D22*$G22*VLOOKUP($F22,'Standard data'!$B$210:$E$286,3,FALSE)</f>
        <v>0</v>
      </c>
      <c r="BB22" s="378">
        <f>$D22*$I22*VLOOKUP($H22,'Standard data'!$B$210:$E$286,3,FALSE)</f>
        <v>0</v>
      </c>
      <c r="BC22" s="378">
        <f>$D22*$K22*VLOOKUP($J22,'Standard data'!$B$210:$E$286,3,FALSE)</f>
        <v>0</v>
      </c>
      <c r="BD22" s="233">
        <f>SUM(BA22:BC22)</f>
        <v>0</v>
      </c>
      <c r="BE22" s="233">
        <f>$O22*$D22*VLOOKUP($C22,CropsRef!$B$8:$Z$157,20,FALSE)</f>
        <v>0</v>
      </c>
      <c r="BF22" s="233">
        <f>$D22*$Q22*VLOOKUP($P22,'Standard data'!$B$307:$P$309,7,FALSE)</f>
        <v>0</v>
      </c>
      <c r="BG22" s="72"/>
      <c r="BH22" s="32"/>
    </row>
    <row r="23" spans="2:62" ht="18" customHeight="1">
      <c r="B23" s="142">
        <v>8</v>
      </c>
      <c r="C23" s="142" t="s">
        <v>898</v>
      </c>
      <c r="D23" s="143"/>
      <c r="E23" s="189"/>
      <c r="F23" s="199" t="s">
        <v>913</v>
      </c>
      <c r="G23" s="142"/>
      <c r="H23" s="142" t="s">
        <v>241</v>
      </c>
      <c r="I23" s="142"/>
      <c r="J23" s="142" t="s">
        <v>930</v>
      </c>
      <c r="K23" s="142"/>
      <c r="L23" s="199" t="s">
        <v>60</v>
      </c>
      <c r="M23" s="142" t="s">
        <v>369</v>
      </c>
      <c r="N23" s="205"/>
      <c r="O23" s="203"/>
      <c r="P23" s="195" t="s">
        <v>499</v>
      </c>
      <c r="Q23" s="189"/>
      <c r="R23" s="212" t="s">
        <v>102</v>
      </c>
      <c r="S23" s="199" t="s">
        <v>58</v>
      </c>
      <c r="T23" s="199" t="s">
        <v>57</v>
      </c>
      <c r="U23" s="196" t="s">
        <v>57</v>
      </c>
      <c r="V23" s="199" t="s">
        <v>57</v>
      </c>
      <c r="W23" s="196" t="s">
        <v>57</v>
      </c>
      <c r="X23" s="203" t="s">
        <v>57</v>
      </c>
      <c r="Y23" s="219" t="s">
        <v>57</v>
      </c>
      <c r="AA23" s="160">
        <f>D23*G23*VLOOKUP(F23,'Standard data'!$B$210:$E$286,2,FALSE)*44/28</f>
        <v>0</v>
      </c>
      <c r="AB23" s="161">
        <f>$N23*$D23*'Standard data'!$C$13*44/28</f>
        <v>0</v>
      </c>
      <c r="AC23" s="161">
        <v>0</v>
      </c>
      <c r="AD23" s="161">
        <f>AC23*'Standard data'!$C$24*44/28*$AC23</f>
        <v>0</v>
      </c>
      <c r="AE23" s="161">
        <v>0</v>
      </c>
      <c r="AF23" s="161">
        <f>AE23*'Standard data'!$C$28*44/28*$AE23</f>
        <v>0</v>
      </c>
      <c r="AG23" s="162">
        <f>IF(AND($X23="yes",$Y23="yes"),$D23*'Standard data'!$C$16*44/28,0)</f>
        <v>0</v>
      </c>
      <c r="AH23" s="233">
        <f t="shared" si="0"/>
        <v>0</v>
      </c>
      <c r="AI23" s="160">
        <f>VLOOKUP(C23,CropsRef!$B$8:$Z$157,24,FALSE)</f>
        <v>0.8</v>
      </c>
      <c r="AJ23" s="161">
        <f>VLOOKUP($C23,CropsRef!$B$8:$Z$157,13,FALSE)</f>
        <v>0.28999999999999998</v>
      </c>
      <c r="AK23" s="161">
        <f>VLOOKUP($C23,CropsRef!$B$8:$Z$157,14,FALSE)</f>
        <v>0</v>
      </c>
      <c r="AL23" s="161">
        <f>VLOOKUP($C23,CropsRef!$B$8:$Z$157,15,FALSE)</f>
        <v>0.4</v>
      </c>
      <c r="AM23" s="161">
        <f t="shared" si="1"/>
        <v>0</v>
      </c>
      <c r="AN23" s="161">
        <f t="shared" si="3"/>
        <v>1</v>
      </c>
      <c r="AO23" s="161">
        <f>VLOOKUP($C23,CropsRef!$B$8:$Z$157,16,FALSE)</f>
        <v>2.7E-2</v>
      </c>
      <c r="AP23" s="161">
        <f>VLOOKUP($C23,CropsRef!$B$8:$Z$157,17,FALSE)</f>
        <v>1.9E-2</v>
      </c>
      <c r="AQ23" s="161">
        <f>VLOOKUP($C23,CropsRef!$B$8:$Z$157,9,FALSE)</f>
        <v>1</v>
      </c>
      <c r="AR23" s="161">
        <f>AJ23*(E23*AQ23)+AK23</f>
        <v>0</v>
      </c>
      <c r="AS23" s="161">
        <f>D23*AO23*AR23*(1-AN23)*AM23</f>
        <v>0</v>
      </c>
      <c r="AT23" s="161">
        <f>AS23*1000*'Standard data'!$C$14*44/28</f>
        <v>0</v>
      </c>
      <c r="AU23" s="161">
        <f>D23*AP23*AL23*(E23*AQ23+(AJ23*E23*AQ23+AK23))*AM23</f>
        <v>0</v>
      </c>
      <c r="AV23" s="161">
        <f>AU23*'Standard data'!$C$14*44/28*1000</f>
        <v>0</v>
      </c>
      <c r="AW23" s="161">
        <f t="shared" si="2"/>
        <v>0</v>
      </c>
      <c r="AX23" s="233" t="str">
        <f>IF($S23="burnt",$AT23*$AK23*'Standard data'!$D$199*$D23,"0")</f>
        <v>0</v>
      </c>
      <c r="AY23" s="233" t="str">
        <f>IF($S23="burnt",$AT23*$AK23*'Standard data'!$C$199*$D23,"0")</f>
        <v>0</v>
      </c>
      <c r="AZ23" s="72"/>
      <c r="BA23" s="378">
        <f>$D23*$G23*VLOOKUP($F23,'Standard data'!$B$210:$E$286,3,FALSE)</f>
        <v>0</v>
      </c>
      <c r="BB23" s="378">
        <f>$D23*$I23*VLOOKUP($H23,'Standard data'!$B$210:$E$286,3,FALSE)</f>
        <v>0</v>
      </c>
      <c r="BC23" s="378">
        <f>$D23*$K23*VLOOKUP($J23,'Standard data'!$B$210:$E$286,3,FALSE)</f>
        <v>0</v>
      </c>
      <c r="BD23" s="233">
        <f>SUM(BA23:BC23)</f>
        <v>0</v>
      </c>
      <c r="BE23" s="233">
        <f>$O23*$D23*VLOOKUP($C23,CropsRef!$B$8:$Z$157,20,FALSE)</f>
        <v>0</v>
      </c>
      <c r="BF23" s="233">
        <f>$D23*$Q23*VLOOKUP($P23,'Standard data'!$B$307:$P$309,7,FALSE)</f>
        <v>0</v>
      </c>
      <c r="BG23" s="72"/>
      <c r="BH23" s="32"/>
    </row>
    <row r="24" spans="2:62" ht="18" customHeight="1">
      <c r="B24" s="142">
        <v>9</v>
      </c>
      <c r="C24" s="142" t="s">
        <v>898</v>
      </c>
      <c r="D24" s="143"/>
      <c r="E24" s="189"/>
      <c r="F24" s="199" t="s">
        <v>913</v>
      </c>
      <c r="G24" s="142"/>
      <c r="H24" s="142" t="s">
        <v>241</v>
      </c>
      <c r="I24" s="142"/>
      <c r="J24" s="142" t="s">
        <v>930</v>
      </c>
      <c r="K24" s="142"/>
      <c r="L24" s="199" t="s">
        <v>60</v>
      </c>
      <c r="M24" s="142" t="s">
        <v>369</v>
      </c>
      <c r="N24" s="205"/>
      <c r="O24" s="203"/>
      <c r="P24" s="195" t="s">
        <v>499</v>
      </c>
      <c r="Q24" s="189"/>
      <c r="R24" s="212" t="s">
        <v>102</v>
      </c>
      <c r="S24" s="199" t="s">
        <v>58</v>
      </c>
      <c r="T24" s="199" t="s">
        <v>57</v>
      </c>
      <c r="U24" s="196" t="s">
        <v>57</v>
      </c>
      <c r="V24" s="199" t="s">
        <v>57</v>
      </c>
      <c r="W24" s="196" t="s">
        <v>57</v>
      </c>
      <c r="X24" s="203" t="s">
        <v>57</v>
      </c>
      <c r="Y24" s="219" t="s">
        <v>57</v>
      </c>
      <c r="AA24" s="160">
        <f>D24*G24*VLOOKUP(F24,'Standard data'!$B$210:$E$286,2,FALSE)*44/28</f>
        <v>0</v>
      </c>
      <c r="AB24" s="161">
        <f>$N24*$D24*'Standard data'!$C$13*44/28</f>
        <v>0</v>
      </c>
      <c r="AC24" s="161">
        <v>0</v>
      </c>
      <c r="AD24" s="161">
        <f>AC24*'Standard data'!$C$24*44/28*$AC24</f>
        <v>0</v>
      </c>
      <c r="AE24" s="161">
        <v>0</v>
      </c>
      <c r="AF24" s="161">
        <f>AE24*'Standard data'!$C$28*44/28*$AE24</f>
        <v>0</v>
      </c>
      <c r="AG24" s="162">
        <f>IF(AND($X24="yes",$Y24="yes"),$D24*'Standard data'!$C$16*44/28,0)</f>
        <v>0</v>
      </c>
      <c r="AH24" s="233">
        <f t="shared" si="0"/>
        <v>0</v>
      </c>
      <c r="AI24" s="160">
        <f>VLOOKUP(C24,CropsRef!$B$8:$Z$157,24,FALSE)</f>
        <v>0.8</v>
      </c>
      <c r="AJ24" s="161">
        <f>VLOOKUP($C24,CropsRef!$B$8:$Z$157,13,FALSE)</f>
        <v>0.28999999999999998</v>
      </c>
      <c r="AK24" s="161">
        <f>VLOOKUP($C24,CropsRef!$B$8:$Z$157,14,FALSE)</f>
        <v>0</v>
      </c>
      <c r="AL24" s="161">
        <f>VLOOKUP($C24,CropsRef!$B$8:$Z$157,15,FALSE)</f>
        <v>0.4</v>
      </c>
      <c r="AM24" s="161">
        <f t="shared" si="1"/>
        <v>0</v>
      </c>
      <c r="AN24" s="161">
        <f t="shared" si="3"/>
        <v>1</v>
      </c>
      <c r="AO24" s="161">
        <f>VLOOKUP($C24,CropsRef!$B$8:$Z$157,16,FALSE)</f>
        <v>2.7E-2</v>
      </c>
      <c r="AP24" s="161">
        <f>VLOOKUP($C24,CropsRef!$B$8:$Z$157,17,FALSE)</f>
        <v>1.9E-2</v>
      </c>
      <c r="AQ24" s="161">
        <f>VLOOKUP($C24,CropsRef!$B$8:$Z$157,9,FALSE)</f>
        <v>1</v>
      </c>
      <c r="AR24" s="161">
        <f>AJ24*(E24*AQ24)+AK24</f>
        <v>0</v>
      </c>
      <c r="AS24" s="161">
        <f>D24*AO24*AR24*(1-AN24)*AM24</f>
        <v>0</v>
      </c>
      <c r="AT24" s="161">
        <f>AS24*1000*'Standard data'!$C$14*44/28</f>
        <v>0</v>
      </c>
      <c r="AU24" s="161">
        <f>D24*AP24*AL24*(E24*AQ24+(AJ24*E24*AQ24+AK24))*AM24</f>
        <v>0</v>
      </c>
      <c r="AV24" s="161">
        <f>AU24*'Standard data'!$C$14*44/28*1000</f>
        <v>0</v>
      </c>
      <c r="AW24" s="161">
        <f t="shared" si="2"/>
        <v>0</v>
      </c>
      <c r="AX24" s="233" t="str">
        <f>IF($S24="burnt",$AT24*$AK24*'Standard data'!$D$199*$D24,"0")</f>
        <v>0</v>
      </c>
      <c r="AY24" s="233" t="str">
        <f>IF($S24="burnt",$AT24*$AK24*'Standard data'!$C$199*$D24,"0")</f>
        <v>0</v>
      </c>
      <c r="AZ24" s="72"/>
      <c r="BA24" s="378">
        <f>$D24*$G24*VLOOKUP($F24,'Standard data'!$B$210:$E$286,3,FALSE)</f>
        <v>0</v>
      </c>
      <c r="BB24" s="378">
        <f>$D24*$I24*VLOOKUP($H24,'Standard data'!$B$210:$E$286,3,FALSE)</f>
        <v>0</v>
      </c>
      <c r="BC24" s="378">
        <f>$D24*$K24*VLOOKUP($J24,'Standard data'!$B$210:$E$286,3,FALSE)</f>
        <v>0</v>
      </c>
      <c r="BD24" s="233">
        <f>SUM(BA24:BC24)</f>
        <v>0</v>
      </c>
      <c r="BE24" s="233">
        <f>$O24*$D24*VLOOKUP($C24,CropsRef!$B$8:$Z$157,20,FALSE)</f>
        <v>0</v>
      </c>
      <c r="BF24" s="233">
        <f>$D24*$Q24*VLOOKUP($P24,'Standard data'!$B$307:$P$309,7,FALSE)</f>
        <v>0</v>
      </c>
      <c r="BG24" s="72"/>
      <c r="BH24" s="32"/>
    </row>
    <row r="25" spans="2:62" ht="18" customHeight="1">
      <c r="B25" s="142">
        <v>10</v>
      </c>
      <c r="C25" s="142" t="s">
        <v>898</v>
      </c>
      <c r="D25" s="143"/>
      <c r="E25" s="189"/>
      <c r="F25" s="199" t="s">
        <v>913</v>
      </c>
      <c r="G25" s="142"/>
      <c r="H25" s="142" t="s">
        <v>241</v>
      </c>
      <c r="I25" s="142"/>
      <c r="J25" s="142" t="s">
        <v>930</v>
      </c>
      <c r="K25" s="142"/>
      <c r="L25" s="199" t="s">
        <v>60</v>
      </c>
      <c r="M25" s="142" t="s">
        <v>369</v>
      </c>
      <c r="N25" s="205"/>
      <c r="O25" s="203"/>
      <c r="P25" s="195" t="s">
        <v>499</v>
      </c>
      <c r="Q25" s="189"/>
      <c r="R25" s="212" t="s">
        <v>102</v>
      </c>
      <c r="S25" s="199" t="s">
        <v>58</v>
      </c>
      <c r="T25" s="199" t="s">
        <v>57</v>
      </c>
      <c r="U25" s="196" t="s">
        <v>57</v>
      </c>
      <c r="V25" s="199" t="s">
        <v>57</v>
      </c>
      <c r="W25" s="196" t="s">
        <v>57</v>
      </c>
      <c r="X25" s="203" t="s">
        <v>57</v>
      </c>
      <c r="Y25" s="219" t="s">
        <v>57</v>
      </c>
      <c r="AA25" s="160">
        <f>D25*G25*VLOOKUP(F25,'Standard data'!$B$210:$E$286,2,FALSE)*44/28</f>
        <v>0</v>
      </c>
      <c r="AB25" s="161">
        <f>$N25*$D25*'Standard data'!$C$13*44/28</f>
        <v>0</v>
      </c>
      <c r="AC25" s="161">
        <v>0</v>
      </c>
      <c r="AD25" s="161">
        <f>AC25*'Standard data'!$C$24*44/28*$AC25</f>
        <v>0</v>
      </c>
      <c r="AE25" s="161">
        <v>0</v>
      </c>
      <c r="AF25" s="161">
        <f>AE25*'Standard data'!$C$28*44/28*$AE25</f>
        <v>0</v>
      </c>
      <c r="AG25" s="162">
        <f>IF(AND($X25="yes",$Y25="yes"),$D25*'Standard data'!$C$16*44/28,0)</f>
        <v>0</v>
      </c>
      <c r="AH25" s="233">
        <f t="shared" si="0"/>
        <v>0</v>
      </c>
      <c r="AI25" s="160">
        <f>VLOOKUP(C25,CropsRef!$B$8:$Z$157,24,FALSE)</f>
        <v>0.8</v>
      </c>
      <c r="AJ25" s="161">
        <f>VLOOKUP($C25,CropsRef!$B$8:$Z$157,13,FALSE)</f>
        <v>0.28999999999999998</v>
      </c>
      <c r="AK25" s="161">
        <f>VLOOKUP($C25,CropsRef!$B$8:$Z$157,14,FALSE)</f>
        <v>0</v>
      </c>
      <c r="AL25" s="161">
        <f>VLOOKUP($C25,CropsRef!$B$8:$Z$157,15,FALSE)</f>
        <v>0.4</v>
      </c>
      <c r="AM25" s="161">
        <f t="shared" si="1"/>
        <v>0</v>
      </c>
      <c r="AN25" s="161">
        <f t="shared" si="3"/>
        <v>1</v>
      </c>
      <c r="AO25" s="161">
        <f>VLOOKUP($C25,CropsRef!$B$8:$Z$157,16,FALSE)</f>
        <v>2.7E-2</v>
      </c>
      <c r="AP25" s="161">
        <f>VLOOKUP($C25,CropsRef!$B$8:$Z$157,17,FALSE)</f>
        <v>1.9E-2</v>
      </c>
      <c r="AQ25" s="161">
        <f>VLOOKUP($C25,CropsRef!$B$8:$Z$157,9,FALSE)</f>
        <v>1</v>
      </c>
      <c r="AR25" s="161">
        <f>AJ25*(E25*AQ25)+AK25</f>
        <v>0</v>
      </c>
      <c r="AS25" s="161">
        <f>D25*AO25*AR25*(1-AN25)*AM25</f>
        <v>0</v>
      </c>
      <c r="AT25" s="161">
        <f>AS25*1000*'Standard data'!$C$14*44/28</f>
        <v>0</v>
      </c>
      <c r="AU25" s="161">
        <f>D25*AP25*AL25*(E25*AQ25+(AJ25*E25*AQ25+AK25))*AM25</f>
        <v>0</v>
      </c>
      <c r="AV25" s="161">
        <f>AU25*'Standard data'!$C$14*44/28*1000</f>
        <v>0</v>
      </c>
      <c r="AW25" s="161">
        <f t="shared" si="2"/>
        <v>0</v>
      </c>
      <c r="AX25" s="233" t="str">
        <f>IF($S25="burnt",$AT25*$AK25*'Standard data'!$D$199*$D25,"0")</f>
        <v>0</v>
      </c>
      <c r="AY25" s="233" t="str">
        <f>IF($S25="burnt",$AT25*$AK25*'Standard data'!$C$199*$D25,"0")</f>
        <v>0</v>
      </c>
      <c r="AZ25" s="72"/>
      <c r="BA25" s="378">
        <f>$D25*$G25*VLOOKUP($F25,'Standard data'!$B$210:$E$286,3,FALSE)</f>
        <v>0</v>
      </c>
      <c r="BB25" s="378">
        <f>$D25*$I25*VLOOKUP($H25,'Standard data'!$B$210:$E$286,3,FALSE)</f>
        <v>0</v>
      </c>
      <c r="BC25" s="378">
        <f>$D25*$K25*VLOOKUP($J25,'Standard data'!$B$210:$E$286,3,FALSE)</f>
        <v>0</v>
      </c>
      <c r="BD25" s="233">
        <f>SUM(BA25:BC25)</f>
        <v>0</v>
      </c>
      <c r="BE25" s="233">
        <f>$O25*$D25*VLOOKUP($C25,CropsRef!$B$8:$Z$157,20,FALSE)</f>
        <v>0</v>
      </c>
      <c r="BF25" s="233">
        <f>$D25*$Q25*VLOOKUP($P25,'Standard data'!$B$307:$P$309,7,FALSE)</f>
        <v>0</v>
      </c>
      <c r="BG25" s="72"/>
      <c r="BH25" s="32"/>
    </row>
    <row r="26" spans="2:62" ht="18" customHeight="1">
      <c r="B26" s="142">
        <v>11</v>
      </c>
      <c r="C26" s="142" t="s">
        <v>898</v>
      </c>
      <c r="D26" s="143"/>
      <c r="E26" s="189"/>
      <c r="F26" s="199" t="s">
        <v>913</v>
      </c>
      <c r="G26" s="142"/>
      <c r="H26" s="142" t="s">
        <v>241</v>
      </c>
      <c r="I26" s="142"/>
      <c r="J26" s="142" t="s">
        <v>930</v>
      </c>
      <c r="K26" s="142"/>
      <c r="L26" s="199" t="s">
        <v>60</v>
      </c>
      <c r="M26" s="142" t="s">
        <v>369</v>
      </c>
      <c r="N26" s="205"/>
      <c r="O26" s="203"/>
      <c r="P26" s="195" t="s">
        <v>499</v>
      </c>
      <c r="Q26" s="189"/>
      <c r="R26" s="212" t="s">
        <v>102</v>
      </c>
      <c r="S26" s="199" t="s">
        <v>58</v>
      </c>
      <c r="T26" s="199" t="s">
        <v>57</v>
      </c>
      <c r="U26" s="196" t="s">
        <v>57</v>
      </c>
      <c r="V26" s="199" t="s">
        <v>57</v>
      </c>
      <c r="W26" s="196" t="s">
        <v>57</v>
      </c>
      <c r="X26" s="203" t="s">
        <v>57</v>
      </c>
      <c r="Y26" s="219" t="s">
        <v>57</v>
      </c>
      <c r="AA26" s="160">
        <f>D26*G26*VLOOKUP(F26,'Standard data'!$B$210:$E$286,2,FALSE)*44/28</f>
        <v>0</v>
      </c>
      <c r="AB26" s="161">
        <f>$N26*$D26*'Standard data'!$C$13*44/28</f>
        <v>0</v>
      </c>
      <c r="AC26" s="161">
        <v>0</v>
      </c>
      <c r="AD26" s="161">
        <f>AC26*'Standard data'!$C$24*44/28*$AC26</f>
        <v>0</v>
      </c>
      <c r="AE26" s="161">
        <v>0</v>
      </c>
      <c r="AF26" s="161">
        <f>AE26*'Standard data'!$C$28*44/28*$AE26</f>
        <v>0</v>
      </c>
      <c r="AG26" s="162">
        <f>IF(AND($X26="yes",$Y26="yes"),$D26*'Standard data'!$C$16*44/28,0)</f>
        <v>0</v>
      </c>
      <c r="AH26" s="233">
        <f t="shared" si="0"/>
        <v>0</v>
      </c>
      <c r="AI26" s="160">
        <f>VLOOKUP(C26,CropsRef!$B$8:$Z$157,24,FALSE)</f>
        <v>0.8</v>
      </c>
      <c r="AJ26" s="161">
        <f>VLOOKUP($C26,CropsRef!$B$8:$Z$157,13,FALSE)</f>
        <v>0.28999999999999998</v>
      </c>
      <c r="AK26" s="161">
        <f>VLOOKUP($C26,CropsRef!$B$8:$Z$157,14,FALSE)</f>
        <v>0</v>
      </c>
      <c r="AL26" s="161">
        <f>VLOOKUP($C26,CropsRef!$B$8:$Z$157,15,FALSE)</f>
        <v>0.4</v>
      </c>
      <c r="AM26" s="161">
        <f t="shared" si="1"/>
        <v>0</v>
      </c>
      <c r="AN26" s="161">
        <f t="shared" si="3"/>
        <v>1</v>
      </c>
      <c r="AO26" s="161">
        <f>VLOOKUP($C26,CropsRef!$B$8:$Z$157,16,FALSE)</f>
        <v>2.7E-2</v>
      </c>
      <c r="AP26" s="161">
        <f>VLOOKUP($C26,CropsRef!$B$8:$Z$157,17,FALSE)</f>
        <v>1.9E-2</v>
      </c>
      <c r="AQ26" s="161">
        <f>VLOOKUP($C26,CropsRef!$B$8:$Z$157,9,FALSE)</f>
        <v>1</v>
      </c>
      <c r="AR26" s="161">
        <f>AJ26*(E26*AQ26)+AK26</f>
        <v>0</v>
      </c>
      <c r="AS26" s="161">
        <f>D26*AO26*AR26*(1-AN26)*AM26</f>
        <v>0</v>
      </c>
      <c r="AT26" s="161">
        <f>AS26*1000*'Standard data'!$C$14*44/28</f>
        <v>0</v>
      </c>
      <c r="AU26" s="161">
        <f>D26*AP26*AL26*(E26*AQ26+(AJ26*E26*AQ26+AK26))*AM26</f>
        <v>0</v>
      </c>
      <c r="AV26" s="161">
        <f>AU26*'Standard data'!$C$14*44/28*1000</f>
        <v>0</v>
      </c>
      <c r="AW26" s="161">
        <f t="shared" si="2"/>
        <v>0</v>
      </c>
      <c r="AX26" s="233" t="str">
        <f>IF($S26="burnt",$AT26*$AK26*'Standard data'!$D$199*$D26,"0")</f>
        <v>0</v>
      </c>
      <c r="AY26" s="233" t="str">
        <f>IF($S26="burnt",$AT26*$AK26*'Standard data'!$C$199*$D26,"0")</f>
        <v>0</v>
      </c>
      <c r="AZ26" s="72"/>
      <c r="BA26" s="378">
        <f>$D26*$G26*VLOOKUP($F26,'Standard data'!$B$210:$E$286,3,FALSE)</f>
        <v>0</v>
      </c>
      <c r="BB26" s="378">
        <f>$D26*$I26*VLOOKUP($H26,'Standard data'!$B$210:$E$286,3,FALSE)</f>
        <v>0</v>
      </c>
      <c r="BC26" s="378">
        <f>$D26*$K26*VLOOKUP($J26,'Standard data'!$B$210:$E$286,3,FALSE)</f>
        <v>0</v>
      </c>
      <c r="BD26" s="233">
        <f>SUM(BA26:BC26)</f>
        <v>0</v>
      </c>
      <c r="BE26" s="233">
        <f>$O26*$D26*VLOOKUP($C26,CropsRef!$B$8:$Z$157,20,FALSE)</f>
        <v>0</v>
      </c>
      <c r="BF26" s="233">
        <f>$D26*$Q26*VLOOKUP($P26,'Standard data'!$B$307:$P$309,7,FALSE)</f>
        <v>0</v>
      </c>
      <c r="BG26" s="72"/>
      <c r="BH26" s="32"/>
    </row>
    <row r="27" spans="2:62" ht="18" customHeight="1">
      <c r="B27" s="142">
        <v>12</v>
      </c>
      <c r="C27" s="142" t="s">
        <v>898</v>
      </c>
      <c r="D27" s="143"/>
      <c r="E27" s="189"/>
      <c r="F27" s="199" t="s">
        <v>913</v>
      </c>
      <c r="G27" s="142"/>
      <c r="H27" s="142" t="s">
        <v>241</v>
      </c>
      <c r="I27" s="142"/>
      <c r="J27" s="142" t="s">
        <v>930</v>
      </c>
      <c r="K27" s="142"/>
      <c r="L27" s="199" t="s">
        <v>60</v>
      </c>
      <c r="M27" s="142" t="s">
        <v>369</v>
      </c>
      <c r="N27" s="205"/>
      <c r="O27" s="203"/>
      <c r="P27" s="195" t="s">
        <v>499</v>
      </c>
      <c r="Q27" s="189"/>
      <c r="R27" s="212" t="s">
        <v>102</v>
      </c>
      <c r="S27" s="199" t="s">
        <v>58</v>
      </c>
      <c r="T27" s="199" t="s">
        <v>57</v>
      </c>
      <c r="U27" s="196" t="s">
        <v>57</v>
      </c>
      <c r="V27" s="199" t="s">
        <v>57</v>
      </c>
      <c r="W27" s="196" t="s">
        <v>57</v>
      </c>
      <c r="X27" s="203" t="s">
        <v>57</v>
      </c>
      <c r="Y27" s="219" t="s">
        <v>57</v>
      </c>
      <c r="AA27" s="160">
        <f>D27*G27*VLOOKUP(F27,'Standard data'!$B$210:$E$286,2,FALSE)*44/28</f>
        <v>0</v>
      </c>
      <c r="AB27" s="161">
        <f>$N27*$D27*'Standard data'!$C$13*44/28</f>
        <v>0</v>
      </c>
      <c r="AC27" s="161">
        <v>0</v>
      </c>
      <c r="AD27" s="161">
        <f>AC27*'Standard data'!$C$24*44/28*$AC27</f>
        <v>0</v>
      </c>
      <c r="AE27" s="161">
        <v>0</v>
      </c>
      <c r="AF27" s="161">
        <f>AE27*'Standard data'!$C$28*44/28*$AE27</f>
        <v>0</v>
      </c>
      <c r="AG27" s="162">
        <f>IF(AND($X27="yes",$Y27="yes"),$D27*'Standard data'!$C$16*44/28,0)</f>
        <v>0</v>
      </c>
      <c r="AH27" s="233">
        <f t="shared" si="0"/>
        <v>0</v>
      </c>
      <c r="AI27" s="160">
        <f>VLOOKUP(C27,CropsRef!$B$8:$Z$157,24,FALSE)</f>
        <v>0.8</v>
      </c>
      <c r="AJ27" s="161">
        <f>VLOOKUP($C27,CropsRef!$B$8:$Z$157,13,FALSE)</f>
        <v>0.28999999999999998</v>
      </c>
      <c r="AK27" s="161">
        <f>VLOOKUP($C27,CropsRef!$B$8:$Z$157,14,FALSE)</f>
        <v>0</v>
      </c>
      <c r="AL27" s="161">
        <f>VLOOKUP($C27,CropsRef!$B$8:$Z$157,15,FALSE)</f>
        <v>0.4</v>
      </c>
      <c r="AM27" s="161">
        <f t="shared" si="1"/>
        <v>0</v>
      </c>
      <c r="AN27" s="161">
        <f t="shared" si="3"/>
        <v>1</v>
      </c>
      <c r="AO27" s="161">
        <f>VLOOKUP($C27,CropsRef!$B$8:$Z$157,16,FALSE)</f>
        <v>2.7E-2</v>
      </c>
      <c r="AP27" s="161">
        <f>VLOOKUP($C27,CropsRef!$B$8:$Z$157,17,FALSE)</f>
        <v>1.9E-2</v>
      </c>
      <c r="AQ27" s="161">
        <f>VLOOKUP($C27,CropsRef!$B$8:$Z$157,9,FALSE)</f>
        <v>1</v>
      </c>
      <c r="AR27" s="161">
        <f>AJ27*(E27*AQ27)+AK27</f>
        <v>0</v>
      </c>
      <c r="AS27" s="161">
        <f>D27*AO27*AR27*(1-AN27)*AM27</f>
        <v>0</v>
      </c>
      <c r="AT27" s="161">
        <f>AS27*1000*'Standard data'!$C$14*44/28</f>
        <v>0</v>
      </c>
      <c r="AU27" s="161">
        <f>D27*AP27*AL27*(E27*AQ27+(AJ27*E27*AQ27+AK27))*AM27</f>
        <v>0</v>
      </c>
      <c r="AV27" s="161">
        <f>AU27*'Standard data'!$C$14*44/28*1000</f>
        <v>0</v>
      </c>
      <c r="AW27" s="161">
        <f t="shared" si="2"/>
        <v>0</v>
      </c>
      <c r="AX27" s="233" t="str">
        <f>IF($S27="burnt",$AT27*$AK27*'Standard data'!$D$199*$D27,"0")</f>
        <v>0</v>
      </c>
      <c r="AY27" s="233" t="str">
        <f>IF($S27="burnt",$AT27*$AK27*'Standard data'!$C$199*$D27,"0")</f>
        <v>0</v>
      </c>
      <c r="AZ27" s="72"/>
      <c r="BA27" s="378">
        <f>$D27*$G27*VLOOKUP($F27,'Standard data'!$B$210:$E$286,3,FALSE)</f>
        <v>0</v>
      </c>
      <c r="BB27" s="378">
        <f>$D27*$I27*VLOOKUP($H27,'Standard data'!$B$210:$E$286,3,FALSE)</f>
        <v>0</v>
      </c>
      <c r="BC27" s="378">
        <f>$D27*$K27*VLOOKUP($J27,'Standard data'!$B$210:$E$286,3,FALSE)</f>
        <v>0</v>
      </c>
      <c r="BD27" s="233">
        <f>SUM(BA27:BC27)</f>
        <v>0</v>
      </c>
      <c r="BE27" s="233">
        <f>$O27*$D27*VLOOKUP($C27,CropsRef!$B$8:$Z$157,20,FALSE)</f>
        <v>0</v>
      </c>
      <c r="BF27" s="233">
        <f>$D27*$Q27*VLOOKUP($P27,'Standard data'!$B$307:$P$309,7,FALSE)</f>
        <v>0</v>
      </c>
      <c r="BG27" s="72"/>
      <c r="BH27" s="32"/>
    </row>
    <row r="28" spans="2:62" ht="18" customHeight="1">
      <c r="B28" s="142">
        <v>13</v>
      </c>
      <c r="C28" s="142" t="s">
        <v>898</v>
      </c>
      <c r="D28" s="143"/>
      <c r="E28" s="189"/>
      <c r="F28" s="199" t="s">
        <v>913</v>
      </c>
      <c r="G28" s="142"/>
      <c r="H28" s="142" t="s">
        <v>241</v>
      </c>
      <c r="I28" s="142"/>
      <c r="J28" s="142" t="s">
        <v>930</v>
      </c>
      <c r="K28" s="142"/>
      <c r="L28" s="199" t="s">
        <v>60</v>
      </c>
      <c r="M28" s="142" t="s">
        <v>369</v>
      </c>
      <c r="N28" s="205"/>
      <c r="O28" s="203"/>
      <c r="P28" s="195" t="s">
        <v>499</v>
      </c>
      <c r="Q28" s="189"/>
      <c r="R28" s="212" t="s">
        <v>102</v>
      </c>
      <c r="S28" s="199" t="s">
        <v>58</v>
      </c>
      <c r="T28" s="199" t="s">
        <v>57</v>
      </c>
      <c r="U28" s="196" t="s">
        <v>57</v>
      </c>
      <c r="V28" s="199" t="s">
        <v>57</v>
      </c>
      <c r="W28" s="196" t="s">
        <v>57</v>
      </c>
      <c r="X28" s="203" t="s">
        <v>57</v>
      </c>
      <c r="Y28" s="219" t="s">
        <v>57</v>
      </c>
      <c r="AA28" s="160">
        <f>D28*G28*VLOOKUP(F28,'Standard data'!$B$210:$E$286,2,FALSE)*44/28</f>
        <v>0</v>
      </c>
      <c r="AB28" s="161">
        <f>$N28*$D28*'Standard data'!$C$13*44/28</f>
        <v>0</v>
      </c>
      <c r="AC28" s="161">
        <v>0</v>
      </c>
      <c r="AD28" s="161">
        <f>AC28*'Standard data'!$C$24*44/28*$AC28</f>
        <v>0</v>
      </c>
      <c r="AE28" s="161">
        <v>0</v>
      </c>
      <c r="AF28" s="161">
        <f>AE28*'Standard data'!$C$28*44/28*$AE28</f>
        <v>0</v>
      </c>
      <c r="AG28" s="162">
        <f>IF(AND($X28="yes",$Y28="yes"),$D28*'Standard data'!$C$16*44/28,0)</f>
        <v>0</v>
      </c>
      <c r="AH28" s="233">
        <f t="shared" si="0"/>
        <v>0</v>
      </c>
      <c r="AI28" s="160">
        <f>VLOOKUP(C28,CropsRef!$B$8:$Z$157,24,FALSE)</f>
        <v>0.8</v>
      </c>
      <c r="AJ28" s="161">
        <f>VLOOKUP($C28,CropsRef!$B$8:$Z$157,13,FALSE)</f>
        <v>0.28999999999999998</v>
      </c>
      <c r="AK28" s="161">
        <f>VLOOKUP($C28,CropsRef!$B$8:$Z$157,14,FALSE)</f>
        <v>0</v>
      </c>
      <c r="AL28" s="161">
        <f>VLOOKUP($C28,CropsRef!$B$8:$Z$157,15,FALSE)</f>
        <v>0.4</v>
      </c>
      <c r="AM28" s="161">
        <f t="shared" si="1"/>
        <v>0</v>
      </c>
      <c r="AN28" s="161">
        <f t="shared" si="3"/>
        <v>1</v>
      </c>
      <c r="AO28" s="161">
        <f>VLOOKUP($C28,CropsRef!$B$8:$Z$157,16,FALSE)</f>
        <v>2.7E-2</v>
      </c>
      <c r="AP28" s="161">
        <f>VLOOKUP($C28,CropsRef!$B$8:$Z$157,17,FALSE)</f>
        <v>1.9E-2</v>
      </c>
      <c r="AQ28" s="161">
        <f>VLOOKUP($C28,CropsRef!$B$8:$Z$157,9,FALSE)</f>
        <v>1</v>
      </c>
      <c r="AR28" s="161">
        <f>AJ28*(E28*AQ28)+AK28</f>
        <v>0</v>
      </c>
      <c r="AS28" s="161">
        <f>D28*AO28*AR28*(1-AN28)*AM28</f>
        <v>0</v>
      </c>
      <c r="AT28" s="161">
        <f>AS28*1000*'Standard data'!$C$14*44/28</f>
        <v>0</v>
      </c>
      <c r="AU28" s="161">
        <f>D28*AP28*AL28*(E28*AQ28+(AJ28*E28*AQ28+AK28))*AM28</f>
        <v>0</v>
      </c>
      <c r="AV28" s="161">
        <f>AU28*'Standard data'!$C$14*44/28*1000</f>
        <v>0</v>
      </c>
      <c r="AW28" s="161">
        <f t="shared" si="2"/>
        <v>0</v>
      </c>
      <c r="AX28" s="233" t="str">
        <f>IF($S28="burnt",$AT28*$AK28*'Standard data'!$D$199*$D28,"0")</f>
        <v>0</v>
      </c>
      <c r="AY28" s="233" t="str">
        <f>IF($S28="burnt",$AT28*$AK28*'Standard data'!$C$199*$D28,"0")</f>
        <v>0</v>
      </c>
      <c r="AZ28" s="72"/>
      <c r="BA28" s="378">
        <f>$D28*$G28*VLOOKUP($F28,'Standard data'!$B$210:$E$286,3,FALSE)</f>
        <v>0</v>
      </c>
      <c r="BB28" s="378">
        <f>$D28*$I28*VLOOKUP($H28,'Standard data'!$B$210:$E$286,3,FALSE)</f>
        <v>0</v>
      </c>
      <c r="BC28" s="378">
        <f>$D28*$K28*VLOOKUP($J28,'Standard data'!$B$210:$E$286,3,FALSE)</f>
        <v>0</v>
      </c>
      <c r="BD28" s="233">
        <f>SUM(BA28:BC28)</f>
        <v>0</v>
      </c>
      <c r="BE28" s="233">
        <f>$O28*$D28*VLOOKUP($C28,CropsRef!$B$8:$Z$157,20,FALSE)</f>
        <v>0</v>
      </c>
      <c r="BF28" s="233">
        <f>$D28*$Q28*VLOOKUP($P28,'Standard data'!$B$307:$P$309,7,FALSE)</f>
        <v>0</v>
      </c>
      <c r="BG28" s="72"/>
      <c r="BH28" s="32"/>
    </row>
    <row r="29" spans="2:62" ht="18" customHeight="1">
      <c r="B29" s="142">
        <v>14</v>
      </c>
      <c r="C29" s="142" t="s">
        <v>898</v>
      </c>
      <c r="D29" s="143"/>
      <c r="E29" s="189"/>
      <c r="F29" s="199" t="s">
        <v>913</v>
      </c>
      <c r="G29" s="142"/>
      <c r="H29" s="142" t="s">
        <v>241</v>
      </c>
      <c r="I29" s="142"/>
      <c r="J29" s="142" t="s">
        <v>930</v>
      </c>
      <c r="K29" s="142"/>
      <c r="L29" s="199" t="s">
        <v>60</v>
      </c>
      <c r="M29" s="142" t="s">
        <v>369</v>
      </c>
      <c r="N29" s="205"/>
      <c r="O29" s="203"/>
      <c r="P29" s="195" t="s">
        <v>499</v>
      </c>
      <c r="Q29" s="189"/>
      <c r="R29" s="212" t="s">
        <v>102</v>
      </c>
      <c r="S29" s="199" t="s">
        <v>58</v>
      </c>
      <c r="T29" s="199" t="s">
        <v>57</v>
      </c>
      <c r="U29" s="196" t="s">
        <v>57</v>
      </c>
      <c r="V29" s="199" t="s">
        <v>57</v>
      </c>
      <c r="W29" s="196" t="s">
        <v>57</v>
      </c>
      <c r="X29" s="203" t="s">
        <v>57</v>
      </c>
      <c r="Y29" s="219" t="s">
        <v>57</v>
      </c>
      <c r="AA29" s="160">
        <f>D29*G29*VLOOKUP(F29,'Standard data'!$B$210:$E$286,2,FALSE)*44/28</f>
        <v>0</v>
      </c>
      <c r="AB29" s="161">
        <f>$N29*$D29*'Standard data'!$C$13*44/28</f>
        <v>0</v>
      </c>
      <c r="AC29" s="161">
        <v>0</v>
      </c>
      <c r="AD29" s="161">
        <f>AC29*'Standard data'!$C$24*44/28*$AC29</f>
        <v>0</v>
      </c>
      <c r="AE29" s="161">
        <v>0</v>
      </c>
      <c r="AF29" s="161">
        <f>AE29*'Standard data'!$C$28*44/28*$AE29</f>
        <v>0</v>
      </c>
      <c r="AG29" s="162">
        <f>IF(AND($X29="yes",$Y29="yes"),$D29*'Standard data'!$C$16*44/28,0)</f>
        <v>0</v>
      </c>
      <c r="AH29" s="233">
        <f t="shared" si="0"/>
        <v>0</v>
      </c>
      <c r="AI29" s="160">
        <f>VLOOKUP(C29,CropsRef!$B$8:$Z$157,24,FALSE)</f>
        <v>0.8</v>
      </c>
      <c r="AJ29" s="161">
        <f>VLOOKUP($C29,CropsRef!$B$8:$Z$157,13,FALSE)</f>
        <v>0.28999999999999998</v>
      </c>
      <c r="AK29" s="161">
        <f>VLOOKUP($C29,CropsRef!$B$8:$Z$157,14,FALSE)</f>
        <v>0</v>
      </c>
      <c r="AL29" s="161">
        <f>VLOOKUP($C29,CropsRef!$B$8:$Z$157,15,FALSE)</f>
        <v>0.4</v>
      </c>
      <c r="AM29" s="161">
        <f t="shared" si="1"/>
        <v>0</v>
      </c>
      <c r="AN29" s="161">
        <f t="shared" si="3"/>
        <v>1</v>
      </c>
      <c r="AO29" s="161">
        <f>VLOOKUP($C29,CropsRef!$B$8:$Z$157,16,FALSE)</f>
        <v>2.7E-2</v>
      </c>
      <c r="AP29" s="161">
        <f>VLOOKUP($C29,CropsRef!$B$8:$Z$157,17,FALSE)</f>
        <v>1.9E-2</v>
      </c>
      <c r="AQ29" s="161">
        <f>VLOOKUP($C29,CropsRef!$B$8:$Z$157,9,FALSE)</f>
        <v>1</v>
      </c>
      <c r="AR29" s="161">
        <f>AJ29*(E29*AQ29)+AK29</f>
        <v>0</v>
      </c>
      <c r="AS29" s="161">
        <f>D29*AO29*AR29*(1-AN29)*AM29</f>
        <v>0</v>
      </c>
      <c r="AT29" s="161">
        <f>AS29*1000*'Standard data'!$C$14*44/28</f>
        <v>0</v>
      </c>
      <c r="AU29" s="161">
        <f>D29*AP29*AL29*(E29*AQ29+(AJ29*E29*AQ29+AK29))*AM29</f>
        <v>0</v>
      </c>
      <c r="AV29" s="161">
        <f>AU29*'Standard data'!$C$14*44/28*1000</f>
        <v>0</v>
      </c>
      <c r="AW29" s="161">
        <f t="shared" si="2"/>
        <v>0</v>
      </c>
      <c r="AX29" s="233" t="str">
        <f>IF($S29="burnt",$AT29*$AK29*'Standard data'!$D$199*$D29,"0")</f>
        <v>0</v>
      </c>
      <c r="AY29" s="233" t="str">
        <f>IF($S29="burnt",$AT29*$AK29*'Standard data'!$C$199*$D29,"0")</f>
        <v>0</v>
      </c>
      <c r="AZ29" s="72"/>
      <c r="BA29" s="378">
        <f>$D29*$G29*VLOOKUP($F29,'Standard data'!$B$210:$E$286,3,FALSE)</f>
        <v>0</v>
      </c>
      <c r="BB29" s="378">
        <f>$D29*$I29*VLOOKUP($H29,'Standard data'!$B$210:$E$286,3,FALSE)</f>
        <v>0</v>
      </c>
      <c r="BC29" s="378">
        <f>$D29*$K29*VLOOKUP($J29,'Standard data'!$B$210:$E$286,3,FALSE)</f>
        <v>0</v>
      </c>
      <c r="BD29" s="233">
        <f>SUM(BA29:BC29)</f>
        <v>0</v>
      </c>
      <c r="BE29" s="233">
        <f>$O29*$D29*VLOOKUP($C29,CropsRef!$B$8:$Z$157,20,FALSE)</f>
        <v>0</v>
      </c>
      <c r="BF29" s="233">
        <f>$D29*$Q29*VLOOKUP($P29,'Standard data'!$B$307:$P$309,7,FALSE)</f>
        <v>0</v>
      </c>
      <c r="BG29" s="72"/>
      <c r="BH29" s="32"/>
    </row>
    <row r="30" spans="2:62" ht="18" customHeight="1">
      <c r="B30" s="142">
        <v>15</v>
      </c>
      <c r="C30" s="142" t="s">
        <v>898</v>
      </c>
      <c r="D30" s="143"/>
      <c r="E30" s="189"/>
      <c r="F30" s="199" t="s">
        <v>913</v>
      </c>
      <c r="G30" s="142"/>
      <c r="H30" s="142" t="s">
        <v>241</v>
      </c>
      <c r="I30" s="142"/>
      <c r="J30" s="142" t="s">
        <v>930</v>
      </c>
      <c r="K30" s="142"/>
      <c r="L30" s="199" t="s">
        <v>60</v>
      </c>
      <c r="M30" s="142" t="s">
        <v>369</v>
      </c>
      <c r="N30" s="205"/>
      <c r="O30" s="203"/>
      <c r="P30" s="195" t="s">
        <v>499</v>
      </c>
      <c r="Q30" s="189"/>
      <c r="R30" s="212" t="s">
        <v>102</v>
      </c>
      <c r="S30" s="199" t="s">
        <v>58</v>
      </c>
      <c r="T30" s="199" t="s">
        <v>57</v>
      </c>
      <c r="U30" s="196" t="s">
        <v>57</v>
      </c>
      <c r="V30" s="199" t="s">
        <v>57</v>
      </c>
      <c r="W30" s="196" t="s">
        <v>57</v>
      </c>
      <c r="X30" s="203" t="s">
        <v>57</v>
      </c>
      <c r="Y30" s="219" t="s">
        <v>57</v>
      </c>
      <c r="AA30" s="160">
        <f>D30*G30*VLOOKUP(F30,'Standard data'!$B$210:$E$286,2,FALSE)*44/28</f>
        <v>0</v>
      </c>
      <c r="AB30" s="161">
        <f>$N30*$D30*'Standard data'!$C$13*44/28</f>
        <v>0</v>
      </c>
      <c r="AC30" s="161">
        <v>0</v>
      </c>
      <c r="AD30" s="161">
        <f>AC30*'Standard data'!$C$24*44/28*$AC30</f>
        <v>0</v>
      </c>
      <c r="AE30" s="161">
        <v>0</v>
      </c>
      <c r="AF30" s="161">
        <f>AE30*'Standard data'!$C$28*44/28*$AE30</f>
        <v>0</v>
      </c>
      <c r="AG30" s="162">
        <f>IF(AND($X30="yes",$Y30="yes"),$D30*'Standard data'!$C$16*44/28,0)</f>
        <v>0</v>
      </c>
      <c r="AH30" s="233">
        <f t="shared" si="0"/>
        <v>0</v>
      </c>
      <c r="AI30" s="160">
        <f>VLOOKUP(C30,CropsRef!$B$8:$Z$157,24,FALSE)</f>
        <v>0.8</v>
      </c>
      <c r="AJ30" s="161">
        <f>VLOOKUP($C30,CropsRef!$B$8:$Z$157,13,FALSE)</f>
        <v>0.28999999999999998</v>
      </c>
      <c r="AK30" s="161">
        <f>VLOOKUP($C30,CropsRef!$B$8:$Z$157,14,FALSE)</f>
        <v>0</v>
      </c>
      <c r="AL30" s="161">
        <f>VLOOKUP($C30,CropsRef!$B$8:$Z$157,15,FALSE)</f>
        <v>0.4</v>
      </c>
      <c r="AM30" s="161">
        <f t="shared" si="1"/>
        <v>0</v>
      </c>
      <c r="AN30" s="161">
        <f t="shared" si="3"/>
        <v>1</v>
      </c>
      <c r="AO30" s="161">
        <f>VLOOKUP($C30,CropsRef!$B$8:$Z$157,16,FALSE)</f>
        <v>2.7E-2</v>
      </c>
      <c r="AP30" s="161">
        <f>VLOOKUP($C30,CropsRef!$B$8:$Z$157,17,FALSE)</f>
        <v>1.9E-2</v>
      </c>
      <c r="AQ30" s="161">
        <f>VLOOKUP($C30,CropsRef!$B$8:$Z$157,9,FALSE)</f>
        <v>1</v>
      </c>
      <c r="AR30" s="161">
        <f>AJ30*(E30*AQ30)+AK30</f>
        <v>0</v>
      </c>
      <c r="AS30" s="161">
        <f>D30*AO30*AR30*(1-AN30)*AM30</f>
        <v>0</v>
      </c>
      <c r="AT30" s="161">
        <f>AS30*1000*'Standard data'!$C$14*44/28</f>
        <v>0</v>
      </c>
      <c r="AU30" s="161">
        <f>D30*AP30*AL30*(E30*AQ30+(AJ30*E30*AQ30+AK30))*AM30</f>
        <v>0</v>
      </c>
      <c r="AV30" s="161">
        <f>AU30*'Standard data'!$C$14*44/28*1000</f>
        <v>0</v>
      </c>
      <c r="AW30" s="161">
        <f t="shared" si="2"/>
        <v>0</v>
      </c>
      <c r="AX30" s="233" t="str">
        <f>IF($S30="burnt",$AT30*$AK30*'Standard data'!$D$199*$D30,"0")</f>
        <v>0</v>
      </c>
      <c r="AY30" s="233" t="str">
        <f>IF($S30="burnt",$AT30*$AK30*'Standard data'!$C$199*$D30,"0")</f>
        <v>0</v>
      </c>
      <c r="AZ30" s="72"/>
      <c r="BA30" s="378">
        <f>$D30*$G30*VLOOKUP($F30,'Standard data'!$B$210:$E$286,3,FALSE)</f>
        <v>0</v>
      </c>
      <c r="BB30" s="378">
        <f>$D30*$I30*VLOOKUP($H30,'Standard data'!$B$210:$E$286,3,FALSE)</f>
        <v>0</v>
      </c>
      <c r="BC30" s="378">
        <f>$D30*$K30*VLOOKUP($J30,'Standard data'!$B$210:$E$286,3,FALSE)</f>
        <v>0</v>
      </c>
      <c r="BD30" s="233">
        <f>SUM(BA30:BC30)</f>
        <v>0</v>
      </c>
      <c r="BE30" s="233">
        <f>$O30*$D30*VLOOKUP($C30,CropsRef!$B$8:$Z$157,20,FALSE)</f>
        <v>0</v>
      </c>
      <c r="BF30" s="233">
        <f>$D30*$Q30*VLOOKUP($P30,'Standard data'!$B$307:$P$309,7,FALSE)</f>
        <v>0</v>
      </c>
      <c r="BG30" s="72"/>
      <c r="BH30" s="32"/>
    </row>
    <row r="31" spans="2:62" ht="18" customHeight="1" thickBot="1">
      <c r="B31" s="142">
        <v>16</v>
      </c>
      <c r="C31" s="142" t="s">
        <v>898</v>
      </c>
      <c r="D31" s="143"/>
      <c r="E31" s="189"/>
      <c r="F31" s="199" t="s">
        <v>913</v>
      </c>
      <c r="G31" s="142"/>
      <c r="H31" s="142" t="s">
        <v>241</v>
      </c>
      <c r="I31" s="142"/>
      <c r="J31" s="142" t="s">
        <v>930</v>
      </c>
      <c r="K31" s="142"/>
      <c r="L31" s="199" t="s">
        <v>60</v>
      </c>
      <c r="M31" s="142" t="s">
        <v>369</v>
      </c>
      <c r="N31" s="205"/>
      <c r="O31" s="203"/>
      <c r="P31" s="195" t="s">
        <v>499</v>
      </c>
      <c r="Q31" s="189"/>
      <c r="R31" s="212" t="s">
        <v>102</v>
      </c>
      <c r="S31" s="199" t="s">
        <v>58</v>
      </c>
      <c r="T31" s="199" t="s">
        <v>57</v>
      </c>
      <c r="U31" s="196" t="s">
        <v>57</v>
      </c>
      <c r="V31" s="199" t="s">
        <v>57</v>
      </c>
      <c r="W31" s="196" t="s">
        <v>57</v>
      </c>
      <c r="X31" s="203" t="s">
        <v>57</v>
      </c>
      <c r="Y31" s="219" t="s">
        <v>57</v>
      </c>
      <c r="AA31" s="160">
        <f>D31*G31*VLOOKUP(F31,'Standard data'!$B$210:$E$286,2,FALSE)*44/28</f>
        <v>0</v>
      </c>
      <c r="AB31" s="161">
        <f>$N31*$D31*'Standard data'!$C$13*44/28</f>
        <v>0</v>
      </c>
      <c r="AC31" s="161">
        <v>0</v>
      </c>
      <c r="AD31" s="161">
        <f>AC31*'Standard data'!$C$24*44/28*$AC31</f>
        <v>0</v>
      </c>
      <c r="AE31" s="161">
        <v>0</v>
      </c>
      <c r="AF31" s="161">
        <f>AE31*'Standard data'!$C$28*44/28*$AE31</f>
        <v>0</v>
      </c>
      <c r="AG31" s="162">
        <f>IF(AND($X31="yes",$Y31="yes"),$D31*'Standard data'!$C$16*44/28,0)</f>
        <v>0</v>
      </c>
      <c r="AH31" s="233">
        <f t="shared" si="0"/>
        <v>0</v>
      </c>
      <c r="AI31" s="160">
        <f>VLOOKUP(C31,CropsRef!$B$8:$Z$157,24,FALSE)</f>
        <v>0.8</v>
      </c>
      <c r="AJ31" s="161">
        <f>VLOOKUP($C31,CropsRef!$B$8:$Z$157,13,FALSE)</f>
        <v>0.28999999999999998</v>
      </c>
      <c r="AK31" s="161">
        <f>VLOOKUP($C31,CropsRef!$B$8:$Z$157,14,FALSE)</f>
        <v>0</v>
      </c>
      <c r="AL31" s="161">
        <f>VLOOKUP($C31,CropsRef!$B$8:$Z$157,15,FALSE)</f>
        <v>0.4</v>
      </c>
      <c r="AM31" s="161">
        <f t="shared" si="1"/>
        <v>0</v>
      </c>
      <c r="AN31" s="161">
        <f t="shared" si="3"/>
        <v>1</v>
      </c>
      <c r="AO31" s="161">
        <f>VLOOKUP($C31,CropsRef!$B$8:$Z$157,16,FALSE)</f>
        <v>2.7E-2</v>
      </c>
      <c r="AP31" s="161">
        <f>VLOOKUP($C31,CropsRef!$B$8:$Z$157,17,FALSE)</f>
        <v>1.9E-2</v>
      </c>
      <c r="AQ31" s="161">
        <f>VLOOKUP($C31,CropsRef!$B$8:$Z$157,9,FALSE)</f>
        <v>1</v>
      </c>
      <c r="AR31" s="161">
        <f>AJ31*(E31*AQ31)+AK31</f>
        <v>0</v>
      </c>
      <c r="AS31" s="161">
        <f>D31*AO31*AR31*(1-AN31)*AM31</f>
        <v>0</v>
      </c>
      <c r="AT31" s="161">
        <f>AS31*1000*'Standard data'!$C$14*44/28</f>
        <v>0</v>
      </c>
      <c r="AU31" s="161">
        <f>D31*AP31*AL31*(E31*AQ31+(AJ31*E31*AQ31+AK31))*AM31</f>
        <v>0</v>
      </c>
      <c r="AV31" s="161">
        <f>AU31*'Standard data'!$C$14*44/28*1000</f>
        <v>0</v>
      </c>
      <c r="AW31" s="161">
        <f t="shared" si="2"/>
        <v>0</v>
      </c>
      <c r="AX31" s="233" t="str">
        <f>IF($S31="burnt",$AT31*$AK31*'Standard data'!$D$199*$D31,"0")</f>
        <v>0</v>
      </c>
      <c r="AY31" s="233" t="str">
        <f>IF($S31="burnt",$AT31*$AK31*'Standard data'!$C$199*$D31,"0")</f>
        <v>0</v>
      </c>
      <c r="AZ31" s="72"/>
      <c r="BA31" s="378">
        <f>$D31*$G31*VLOOKUP($F31,'Standard data'!$B$210:$E$286,3,FALSE)</f>
        <v>0</v>
      </c>
      <c r="BB31" s="378">
        <f>$D31*$I31*VLOOKUP($H31,'Standard data'!$B$210:$E$286,3,FALSE)</f>
        <v>0</v>
      </c>
      <c r="BC31" s="378">
        <f>$D31*$K31*VLOOKUP($J31,'Standard data'!$B$210:$E$286,3,FALSE)</f>
        <v>0</v>
      </c>
      <c r="BD31" s="233">
        <f>SUM(BA31:BC31)</f>
        <v>0</v>
      </c>
      <c r="BE31" s="233">
        <f>$O31*$D31*VLOOKUP($C31,CropsRef!$B$8:$Z$157,20,FALSE)</f>
        <v>0</v>
      </c>
      <c r="BF31" s="233">
        <f>$D31*$Q31*VLOOKUP($P31,'Standard data'!$B$307:$P$309,7,FALSE)</f>
        <v>0</v>
      </c>
      <c r="BG31" s="72"/>
      <c r="BH31" s="32"/>
    </row>
    <row r="32" spans="2:62" s="67" customFormat="1" ht="17.25" customHeight="1" thickBot="1">
      <c r="C32" s="71"/>
      <c r="D32" s="71"/>
      <c r="R32"/>
      <c r="T32"/>
      <c r="U32"/>
      <c r="V32"/>
      <c r="W32"/>
      <c r="X32"/>
      <c r="Y32"/>
      <c r="Z32" s="39"/>
      <c r="AA32" s="39"/>
      <c r="AB32" s="39"/>
      <c r="AC32" s="39"/>
      <c r="AD32" s="39"/>
      <c r="AE32" s="39"/>
      <c r="AF32" s="39"/>
      <c r="AG32" s="39"/>
      <c r="AH32" s="326">
        <f>SUM(AH19:AH31)</f>
        <v>0</v>
      </c>
      <c r="AI32" s="39"/>
      <c r="AJ32" s="39"/>
      <c r="AK32" s="39"/>
      <c r="AL32" s="39"/>
      <c r="AM32" s="39"/>
      <c r="AN32" s="39"/>
      <c r="AO32" s="39"/>
      <c r="AP32" s="39"/>
      <c r="AQ32" s="39"/>
      <c r="AR32" s="39"/>
      <c r="AS32" s="39"/>
      <c r="AT32" s="39"/>
      <c r="AU32" s="39"/>
      <c r="AV32" s="39"/>
      <c r="AW32" s="39"/>
      <c r="AX32" s="326">
        <f>SUM(AX19:AX31)</f>
        <v>0</v>
      </c>
      <c r="AY32" s="326">
        <f>SUM(AY19:AY31)</f>
        <v>0</v>
      </c>
      <c r="AZ32" s="39"/>
      <c r="BA32" s="39"/>
      <c r="BB32" s="39"/>
      <c r="BC32" s="39"/>
      <c r="BD32" s="326">
        <f>SUM(BD19:BD31)</f>
        <v>0</v>
      </c>
      <c r="BE32" s="326">
        <f>SUM(BE19:BE31)</f>
        <v>0</v>
      </c>
      <c r="BF32" s="326">
        <f>SUM(BF19:BF31)</f>
        <v>0</v>
      </c>
      <c r="BG32" s="39"/>
      <c r="BH32" s="39"/>
      <c r="BI32" s="39"/>
      <c r="BJ32" s="39"/>
    </row>
    <row r="33" spans="3:136" s="39" customFormat="1">
      <c r="C33" s="67"/>
      <c r="D33" s="67"/>
      <c r="E33" s="67"/>
      <c r="R33" s="109"/>
      <c r="S33" s="109"/>
      <c r="V33" s="109"/>
      <c r="W33" s="109"/>
      <c r="AC33" s="109"/>
      <c r="AE33" s="109"/>
    </row>
    <row r="34" spans="3:136">
      <c r="C34" s="65"/>
      <c r="D34" s="65"/>
      <c r="E34" s="65"/>
      <c r="R34"/>
      <c r="S34"/>
      <c r="V34"/>
      <c r="W34"/>
      <c r="AD34"/>
      <c r="AF34"/>
      <c r="AZ34" s="32"/>
      <c r="BD34" s="32"/>
      <c r="BG34" s="32"/>
      <c r="BH34" s="32"/>
    </row>
    <row r="35" spans="3:136">
      <c r="AA35"/>
      <c r="AZ35" s="32"/>
      <c r="BD35" s="32"/>
      <c r="BG35" s="32"/>
      <c r="BH35" s="32"/>
    </row>
    <row r="36" spans="3:136">
      <c r="AA36"/>
      <c r="AZ36" s="32"/>
      <c r="BD36" s="32"/>
      <c r="BG36" s="32"/>
      <c r="BH36" s="32"/>
    </row>
    <row r="37" spans="3:136">
      <c r="AA37"/>
      <c r="AZ37" s="32"/>
      <c r="BD37" s="32"/>
      <c r="BG37" s="32"/>
      <c r="BH37" s="32"/>
    </row>
    <row r="38" spans="3:136">
      <c r="AA38"/>
      <c r="AZ38" s="32"/>
      <c r="BD38" s="32"/>
      <c r="BG38" s="32"/>
      <c r="BH38" s="32"/>
    </row>
    <row r="39" spans="3:136" ht="55.5" customHeight="1">
      <c r="AA39"/>
      <c r="AZ39" s="32"/>
      <c r="BD39" s="32"/>
      <c r="BG39" s="32"/>
      <c r="BH39" s="32"/>
      <c r="DI39" s="33"/>
      <c r="DJ39" s="33"/>
      <c r="DK39" s="33"/>
    </row>
    <row r="40" spans="3:136" ht="21.95" customHeight="1">
      <c r="AA40"/>
      <c r="AZ40" s="32"/>
      <c r="BD40" s="32"/>
      <c r="BG40" s="32"/>
      <c r="BH40" s="32"/>
    </row>
    <row r="41" spans="3:136" ht="21.95" customHeight="1">
      <c r="AA41"/>
      <c r="AZ41" s="32"/>
      <c r="BD41" s="32"/>
      <c r="BG41" s="32"/>
      <c r="BH41" s="32"/>
    </row>
    <row r="42" spans="3:136" ht="21.95" customHeight="1">
      <c r="AA42"/>
      <c r="AZ42" s="32"/>
      <c r="BD42" s="32"/>
      <c r="BG42" s="32"/>
      <c r="BH42" s="32"/>
    </row>
    <row r="43" spans="3:136" ht="21.95" customHeight="1">
      <c r="AH43"/>
      <c r="AI43"/>
      <c r="AJ43"/>
      <c r="AK43"/>
      <c r="AL43"/>
      <c r="AM43"/>
      <c r="AN43"/>
      <c r="AO43"/>
      <c r="AP43"/>
      <c r="AQ43"/>
      <c r="AR43"/>
      <c r="AS43"/>
      <c r="AT43"/>
      <c r="AU43"/>
      <c r="AV43"/>
      <c r="AW43"/>
      <c r="AX43"/>
      <c r="AY43"/>
      <c r="AZ43"/>
      <c r="BA43"/>
      <c r="BB43"/>
      <c r="BC43"/>
      <c r="BE43"/>
      <c r="BF43"/>
      <c r="BG43"/>
      <c r="BI43"/>
    </row>
    <row r="44" spans="3:136" ht="21.95" customHeight="1">
      <c r="O44" s="67"/>
      <c r="P44" s="67"/>
      <c r="Q44" s="67"/>
      <c r="AH44"/>
      <c r="AI44"/>
      <c r="AJ44"/>
      <c r="AK44"/>
      <c r="AL44"/>
      <c r="AM44"/>
      <c r="AN44"/>
      <c r="AO44"/>
      <c r="AP44"/>
      <c r="AQ44"/>
      <c r="AR44"/>
      <c r="AS44"/>
      <c r="AT44"/>
      <c r="AU44"/>
      <c r="AV44"/>
      <c r="AW44"/>
      <c r="AX44"/>
      <c r="AY44"/>
      <c r="AZ44"/>
      <c r="BA44"/>
      <c r="BB44"/>
      <c r="BC44"/>
      <c r="BE44"/>
      <c r="BF44"/>
      <c r="BG44"/>
      <c r="BI44"/>
    </row>
    <row r="45" spans="3:136" ht="21.95" customHeight="1">
      <c r="AH45"/>
      <c r="AI45"/>
      <c r="AJ45"/>
      <c r="AK45"/>
      <c r="AL45"/>
      <c r="AM45"/>
      <c r="AN45"/>
      <c r="AO45"/>
      <c r="AP45"/>
      <c r="AQ45"/>
      <c r="AR45"/>
      <c r="AS45"/>
      <c r="AT45"/>
      <c r="AU45"/>
      <c r="AV45"/>
      <c r="AW45"/>
      <c r="AX45"/>
      <c r="AY45"/>
      <c r="AZ45"/>
      <c r="BA45"/>
      <c r="BB45"/>
      <c r="BC45"/>
      <c r="BE45"/>
      <c r="BF45"/>
      <c r="BG45"/>
      <c r="BI45"/>
    </row>
    <row r="46" spans="3:136" ht="21.95" customHeight="1">
      <c r="O46" s="67"/>
      <c r="P46" s="67"/>
      <c r="Q46" s="67"/>
      <c r="AH46"/>
      <c r="AI46"/>
      <c r="AJ46"/>
      <c r="AK46"/>
      <c r="AL46"/>
      <c r="AM46"/>
      <c r="AN46"/>
      <c r="AO46"/>
      <c r="AP46"/>
      <c r="AQ46"/>
      <c r="AR46"/>
      <c r="AS46"/>
      <c r="AT46"/>
      <c r="AU46"/>
      <c r="AV46"/>
      <c r="AW46"/>
      <c r="AX46"/>
      <c r="AY46"/>
      <c r="AZ46"/>
      <c r="BA46"/>
      <c r="BB46"/>
      <c r="BC46"/>
      <c r="BE46"/>
      <c r="BF46"/>
      <c r="BG46"/>
      <c r="BI46"/>
    </row>
    <row r="47" spans="3:136" ht="24" customHeight="1">
      <c r="AZ47" s="32"/>
      <c r="BD47" s="32"/>
      <c r="BG47" s="32"/>
      <c r="BH47" s="32"/>
      <c r="EF47" s="33"/>
    </row>
    <row r="48" spans="3:136" ht="21.95" customHeight="1">
      <c r="AA48" s="73"/>
      <c r="AB48" s="74"/>
      <c r="AC48" s="67"/>
      <c r="AD48" s="67"/>
      <c r="AE48" s="67"/>
      <c r="AF48" s="67"/>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row>
    <row r="49" spans="15:115" ht="21.95" customHeight="1">
      <c r="AZ49" s="32"/>
      <c r="BD49" s="32"/>
      <c r="BG49" s="32"/>
      <c r="BH49" s="32"/>
    </row>
    <row r="50" spans="15:115" ht="25.5" customHeight="1">
      <c r="AA50" s="73"/>
      <c r="AB50" s="74"/>
      <c r="AC50" s="67"/>
      <c r="AD50" s="67"/>
      <c r="AE50" s="67"/>
      <c r="AF50" s="67"/>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row>
    <row r="51" spans="15:115" ht="27" customHeight="1">
      <c r="AZ51" s="32"/>
      <c r="BD51" s="32"/>
      <c r="BG51" s="32"/>
      <c r="BH51" s="32"/>
    </row>
    <row r="52" spans="15:115" ht="21.95" customHeight="1">
      <c r="AA52" s="73"/>
      <c r="AB52" s="74"/>
      <c r="AC52" s="67"/>
      <c r="AD52" s="67"/>
      <c r="AE52" s="67"/>
      <c r="AF52" s="67"/>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CP52" s="56"/>
    </row>
    <row r="53" spans="15:115" ht="21.95" customHeight="1">
      <c r="O53" s="67"/>
      <c r="P53" s="67"/>
      <c r="Q53" s="67"/>
      <c r="R53" s="67"/>
      <c r="S53" s="67"/>
      <c r="V53" s="67"/>
      <c r="W53" s="67"/>
      <c r="Z53" s="67"/>
      <c r="AZ53" s="32"/>
      <c r="BD53" s="32"/>
      <c r="BG53" s="32"/>
      <c r="BH53" s="32"/>
      <c r="CM53" s="56"/>
      <c r="CN53" s="56"/>
    </row>
    <row r="54" spans="15:115" ht="28.5" customHeight="1">
      <c r="O54" s="67"/>
      <c r="P54" s="67"/>
      <c r="Q54" s="67"/>
      <c r="R54" s="67"/>
      <c r="S54" s="67"/>
      <c r="V54" s="67"/>
      <c r="W54" s="67"/>
      <c r="Z54" s="67"/>
      <c r="AA54" s="73"/>
      <c r="AB54" s="74"/>
      <c r="AC54" s="67"/>
      <c r="AD54" s="67"/>
      <c r="AE54" s="67"/>
      <c r="AF54" s="67"/>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CM54" s="56"/>
      <c r="CN54" s="56"/>
    </row>
    <row r="55" spans="15:115" ht="24.75" customHeight="1">
      <c r="O55" s="67"/>
      <c r="P55" s="67"/>
      <c r="Q55" s="67"/>
      <c r="R55" s="67"/>
      <c r="S55" s="67"/>
      <c r="V55" s="67"/>
      <c r="W55" s="67"/>
      <c r="Z55" s="67"/>
      <c r="AZ55" s="32"/>
      <c r="BD55" s="32"/>
      <c r="BG55" s="32"/>
      <c r="BH55" s="32"/>
      <c r="CM55" s="56"/>
      <c r="CN55" s="56"/>
    </row>
    <row r="56" spans="15:115" ht="21.95" customHeight="1">
      <c r="O56" s="67"/>
      <c r="P56" s="67"/>
      <c r="Q56" s="67"/>
      <c r="R56" s="67"/>
      <c r="S56" s="39"/>
      <c r="V56" s="67"/>
      <c r="W56" s="67"/>
      <c r="Z56" s="67"/>
      <c r="AA56" s="73"/>
      <c r="AB56" s="74"/>
      <c r="AC56" s="67"/>
      <c r="AD56" s="67"/>
      <c r="AE56" s="67"/>
      <c r="AF56" s="67"/>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O56" s="69"/>
      <c r="CN56" s="56"/>
      <c r="CO56" s="56"/>
    </row>
    <row r="57" spans="15:115" ht="21.95" customHeight="1">
      <c r="O57" s="67"/>
      <c r="P57" s="67"/>
      <c r="Q57" s="67"/>
      <c r="R57" s="67"/>
      <c r="V57" s="67"/>
      <c r="W57" s="67"/>
      <c r="Z57" s="67"/>
      <c r="AZ57" s="32"/>
      <c r="BD57" s="32"/>
      <c r="BG57" s="32"/>
      <c r="BH57" s="32"/>
      <c r="BP57" s="69"/>
      <c r="CN57" s="56"/>
      <c r="CO57" s="56"/>
      <c r="DK57" s="56"/>
    </row>
    <row r="58" spans="15:115" ht="21.95" customHeight="1">
      <c r="O58" s="67"/>
      <c r="P58" s="67"/>
      <c r="Q58" s="67"/>
      <c r="R58" s="67"/>
      <c r="V58" s="67"/>
      <c r="W58" s="67"/>
      <c r="Z58" s="67"/>
      <c r="AA58" s="73"/>
      <c r="AB58" s="74"/>
      <c r="AC58" s="67"/>
      <c r="AD58" s="67"/>
      <c r="AE58" s="67"/>
      <c r="AF58" s="67"/>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O58" s="61"/>
      <c r="CN58" s="56"/>
      <c r="CO58" s="56"/>
      <c r="DK58" s="56"/>
    </row>
    <row r="59" spans="15:115" ht="21.95" customHeight="1">
      <c r="O59" s="67"/>
      <c r="P59" s="67"/>
      <c r="Q59" s="67"/>
      <c r="R59" s="67"/>
      <c r="V59" s="67"/>
      <c r="W59" s="67"/>
      <c r="Z59" s="67"/>
      <c r="AZ59" s="32"/>
      <c r="BD59" s="32"/>
      <c r="BG59" s="32"/>
      <c r="BH59" s="32"/>
      <c r="BO59" s="61"/>
      <c r="CN59" s="56"/>
      <c r="CO59" s="56"/>
      <c r="DK59" s="56"/>
    </row>
    <row r="60" spans="15:115" ht="21.95" customHeight="1">
      <c r="O60" s="67"/>
      <c r="P60" s="67"/>
      <c r="Q60" s="67"/>
      <c r="R60" s="67"/>
      <c r="V60" s="67"/>
      <c r="W60" s="67"/>
      <c r="Z60" s="67"/>
      <c r="AA60" s="73"/>
      <c r="AB60" s="74"/>
      <c r="AC60" s="67"/>
      <c r="AD60" s="67"/>
      <c r="AE60" s="67"/>
      <c r="AF60" s="67"/>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O60" s="61"/>
      <c r="CN60" s="56"/>
      <c r="CO60" s="56"/>
      <c r="DK60" s="56"/>
    </row>
    <row r="61" spans="15:115" ht="21.95" customHeight="1">
      <c r="O61" s="67"/>
      <c r="P61" s="67"/>
      <c r="Q61" s="67"/>
      <c r="R61" s="67"/>
      <c r="V61" s="67"/>
      <c r="W61" s="67"/>
      <c r="Z61" s="67"/>
      <c r="AZ61" s="32"/>
      <c r="BD61" s="32"/>
      <c r="BG61" s="32"/>
      <c r="BH61" s="32"/>
      <c r="BO61" s="61"/>
      <c r="CL61" s="56"/>
      <c r="CM61" s="56"/>
      <c r="DK61" s="56"/>
    </row>
    <row r="62" spans="15:115" ht="21.95" customHeight="1">
      <c r="O62" s="67"/>
      <c r="P62" s="67"/>
      <c r="Q62" s="67"/>
      <c r="R62" s="67"/>
      <c r="V62" s="67"/>
      <c r="W62" s="67"/>
      <c r="Z62" s="67"/>
      <c r="AA62" s="73"/>
      <c r="AB62" s="74"/>
      <c r="AC62" s="67"/>
      <c r="AD62" s="67"/>
      <c r="AE62" s="67"/>
      <c r="AF62" s="67"/>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O62" s="61"/>
      <c r="CL62" s="56"/>
      <c r="CM62" s="56"/>
      <c r="DK62" s="56"/>
    </row>
    <row r="63" spans="15:115" ht="24.75" customHeight="1">
      <c r="AZ63" s="32"/>
      <c r="BD63" s="32"/>
      <c r="BG63" s="32"/>
      <c r="BH63" s="32"/>
      <c r="CL63" s="56"/>
      <c r="CM63" s="56"/>
      <c r="DK63" s="56"/>
    </row>
    <row r="64" spans="15:115" ht="25.5" customHeight="1">
      <c r="AA64" s="73"/>
      <c r="AB64" s="74"/>
      <c r="AC64" s="67"/>
      <c r="AD64" s="67"/>
      <c r="AE64" s="67"/>
      <c r="AF64" s="67"/>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CL64" s="56"/>
      <c r="CM64" s="56"/>
      <c r="DK64" s="56"/>
    </row>
    <row r="65" spans="18:115" ht="29.25" customHeight="1">
      <c r="AZ65" s="32"/>
      <c r="BD65" s="32"/>
      <c r="BG65" s="32"/>
      <c r="BH65" s="32"/>
      <c r="CL65" s="56"/>
      <c r="CM65" s="56"/>
      <c r="DK65" s="56"/>
    </row>
    <row r="66" spans="18:115" ht="26.25" customHeight="1">
      <c r="AA66" s="73"/>
      <c r="AB66" s="74"/>
      <c r="AC66" s="67"/>
      <c r="AD66" s="67"/>
      <c r="AE66" s="67"/>
      <c r="AF66" s="67"/>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CL66" s="56"/>
      <c r="CM66" s="56"/>
    </row>
    <row r="67" spans="18:115" ht="21.95" customHeight="1">
      <c r="AZ67" s="32"/>
      <c r="BD67" s="32"/>
      <c r="BG67" s="32"/>
      <c r="BH67" s="32"/>
      <c r="CL67" s="56"/>
      <c r="CM67" s="56"/>
    </row>
    <row r="68" spans="18:115" ht="21.95" customHeight="1">
      <c r="AA68" s="73"/>
      <c r="AB68" s="74"/>
      <c r="AC68" s="67"/>
      <c r="AD68" s="67"/>
      <c r="AE68" s="67"/>
      <c r="AF68" s="67"/>
      <c r="AG68" s="75"/>
      <c r="AH68" s="75"/>
      <c r="AX68"/>
      <c r="CL68" s="56"/>
      <c r="CM68" s="56"/>
    </row>
    <row r="69" spans="18:115" ht="21.95" customHeight="1">
      <c r="CL69" s="56"/>
      <c r="CM69" s="56"/>
    </row>
    <row r="70" spans="18:115" ht="21.95" customHeight="1">
      <c r="R70" s="39"/>
      <c r="V70" s="39"/>
      <c r="W70" s="39"/>
      <c r="AA70" s="73"/>
      <c r="AB70" s="74"/>
      <c r="AC70" s="67"/>
      <c r="AD70" s="67"/>
      <c r="AE70" s="67"/>
      <c r="AF70" s="67"/>
      <c r="AG70" s="75"/>
      <c r="AH70" s="75"/>
      <c r="AX70" s="67"/>
      <c r="AY70" s="75"/>
      <c r="BN70" s="67"/>
      <c r="CL70" s="56"/>
      <c r="CM70" s="56"/>
    </row>
    <row r="71" spans="18:115" ht="21.95" customHeight="1">
      <c r="R71" s="39"/>
      <c r="V71" s="39"/>
      <c r="W71" s="39"/>
      <c r="AR71" s="56"/>
      <c r="AS71" s="56"/>
      <c r="CL71" s="56"/>
      <c r="CM71" s="56"/>
      <c r="DI71" s="56"/>
    </row>
    <row r="72" spans="18:115" ht="45.75" customHeight="1">
      <c r="R72" s="39"/>
      <c r="V72" s="39"/>
      <c r="W72" s="39"/>
      <c r="AA72" s="73"/>
      <c r="AB72" s="74"/>
      <c r="AC72" s="67"/>
      <c r="AD72" s="67"/>
      <c r="AE72" s="67"/>
      <c r="AF72" s="67"/>
      <c r="AG72" s="75"/>
      <c r="AH72" s="75"/>
      <c r="AX72" s="67"/>
      <c r="AY72" s="75"/>
      <c r="CL72" s="56"/>
      <c r="CM72" s="56"/>
    </row>
    <row r="73" spans="18:115" ht="57" customHeight="1">
      <c r="R73" s="43"/>
      <c r="V73" s="43"/>
      <c r="W73" s="43"/>
      <c r="Z73" s="43"/>
      <c r="CL73" s="56"/>
      <c r="CM73" s="56"/>
      <c r="DI73" s="106"/>
    </row>
    <row r="74" spans="18:115" ht="40.5" customHeight="1">
      <c r="R74" s="47"/>
      <c r="V74" s="47"/>
      <c r="W74" s="47"/>
      <c r="Z74" s="110"/>
      <c r="AA74" s="73"/>
      <c r="AB74" s="74"/>
      <c r="AC74" s="67"/>
      <c r="AD74" s="67"/>
      <c r="AE74" s="67"/>
      <c r="AF74" s="67"/>
      <c r="AG74" s="75"/>
      <c r="AH74" s="75"/>
      <c r="AX74" s="67"/>
      <c r="AY74" s="75"/>
      <c r="CL74" s="56"/>
      <c r="CM74" s="56"/>
      <c r="DI74" s="44"/>
    </row>
    <row r="75" spans="18:115" ht="38.25" customHeight="1">
      <c r="R75" s="47"/>
      <c r="V75" s="47"/>
      <c r="W75" s="47"/>
      <c r="Z75" s="110"/>
      <c r="AM75" s="67"/>
      <c r="AN75" s="67"/>
      <c r="CL75" s="56"/>
      <c r="CM75" s="56"/>
      <c r="DI75" s="48"/>
    </row>
    <row r="76" spans="18:115">
      <c r="R76" s="47"/>
      <c r="V76" s="47"/>
      <c r="W76" s="47"/>
      <c r="Z76" s="110"/>
      <c r="AA76" s="73"/>
      <c r="AB76" s="74"/>
      <c r="AC76" s="67"/>
      <c r="AD76" s="67"/>
      <c r="AE76" s="67"/>
      <c r="AF76" s="67"/>
      <c r="AG76" s="75"/>
      <c r="AH76" s="75"/>
      <c r="AM76" s="67"/>
      <c r="AN76" s="67"/>
      <c r="AX76" s="67"/>
      <c r="AY76" s="75"/>
      <c r="CL76" s="56"/>
      <c r="CM76" s="56"/>
      <c r="DI76" s="48"/>
    </row>
    <row r="77" spans="18:115">
      <c r="R77" s="47"/>
      <c r="V77" s="47"/>
      <c r="W77" s="47"/>
      <c r="Z77" s="110"/>
      <c r="AM77" s="67"/>
      <c r="AN77" s="67"/>
      <c r="CL77" s="56"/>
      <c r="CM77" s="56"/>
      <c r="DI77" s="48"/>
    </row>
    <row r="78" spans="18:115">
      <c r="R78" s="47"/>
      <c r="V78" s="47"/>
      <c r="W78" s="47"/>
      <c r="Z78" s="110"/>
      <c r="AA78" s="73"/>
      <c r="AB78" s="74"/>
      <c r="AC78" s="67"/>
      <c r="AD78" s="67"/>
      <c r="AE78" s="67"/>
      <c r="AF78" s="67"/>
      <c r="AG78" s="75"/>
      <c r="AH78" s="75"/>
      <c r="AM78" s="67"/>
      <c r="AN78" s="67"/>
      <c r="AX78" s="67"/>
      <c r="AY78" s="75"/>
      <c r="CL78" s="56"/>
      <c r="CM78" s="56"/>
      <c r="DI78" s="48"/>
    </row>
    <row r="79" spans="18:115">
      <c r="R79" s="47"/>
      <c r="V79" s="47"/>
      <c r="W79" s="47"/>
      <c r="Z79" s="110"/>
      <c r="AM79" s="67"/>
      <c r="AN79" s="67"/>
      <c r="CL79" s="56"/>
      <c r="CM79" s="56"/>
      <c r="DI79" s="48"/>
    </row>
    <row r="80" spans="18:115">
      <c r="R80" s="47"/>
      <c r="V80" s="47"/>
      <c r="W80" s="47"/>
      <c r="Z80" s="110"/>
      <c r="AA80" s="73"/>
      <c r="AB80" s="74"/>
      <c r="AC80" s="67"/>
      <c r="AD80" s="67"/>
      <c r="AE80" s="67"/>
      <c r="AF80" s="67"/>
      <c r="AG80" s="75"/>
      <c r="AH80" s="75"/>
      <c r="AM80" s="67"/>
      <c r="AN80" s="67"/>
      <c r="AX80" s="67"/>
      <c r="AY80" s="75"/>
      <c r="CL80" s="56"/>
      <c r="CM80" s="56"/>
      <c r="DI80" s="48"/>
    </row>
    <row r="81" spans="18:113">
      <c r="R81" s="47"/>
      <c r="V81" s="47"/>
      <c r="W81" s="47"/>
      <c r="Z81" s="110"/>
      <c r="AM81" s="67"/>
      <c r="AN81" s="67"/>
      <c r="CL81" s="56"/>
      <c r="CM81" s="56"/>
      <c r="DI81" s="48"/>
    </row>
    <row r="82" spans="18:113">
      <c r="R82" s="47"/>
      <c r="V82" s="47"/>
      <c r="W82" s="47"/>
      <c r="Z82" s="110"/>
      <c r="AA82" s="73"/>
      <c r="AB82" s="74"/>
      <c r="AC82" s="67"/>
      <c r="AD82" s="67"/>
      <c r="AE82" s="67"/>
      <c r="AF82" s="67"/>
      <c r="AG82" s="75"/>
      <c r="AH82" s="75"/>
      <c r="AM82" s="67"/>
      <c r="AN82" s="67"/>
      <c r="AX82" s="67"/>
      <c r="AY82" s="75"/>
      <c r="CL82" s="56"/>
      <c r="CM82" s="56"/>
      <c r="DI82" s="48"/>
    </row>
    <row r="83" spans="18:113">
      <c r="R83" s="47"/>
      <c r="V83" s="47"/>
      <c r="W83" s="47"/>
      <c r="Z83" s="110"/>
      <c r="AM83" s="67"/>
      <c r="AN83" s="67"/>
      <c r="CL83" s="56"/>
      <c r="CM83" s="56"/>
      <c r="DI83" s="48"/>
    </row>
    <row r="84" spans="18:113">
      <c r="R84" s="47"/>
      <c r="V84" s="47"/>
      <c r="W84" s="47"/>
      <c r="Z84" s="110"/>
      <c r="AA84" s="73"/>
      <c r="AB84" s="74"/>
      <c r="AC84" s="67"/>
      <c r="AD84" s="67"/>
      <c r="AE84" s="67"/>
      <c r="AF84" s="67"/>
      <c r="AG84" s="75"/>
      <c r="AH84" s="75"/>
      <c r="AM84" s="67"/>
      <c r="AN84" s="67"/>
      <c r="AX84" s="67"/>
      <c r="AY84" s="75"/>
      <c r="CL84" s="56"/>
      <c r="CM84" s="56"/>
      <c r="DI84" s="48"/>
    </row>
    <row r="85" spans="18:113">
      <c r="R85" s="47"/>
      <c r="V85" s="47"/>
      <c r="W85" s="47"/>
      <c r="Z85" s="110"/>
      <c r="CL85" s="56"/>
      <c r="CM85" s="56"/>
      <c r="DI85" s="48"/>
    </row>
    <row r="86" spans="18:113">
      <c r="R86" s="47"/>
      <c r="V86" s="47"/>
      <c r="W86" s="47"/>
      <c r="Z86" s="110"/>
      <c r="AA86" s="73"/>
      <c r="AB86" s="74"/>
      <c r="AC86" s="67"/>
      <c r="AD86" s="67"/>
      <c r="AE86" s="67"/>
      <c r="AF86" s="67"/>
      <c r="AG86" s="75"/>
      <c r="AH86" s="75"/>
      <c r="AX86" s="67"/>
      <c r="AY86" s="75"/>
      <c r="CL86" s="56"/>
      <c r="CM86" s="56"/>
      <c r="DI86" s="48"/>
    </row>
    <row r="87" spans="18:113">
      <c r="R87" s="47"/>
      <c r="V87" s="47"/>
      <c r="W87" s="47"/>
      <c r="Z87" s="110"/>
      <c r="CL87" s="56"/>
      <c r="CM87" s="56"/>
    </row>
    <row r="88" spans="18:113">
      <c r="R88" s="53"/>
      <c r="V88" s="53"/>
      <c r="W88" s="53"/>
      <c r="Z88" s="111"/>
      <c r="AA88" s="73"/>
      <c r="AB88" s="74"/>
      <c r="AC88" s="67"/>
      <c r="AD88" s="67"/>
      <c r="AE88" s="67"/>
      <c r="AF88" s="67"/>
      <c r="AG88" s="75"/>
      <c r="AH88" s="75"/>
      <c r="AT88" s="56"/>
      <c r="AU88" s="56"/>
      <c r="AX88" s="67"/>
      <c r="AY88" s="75"/>
      <c r="CL88" s="56"/>
      <c r="CM88" s="56"/>
    </row>
    <row r="89" spans="18:113">
      <c r="R89" s="53"/>
      <c r="V89" s="53"/>
      <c r="W89" s="53"/>
      <c r="Z89" s="111"/>
      <c r="AT89" s="56"/>
      <c r="AU89" s="56"/>
      <c r="CL89" s="56"/>
      <c r="CM89" s="56"/>
    </row>
    <row r="90" spans="18:113">
      <c r="AA90" s="73"/>
      <c r="AB90" s="74"/>
      <c r="AC90" s="67"/>
      <c r="AD90" s="67"/>
      <c r="AE90" s="67"/>
      <c r="AF90" s="67"/>
      <c r="AG90" s="75"/>
      <c r="AH90" s="75"/>
      <c r="AU90" s="56"/>
      <c r="AV90" s="56"/>
      <c r="AX90" s="67"/>
      <c r="AY90" s="75"/>
      <c r="CL90" s="56"/>
      <c r="CM90" s="56"/>
    </row>
    <row r="91" spans="18:113">
      <c r="CL91" s="56"/>
      <c r="CM91" s="56"/>
    </row>
    <row r="92" spans="18:113">
      <c r="AA92" s="73"/>
      <c r="AB92" s="74"/>
      <c r="AC92" s="67"/>
      <c r="AD92" s="67"/>
      <c r="AE92" s="67"/>
      <c r="AF92" s="67"/>
      <c r="AG92" s="75"/>
      <c r="AH92" s="75"/>
      <c r="AX92" s="67"/>
      <c r="AY92" s="75"/>
      <c r="CL92" s="56"/>
      <c r="CM92" s="56"/>
    </row>
    <row r="93" spans="18:113">
      <c r="CL93" s="56"/>
      <c r="CM93" s="56"/>
    </row>
    <row r="94" spans="18:113">
      <c r="AP94" s="39"/>
      <c r="AX94" s="67"/>
      <c r="AY94" s="75"/>
      <c r="CL94" s="56"/>
      <c r="CM94" s="56"/>
    </row>
    <row r="95" spans="18:113">
      <c r="AP95" s="43"/>
      <c r="CL95" s="56"/>
      <c r="CM95" s="56"/>
    </row>
    <row r="96" spans="18:113">
      <c r="AP96" s="47"/>
      <c r="AX96" s="67"/>
      <c r="AY96" s="75"/>
      <c r="CL96" s="56"/>
      <c r="CM96" s="56"/>
    </row>
    <row r="97" spans="39:91">
      <c r="AP97" s="47"/>
      <c r="CL97" s="56"/>
      <c r="CM97" s="56"/>
    </row>
    <row r="98" spans="39:91">
      <c r="AP98" s="47"/>
      <c r="AX98" s="67"/>
      <c r="AY98" s="75"/>
      <c r="CL98" s="56"/>
      <c r="CM98" s="56"/>
    </row>
    <row r="99" spans="39:91">
      <c r="AP99" s="47"/>
      <c r="CL99" s="56"/>
      <c r="CM99" s="56"/>
    </row>
    <row r="100" spans="39:91">
      <c r="AP100" s="47"/>
      <c r="AX100" s="67"/>
      <c r="AY100" s="75"/>
      <c r="CL100" s="56"/>
      <c r="CM100" s="56"/>
    </row>
    <row r="101" spans="39:91">
      <c r="AP101" s="47"/>
      <c r="CL101" s="56"/>
      <c r="CM101" s="56"/>
    </row>
    <row r="102" spans="39:91">
      <c r="AP102" s="47"/>
      <c r="AX102" s="67"/>
      <c r="AY102" s="75"/>
      <c r="CL102" s="56"/>
      <c r="CM102" s="56"/>
    </row>
    <row r="103" spans="39:91">
      <c r="AP103" s="47"/>
      <c r="CL103" s="56"/>
      <c r="CM103" s="56"/>
    </row>
    <row r="104" spans="39:91">
      <c r="AP104" s="47"/>
      <c r="AX104" s="67"/>
      <c r="AY104" s="75"/>
      <c r="CL104" s="56"/>
      <c r="CM104" s="56"/>
    </row>
    <row r="105" spans="39:91">
      <c r="AP105" s="47"/>
      <c r="CL105" s="56"/>
      <c r="CM105" s="56"/>
    </row>
    <row r="106" spans="39:91">
      <c r="AP106" s="47"/>
      <c r="AX106" s="67"/>
      <c r="AY106" s="75"/>
      <c r="CL106" s="56"/>
      <c r="CM106" s="56"/>
    </row>
    <row r="107" spans="39:91">
      <c r="AP107" s="47"/>
      <c r="CL107" s="56"/>
      <c r="CM107" s="56"/>
    </row>
    <row r="108" spans="39:91">
      <c r="AM108" s="47"/>
      <c r="AN108" s="47"/>
      <c r="AP108" s="47"/>
      <c r="AX108" s="67"/>
      <c r="AY108" s="75"/>
      <c r="AZ108" s="60"/>
      <c r="CL108" s="56"/>
      <c r="CM108" s="56"/>
    </row>
    <row r="109" spans="39:91">
      <c r="AM109" s="47"/>
      <c r="AN109" s="47"/>
      <c r="AP109" s="47"/>
      <c r="AZ109" s="60"/>
      <c r="CL109" s="56"/>
      <c r="CM109" s="56"/>
    </row>
    <row r="110" spans="39:91">
      <c r="AM110" s="53"/>
      <c r="AN110" s="53"/>
      <c r="AP110" s="53"/>
      <c r="AX110" s="67"/>
      <c r="AY110" s="75"/>
      <c r="AZ110" s="113"/>
      <c r="CL110" s="56"/>
      <c r="CM110" s="56"/>
    </row>
    <row r="111" spans="39:91">
      <c r="AM111" s="53"/>
      <c r="AN111" s="53"/>
      <c r="AP111" s="53"/>
      <c r="AZ111" s="113"/>
      <c r="CL111" s="56"/>
      <c r="CM111" s="56"/>
    </row>
    <row r="112" spans="39:91">
      <c r="AX112" s="67"/>
      <c r="AY112" s="75"/>
      <c r="AZ112" s="60"/>
      <c r="CL112" s="56"/>
      <c r="CM112" s="56"/>
    </row>
    <row r="113" spans="48:91">
      <c r="AZ113" s="60"/>
      <c r="CL113" s="56"/>
      <c r="CM113" s="56"/>
    </row>
    <row r="114" spans="48:91">
      <c r="AX114" s="67"/>
      <c r="AY114" s="75"/>
      <c r="CL114" s="56"/>
      <c r="CM114" s="56"/>
    </row>
    <row r="115" spans="48:91">
      <c r="CL115" s="56"/>
      <c r="CM115" s="56"/>
    </row>
    <row r="116" spans="48:91">
      <c r="CL116" s="56"/>
      <c r="CM116" s="56"/>
    </row>
    <row r="117" spans="48:91">
      <c r="CL117" s="56"/>
      <c r="CM117" s="56"/>
    </row>
    <row r="118" spans="48:91">
      <c r="CL118" s="56"/>
      <c r="CM118" s="56"/>
    </row>
    <row r="119" spans="48:91">
      <c r="CL119" s="56"/>
      <c r="CM119" s="56"/>
    </row>
    <row r="120" spans="48:91">
      <c r="CL120" s="56"/>
      <c r="CM120" s="56"/>
    </row>
    <row r="121" spans="48:91">
      <c r="CL121" s="56"/>
      <c r="CM121" s="56"/>
    </row>
    <row r="122" spans="48:91">
      <c r="CL122" s="56"/>
      <c r="CM122" s="56"/>
    </row>
    <row r="123" spans="48:91">
      <c r="CL123" s="56"/>
      <c r="CM123" s="56"/>
    </row>
    <row r="124" spans="48:91">
      <c r="CL124" s="56"/>
      <c r="CM124" s="56"/>
    </row>
    <row r="125" spans="48:91">
      <c r="CL125" s="56"/>
      <c r="CM125" s="56"/>
    </row>
    <row r="126" spans="48:91">
      <c r="AV126" s="56"/>
      <c r="CL126" s="56"/>
      <c r="CM126" s="56"/>
    </row>
    <row r="127" spans="48:91">
      <c r="AV127" s="56"/>
      <c r="CL127" s="56"/>
      <c r="CM127" s="56"/>
    </row>
    <row r="128" spans="48:91">
      <c r="AV128" s="56"/>
      <c r="CL128" s="56"/>
      <c r="CM128" s="56"/>
    </row>
    <row r="129" spans="44:91">
      <c r="AU129" s="56"/>
      <c r="AV129" s="56"/>
      <c r="CL129" s="56"/>
      <c r="CM129" s="56"/>
    </row>
    <row r="130" spans="44:91">
      <c r="AS130" s="56"/>
      <c r="AT130" s="56"/>
      <c r="CL130" s="56"/>
      <c r="CM130" s="56"/>
    </row>
    <row r="131" spans="44:91">
      <c r="AS131" s="56"/>
      <c r="AT131" s="56"/>
      <c r="CL131" s="56"/>
      <c r="CM131" s="56"/>
    </row>
    <row r="132" spans="44:91">
      <c r="AS132" s="56"/>
      <c r="AT132" s="56"/>
      <c r="CL132" s="56"/>
      <c r="CM132" s="56"/>
    </row>
    <row r="133" spans="44:91">
      <c r="AS133" s="56"/>
      <c r="AT133" s="56"/>
      <c r="CL133" s="56"/>
      <c r="CM133" s="56"/>
    </row>
    <row r="134" spans="44:91">
      <c r="AR134" s="56"/>
      <c r="AS134" s="56"/>
      <c r="CL134" s="56"/>
      <c r="CM134" s="56"/>
    </row>
    <row r="135" spans="44:91">
      <c r="AR135" s="56"/>
      <c r="AS135" s="56"/>
      <c r="CL135" s="56"/>
      <c r="CM135" s="56"/>
    </row>
    <row r="136" spans="44:91">
      <c r="AR136" s="56"/>
      <c r="CL136" s="56"/>
      <c r="CM136" s="56"/>
    </row>
    <row r="137" spans="44:91">
      <c r="CL137" s="56"/>
      <c r="CM137" s="56"/>
    </row>
    <row r="138" spans="44:91">
      <c r="CL138" s="56"/>
      <c r="CM138" s="56"/>
    </row>
    <row r="139" spans="44:91">
      <c r="CL139" s="56"/>
      <c r="CM139" s="56"/>
    </row>
    <row r="140" spans="44:91">
      <c r="CL140" s="56"/>
      <c r="CM140" s="56"/>
    </row>
    <row r="141" spans="44:91">
      <c r="CL141" s="56"/>
      <c r="CM141" s="56"/>
    </row>
    <row r="142" spans="44:91">
      <c r="CL142" s="56"/>
      <c r="CM142" s="56"/>
    </row>
    <row r="143" spans="44:91">
      <c r="CL143" s="56"/>
      <c r="CM143" s="56"/>
    </row>
    <row r="144" spans="44:91">
      <c r="CL144" s="56"/>
      <c r="CM144" s="56"/>
    </row>
    <row r="145" spans="90:91">
      <c r="CL145" s="56"/>
      <c r="CM145" s="56"/>
    </row>
    <row r="146" spans="90:91">
      <c r="CL146" s="56"/>
      <c r="CM146" s="56"/>
    </row>
    <row r="147" spans="90:91">
      <c r="CL147" s="56"/>
      <c r="CM147" s="56"/>
    </row>
    <row r="148" spans="90:91">
      <c r="CL148" s="56"/>
      <c r="CM148" s="56"/>
    </row>
    <row r="149" spans="90:91">
      <c r="CL149" s="56"/>
      <c r="CM149" s="56"/>
    </row>
    <row r="150" spans="90:91">
      <c r="CL150" s="56"/>
      <c r="CM150" s="56"/>
    </row>
    <row r="151" spans="90:91">
      <c r="CL151" s="56"/>
      <c r="CM151" s="56"/>
    </row>
    <row r="152" spans="90:91">
      <c r="CL152" s="56"/>
      <c r="CM152" s="56"/>
    </row>
    <row r="153" spans="90:91">
      <c r="CL153" s="56"/>
      <c r="CM153" s="56"/>
    </row>
    <row r="154" spans="90:91">
      <c r="CL154" s="56"/>
      <c r="CM154" s="56"/>
    </row>
    <row r="155" spans="90:91">
      <c r="CL155" s="56"/>
      <c r="CM155" s="56"/>
    </row>
    <row r="156" spans="90:91">
      <c r="CL156" s="56"/>
      <c r="CM156" s="56"/>
    </row>
    <row r="157" spans="90:91">
      <c r="CL157" s="56"/>
      <c r="CM157" s="56"/>
    </row>
    <row r="158" spans="90:91">
      <c r="CL158" s="56"/>
      <c r="CM158" s="56"/>
    </row>
    <row r="159" spans="90:91">
      <c r="CL159" s="56"/>
      <c r="CM159" s="56"/>
    </row>
    <row r="160" spans="90:91">
      <c r="CL160" s="56"/>
      <c r="CM160" s="56"/>
    </row>
    <row r="161" spans="90:91">
      <c r="CL161" s="56"/>
      <c r="CM161" s="56"/>
    </row>
    <row r="162" spans="90:91">
      <c r="CL162" s="56"/>
      <c r="CM162" s="56"/>
    </row>
    <row r="163" spans="90:91">
      <c r="CL163" s="56"/>
      <c r="CM163" s="56"/>
    </row>
    <row r="164" spans="90:91">
      <c r="CL164" s="56"/>
      <c r="CM164" s="56"/>
    </row>
    <row r="165" spans="90:91">
      <c r="CL165" s="56"/>
      <c r="CM165" s="56"/>
    </row>
    <row r="166" spans="90:91">
      <c r="CL166" s="56"/>
      <c r="CM166" s="56"/>
    </row>
    <row r="167" spans="90:91">
      <c r="CL167" s="56"/>
      <c r="CM167" s="56"/>
    </row>
    <row r="168" spans="90:91">
      <c r="CL168" s="56"/>
      <c r="CM168" s="56"/>
    </row>
    <row r="169" spans="90:91">
      <c r="CL169" s="56"/>
      <c r="CM169" s="56"/>
    </row>
    <row r="170" spans="90:91">
      <c r="CL170" s="56"/>
      <c r="CM170" s="56"/>
    </row>
    <row r="171" spans="90:91">
      <c r="CL171" s="56"/>
      <c r="CM171" s="56"/>
    </row>
    <row r="172" spans="90:91">
      <c r="CL172" s="56"/>
      <c r="CM172" s="56"/>
    </row>
    <row r="173" spans="90:91">
      <c r="CL173" s="56"/>
      <c r="CM173" s="56"/>
    </row>
    <row r="174" spans="90:91">
      <c r="CL174" s="56"/>
      <c r="CM174" s="56"/>
    </row>
    <row r="175" spans="90:91">
      <c r="CL175" s="56"/>
      <c r="CM175" s="56"/>
    </row>
    <row r="176" spans="90:91">
      <c r="CL176" s="56"/>
      <c r="CM176" s="56"/>
    </row>
    <row r="177" spans="90:91">
      <c r="CL177" s="56"/>
      <c r="CM177" s="56"/>
    </row>
    <row r="178" spans="90:91">
      <c r="CL178" s="56"/>
      <c r="CM178" s="56"/>
    </row>
    <row r="179" spans="90:91">
      <c r="CL179" s="56"/>
      <c r="CM179" s="56"/>
    </row>
    <row r="180" spans="90:91">
      <c r="CL180" s="56"/>
      <c r="CM180" s="56"/>
    </row>
    <row r="181" spans="90:91">
      <c r="CL181" s="56"/>
      <c r="CM181" s="56"/>
    </row>
    <row r="182" spans="90:91">
      <c r="CL182" s="56"/>
      <c r="CM182" s="56"/>
    </row>
    <row r="183" spans="90:91">
      <c r="CL183" s="56"/>
      <c r="CM183" s="56"/>
    </row>
    <row r="184" spans="90:91">
      <c r="CL184" s="56"/>
      <c r="CM184" s="56"/>
    </row>
    <row r="185" spans="90:91">
      <c r="CL185" s="56"/>
      <c r="CM185" s="56"/>
    </row>
    <row r="186" spans="90:91">
      <c r="CL186" s="56"/>
      <c r="CM186" s="56"/>
    </row>
    <row r="187" spans="90:91">
      <c r="CL187" s="56"/>
      <c r="CM187" s="56"/>
    </row>
    <row r="188" spans="90:91">
      <c r="CL188" s="56"/>
      <c r="CM188" s="56"/>
    </row>
    <row r="189" spans="90:91">
      <c r="CL189" s="56"/>
      <c r="CM189" s="56"/>
    </row>
    <row r="190" spans="90:91">
      <c r="CL190" s="56"/>
      <c r="CM190" s="56"/>
    </row>
    <row r="191" spans="90:91">
      <c r="CL191" s="56"/>
      <c r="CM191" s="56"/>
    </row>
    <row r="192" spans="90:91">
      <c r="CL192" s="56"/>
      <c r="CM192" s="56"/>
    </row>
    <row r="193" spans="90:91">
      <c r="CL193" s="56"/>
      <c r="CM193" s="56"/>
    </row>
    <row r="194" spans="90:91">
      <c r="CL194" s="56"/>
      <c r="CM194" s="56"/>
    </row>
    <row r="195" spans="90:91">
      <c r="CL195" s="56"/>
      <c r="CM195" s="56"/>
    </row>
    <row r="196" spans="90:91">
      <c r="CL196" s="56"/>
      <c r="CM196" s="56"/>
    </row>
    <row r="197" spans="90:91">
      <c r="CL197" s="56"/>
      <c r="CM197" s="56"/>
    </row>
    <row r="198" spans="90:91">
      <c r="CL198" s="56"/>
      <c r="CM198" s="56"/>
    </row>
    <row r="199" spans="90:91">
      <c r="CL199" s="56"/>
      <c r="CM199" s="56"/>
    </row>
    <row r="200" spans="90:91">
      <c r="CL200" s="56"/>
      <c r="CM200" s="56"/>
    </row>
    <row r="201" spans="90:91">
      <c r="CL201" s="56"/>
      <c r="CM201" s="56"/>
    </row>
    <row r="202" spans="90:91">
      <c r="CL202" s="56"/>
      <c r="CM202" s="56"/>
    </row>
    <row r="203" spans="90:91">
      <c r="CL203" s="56"/>
      <c r="CM203" s="56"/>
    </row>
    <row r="204" spans="90:91">
      <c r="CL204" s="56"/>
      <c r="CM204" s="56"/>
    </row>
    <row r="205" spans="90:91">
      <c r="CL205" s="56"/>
      <c r="CM205" s="56"/>
    </row>
    <row r="206" spans="90:91">
      <c r="CL206" s="56"/>
      <c r="CM206" s="56"/>
    </row>
    <row r="207" spans="90:91">
      <c r="CL207" s="56"/>
      <c r="CM207" s="56"/>
    </row>
    <row r="208" spans="90:91">
      <c r="CL208" s="56"/>
      <c r="CM208" s="56"/>
    </row>
    <row r="209" spans="90:91">
      <c r="CL209" s="56"/>
      <c r="CM209" s="56"/>
    </row>
    <row r="210" spans="90:91">
      <c r="CL210" s="56"/>
      <c r="CM210" s="56"/>
    </row>
    <row r="211" spans="90:91">
      <c r="CL211" s="56"/>
      <c r="CM211" s="56"/>
    </row>
    <row r="212" spans="90:91">
      <c r="CL212" s="56"/>
      <c r="CM212" s="56"/>
    </row>
    <row r="213" spans="90:91">
      <c r="CL213" s="56"/>
      <c r="CM213" s="56"/>
    </row>
    <row r="214" spans="90:91">
      <c r="CL214" s="56"/>
      <c r="CM214" s="56"/>
    </row>
    <row r="215" spans="90:91">
      <c r="CL215" s="56"/>
      <c r="CM215" s="56"/>
    </row>
    <row r="216" spans="90:91">
      <c r="CL216" s="56"/>
      <c r="CM216" s="56"/>
    </row>
    <row r="217" spans="90:91">
      <c r="CL217" s="56"/>
      <c r="CM217" s="56"/>
    </row>
    <row r="218" spans="90:91">
      <c r="CL218" s="56"/>
      <c r="CM218" s="56"/>
    </row>
    <row r="219" spans="90:91">
      <c r="CL219" s="56"/>
      <c r="CM219" s="56"/>
    </row>
    <row r="220" spans="90:91">
      <c r="CL220" s="56"/>
      <c r="CM220" s="56"/>
    </row>
    <row r="221" spans="90:91">
      <c r="CL221" s="56"/>
      <c r="CM221" s="56"/>
    </row>
    <row r="222" spans="90:91">
      <c r="CL222" s="56"/>
      <c r="CM222" s="56"/>
    </row>
    <row r="223" spans="90:91">
      <c r="CL223" s="56"/>
      <c r="CM223" s="56"/>
    </row>
    <row r="224" spans="90:91">
      <c r="CL224" s="56"/>
      <c r="CM224" s="56"/>
    </row>
    <row r="225" spans="90:91">
      <c r="CL225" s="56"/>
      <c r="CM225" s="56"/>
    </row>
    <row r="226" spans="90:91">
      <c r="CL226" s="56"/>
      <c r="CM226" s="56"/>
    </row>
    <row r="227" spans="90:91">
      <c r="CL227" s="56"/>
      <c r="CM227" s="56"/>
    </row>
    <row r="228" spans="90:91">
      <c r="CL228" s="56"/>
      <c r="CM228" s="56"/>
    </row>
    <row r="229" spans="90:91">
      <c r="CL229" s="56"/>
      <c r="CM229" s="56"/>
    </row>
    <row r="230" spans="90:91">
      <c r="CL230" s="56"/>
      <c r="CM230" s="56"/>
    </row>
    <row r="231" spans="90:91">
      <c r="CL231" s="56"/>
      <c r="CM231" s="56"/>
    </row>
    <row r="232" spans="90:91">
      <c r="CL232" s="56"/>
      <c r="CM232" s="56"/>
    </row>
    <row r="233" spans="90:91">
      <c r="CL233" s="56"/>
      <c r="CM233" s="56"/>
    </row>
    <row r="234" spans="90:91">
      <c r="CL234" s="56"/>
      <c r="CM234" s="56"/>
    </row>
    <row r="235" spans="90:91">
      <c r="CL235" s="56"/>
      <c r="CM235" s="56"/>
    </row>
    <row r="236" spans="90:91">
      <c r="CL236" s="56"/>
      <c r="CM236" s="56"/>
    </row>
    <row r="237" spans="90:91">
      <c r="CL237" s="56"/>
      <c r="CM237" s="56"/>
    </row>
    <row r="238" spans="90:91">
      <c r="CL238" s="56"/>
      <c r="CM238" s="56"/>
    </row>
    <row r="239" spans="90:91">
      <c r="CL239" s="56"/>
      <c r="CM239" s="56"/>
    </row>
    <row r="240" spans="90:91">
      <c r="CL240" s="56"/>
      <c r="CM240" s="56"/>
    </row>
    <row r="241" spans="90:91">
      <c r="CL241" s="56"/>
      <c r="CM241" s="56"/>
    </row>
    <row r="242" spans="90:91">
      <c r="CL242" s="56"/>
      <c r="CM242" s="56"/>
    </row>
    <row r="243" spans="90:91">
      <c r="CL243" s="56"/>
      <c r="CM243" s="56"/>
    </row>
    <row r="244" spans="90:91">
      <c r="CL244" s="56"/>
      <c r="CM244" s="56"/>
    </row>
    <row r="245" spans="90:91">
      <c r="CL245" s="56"/>
      <c r="CM245" s="56"/>
    </row>
    <row r="246" spans="90:91">
      <c r="CL246" s="56"/>
      <c r="CM246" s="56"/>
    </row>
    <row r="247" spans="90:91">
      <c r="CL247" s="56"/>
      <c r="CM247" s="56"/>
    </row>
    <row r="248" spans="90:91">
      <c r="CL248" s="56"/>
      <c r="CM248" s="56"/>
    </row>
    <row r="249" spans="90:91">
      <c r="CL249" s="56"/>
      <c r="CM249" s="56"/>
    </row>
    <row r="250" spans="90:91">
      <c r="CL250" s="56"/>
      <c r="CM250" s="56"/>
    </row>
    <row r="251" spans="90:91">
      <c r="CL251" s="56"/>
      <c r="CM251" s="56"/>
    </row>
    <row r="252" spans="90:91">
      <c r="CL252" s="56"/>
      <c r="CM252" s="56"/>
    </row>
    <row r="253" spans="90:91">
      <c r="CL253" s="56"/>
      <c r="CM253" s="56"/>
    </row>
    <row r="254" spans="90:91">
      <c r="CL254" s="56"/>
      <c r="CM254" s="56"/>
    </row>
    <row r="255" spans="90:91">
      <c r="CL255" s="56"/>
      <c r="CM255" s="56"/>
    </row>
    <row r="256" spans="90:91">
      <c r="CL256" s="56"/>
      <c r="CM256" s="56"/>
    </row>
    <row r="257" spans="90:91">
      <c r="CL257" s="56"/>
      <c r="CM257" s="56"/>
    </row>
    <row r="258" spans="90:91">
      <c r="CL258" s="56"/>
      <c r="CM258" s="56"/>
    </row>
    <row r="259" spans="90:91">
      <c r="CL259" s="56"/>
      <c r="CM259" s="56"/>
    </row>
    <row r="260" spans="90:91">
      <c r="CL260" s="56"/>
      <c r="CM260" s="56"/>
    </row>
    <row r="261" spans="90:91">
      <c r="CL261" s="56"/>
      <c r="CM261" s="56"/>
    </row>
    <row r="262" spans="90:91">
      <c r="CL262" s="56"/>
      <c r="CM262" s="56"/>
    </row>
    <row r="263" spans="90:91">
      <c r="CL263" s="56"/>
      <c r="CM263" s="56"/>
    </row>
    <row r="264" spans="90:91">
      <c r="CL264" s="56"/>
      <c r="CM264" s="56"/>
    </row>
    <row r="265" spans="90:91">
      <c r="CL265" s="56"/>
      <c r="CM265" s="56"/>
    </row>
    <row r="266" spans="90:91">
      <c r="CL266" s="56"/>
      <c r="CM266" s="56"/>
    </row>
    <row r="267" spans="90:91">
      <c r="CL267" s="56"/>
      <c r="CM267" s="56"/>
    </row>
    <row r="268" spans="90:91">
      <c r="CL268" s="56"/>
      <c r="CM268" s="56"/>
    </row>
    <row r="269" spans="90:91">
      <c r="CL269" s="56"/>
      <c r="CM269" s="56"/>
    </row>
    <row r="270" spans="90:91">
      <c r="CL270" s="56"/>
      <c r="CM270" s="56"/>
    </row>
    <row r="271" spans="90:91">
      <c r="CL271" s="56"/>
      <c r="CM271" s="56"/>
    </row>
    <row r="272" spans="90:91">
      <c r="CL272" s="56"/>
      <c r="CM272" s="56"/>
    </row>
    <row r="273" spans="90:91">
      <c r="CL273" s="56"/>
      <c r="CM273" s="56"/>
    </row>
    <row r="274" spans="90:91">
      <c r="CL274" s="56"/>
      <c r="CM274" s="56"/>
    </row>
    <row r="275" spans="90:91">
      <c r="CL275" s="56"/>
      <c r="CM275" s="56"/>
    </row>
    <row r="276" spans="90:91">
      <c r="CL276" s="56"/>
      <c r="CM276" s="56"/>
    </row>
    <row r="277" spans="90:91">
      <c r="CL277" s="56"/>
      <c r="CM277" s="56"/>
    </row>
    <row r="278" spans="90:91">
      <c r="CL278" s="56"/>
      <c r="CM278" s="56"/>
    </row>
    <row r="279" spans="90:91">
      <c r="CL279" s="56"/>
      <c r="CM279" s="56"/>
    </row>
    <row r="280" spans="90:91">
      <c r="CL280" s="56"/>
      <c r="CM280" s="56"/>
    </row>
    <row r="281" spans="90:91">
      <c r="CL281" s="56"/>
      <c r="CM281" s="56"/>
    </row>
    <row r="282" spans="90:91">
      <c r="CL282" s="56"/>
      <c r="CM282" s="56"/>
    </row>
    <row r="283" spans="90:91">
      <c r="CL283" s="56"/>
      <c r="CM283" s="56"/>
    </row>
    <row r="284" spans="90:91">
      <c r="CL284" s="56"/>
      <c r="CM284" s="56"/>
    </row>
    <row r="285" spans="90:91">
      <c r="CL285" s="56"/>
      <c r="CM285" s="56"/>
    </row>
    <row r="286" spans="90:91">
      <c r="CL286" s="56"/>
      <c r="CM286" s="56"/>
    </row>
    <row r="287" spans="90:91">
      <c r="CL287" s="56"/>
      <c r="CM287" s="56"/>
    </row>
    <row r="288" spans="90:91">
      <c r="CL288" s="56"/>
      <c r="CM288" s="56"/>
    </row>
    <row r="289" spans="90:91">
      <c r="CL289" s="56"/>
      <c r="CM289" s="56"/>
    </row>
    <row r="290" spans="90:91">
      <c r="CL290" s="56"/>
      <c r="CM290" s="56"/>
    </row>
    <row r="291" spans="90:91">
      <c r="CL291" s="56"/>
      <c r="CM291" s="56"/>
    </row>
    <row r="292" spans="90:91">
      <c r="CL292" s="56"/>
      <c r="CM292" s="56"/>
    </row>
    <row r="293" spans="90:91">
      <c r="CL293" s="56"/>
      <c r="CM293" s="56"/>
    </row>
    <row r="294" spans="90:91">
      <c r="CL294" s="56"/>
      <c r="CM294" s="56"/>
    </row>
    <row r="295" spans="90:91">
      <c r="CL295" s="56"/>
      <c r="CM295" s="56"/>
    </row>
    <row r="296" spans="90:91">
      <c r="CL296" s="56"/>
      <c r="CM296" s="56"/>
    </row>
    <row r="297" spans="90:91">
      <c r="CL297" s="56"/>
      <c r="CM297" s="56"/>
    </row>
    <row r="298" spans="90:91">
      <c r="CL298" s="56"/>
      <c r="CM298" s="56"/>
    </row>
  </sheetData>
  <conditionalFormatting sqref="AZ108:AZ113">
    <cfRule type="expression" dxfId="85" priority="1" stopIfTrue="1">
      <formula>"DAE 1?"</formula>
    </cfRule>
  </conditionalFormatting>
  <dataValidations count="9">
    <dataValidation type="list" allowBlank="1" showInputMessage="1" showErrorMessage="1" sqref="R16:R31">
      <formula1>"full tillage,reduced tillage,no tillage"</formula1>
    </dataValidation>
    <dataValidation type="list" allowBlank="1" showInputMessage="1" showErrorMessage="1" sqref="P16:P31">
      <formula1>fuel_mach</formula1>
    </dataValidation>
    <dataValidation type="list" allowBlank="1" showInputMessage="1" showErrorMessage="1" sqref="L16:L31 T16:Y31">
      <formula1>"yes,no"</formula1>
    </dataValidation>
    <dataValidation type="list" allowBlank="1" showInputMessage="1" showErrorMessage="1" sqref="M16:M31">
      <formula1>"liquid, solid, both"</formula1>
    </dataValidation>
    <dataValidation type="list" allowBlank="1" showInputMessage="1" showErrorMessage="1" sqref="S16:S31">
      <formula1>"incorporated,removed,burnt"</formula1>
    </dataValidation>
    <dataValidation type="list" allowBlank="1" showInputMessage="1" showErrorMessage="1" sqref="C16:C31">
      <formula1>crop_ID_grassland</formula1>
    </dataValidation>
    <dataValidation type="list" allowBlank="1" showInputMessage="1" showErrorMessage="1" sqref="F16:F31">
      <formula1>fertilizer_ID_N</formula1>
    </dataValidation>
    <dataValidation type="list" allowBlank="1" showInputMessage="1" showErrorMessage="1" sqref="H16:H31">
      <formula1>fertilizer_ID_lime</formula1>
    </dataValidation>
    <dataValidation type="list" allowBlank="1" showInputMessage="1" showErrorMessage="1" sqref="J16:J31">
      <formula1>fertilizer_ID_other</formula1>
    </dataValidation>
  </dataValidations>
  <printOptions horizontalCentered="1"/>
  <pageMargins left="0.78740157480314965" right="0.78740157480314965" top="0.78740157480314965" bottom="0.78740157480314965" header="0.51181102362204722" footer="0.51181102362204722"/>
  <pageSetup paperSize="9" scale="62" orientation="landscape" horizontalDpi="300" verticalDpi="300" r:id="rId1"/>
  <headerFooter>
    <oddHeader>&amp;R&amp;"Arial,Gras italique"&amp;12Données Assolement et  pratiques culturales</oddHeader>
    <oddFooter>&amp;LSOLAGRO - Bilan PLANETE+GES+N agriculture v1 juillet 2006&amp;R&amp;A - page &amp;P/&amp;N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0"/>
  <sheetViews>
    <sheetView topLeftCell="L1" workbookViewId="0">
      <selection activeCell="V14" sqref="V14:V29"/>
    </sheetView>
  </sheetViews>
  <sheetFormatPr baseColWidth="10" defaultRowHeight="15"/>
  <cols>
    <col min="1" max="1" width="20" customWidth="1"/>
    <col min="2" max="2" width="22.140625" customWidth="1"/>
    <col min="3" max="3" width="12.7109375" customWidth="1"/>
    <col min="6" max="11" width="22.140625" customWidth="1"/>
    <col min="13" max="13" width="25.28515625" customWidth="1"/>
    <col min="15" max="15" width="16.28515625" customWidth="1"/>
    <col min="16" max="16" width="25.85546875" customWidth="1"/>
    <col min="20" max="20" width="22" customWidth="1"/>
    <col min="26" max="26" width="19.140625" customWidth="1"/>
  </cols>
  <sheetData>
    <row r="1" spans="1:26" ht="16.5" thickBot="1">
      <c r="K1" s="154"/>
      <c r="L1" s="108"/>
      <c r="M1" s="108"/>
      <c r="N1" s="108"/>
      <c r="O1" s="108"/>
      <c r="P1" s="108"/>
      <c r="Q1" s="108"/>
      <c r="R1" s="68"/>
      <c r="S1" s="68"/>
      <c r="T1" s="68"/>
      <c r="U1" s="68"/>
      <c r="V1" s="68"/>
      <c r="W1" s="68"/>
      <c r="X1" s="68"/>
      <c r="Y1" s="68"/>
      <c r="Z1" s="68"/>
    </row>
    <row r="2" spans="1:26" ht="15.75">
      <c r="A2" s="175" t="s">
        <v>568</v>
      </c>
      <c r="B2" s="159"/>
      <c r="K2" s="154"/>
      <c r="L2" s="108"/>
      <c r="M2" s="108"/>
      <c r="N2" s="108"/>
      <c r="O2" s="108"/>
      <c r="P2" s="108"/>
      <c r="Q2" s="108"/>
      <c r="R2" s="108"/>
      <c r="S2" s="108"/>
      <c r="T2" s="108"/>
      <c r="U2" s="108"/>
      <c r="V2" s="108"/>
      <c r="W2" s="108"/>
      <c r="X2" s="108"/>
      <c r="Y2" s="108"/>
      <c r="Z2" s="108"/>
    </row>
    <row r="3" spans="1:26" ht="15.75">
      <c r="A3" s="163" t="str">
        <f>Crops!B4</f>
        <v>Climate</v>
      </c>
      <c r="B3" s="165" t="str">
        <f>Crops!C4</f>
        <v>warm temperate dry</v>
      </c>
      <c r="K3" s="154"/>
      <c r="L3" s="108"/>
      <c r="M3" s="108"/>
      <c r="N3" s="108"/>
      <c r="O3" s="108"/>
      <c r="P3" s="108"/>
      <c r="Q3" s="108"/>
      <c r="R3" s="108"/>
      <c r="S3" s="108"/>
      <c r="T3" s="108"/>
      <c r="U3" s="108"/>
      <c r="V3" s="108"/>
      <c r="W3" s="108"/>
      <c r="X3" s="108"/>
      <c r="Y3" s="108"/>
      <c r="Z3" s="108"/>
    </row>
    <row r="4" spans="1:26" ht="15.75">
      <c r="A4" s="163" t="str">
        <f>Crops!B5</f>
        <v>Temperature regime</v>
      </c>
      <c r="B4" s="165" t="str">
        <f>Crops!C5</f>
        <v>temperate boreal</v>
      </c>
      <c r="K4" s="154"/>
      <c r="L4" s="154"/>
      <c r="M4" s="108"/>
      <c r="N4" s="108"/>
      <c r="O4" s="108"/>
      <c r="P4" s="108"/>
      <c r="Q4" s="108"/>
      <c r="R4" s="108"/>
      <c r="S4" s="108"/>
      <c r="T4" s="108"/>
      <c r="U4" s="108"/>
      <c r="V4" s="108"/>
      <c r="W4" s="108"/>
      <c r="X4" s="108"/>
      <c r="Y4" s="108"/>
      <c r="Z4" s="108"/>
    </row>
    <row r="5" spans="1:26" ht="15.75">
      <c r="A5" s="163" t="str">
        <f>Crops!B6</f>
        <v>Moisture regime</v>
      </c>
      <c r="B5" s="165" t="str">
        <f>Crops!C6</f>
        <v>moist</v>
      </c>
      <c r="K5" s="154"/>
      <c r="L5" s="108"/>
      <c r="M5" s="108"/>
      <c r="N5" s="108"/>
      <c r="O5" s="108"/>
      <c r="P5" s="108"/>
      <c r="Q5" s="108"/>
      <c r="R5" s="108"/>
      <c r="S5" s="108"/>
      <c r="T5" s="108"/>
      <c r="U5" s="108"/>
      <c r="V5" s="108"/>
      <c r="W5" s="108"/>
      <c r="X5" s="108"/>
      <c r="Y5" s="108"/>
      <c r="Z5" s="108"/>
    </row>
    <row r="6" spans="1:26" ht="15.75">
      <c r="A6" s="163" t="str">
        <f>Crops!B7</f>
        <v>Soil</v>
      </c>
      <c r="B6" s="165" t="str">
        <f>Crops!C7</f>
        <v>Acrisol</v>
      </c>
      <c r="K6" s="154"/>
      <c r="L6" s="108"/>
      <c r="M6" s="108"/>
      <c r="N6" s="108"/>
      <c r="O6" s="108"/>
      <c r="P6" s="108"/>
      <c r="Q6" s="108"/>
      <c r="R6" s="108"/>
      <c r="S6" s="108"/>
      <c r="T6" s="108"/>
      <c r="U6" s="108"/>
      <c r="V6" s="108"/>
      <c r="W6" s="108"/>
      <c r="X6" s="108"/>
      <c r="Y6" s="108"/>
      <c r="Z6" s="108"/>
    </row>
    <row r="7" spans="1:26" ht="15.75">
      <c r="A7" s="163" t="str">
        <f>Crops!B8</f>
        <v>Dominant soil</v>
      </c>
      <c r="B7" s="165" t="str">
        <f>Crops!C8</f>
        <v>LAC soils</v>
      </c>
      <c r="K7" s="154"/>
      <c r="L7" s="108"/>
      <c r="M7" s="108"/>
      <c r="N7" s="108"/>
      <c r="O7" s="108"/>
      <c r="P7" s="108"/>
      <c r="Q7" s="108"/>
      <c r="R7" s="108"/>
      <c r="S7" s="108"/>
      <c r="T7" s="108"/>
      <c r="U7" s="108"/>
      <c r="V7" s="108"/>
      <c r="W7" s="108"/>
      <c r="X7" s="108"/>
      <c r="Y7" s="108"/>
      <c r="Z7" s="108"/>
    </row>
    <row r="8" spans="1:26" ht="16.5" thickBot="1">
      <c r="A8" s="166" t="str">
        <f>Crops!B9</f>
        <v>Climate zone (organic soil factor)</v>
      </c>
      <c r="B8" s="168" t="str">
        <f>Crops!C9</f>
        <v>warm temperate</v>
      </c>
      <c r="K8" s="154"/>
      <c r="L8" s="108"/>
      <c r="M8" s="108"/>
      <c r="N8" s="108"/>
      <c r="O8" s="108"/>
      <c r="P8" s="108"/>
      <c r="Q8" s="108"/>
      <c r="R8" s="138"/>
      <c r="S8" s="108"/>
      <c r="T8" s="108"/>
      <c r="U8" s="108"/>
      <c r="V8" s="108"/>
      <c r="W8" s="108"/>
      <c r="X8" s="108"/>
      <c r="Y8" s="108"/>
      <c r="Z8" s="108"/>
    </row>
    <row r="9" spans="1:26" ht="16.5" thickBot="1">
      <c r="K9" s="154"/>
      <c r="L9" s="108"/>
      <c r="M9" s="108"/>
      <c r="N9" s="108"/>
      <c r="O9" s="108"/>
      <c r="P9" s="108"/>
      <c r="Q9" s="108"/>
      <c r="R9" s="138"/>
      <c r="S9" s="108"/>
      <c r="T9" s="108"/>
      <c r="U9" s="108"/>
      <c r="V9" s="108"/>
      <c r="W9" s="108"/>
      <c r="X9" s="108"/>
      <c r="Y9" s="108"/>
      <c r="Z9" s="108"/>
    </row>
    <row r="10" spans="1:26">
      <c r="A10" s="107"/>
      <c r="K10" s="154"/>
      <c r="L10" s="157" t="s">
        <v>566</v>
      </c>
      <c r="M10" s="158"/>
      <c r="N10" s="158"/>
      <c r="O10" s="158"/>
      <c r="P10" s="171"/>
      <c r="Q10" s="157" t="s">
        <v>554</v>
      </c>
      <c r="R10" s="158"/>
      <c r="S10" s="158"/>
      <c r="T10" s="158"/>
      <c r="U10" s="158"/>
      <c r="V10" s="158"/>
      <c r="W10" s="158"/>
      <c r="X10" s="158"/>
      <c r="Y10" s="170"/>
      <c r="Z10" s="171"/>
    </row>
    <row r="11" spans="1:26" ht="60">
      <c r="A11" s="150" t="s">
        <v>548</v>
      </c>
      <c r="B11" s="150" t="s">
        <v>6</v>
      </c>
      <c r="C11" s="150" t="s">
        <v>165</v>
      </c>
      <c r="D11" s="150" t="s">
        <v>564</v>
      </c>
      <c r="E11" s="150" t="s">
        <v>562</v>
      </c>
      <c r="F11" s="150" t="s">
        <v>550</v>
      </c>
      <c r="G11" s="150" t="s">
        <v>560</v>
      </c>
      <c r="H11" s="150" t="s">
        <v>561</v>
      </c>
      <c r="I11" s="150" t="s">
        <v>11</v>
      </c>
      <c r="J11" s="150" t="s">
        <v>486</v>
      </c>
      <c r="K11" s="155" t="s">
        <v>471</v>
      </c>
      <c r="L11" s="160" t="s">
        <v>23</v>
      </c>
      <c r="M11" s="161" t="s">
        <v>24</v>
      </c>
      <c r="N11" s="161" t="s">
        <v>25</v>
      </c>
      <c r="O11" s="161" t="s">
        <v>32</v>
      </c>
      <c r="P11" s="172" t="s">
        <v>33</v>
      </c>
      <c r="Q11" s="160" t="s">
        <v>35</v>
      </c>
      <c r="R11" s="161" t="s">
        <v>26</v>
      </c>
      <c r="S11" s="161" t="s">
        <v>567</v>
      </c>
      <c r="T11" s="161" t="s">
        <v>37</v>
      </c>
      <c r="U11" s="161" t="s">
        <v>27</v>
      </c>
      <c r="V11" s="161" t="s">
        <v>29</v>
      </c>
      <c r="W11" s="161" t="s">
        <v>31</v>
      </c>
      <c r="X11" s="161" t="s">
        <v>38</v>
      </c>
      <c r="Y11" s="169" t="s">
        <v>39</v>
      </c>
      <c r="Z11" s="172" t="s">
        <v>40</v>
      </c>
    </row>
    <row r="12" spans="1:26">
      <c r="A12" s="150"/>
      <c r="B12" s="150"/>
      <c r="C12" s="150"/>
      <c r="D12" s="150"/>
      <c r="E12" s="150"/>
      <c r="F12" s="150"/>
      <c r="G12" s="150"/>
      <c r="H12" s="150"/>
      <c r="I12" s="150"/>
      <c r="J12" s="150"/>
      <c r="K12" s="155"/>
      <c r="L12" s="160" t="s">
        <v>55</v>
      </c>
      <c r="M12" s="161"/>
      <c r="N12" s="161"/>
      <c r="O12" s="161" t="s">
        <v>55</v>
      </c>
      <c r="P12" s="172" t="s">
        <v>56</v>
      </c>
      <c r="Q12" s="160"/>
      <c r="R12" s="161"/>
      <c r="S12" s="161"/>
      <c r="T12" s="161"/>
      <c r="U12" s="161"/>
      <c r="V12" s="161"/>
      <c r="W12" s="161"/>
      <c r="X12" s="161" t="s">
        <v>55</v>
      </c>
      <c r="Y12" s="169" t="s">
        <v>56</v>
      </c>
      <c r="Z12" s="172" t="s">
        <v>56</v>
      </c>
    </row>
    <row r="13" spans="1:26">
      <c r="A13" s="150"/>
      <c r="B13" s="150"/>
      <c r="C13" s="150"/>
      <c r="D13" s="150"/>
      <c r="E13" s="150"/>
      <c r="F13" s="150"/>
      <c r="G13" s="150"/>
      <c r="H13" s="150"/>
      <c r="I13" s="150"/>
      <c r="J13" s="150"/>
      <c r="K13" s="155"/>
      <c r="L13" s="160"/>
      <c r="M13" s="161"/>
      <c r="N13" s="161"/>
      <c r="O13" s="161"/>
      <c r="P13" s="172" t="s">
        <v>169</v>
      </c>
      <c r="Q13" s="160"/>
      <c r="R13" s="161"/>
      <c r="S13" s="161"/>
      <c r="T13" s="161"/>
      <c r="U13" s="161"/>
      <c r="V13" s="161"/>
      <c r="W13" s="161"/>
      <c r="X13" s="161"/>
      <c r="Y13" s="169" t="s">
        <v>169</v>
      </c>
      <c r="Z13" s="172" t="s">
        <v>170</v>
      </c>
    </row>
    <row r="14" spans="1:26">
      <c r="A14" s="152">
        <f>Grassland!B16</f>
        <v>1</v>
      </c>
      <c r="B14" s="152" t="str">
        <f>Grassland!C16</f>
        <v>COVER_CROP_LEGUMES_100</v>
      </c>
      <c r="C14" s="152" t="str">
        <f>IF(ISNUMBER(FIND("Pasture",B14)),"Yes","No")</f>
        <v>No</v>
      </c>
      <c r="D14" s="152" t="str">
        <f>Grassland!U16</f>
        <v>no</v>
      </c>
      <c r="E14" s="152" t="str">
        <f>Grassland!T16</f>
        <v>no</v>
      </c>
      <c r="F14" s="152" t="str">
        <f>Grassland!R16</f>
        <v>no tillage</v>
      </c>
      <c r="G14" s="152" t="str">
        <f>Grassland!V16</f>
        <v>no</v>
      </c>
      <c r="H14" s="152" t="str">
        <f>Grassland!W16</f>
        <v>no</v>
      </c>
      <c r="I14" s="152" t="str">
        <f>Grassland!L16</f>
        <v>yes</v>
      </c>
      <c r="J14" s="152" t="str">
        <f>Grassland!X16</f>
        <v>no</v>
      </c>
      <c r="K14" s="156" t="str">
        <f>Grassland!Y16</f>
        <v>no</v>
      </c>
      <c r="L14" s="163">
        <f>IF(J14="no",(INDEX('Standard data'!$C$76:$H$80,Crops!$E$4,Crops!$E$5)),0)</f>
        <v>24</v>
      </c>
      <c r="M14" s="164">
        <f t="shared" ref="M14:M29" si="0">IF(B14="Fallow, five years (semi-permanent)",CONCATENATE("set aside"," ",$B$4," ",$B$5),0)</f>
        <v>0</v>
      </c>
      <c r="N14" s="164">
        <f>IF(B14="Fallow, five years (semi-permanent)",VLOOKUP(M14,'Standard data'!$E$88:$F$99,2,FALSE),0)</f>
        <v>0</v>
      </c>
      <c r="O14" s="164">
        <f>($L14*$N14)</f>
        <v>0</v>
      </c>
      <c r="P14" s="172">
        <f>$O14*Grassland!D16</f>
        <v>0</v>
      </c>
      <c r="Q14" s="163" t="str">
        <f>IF(AND((Grassland!G16+Grassland!I16+Grassland!K16)=0,C14="no"),"no","yes")</f>
        <v>yes</v>
      </c>
      <c r="R14" s="164" t="str">
        <f>CONCATENATE(G14," ",H14," ",$Q14)</f>
        <v>no no yes</v>
      </c>
      <c r="S14" s="164">
        <f>IF(C14="No",0,VLOOKUP(R14,'Standard data'!$E$154:$F$161,2,FALSE))</f>
        <v>0</v>
      </c>
      <c r="T14" s="164" t="str">
        <f t="shared" ref="T14:T29" si="1">CONCATENATE($S14," ",$B$4)</f>
        <v>0 temperate boreal</v>
      </c>
      <c r="U14" s="164">
        <f>IF(C14="No",0,VLOOKUP(T14,'Standard data'!$D$168:$E$171,2,FALSE))</f>
        <v>0</v>
      </c>
      <c r="V14" s="164" t="str">
        <f>IF(AND(SUM(Grassland!N16,Grassland!K16,Grassland!I16,Grassland!G16)=0,D14="no",E14="no"),"medium","high")</f>
        <v>high</v>
      </c>
      <c r="W14" s="164">
        <f>VLOOKUP(V14,'Standard data'!$C$177:$E$178,3,FALSE)</f>
        <v>1.1100000000000001</v>
      </c>
      <c r="X14" s="164">
        <f>$L14*'Standard data'!$D$184*$U14*$W14</f>
        <v>0</v>
      </c>
      <c r="Y14" s="169">
        <f>$X14*Grassland!D16</f>
        <v>0</v>
      </c>
      <c r="Z14" s="172">
        <f>IF(AND(J14="yes",K14="yes",C14="Yes"),Grassland!D16*VLOOKUP(B8,'Standard data'!$B$190:$C$191,2,FALSE),0)</f>
        <v>0</v>
      </c>
    </row>
    <row r="15" spans="1:26">
      <c r="A15" s="152">
        <f>Grassland!B17</f>
        <v>2</v>
      </c>
      <c r="B15" s="152" t="str">
        <f>Grassland!C17</f>
        <v>COVER_CROP_LEGUMES_100</v>
      </c>
      <c r="C15" s="152" t="str">
        <f t="shared" ref="C15:C29" si="2">IF(ISNUMBER(FIND("Pasture",B15)),"Yes","No")</f>
        <v>No</v>
      </c>
      <c r="D15" s="152" t="str">
        <f>Grassland!U17</f>
        <v>no</v>
      </c>
      <c r="E15" s="152" t="str">
        <f>Grassland!T17</f>
        <v>no</v>
      </c>
      <c r="F15" s="152" t="str">
        <f>Grassland!R17</f>
        <v>no tillage</v>
      </c>
      <c r="G15" s="152" t="str">
        <f>Grassland!V17</f>
        <v>no</v>
      </c>
      <c r="H15" s="152" t="str">
        <f>Grassland!W17</f>
        <v>no</v>
      </c>
      <c r="I15" s="152" t="str">
        <f>Grassland!L17</f>
        <v>yes</v>
      </c>
      <c r="J15" s="152" t="str">
        <f>Grassland!X17</f>
        <v>no</v>
      </c>
      <c r="K15" s="156" t="str">
        <f>Grassland!Y17</f>
        <v>no</v>
      </c>
      <c r="L15" s="163">
        <f>IF(J15="no",(INDEX('Standard data'!$C$76:$H$80,Crops!$E$4,Crops!$E$5)),0)</f>
        <v>24</v>
      </c>
      <c r="M15" s="164">
        <f t="shared" si="0"/>
        <v>0</v>
      </c>
      <c r="N15" s="164">
        <f>IF(B15="Fallow, five years (semi-permanent)",VLOOKUP(M15,'Standard data'!$E$88:$F$99,2,FALSE),0)</f>
        <v>0</v>
      </c>
      <c r="O15" s="164">
        <f t="shared" ref="O15:O29" si="3">($L15*$N15)</f>
        <v>0</v>
      </c>
      <c r="P15" s="172">
        <f>$O15*Grassland!D17</f>
        <v>0</v>
      </c>
      <c r="Q15" s="163" t="str">
        <f>IF(AND((Grassland!G17+Grassland!I17+Grassland!K17)=0,C15="no"),"no","yes")</f>
        <v>no</v>
      </c>
      <c r="R15" s="164" t="str">
        <f t="shared" ref="R15:R29" si="4">CONCATENATE(G15," ",H15," ",$Q15)</f>
        <v>no no no</v>
      </c>
      <c r="S15" s="164">
        <f>IF(C15="No",0,VLOOKUP(R15,'Standard data'!$E$154:$F$161,2,FALSE))</f>
        <v>0</v>
      </c>
      <c r="T15" s="164" t="str">
        <f t="shared" si="1"/>
        <v>0 temperate boreal</v>
      </c>
      <c r="U15" s="164">
        <f>IF(C15="No",0,VLOOKUP(T15,'Standard data'!$D$168:$E$171,2,FALSE))</f>
        <v>0</v>
      </c>
      <c r="V15" s="164" t="str">
        <f>IF(AND(SUM(Grassland!N17,Grassland!K17,Grassland!I17,Grassland!G17)=0,D15="no",E15="no"),"medium","high")</f>
        <v>medium</v>
      </c>
      <c r="W15" s="164">
        <f>VLOOKUP(V15,'Standard data'!$C$177:$E$178,3,FALSE)</f>
        <v>1</v>
      </c>
      <c r="X15" s="164">
        <f>$L15*'Standard data'!$D$184*$U15*$W15</f>
        <v>0</v>
      </c>
      <c r="Y15" s="169">
        <f>$X15*Grassland!D17</f>
        <v>0</v>
      </c>
      <c r="Z15" s="172">
        <f>IF(AND(J15="yes",K15="yes",C15="Yes"),Grassland!D17*VLOOKUP(#REF!,'Standard data'!$B$190:$C$191,2,FALSE),0)</f>
        <v>0</v>
      </c>
    </row>
    <row r="16" spans="1:26">
      <c r="A16" s="152">
        <f>Grassland!B18</f>
        <v>3</v>
      </c>
      <c r="B16" s="152" t="str">
        <f>Grassland!C18</f>
        <v>COVER_CROP_LEGUMES_100</v>
      </c>
      <c r="C16" s="152" t="str">
        <f t="shared" si="2"/>
        <v>No</v>
      </c>
      <c r="D16" s="152" t="str">
        <f>Grassland!U18</f>
        <v>no</v>
      </c>
      <c r="E16" s="152" t="str">
        <f>Grassland!T18</f>
        <v>no</v>
      </c>
      <c r="F16" s="152" t="str">
        <f>Grassland!R18</f>
        <v>no tillage</v>
      </c>
      <c r="G16" s="152" t="str">
        <f>Grassland!V18</f>
        <v>no</v>
      </c>
      <c r="H16" s="152" t="str">
        <f>Grassland!W18</f>
        <v>no</v>
      </c>
      <c r="I16" s="152" t="str">
        <f>Grassland!L18</f>
        <v>yes</v>
      </c>
      <c r="J16" s="152" t="str">
        <f>Grassland!X18</f>
        <v>no</v>
      </c>
      <c r="K16" s="156" t="str">
        <f>Grassland!Y18</f>
        <v>no</v>
      </c>
      <c r="L16" s="163">
        <f>IF(J16="no",(INDEX('Standard data'!$C$76:$H$80,Crops!$E$4,Crops!$E$5)),0)</f>
        <v>24</v>
      </c>
      <c r="M16" s="164">
        <f t="shared" si="0"/>
        <v>0</v>
      </c>
      <c r="N16" s="164">
        <f>IF(B16="Fallow, five years (semi-permanent)",VLOOKUP(M16,'Standard data'!$E$88:$F$99,2,FALSE),0)</f>
        <v>0</v>
      </c>
      <c r="O16" s="164">
        <f t="shared" si="3"/>
        <v>0</v>
      </c>
      <c r="P16" s="172">
        <f>$O16*Grassland!D18</f>
        <v>0</v>
      </c>
      <c r="Q16" s="163" t="str">
        <f>IF(AND((Grassland!G18+Grassland!I18+Grassland!K18)=0,C16="no"),"no","yes")</f>
        <v>no</v>
      </c>
      <c r="R16" s="164" t="str">
        <f t="shared" si="4"/>
        <v>no no no</v>
      </c>
      <c r="S16" s="164">
        <f>IF(C16="No",0,VLOOKUP(R16,'Standard data'!$E$154:$F$161,2,FALSE))</f>
        <v>0</v>
      </c>
      <c r="T16" s="164" t="str">
        <f t="shared" si="1"/>
        <v>0 temperate boreal</v>
      </c>
      <c r="U16" s="164">
        <f>IF(C16="No",0,VLOOKUP(T16,'Standard data'!$D$168:$E$171,2,FALSE))</f>
        <v>0</v>
      </c>
      <c r="V16" s="164" t="str">
        <f>IF(AND(SUM(Grassland!N18,Grassland!K18,Grassland!I18,Grassland!G18)=0,D16="no",E16="no"),"medium","high")</f>
        <v>medium</v>
      </c>
      <c r="W16" s="164">
        <f>VLOOKUP(V16,'Standard data'!$C$177:$E$178,3,FALSE)</f>
        <v>1</v>
      </c>
      <c r="X16" s="164">
        <f>$L16*'Standard data'!$D$184*$U16*$W16</f>
        <v>0</v>
      </c>
      <c r="Y16" s="169">
        <f>$X16*Grassland!D18</f>
        <v>0</v>
      </c>
      <c r="Z16" s="172">
        <f>IF(AND(J16="yes",K16="yes",C16="Yes"),Grassland!D18*VLOOKUP(#REF!,'Standard data'!$B$190:$C$191,2,FALSE),0)</f>
        <v>0</v>
      </c>
    </row>
    <row r="17" spans="1:26">
      <c r="A17" s="152">
        <f>Grassland!B19</f>
        <v>4</v>
      </c>
      <c r="B17" s="152" t="str">
        <f>Grassland!C19</f>
        <v>COVER_CROP_LEGUMES_100</v>
      </c>
      <c r="C17" s="152" t="str">
        <f t="shared" si="2"/>
        <v>No</v>
      </c>
      <c r="D17" s="152" t="str">
        <f>Grassland!U19</f>
        <v>no</v>
      </c>
      <c r="E17" s="152" t="str">
        <f>Grassland!T19</f>
        <v>no</v>
      </c>
      <c r="F17" s="152" t="str">
        <f>Grassland!R19</f>
        <v>no tillage</v>
      </c>
      <c r="G17" s="152" t="str">
        <f>Grassland!V19</f>
        <v>no</v>
      </c>
      <c r="H17" s="152" t="str">
        <f>Grassland!W19</f>
        <v>no</v>
      </c>
      <c r="I17" s="152" t="str">
        <f>Grassland!L19</f>
        <v>yes</v>
      </c>
      <c r="J17" s="152" t="str">
        <f>Grassland!X19</f>
        <v>no</v>
      </c>
      <c r="K17" s="156" t="str">
        <f>Grassland!Y19</f>
        <v>no</v>
      </c>
      <c r="L17" s="163">
        <f>IF(J17="no",(INDEX('Standard data'!$C$76:$H$80,Crops!$E$4,Crops!$E$5)),0)</f>
        <v>24</v>
      </c>
      <c r="M17" s="164">
        <f t="shared" si="0"/>
        <v>0</v>
      </c>
      <c r="N17" s="164">
        <f>IF(B17="Fallow, five years (semi-permanent)",VLOOKUP(M17,'Standard data'!$E$88:$F$99,2,FALSE),0)</f>
        <v>0</v>
      </c>
      <c r="O17" s="164">
        <f t="shared" si="3"/>
        <v>0</v>
      </c>
      <c r="P17" s="172">
        <f>$O17*Grassland!D19</f>
        <v>0</v>
      </c>
      <c r="Q17" s="163" t="str">
        <f>IF(AND((Grassland!G19+Grassland!I19+Grassland!K19)=0,C17="no"),"no","yes")</f>
        <v>no</v>
      </c>
      <c r="R17" s="164" t="str">
        <f t="shared" si="4"/>
        <v>no no no</v>
      </c>
      <c r="S17" s="164">
        <f>IF(C17="No",0,VLOOKUP(R17,'Standard data'!$E$154:$F$161,2,FALSE))</f>
        <v>0</v>
      </c>
      <c r="T17" s="164" t="str">
        <f t="shared" si="1"/>
        <v>0 temperate boreal</v>
      </c>
      <c r="U17" s="164">
        <f>IF(C17="No",0,VLOOKUP(T17,'Standard data'!$D$168:$E$171,2,FALSE))</f>
        <v>0</v>
      </c>
      <c r="V17" s="164" t="str">
        <f>IF(AND(SUM(Grassland!N19,Grassland!K19,Grassland!I19,Grassland!G19)=0,D17="no",E17="no"),"medium","high")</f>
        <v>medium</v>
      </c>
      <c r="W17" s="164">
        <f>VLOOKUP(V17,'Standard data'!$C$177:$E$178,3,FALSE)</f>
        <v>1</v>
      </c>
      <c r="X17" s="164">
        <f>$L17*'Standard data'!$D$184*$U17*$W17</f>
        <v>0</v>
      </c>
      <c r="Y17" s="169">
        <f>$X17*Grassland!D19</f>
        <v>0</v>
      </c>
      <c r="Z17" s="172">
        <f>IF(AND(J17="yes",K17="yes",C17="Yes"),Grassland!D19*VLOOKUP(B10,'Standard data'!$B$190:$C$191,2,FALSE),0)</f>
        <v>0</v>
      </c>
    </row>
    <row r="18" spans="1:26">
      <c r="A18" s="152">
        <f>Grassland!B20</f>
        <v>5</v>
      </c>
      <c r="B18" s="152" t="str">
        <f>Grassland!C20</f>
        <v>COVER_CROP_LEGUMES_100</v>
      </c>
      <c r="C18" s="152" t="str">
        <f t="shared" si="2"/>
        <v>No</v>
      </c>
      <c r="D18" s="152" t="str">
        <f>Grassland!U20</f>
        <v>no</v>
      </c>
      <c r="E18" s="152" t="str">
        <f>Grassland!T20</f>
        <v>no</v>
      </c>
      <c r="F18" s="152" t="str">
        <f>Grassland!R20</f>
        <v>no tillage</v>
      </c>
      <c r="G18" s="152" t="str">
        <f>Grassland!V20</f>
        <v>no</v>
      </c>
      <c r="H18" s="152" t="str">
        <f>Grassland!W20</f>
        <v>no</v>
      </c>
      <c r="I18" s="152" t="str">
        <f>Grassland!L20</f>
        <v>yes</v>
      </c>
      <c r="J18" s="152" t="str">
        <f>Grassland!X20</f>
        <v>no</v>
      </c>
      <c r="K18" s="156" t="str">
        <f>Grassland!Y20</f>
        <v>no</v>
      </c>
      <c r="L18" s="163">
        <f>IF(J18="no",(INDEX('Standard data'!$C$76:$H$80,Crops!$E$4,Crops!$E$5)),0)</f>
        <v>24</v>
      </c>
      <c r="M18" s="164">
        <f t="shared" si="0"/>
        <v>0</v>
      </c>
      <c r="N18" s="164">
        <f>IF(B18="Fallow, five years (semi-permanent)",VLOOKUP(M18,'Standard data'!$E$88:$F$99,2,FALSE),0)</f>
        <v>0</v>
      </c>
      <c r="O18" s="164">
        <f t="shared" si="3"/>
        <v>0</v>
      </c>
      <c r="P18" s="172">
        <f>$O18*Grassland!D20</f>
        <v>0</v>
      </c>
      <c r="Q18" s="163" t="str">
        <f>IF(AND((Grassland!G20+Grassland!I20+Grassland!K20)=0,C18="no"),"no","yes")</f>
        <v>no</v>
      </c>
      <c r="R18" s="164" t="str">
        <f t="shared" si="4"/>
        <v>no no no</v>
      </c>
      <c r="S18" s="164">
        <f>IF(C18="No",0,VLOOKUP(R18,'Standard data'!$E$154:$F$161,2,FALSE))</f>
        <v>0</v>
      </c>
      <c r="T18" s="164" t="str">
        <f t="shared" si="1"/>
        <v>0 temperate boreal</v>
      </c>
      <c r="U18" s="164">
        <f>IF(C18="No",0,VLOOKUP(T18,'Standard data'!$D$168:$E$171,2,FALSE))</f>
        <v>0</v>
      </c>
      <c r="V18" s="164" t="str">
        <f>IF(AND(SUM(Grassland!N20,Grassland!K20,Grassland!I20,Grassland!G20)=0,D18="no",E18="no"),"medium","high")</f>
        <v>medium</v>
      </c>
      <c r="W18" s="164">
        <f>VLOOKUP(V18,'Standard data'!$C$177:$E$178,3,FALSE)</f>
        <v>1</v>
      </c>
      <c r="X18" s="164">
        <f>$L18*'Standard data'!$D$184*$U18*$W18</f>
        <v>0</v>
      </c>
      <c r="Y18" s="169">
        <f>$X18*Grassland!D20</f>
        <v>0</v>
      </c>
      <c r="Z18" s="172">
        <f>IF(AND(J18="yes",K18="yes",C18="Yes"),Grassland!D20*VLOOKUP(B11,'Standard data'!$B$190:$C$191,2,FALSE),0)</f>
        <v>0</v>
      </c>
    </row>
    <row r="19" spans="1:26">
      <c r="A19" s="152">
        <f>Grassland!B21</f>
        <v>6</v>
      </c>
      <c r="B19" s="152" t="str">
        <f>Grassland!C21</f>
        <v>COVER_CROP_LEGUMES_100</v>
      </c>
      <c r="C19" s="152" t="str">
        <f t="shared" si="2"/>
        <v>No</v>
      </c>
      <c r="D19" s="152" t="str">
        <f>Grassland!U21</f>
        <v>no</v>
      </c>
      <c r="E19" s="152" t="str">
        <f>Grassland!T21</f>
        <v>no</v>
      </c>
      <c r="F19" s="152" t="str">
        <f>Grassland!R21</f>
        <v>no tillage</v>
      </c>
      <c r="G19" s="152" t="str">
        <f>Grassland!V21</f>
        <v>no</v>
      </c>
      <c r="H19" s="152" t="str">
        <f>Grassland!W21</f>
        <v>no</v>
      </c>
      <c r="I19" s="152" t="str">
        <f>Grassland!L21</f>
        <v>yes</v>
      </c>
      <c r="J19" s="152" t="str">
        <f>Grassland!X21</f>
        <v>no</v>
      </c>
      <c r="K19" s="156" t="str">
        <f>Grassland!Y21</f>
        <v>no</v>
      </c>
      <c r="L19" s="163">
        <f>IF(J19="no",(INDEX('Standard data'!$C$76:$H$80,Crops!$E$4,Crops!$E$5)),0)</f>
        <v>24</v>
      </c>
      <c r="M19" s="164">
        <f t="shared" si="0"/>
        <v>0</v>
      </c>
      <c r="N19" s="164">
        <f>IF(B19="Fallow, five years (semi-permanent)",VLOOKUP(M19,'Standard data'!$E$88:$F$99,2,FALSE),0)</f>
        <v>0</v>
      </c>
      <c r="O19" s="164">
        <f t="shared" si="3"/>
        <v>0</v>
      </c>
      <c r="P19" s="172">
        <f>$O19*Grassland!D21</f>
        <v>0</v>
      </c>
      <c r="Q19" s="163" t="str">
        <f>IF(AND((Grassland!G21+Grassland!I21+Grassland!K21)=0,C19="no"),"no","yes")</f>
        <v>no</v>
      </c>
      <c r="R19" s="164" t="str">
        <f t="shared" si="4"/>
        <v>no no no</v>
      </c>
      <c r="S19" s="164">
        <f>IF(C19="No",0,VLOOKUP(R19,'Standard data'!$E$154:$F$161,2,FALSE))</f>
        <v>0</v>
      </c>
      <c r="T19" s="164" t="str">
        <f t="shared" si="1"/>
        <v>0 temperate boreal</v>
      </c>
      <c r="U19" s="164">
        <f>IF(C19="No",0,VLOOKUP(T19,'Standard data'!$D$168:$E$171,2,FALSE))</f>
        <v>0</v>
      </c>
      <c r="V19" s="164" t="str">
        <f>IF(AND(SUM(Grassland!N21,Grassland!K21,Grassland!I21,Grassland!G21)=0,D19="no",E19="no"),"medium","high")</f>
        <v>medium</v>
      </c>
      <c r="W19" s="164">
        <f>VLOOKUP(V19,'Standard data'!$C$177:$E$178,3,FALSE)</f>
        <v>1</v>
      </c>
      <c r="X19" s="164">
        <f>$L19*'Standard data'!$D$184*$U19*$W19</f>
        <v>0</v>
      </c>
      <c r="Y19" s="169">
        <f>$X19*Grassland!D21</f>
        <v>0</v>
      </c>
      <c r="Z19" s="172">
        <f>IF(AND(J19="yes",K19="yes",C19="Yes"),Grassland!D21*VLOOKUP(B12,'Standard data'!$B$190:$C$191,2,FALSE),0)</f>
        <v>0</v>
      </c>
    </row>
    <row r="20" spans="1:26">
      <c r="A20" s="152">
        <f>Grassland!B22</f>
        <v>7</v>
      </c>
      <c r="B20" s="152" t="str">
        <f>Grassland!C22</f>
        <v>COVER_CROP_LEGUMES_100</v>
      </c>
      <c r="C20" s="152" t="str">
        <f t="shared" si="2"/>
        <v>No</v>
      </c>
      <c r="D20" s="152" t="str">
        <f>Grassland!U22</f>
        <v>no</v>
      </c>
      <c r="E20" s="152" t="str">
        <f>Grassland!T22</f>
        <v>no</v>
      </c>
      <c r="F20" s="152" t="str">
        <f>Grassland!R22</f>
        <v>no tillage</v>
      </c>
      <c r="G20" s="152" t="str">
        <f>Grassland!V22</f>
        <v>no</v>
      </c>
      <c r="H20" s="152" t="str">
        <f>Grassland!W22</f>
        <v>no</v>
      </c>
      <c r="I20" s="152" t="str">
        <f>Grassland!L22</f>
        <v>yes</v>
      </c>
      <c r="J20" s="152" t="str">
        <f>Grassland!X22</f>
        <v>no</v>
      </c>
      <c r="K20" s="156" t="str">
        <f>Grassland!Y22</f>
        <v>no</v>
      </c>
      <c r="L20" s="163">
        <f>IF(J20="no",(INDEX('Standard data'!$C$76:$H$80,Crops!$E$4,Crops!$E$5)),0)</f>
        <v>24</v>
      </c>
      <c r="M20" s="164">
        <f t="shared" si="0"/>
        <v>0</v>
      </c>
      <c r="N20" s="164">
        <f>IF(B20="Fallow, five years (semi-permanent)",VLOOKUP(M20,'Standard data'!$E$88:$F$99,2,FALSE),0)</f>
        <v>0</v>
      </c>
      <c r="O20" s="164">
        <f t="shared" si="3"/>
        <v>0</v>
      </c>
      <c r="P20" s="172">
        <f>$O20*Grassland!D22</f>
        <v>0</v>
      </c>
      <c r="Q20" s="163" t="str">
        <f>IF(AND((Grassland!G22+Grassland!I22+Grassland!K22)=0,C20="no"),"no","yes")</f>
        <v>no</v>
      </c>
      <c r="R20" s="164" t="str">
        <f t="shared" si="4"/>
        <v>no no no</v>
      </c>
      <c r="S20" s="164">
        <f>IF(C20="No",0,VLOOKUP(R20,'Standard data'!$E$154:$F$161,2,FALSE))</f>
        <v>0</v>
      </c>
      <c r="T20" s="164" t="str">
        <f t="shared" si="1"/>
        <v>0 temperate boreal</v>
      </c>
      <c r="U20" s="164">
        <f>IF(C20="No",0,VLOOKUP(T20,'Standard data'!$D$168:$E$171,2,FALSE))</f>
        <v>0</v>
      </c>
      <c r="V20" s="164" t="str">
        <f>IF(AND(SUM(Grassland!N22,Grassland!K22,Grassland!I22,Grassland!G22)=0,D20="no",E20="no"),"medium","high")</f>
        <v>medium</v>
      </c>
      <c r="W20" s="164">
        <f>VLOOKUP(V20,'Standard data'!$C$177:$E$178,3,FALSE)</f>
        <v>1</v>
      </c>
      <c r="X20" s="164">
        <f>$L20*'Standard data'!$D$184*$U20*$W20</f>
        <v>0</v>
      </c>
      <c r="Y20" s="169">
        <f>$X20*Grassland!D22</f>
        <v>0</v>
      </c>
      <c r="Z20" s="172">
        <f>IF(AND(J20="yes",K20="yes",C20="Yes"),Grassland!D22*VLOOKUP(B13,'Standard data'!$B$190:$C$191,2,FALSE),0)</f>
        <v>0</v>
      </c>
    </row>
    <row r="21" spans="1:26">
      <c r="A21" s="152">
        <f>Grassland!B23</f>
        <v>8</v>
      </c>
      <c r="B21" s="152" t="str">
        <f>Grassland!C23</f>
        <v>COVER_CROP_LEGUMES_100</v>
      </c>
      <c r="C21" s="152" t="str">
        <f t="shared" si="2"/>
        <v>No</v>
      </c>
      <c r="D21" s="152" t="str">
        <f>Grassland!U23</f>
        <v>no</v>
      </c>
      <c r="E21" s="152" t="str">
        <f>Grassland!T23</f>
        <v>no</v>
      </c>
      <c r="F21" s="152" t="str">
        <f>Grassland!R23</f>
        <v>no tillage</v>
      </c>
      <c r="G21" s="152" t="str">
        <f>Grassland!V23</f>
        <v>no</v>
      </c>
      <c r="H21" s="152" t="str">
        <f>Grassland!W23</f>
        <v>no</v>
      </c>
      <c r="I21" s="152" t="str">
        <f>Grassland!L23</f>
        <v>yes</v>
      </c>
      <c r="J21" s="152" t="str">
        <f>Grassland!X23</f>
        <v>no</v>
      </c>
      <c r="K21" s="156" t="str">
        <f>Grassland!Y23</f>
        <v>no</v>
      </c>
      <c r="L21" s="163">
        <f>IF(J21="no",(INDEX('Standard data'!$C$76:$H$80,Crops!$E$4,Crops!$E$5)),0)</f>
        <v>24</v>
      </c>
      <c r="M21" s="164">
        <f t="shared" si="0"/>
        <v>0</v>
      </c>
      <c r="N21" s="164">
        <f>IF(B21="Fallow, five years (semi-permanent)",VLOOKUP(M21,'Standard data'!$E$88:$F$99,2,FALSE),0)</f>
        <v>0</v>
      </c>
      <c r="O21" s="164">
        <f t="shared" si="3"/>
        <v>0</v>
      </c>
      <c r="P21" s="172">
        <f>$O21*Grassland!D23</f>
        <v>0</v>
      </c>
      <c r="Q21" s="163" t="str">
        <f>IF(AND((Grassland!G23+Grassland!I23+Grassland!K23)=0,C21="no"),"no","yes")</f>
        <v>no</v>
      </c>
      <c r="R21" s="164" t="str">
        <f t="shared" si="4"/>
        <v>no no no</v>
      </c>
      <c r="S21" s="164">
        <f>IF(C21="No",0,VLOOKUP(R21,'Standard data'!$E$154:$F$161,2,FALSE))</f>
        <v>0</v>
      </c>
      <c r="T21" s="164" t="str">
        <f t="shared" si="1"/>
        <v>0 temperate boreal</v>
      </c>
      <c r="U21" s="164">
        <f>IF(C21="No",0,VLOOKUP(T21,'Standard data'!$D$168:$E$171,2,FALSE))</f>
        <v>0</v>
      </c>
      <c r="V21" s="164" t="str">
        <f>IF(AND(SUM(Grassland!N23,Grassland!K23,Grassland!I23,Grassland!G23)=0,D21="no",E21="no"),"medium","high")</f>
        <v>medium</v>
      </c>
      <c r="W21" s="164">
        <f>VLOOKUP(V21,'Standard data'!$C$177:$E$178,3,FALSE)</f>
        <v>1</v>
      </c>
      <c r="X21" s="164">
        <f>$L21*'Standard data'!$D$184*$U21*$W21</f>
        <v>0</v>
      </c>
      <c r="Y21" s="169">
        <f>$X21*Grassland!D23</f>
        <v>0</v>
      </c>
      <c r="Z21" s="172">
        <f>IF(AND(J21="yes",K21="yes",C21="Yes"),Grassland!D23*VLOOKUP(B14,'Standard data'!$B$190:$C$191,2,FALSE),0)</f>
        <v>0</v>
      </c>
    </row>
    <row r="22" spans="1:26">
      <c r="A22" s="152">
        <f>Grassland!B24</f>
        <v>9</v>
      </c>
      <c r="B22" s="152" t="str">
        <f>Grassland!C24</f>
        <v>COVER_CROP_LEGUMES_100</v>
      </c>
      <c r="C22" s="152" t="str">
        <f t="shared" si="2"/>
        <v>No</v>
      </c>
      <c r="D22" s="152" t="str">
        <f>Grassland!U24</f>
        <v>no</v>
      </c>
      <c r="E22" s="152" t="str">
        <f>Grassland!T24</f>
        <v>no</v>
      </c>
      <c r="F22" s="152" t="str">
        <f>Grassland!R24</f>
        <v>no tillage</v>
      </c>
      <c r="G22" s="152" t="str">
        <f>Grassland!V24</f>
        <v>no</v>
      </c>
      <c r="H22" s="152" t="str">
        <f>Grassland!W24</f>
        <v>no</v>
      </c>
      <c r="I22" s="152" t="str">
        <f>Grassland!L24</f>
        <v>yes</v>
      </c>
      <c r="J22" s="152" t="str">
        <f>Grassland!X24</f>
        <v>no</v>
      </c>
      <c r="K22" s="156" t="str">
        <f>Grassland!Y24</f>
        <v>no</v>
      </c>
      <c r="L22" s="163">
        <f>IF(J22="no",(INDEX('Standard data'!$C$76:$H$80,Crops!$E$4,Crops!$E$5)),0)</f>
        <v>24</v>
      </c>
      <c r="M22" s="164">
        <f t="shared" si="0"/>
        <v>0</v>
      </c>
      <c r="N22" s="164">
        <f>IF(B22="Fallow, five years (semi-permanent)",VLOOKUP(M22,'Standard data'!$E$88:$F$99,2,FALSE),0)</f>
        <v>0</v>
      </c>
      <c r="O22" s="164">
        <f t="shared" si="3"/>
        <v>0</v>
      </c>
      <c r="P22" s="172">
        <f>$O22*Grassland!D24</f>
        <v>0</v>
      </c>
      <c r="Q22" s="163" t="str">
        <f>IF(AND((Grassland!G24+Grassland!I24+Grassland!K24)=0,C22="no"),"no","yes")</f>
        <v>no</v>
      </c>
      <c r="R22" s="164" t="str">
        <f t="shared" si="4"/>
        <v>no no no</v>
      </c>
      <c r="S22" s="164">
        <f>IF(C22="No",0,VLOOKUP(R22,'Standard data'!$E$154:$F$161,2,FALSE))</f>
        <v>0</v>
      </c>
      <c r="T22" s="164" t="str">
        <f t="shared" si="1"/>
        <v>0 temperate boreal</v>
      </c>
      <c r="U22" s="164">
        <f>IF(C22="No",0,VLOOKUP(T22,'Standard data'!$D$168:$E$171,2,FALSE))</f>
        <v>0</v>
      </c>
      <c r="V22" s="164" t="str">
        <f>IF(AND(SUM(Grassland!N24,Grassland!K24,Grassland!I24,Grassland!G24)=0,D22="no",E22="no"),"medium","high")</f>
        <v>medium</v>
      </c>
      <c r="W22" s="164">
        <f>VLOOKUP(V22,'Standard data'!$C$177:$E$178,3,FALSE)</f>
        <v>1</v>
      </c>
      <c r="X22" s="164">
        <f>$L22*'Standard data'!$D$184*$U22*$W22</f>
        <v>0</v>
      </c>
      <c r="Y22" s="169">
        <f>$X22*Grassland!D24</f>
        <v>0</v>
      </c>
      <c r="Z22" s="172">
        <f>IF(AND(J22="yes",K22="yes",C22="Yes"),Grassland!D24*VLOOKUP(B15,'Standard data'!$B$190:$C$191,2,FALSE),0)</f>
        <v>0</v>
      </c>
    </row>
    <row r="23" spans="1:26">
      <c r="A23" s="152">
        <f>Grassland!B25</f>
        <v>10</v>
      </c>
      <c r="B23" s="152" t="str">
        <f>Grassland!C25</f>
        <v>COVER_CROP_LEGUMES_100</v>
      </c>
      <c r="C23" s="152" t="str">
        <f t="shared" si="2"/>
        <v>No</v>
      </c>
      <c r="D23" s="152" t="str">
        <f>Grassland!U25</f>
        <v>no</v>
      </c>
      <c r="E23" s="152" t="str">
        <f>Grassland!T25</f>
        <v>no</v>
      </c>
      <c r="F23" s="152" t="str">
        <f>Grassland!R25</f>
        <v>no tillage</v>
      </c>
      <c r="G23" s="152" t="str">
        <f>Grassland!V25</f>
        <v>no</v>
      </c>
      <c r="H23" s="152" t="str">
        <f>Grassland!W25</f>
        <v>no</v>
      </c>
      <c r="I23" s="152" t="str">
        <f>Grassland!L25</f>
        <v>yes</v>
      </c>
      <c r="J23" s="152" t="str">
        <f>Grassland!X25</f>
        <v>no</v>
      </c>
      <c r="K23" s="156" t="str">
        <f>Grassland!Y25</f>
        <v>no</v>
      </c>
      <c r="L23" s="163">
        <f>IF(J23="no",(INDEX('Standard data'!$C$76:$H$80,Crops!$E$4,Crops!$E$5)),0)</f>
        <v>24</v>
      </c>
      <c r="M23" s="164">
        <f t="shared" si="0"/>
        <v>0</v>
      </c>
      <c r="N23" s="164">
        <f>IF(B23="Fallow, five years (semi-permanent)",VLOOKUP(M23,'Standard data'!$E$88:$F$99,2,FALSE),0)</f>
        <v>0</v>
      </c>
      <c r="O23" s="164">
        <f t="shared" si="3"/>
        <v>0</v>
      </c>
      <c r="P23" s="172">
        <f>$O23*Grassland!D25</f>
        <v>0</v>
      </c>
      <c r="Q23" s="163" t="str">
        <f>IF(AND((Grassland!G25+Grassland!I25+Grassland!K25)=0,C23="no"),"no","yes")</f>
        <v>no</v>
      </c>
      <c r="R23" s="164" t="str">
        <f t="shared" si="4"/>
        <v>no no no</v>
      </c>
      <c r="S23" s="164">
        <f>IF(C23="No",0,VLOOKUP(R23,'Standard data'!$E$154:$F$161,2,FALSE))</f>
        <v>0</v>
      </c>
      <c r="T23" s="164" t="str">
        <f t="shared" si="1"/>
        <v>0 temperate boreal</v>
      </c>
      <c r="U23" s="164">
        <f>IF(C23="No",0,VLOOKUP(T23,'Standard data'!$D$168:$E$171,2,FALSE))</f>
        <v>0</v>
      </c>
      <c r="V23" s="164" t="str">
        <f>IF(AND(SUM(Grassland!N25,Grassland!K25,Grassland!I25,Grassland!G25)=0,D23="no",E23="no"),"medium","high")</f>
        <v>medium</v>
      </c>
      <c r="W23" s="164">
        <f>VLOOKUP(V23,'Standard data'!$C$177:$E$178,3,FALSE)</f>
        <v>1</v>
      </c>
      <c r="X23" s="164">
        <f>$L23*'Standard data'!$D$184*$U23*$W23</f>
        <v>0</v>
      </c>
      <c r="Y23" s="169">
        <f>$X23*Grassland!D25</f>
        <v>0</v>
      </c>
      <c r="Z23" s="172">
        <f>IF(AND(J23="yes",K23="yes",C23="Yes"),Grassland!D25*VLOOKUP(B16,'Standard data'!$B$190:$C$191,2,FALSE),0)</f>
        <v>0</v>
      </c>
    </row>
    <row r="24" spans="1:26">
      <c r="A24" s="152">
        <f>Grassland!B26</f>
        <v>11</v>
      </c>
      <c r="B24" s="152" t="str">
        <f>Grassland!C26</f>
        <v>COVER_CROP_LEGUMES_100</v>
      </c>
      <c r="C24" s="152" t="str">
        <f t="shared" si="2"/>
        <v>No</v>
      </c>
      <c r="D24" s="152" t="str">
        <f>Grassland!U26</f>
        <v>no</v>
      </c>
      <c r="E24" s="152" t="str">
        <f>Grassland!T26</f>
        <v>no</v>
      </c>
      <c r="F24" s="152" t="str">
        <f>Grassland!R26</f>
        <v>no tillage</v>
      </c>
      <c r="G24" s="152" t="str">
        <f>Grassland!V26</f>
        <v>no</v>
      </c>
      <c r="H24" s="152" t="str">
        <f>Grassland!W26</f>
        <v>no</v>
      </c>
      <c r="I24" s="152" t="str">
        <f>Grassland!L26</f>
        <v>yes</v>
      </c>
      <c r="J24" s="152" t="str">
        <f>Grassland!X26</f>
        <v>no</v>
      </c>
      <c r="K24" s="156" t="str">
        <f>Grassland!Y26</f>
        <v>no</v>
      </c>
      <c r="L24" s="163">
        <f>IF(J24="no",(INDEX('Standard data'!$C$76:$H$80,Crops!$E$4,Crops!$E$5)),0)</f>
        <v>24</v>
      </c>
      <c r="M24" s="164">
        <f t="shared" si="0"/>
        <v>0</v>
      </c>
      <c r="N24" s="164">
        <f>IF(B24="Fallow, five years (semi-permanent)",VLOOKUP(M24,'Standard data'!$E$88:$F$99,2,FALSE),0)</f>
        <v>0</v>
      </c>
      <c r="O24" s="164">
        <f t="shared" si="3"/>
        <v>0</v>
      </c>
      <c r="P24" s="172">
        <f>$O24*Grassland!D26</f>
        <v>0</v>
      </c>
      <c r="Q24" s="163" t="str">
        <f>IF(AND((Grassland!G26+Grassland!I26+Grassland!K26)=0,C24="no"),"no","yes")</f>
        <v>no</v>
      </c>
      <c r="R24" s="164" t="str">
        <f t="shared" si="4"/>
        <v>no no no</v>
      </c>
      <c r="S24" s="164">
        <f>IF(C24="No",0,VLOOKUP(R24,'Standard data'!$E$154:$F$161,2,FALSE))</f>
        <v>0</v>
      </c>
      <c r="T24" s="164" t="str">
        <f t="shared" si="1"/>
        <v>0 temperate boreal</v>
      </c>
      <c r="U24" s="164">
        <f>IF(C24="No",0,VLOOKUP(T24,'Standard data'!$D$168:$E$171,2,FALSE))</f>
        <v>0</v>
      </c>
      <c r="V24" s="164" t="str">
        <f>IF(AND(SUM(Grassland!N26,Grassland!K26,Grassland!I26,Grassland!G26)=0,D24="no",E24="no"),"medium","high")</f>
        <v>medium</v>
      </c>
      <c r="W24" s="164">
        <f>VLOOKUP(V24,'Standard data'!$C$177:$E$178,3,FALSE)</f>
        <v>1</v>
      </c>
      <c r="X24" s="164">
        <f>$L24*'Standard data'!$D$184*$U24*$W24</f>
        <v>0</v>
      </c>
      <c r="Y24" s="169">
        <f>$X24*Grassland!D26</f>
        <v>0</v>
      </c>
      <c r="Z24" s="172">
        <f>IF(AND(J24="yes",K24="yes",C24="Yes"),Grassland!D26*VLOOKUP(B17,'Standard data'!$B$190:$C$191,2,FALSE),0)</f>
        <v>0</v>
      </c>
    </row>
    <row r="25" spans="1:26">
      <c r="A25" s="152">
        <f>Grassland!B27</f>
        <v>12</v>
      </c>
      <c r="B25" s="152" t="str">
        <f>Grassland!C27</f>
        <v>COVER_CROP_LEGUMES_100</v>
      </c>
      <c r="C25" s="152" t="str">
        <f t="shared" si="2"/>
        <v>No</v>
      </c>
      <c r="D25" s="152" t="str">
        <f>Grassland!U27</f>
        <v>no</v>
      </c>
      <c r="E25" s="152" t="str">
        <f>Grassland!T27</f>
        <v>no</v>
      </c>
      <c r="F25" s="152" t="str">
        <f>Grassland!R27</f>
        <v>no tillage</v>
      </c>
      <c r="G25" s="152" t="str">
        <f>Grassland!V27</f>
        <v>no</v>
      </c>
      <c r="H25" s="152" t="str">
        <f>Grassland!W27</f>
        <v>no</v>
      </c>
      <c r="I25" s="152" t="str">
        <f>Grassland!L27</f>
        <v>yes</v>
      </c>
      <c r="J25" s="152" t="str">
        <f>Grassland!X27</f>
        <v>no</v>
      </c>
      <c r="K25" s="156" t="str">
        <f>Grassland!Y27</f>
        <v>no</v>
      </c>
      <c r="L25" s="163">
        <f>IF(J25="no",(INDEX('Standard data'!$C$76:$H$80,Crops!$E$4,Crops!$E$5)),0)</f>
        <v>24</v>
      </c>
      <c r="M25" s="164">
        <f t="shared" si="0"/>
        <v>0</v>
      </c>
      <c r="N25" s="164">
        <f>IF(B25="Fallow, five years (semi-permanent)",VLOOKUP(M25,'Standard data'!$E$88:$F$99,2,FALSE),0)</f>
        <v>0</v>
      </c>
      <c r="O25" s="164">
        <f t="shared" si="3"/>
        <v>0</v>
      </c>
      <c r="P25" s="172">
        <f>$O25*Grassland!D27</f>
        <v>0</v>
      </c>
      <c r="Q25" s="163" t="str">
        <f>IF(AND((Grassland!G27+Grassland!I27+Grassland!K27)=0,C25="no"),"no","yes")</f>
        <v>no</v>
      </c>
      <c r="R25" s="164" t="str">
        <f t="shared" si="4"/>
        <v>no no no</v>
      </c>
      <c r="S25" s="164">
        <f>IF(C25="No",0,VLOOKUP(R25,'Standard data'!$E$154:$F$161,2,FALSE))</f>
        <v>0</v>
      </c>
      <c r="T25" s="164" t="str">
        <f t="shared" si="1"/>
        <v>0 temperate boreal</v>
      </c>
      <c r="U25" s="164">
        <f>IF(C25="No",0,VLOOKUP(T25,'Standard data'!$D$168:$E$171,2,FALSE))</f>
        <v>0</v>
      </c>
      <c r="V25" s="164" t="str">
        <f>IF(AND(SUM(Grassland!N27,Grassland!K27,Grassland!I27,Grassland!G27)=0,D25="no",E25="no"),"medium","high")</f>
        <v>medium</v>
      </c>
      <c r="W25" s="164">
        <f>VLOOKUP(V25,'Standard data'!$C$177:$E$178,3,FALSE)</f>
        <v>1</v>
      </c>
      <c r="X25" s="164">
        <f>$L25*'Standard data'!$D$184*$U25*$W25</f>
        <v>0</v>
      </c>
      <c r="Y25" s="169">
        <f>$X25*Grassland!D27</f>
        <v>0</v>
      </c>
      <c r="Z25" s="172">
        <f>IF(AND(J25="yes",K25="yes",C25="Yes"),Grassland!D27*VLOOKUP(B18,'Standard data'!$B$190:$C$191,2,FALSE),0)</f>
        <v>0</v>
      </c>
    </row>
    <row r="26" spans="1:26">
      <c r="A26" s="152">
        <f>Grassland!B28</f>
        <v>13</v>
      </c>
      <c r="B26" s="152" t="str">
        <f>Grassland!C28</f>
        <v>COVER_CROP_LEGUMES_100</v>
      </c>
      <c r="C26" s="152" t="str">
        <f t="shared" si="2"/>
        <v>No</v>
      </c>
      <c r="D26" s="152" t="str">
        <f>Grassland!U28</f>
        <v>no</v>
      </c>
      <c r="E26" s="152" t="str">
        <f>Grassland!T28</f>
        <v>no</v>
      </c>
      <c r="F26" s="152" t="str">
        <f>Grassland!R28</f>
        <v>no tillage</v>
      </c>
      <c r="G26" s="152" t="str">
        <f>Grassland!V28</f>
        <v>no</v>
      </c>
      <c r="H26" s="152" t="str">
        <f>Grassland!W28</f>
        <v>no</v>
      </c>
      <c r="I26" s="152" t="str">
        <f>Grassland!L28</f>
        <v>yes</v>
      </c>
      <c r="J26" s="152" t="str">
        <f>Grassland!X28</f>
        <v>no</v>
      </c>
      <c r="K26" s="156" t="str">
        <f>Grassland!Y28</f>
        <v>no</v>
      </c>
      <c r="L26" s="163">
        <f>IF(J26="no",(INDEX('Standard data'!$C$76:$H$80,Crops!$E$4,Crops!$E$5)),0)</f>
        <v>24</v>
      </c>
      <c r="M26" s="164">
        <f t="shared" si="0"/>
        <v>0</v>
      </c>
      <c r="N26" s="164">
        <f>IF(B26="Fallow, five years (semi-permanent)",VLOOKUP(M26,'Standard data'!$E$88:$F$99,2,FALSE),0)</f>
        <v>0</v>
      </c>
      <c r="O26" s="164">
        <f t="shared" si="3"/>
        <v>0</v>
      </c>
      <c r="P26" s="172">
        <f>$O26*Grassland!D28</f>
        <v>0</v>
      </c>
      <c r="Q26" s="163" t="str">
        <f>IF(AND((Grassland!G28+Grassland!I28+Grassland!K28)=0,C26="no"),"no","yes")</f>
        <v>no</v>
      </c>
      <c r="R26" s="164" t="str">
        <f t="shared" si="4"/>
        <v>no no no</v>
      </c>
      <c r="S26" s="164">
        <f>IF(C26="No",0,VLOOKUP(R26,'Standard data'!$E$154:$F$161,2,FALSE))</f>
        <v>0</v>
      </c>
      <c r="T26" s="164" t="str">
        <f t="shared" si="1"/>
        <v>0 temperate boreal</v>
      </c>
      <c r="U26" s="164">
        <f>IF(C26="No",0,VLOOKUP(T26,'Standard data'!$D$168:$E$171,2,FALSE))</f>
        <v>0</v>
      </c>
      <c r="V26" s="164" t="str">
        <f>IF(AND(SUM(Grassland!N28,Grassland!K28,Grassland!I28,Grassland!G28)=0,D26="no",E26="no"),"medium","high")</f>
        <v>medium</v>
      </c>
      <c r="W26" s="164">
        <f>VLOOKUP(V26,'Standard data'!$C$177:$E$178,3,FALSE)</f>
        <v>1</v>
      </c>
      <c r="X26" s="164">
        <f>$L26*'Standard data'!$D$184*$U26*$W26</f>
        <v>0</v>
      </c>
      <c r="Y26" s="169">
        <f>$X26*Grassland!D28</f>
        <v>0</v>
      </c>
      <c r="Z26" s="172">
        <f>IF(AND(J26="yes",K26="yes",C26="Yes"),Grassland!D28*VLOOKUP(B19,'Standard data'!$B$190:$C$191,2,FALSE),0)</f>
        <v>0</v>
      </c>
    </row>
    <row r="27" spans="1:26">
      <c r="A27" s="152">
        <f>Grassland!B29</f>
        <v>14</v>
      </c>
      <c r="B27" s="152" t="str">
        <f>Grassland!C29</f>
        <v>COVER_CROP_LEGUMES_100</v>
      </c>
      <c r="C27" s="152" t="str">
        <f t="shared" si="2"/>
        <v>No</v>
      </c>
      <c r="D27" s="152" t="str">
        <f>Grassland!U29</f>
        <v>no</v>
      </c>
      <c r="E27" s="152" t="str">
        <f>Grassland!T29</f>
        <v>no</v>
      </c>
      <c r="F27" s="152" t="str">
        <f>Grassland!R29</f>
        <v>no tillage</v>
      </c>
      <c r="G27" s="152" t="str">
        <f>Grassland!V29</f>
        <v>no</v>
      </c>
      <c r="H27" s="152" t="str">
        <f>Grassland!W29</f>
        <v>no</v>
      </c>
      <c r="I27" s="152" t="str">
        <f>Grassland!L29</f>
        <v>yes</v>
      </c>
      <c r="J27" s="152" t="str">
        <f>Grassland!X29</f>
        <v>no</v>
      </c>
      <c r="K27" s="156" t="str">
        <f>Grassland!Y29</f>
        <v>no</v>
      </c>
      <c r="L27" s="163">
        <f>IF(J27="no",(INDEX('Standard data'!$C$76:$H$80,Crops!$E$4,Crops!$E$5)),0)</f>
        <v>24</v>
      </c>
      <c r="M27" s="164">
        <f t="shared" si="0"/>
        <v>0</v>
      </c>
      <c r="N27" s="164">
        <f>IF(B27="Fallow, five years (semi-permanent)",VLOOKUP(M27,'Standard data'!$E$88:$F$99,2,FALSE),0)</f>
        <v>0</v>
      </c>
      <c r="O27" s="164">
        <f t="shared" si="3"/>
        <v>0</v>
      </c>
      <c r="P27" s="172">
        <f>$O27*Grassland!D29</f>
        <v>0</v>
      </c>
      <c r="Q27" s="163" t="str">
        <f>IF(AND((Grassland!G29+Grassland!I29+Grassland!K29)=0,C27="no"),"no","yes")</f>
        <v>no</v>
      </c>
      <c r="R27" s="164" t="str">
        <f t="shared" si="4"/>
        <v>no no no</v>
      </c>
      <c r="S27" s="164">
        <f>IF(C27="No",0,VLOOKUP(R27,'Standard data'!$E$154:$F$161,2,FALSE))</f>
        <v>0</v>
      </c>
      <c r="T27" s="164" t="str">
        <f t="shared" si="1"/>
        <v>0 temperate boreal</v>
      </c>
      <c r="U27" s="164">
        <f>IF(C27="No",0,VLOOKUP(T27,'Standard data'!$D$168:$E$171,2,FALSE))</f>
        <v>0</v>
      </c>
      <c r="V27" s="164" t="str">
        <f>IF(AND(SUM(Grassland!N29,Grassland!K29,Grassland!I29,Grassland!G29)=0,D27="no",E27="no"),"medium","high")</f>
        <v>medium</v>
      </c>
      <c r="W27" s="164">
        <f>VLOOKUP(V27,'Standard data'!$C$177:$E$178,3,FALSE)</f>
        <v>1</v>
      </c>
      <c r="X27" s="164">
        <f>$L27*'Standard data'!$D$184*$U27*$W27</f>
        <v>0</v>
      </c>
      <c r="Y27" s="169">
        <f>$X27*Grassland!D29</f>
        <v>0</v>
      </c>
      <c r="Z27" s="172">
        <f>IF(AND(J27="yes",K27="yes",C27="Yes"),Grassland!D29*VLOOKUP(B20,'Standard data'!$B$190:$C$191,2,FALSE),0)</f>
        <v>0</v>
      </c>
    </row>
    <row r="28" spans="1:26">
      <c r="A28" s="152">
        <f>Grassland!B30</f>
        <v>15</v>
      </c>
      <c r="B28" s="152" t="str">
        <f>Grassland!C30</f>
        <v>COVER_CROP_LEGUMES_100</v>
      </c>
      <c r="C28" s="152" t="str">
        <f t="shared" si="2"/>
        <v>No</v>
      </c>
      <c r="D28" s="152" t="str">
        <f>Grassland!U30</f>
        <v>no</v>
      </c>
      <c r="E28" s="152" t="str">
        <f>Grassland!T30</f>
        <v>no</v>
      </c>
      <c r="F28" s="152" t="str">
        <f>Grassland!R30</f>
        <v>no tillage</v>
      </c>
      <c r="G28" s="152" t="str">
        <f>Grassland!V30</f>
        <v>no</v>
      </c>
      <c r="H28" s="152" t="str">
        <f>Grassland!W30</f>
        <v>no</v>
      </c>
      <c r="I28" s="152" t="str">
        <f>Grassland!L30</f>
        <v>yes</v>
      </c>
      <c r="J28" s="152" t="str">
        <f>Grassland!X30</f>
        <v>no</v>
      </c>
      <c r="K28" s="156" t="str">
        <f>Grassland!Y30</f>
        <v>no</v>
      </c>
      <c r="L28" s="163">
        <f>IF(J28="no",(INDEX('Standard data'!$C$76:$H$80,Crops!$E$4,Crops!$E$5)),0)</f>
        <v>24</v>
      </c>
      <c r="M28" s="164">
        <f t="shared" si="0"/>
        <v>0</v>
      </c>
      <c r="N28" s="164">
        <f>IF(B28="Fallow, five years (semi-permanent)",VLOOKUP(M28,'Standard data'!$E$88:$F$99,2,FALSE),0)</f>
        <v>0</v>
      </c>
      <c r="O28" s="164">
        <f t="shared" si="3"/>
        <v>0</v>
      </c>
      <c r="P28" s="172">
        <f>$O28*Grassland!D30</f>
        <v>0</v>
      </c>
      <c r="Q28" s="163" t="str">
        <f>IF(AND((Grassland!G30+Grassland!I30+Grassland!K30)=0,C28="no"),"no","yes")</f>
        <v>no</v>
      </c>
      <c r="R28" s="164" t="str">
        <f t="shared" si="4"/>
        <v>no no no</v>
      </c>
      <c r="S28" s="164">
        <f>IF(C28="No",0,VLOOKUP(R28,'Standard data'!$E$154:$F$161,2,FALSE))</f>
        <v>0</v>
      </c>
      <c r="T28" s="164" t="str">
        <f t="shared" si="1"/>
        <v>0 temperate boreal</v>
      </c>
      <c r="U28" s="164">
        <f>IF(C28="No",0,VLOOKUP(T28,'Standard data'!$D$168:$E$171,2,FALSE))</f>
        <v>0</v>
      </c>
      <c r="V28" s="164" t="str">
        <f>IF(AND(SUM(Grassland!N30,Grassland!K30,Grassland!I30,Grassland!G30)=0,D28="no",E28="no"),"medium","high")</f>
        <v>medium</v>
      </c>
      <c r="W28" s="164">
        <f>VLOOKUP(V28,'Standard data'!$C$177:$E$178,3,FALSE)</f>
        <v>1</v>
      </c>
      <c r="X28" s="164">
        <f>$L28*'Standard data'!$D$184*$U28*$W28</f>
        <v>0</v>
      </c>
      <c r="Y28" s="169">
        <f>$X28*Grassland!D30</f>
        <v>0</v>
      </c>
      <c r="Z28" s="172">
        <f>IF(AND(J28="yes",K28="yes",C28="Yes"),Grassland!D30*VLOOKUP(B21,'Standard data'!$B$190:$C$191,2,FALSE),0)</f>
        <v>0</v>
      </c>
    </row>
    <row r="29" spans="1:26" ht="15.75" thickBot="1">
      <c r="A29" s="152">
        <f>Grassland!B31</f>
        <v>16</v>
      </c>
      <c r="B29" s="152" t="str">
        <f>Grassland!C31</f>
        <v>COVER_CROP_LEGUMES_100</v>
      </c>
      <c r="C29" s="152" t="str">
        <f t="shared" si="2"/>
        <v>No</v>
      </c>
      <c r="D29" s="152" t="str">
        <f>Grassland!U31</f>
        <v>no</v>
      </c>
      <c r="E29" s="152" t="str">
        <f>Grassland!T31</f>
        <v>no</v>
      </c>
      <c r="F29" s="152" t="str">
        <f>Grassland!R31</f>
        <v>no tillage</v>
      </c>
      <c r="G29" s="152" t="str">
        <f>Grassland!V31</f>
        <v>no</v>
      </c>
      <c r="H29" s="152" t="str">
        <f>Grassland!W31</f>
        <v>no</v>
      </c>
      <c r="I29" s="152" t="str">
        <f>Grassland!L31</f>
        <v>yes</v>
      </c>
      <c r="J29" s="152" t="str">
        <f>Grassland!X31</f>
        <v>no</v>
      </c>
      <c r="K29" s="156" t="str">
        <f>Grassland!Y31</f>
        <v>no</v>
      </c>
      <c r="L29" s="166">
        <f>IF(J29="no",(INDEX('Standard data'!$C$76:$H$80,Crops!$E$4,Crops!$E$5)),0)</f>
        <v>24</v>
      </c>
      <c r="M29" s="167">
        <f t="shared" si="0"/>
        <v>0</v>
      </c>
      <c r="N29" s="167">
        <f>IF(B29="Fallow, five years (semi-permanent)",VLOOKUP(M29,'Standard data'!$E$88:$F$99,2,FALSE),0)</f>
        <v>0</v>
      </c>
      <c r="O29" s="167">
        <f t="shared" si="3"/>
        <v>0</v>
      </c>
      <c r="P29" s="174">
        <f>$O29*Grassland!D31</f>
        <v>0</v>
      </c>
      <c r="Q29" s="163" t="str">
        <f>IF(AND((Grassland!G31+Grassland!I31+Grassland!K31)=0,C29="no"),"no","yes")</f>
        <v>no</v>
      </c>
      <c r="R29" s="167" t="str">
        <f t="shared" si="4"/>
        <v>no no no</v>
      </c>
      <c r="S29" s="167">
        <f>IF(C29="No",0,VLOOKUP(R29,'Standard data'!$E$154:$F$161,2,FALSE))</f>
        <v>0</v>
      </c>
      <c r="T29" s="167" t="str">
        <f t="shared" si="1"/>
        <v>0 temperate boreal</v>
      </c>
      <c r="U29" s="167">
        <f>IF(C29="No",0,VLOOKUP(T29,'Standard data'!$D$168:$E$171,2,FALSE))</f>
        <v>0</v>
      </c>
      <c r="V29" s="164" t="str">
        <f>IF(AND(SUM(Grassland!N31,Grassland!K31,Grassland!I31,Grassland!G31)=0,D29="no",E29="no"),"medium","high")</f>
        <v>medium</v>
      </c>
      <c r="W29" s="167">
        <f>VLOOKUP(V29,'Standard data'!$C$177:$E$178,3,FALSE)</f>
        <v>1</v>
      </c>
      <c r="X29" s="167">
        <f>$L29*'Standard data'!$D$184*$U29*$W29</f>
        <v>0</v>
      </c>
      <c r="Y29" s="173">
        <f>$X29*Grassland!D31</f>
        <v>0</v>
      </c>
      <c r="Z29" s="174">
        <f>IF(AND(J29="yes",K29="yes",C29="Yes"),Grassland!D31*VLOOKUP(B22,'Standard data'!$B$190:$C$191,2,FALSE),0)</f>
        <v>0</v>
      </c>
    </row>
    <row r="30" spans="1:26" s="109" customFormat="1" ht="15.75" thickBot="1">
      <c r="A30" s="39"/>
      <c r="B30" s="39"/>
      <c r="C30" s="39"/>
      <c r="D30" s="39"/>
      <c r="E30" s="39"/>
      <c r="F30" s="39"/>
      <c r="G30" s="39"/>
      <c r="H30" s="39"/>
      <c r="I30" s="39"/>
      <c r="J30" s="39"/>
      <c r="K30" s="39"/>
      <c r="L30" s="39"/>
      <c r="M30" s="39"/>
      <c r="N30" s="39"/>
      <c r="O30" s="39"/>
      <c r="P30" s="326">
        <f>SUM(P14:P29)</f>
        <v>0</v>
      </c>
      <c r="Q30" s="39"/>
      <c r="R30" s="39"/>
      <c r="S30" s="39"/>
      <c r="T30" s="39"/>
      <c r="U30" s="39"/>
      <c r="V30" s="39"/>
      <c r="W30" s="39"/>
      <c r="X30" s="39"/>
      <c r="Y30" s="326">
        <f>SUM(Y14:Y29)</f>
        <v>0</v>
      </c>
      <c r="Z30" s="326">
        <f>SUM(Z14:Z29)</f>
        <v>0</v>
      </c>
    </row>
  </sheetData>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F1" workbookViewId="0"/>
  </sheetViews>
  <sheetFormatPr baseColWidth="10" defaultRowHeight="15"/>
  <cols>
    <col min="1" max="1" width="14.85546875" customWidth="1"/>
    <col min="2" max="8" width="22.140625" customWidth="1"/>
    <col min="10" max="10" width="25.28515625" customWidth="1"/>
    <col min="18" max="18" width="16.42578125" customWidth="1"/>
    <col min="19" max="19" width="15.5703125" customWidth="1"/>
    <col min="20" max="20" width="12.85546875" customWidth="1"/>
  </cols>
  <sheetData>
    <row r="1" spans="1:20" ht="15.75" thickBot="1"/>
    <row r="2" spans="1:20">
      <c r="A2" s="175" t="s">
        <v>568</v>
      </c>
      <c r="B2" s="159"/>
    </row>
    <row r="3" spans="1:20">
      <c r="A3" s="163" t="str">
        <f>Crops!B4</f>
        <v>Climate</v>
      </c>
      <c r="B3" s="165" t="str">
        <f>Crops!C4</f>
        <v>warm temperate dry</v>
      </c>
    </row>
    <row r="4" spans="1:20">
      <c r="A4" s="163" t="str">
        <f>Crops!B5</f>
        <v>Temperature regime</v>
      </c>
      <c r="B4" s="165" t="str">
        <f>Crops!C5</f>
        <v>temperate boreal</v>
      </c>
    </row>
    <row r="5" spans="1:20">
      <c r="A5" s="163" t="str">
        <f>Crops!B6</f>
        <v>Moisture regime</v>
      </c>
      <c r="B5" s="165" t="str">
        <f>Crops!C6</f>
        <v>moist</v>
      </c>
    </row>
    <row r="6" spans="1:20">
      <c r="A6" s="163" t="str">
        <f>Crops!B7</f>
        <v>Soil</v>
      </c>
      <c r="B6" s="165" t="str">
        <f>Crops!C7</f>
        <v>Acrisol</v>
      </c>
    </row>
    <row r="7" spans="1:20">
      <c r="A7" s="163" t="str">
        <f>Crops!B8</f>
        <v>Dominant soil</v>
      </c>
      <c r="B7" s="165" t="str">
        <f>Crops!C8</f>
        <v>LAC soils</v>
      </c>
    </row>
    <row r="8" spans="1:20" ht="15.75" thickBot="1">
      <c r="A8" s="166" t="str">
        <f>Crops!B9</f>
        <v>Climate zone (organic soil factor)</v>
      </c>
      <c r="B8" s="168" t="str">
        <f>Crops!C9</f>
        <v>warm temperate</v>
      </c>
    </row>
    <row r="9" spans="1:20" ht="15.75" thickBot="1">
      <c r="A9" s="107"/>
    </row>
    <row r="10" spans="1:20" ht="30">
      <c r="A10" s="150" t="s">
        <v>548</v>
      </c>
      <c r="B10" s="150" t="s">
        <v>6</v>
      </c>
      <c r="C10" s="150" t="s">
        <v>550</v>
      </c>
      <c r="D10" s="150" t="s">
        <v>12</v>
      </c>
      <c r="E10" s="150" t="s">
        <v>551</v>
      </c>
      <c r="F10" s="150" t="s">
        <v>11</v>
      </c>
      <c r="G10" s="150" t="s">
        <v>486</v>
      </c>
      <c r="H10" s="150" t="s">
        <v>471</v>
      </c>
      <c r="I10" s="150" t="s">
        <v>23</v>
      </c>
      <c r="J10" s="150" t="s">
        <v>24</v>
      </c>
      <c r="K10" s="150" t="s">
        <v>25</v>
      </c>
      <c r="L10" s="150" t="s">
        <v>26</v>
      </c>
      <c r="M10" s="150" t="s">
        <v>27</v>
      </c>
      <c r="N10" s="150" t="s">
        <v>28</v>
      </c>
      <c r="O10" s="150" t="s">
        <v>29</v>
      </c>
      <c r="P10" s="150" t="s">
        <v>30</v>
      </c>
      <c r="Q10" s="150" t="s">
        <v>31</v>
      </c>
      <c r="R10" s="155" t="s">
        <v>32</v>
      </c>
      <c r="S10" s="281" t="s">
        <v>33</v>
      </c>
      <c r="T10" s="171" t="s">
        <v>34</v>
      </c>
    </row>
    <row r="11" spans="1:20">
      <c r="A11" s="150"/>
      <c r="B11" s="150"/>
      <c r="C11" s="150"/>
      <c r="D11" s="150"/>
      <c r="E11" s="150"/>
      <c r="F11" s="150"/>
      <c r="G11" s="150"/>
      <c r="H11" s="150"/>
      <c r="I11" s="150" t="s">
        <v>55</v>
      </c>
      <c r="J11" s="150"/>
      <c r="K11" s="150"/>
      <c r="L11" s="150"/>
      <c r="M11" s="150"/>
      <c r="N11" s="150"/>
      <c r="O11" s="150"/>
      <c r="P11" s="150"/>
      <c r="Q11" s="150"/>
      <c r="R11" s="155" t="s">
        <v>55</v>
      </c>
      <c r="S11" s="282" t="s">
        <v>56</v>
      </c>
      <c r="T11" s="172" t="s">
        <v>56</v>
      </c>
    </row>
    <row r="12" spans="1:20">
      <c r="A12" s="150"/>
      <c r="B12" s="150"/>
      <c r="C12" s="150"/>
      <c r="D12" s="150"/>
      <c r="E12" s="150"/>
      <c r="F12" s="150"/>
      <c r="G12" s="150"/>
      <c r="H12" s="150"/>
      <c r="I12" s="150"/>
      <c r="J12" s="150"/>
      <c r="K12" s="150"/>
      <c r="L12" s="150"/>
      <c r="M12" s="150"/>
      <c r="N12" s="150"/>
      <c r="O12" s="150"/>
      <c r="P12" s="150"/>
      <c r="Q12" s="150"/>
      <c r="R12" s="155"/>
      <c r="S12" s="282" t="s">
        <v>169</v>
      </c>
      <c r="T12" s="172" t="s">
        <v>170</v>
      </c>
    </row>
    <row r="13" spans="1:20">
      <c r="A13" s="150">
        <f>Crops!B17</f>
        <v>1</v>
      </c>
      <c r="B13" s="150" t="str">
        <f>Crops!C17</f>
        <v>ALFALFA_GREEN_FLOWERING</v>
      </c>
      <c r="C13" s="150" t="str">
        <f>Crops!X17</f>
        <v>full tillage</v>
      </c>
      <c r="D13" s="150" t="str">
        <f>Crops!V17</f>
        <v>incorporated</v>
      </c>
      <c r="E13" s="150" t="str">
        <f>Crops!W17</f>
        <v>no</v>
      </c>
      <c r="F13" s="150" t="str">
        <f>Crops!L17</f>
        <v>yes</v>
      </c>
      <c r="G13" s="150" t="str">
        <f>Crops!Y17</f>
        <v>no</v>
      </c>
      <c r="H13" s="150" t="str">
        <f>Crops!Z17</f>
        <v>no</v>
      </c>
      <c r="I13" s="150">
        <f>IF(G13="no",(INDEX('Standard data'!$C$76:$H$80,Crops!$E$4,Crops!$E$5)),0)</f>
        <v>24</v>
      </c>
      <c r="J13" s="150" t="str">
        <f>IF($B13="Rice",CONCATENATE("paddy rice"," ",$B$4," ",$B$5),CONCATENATE("annual crop"," ",$B$4," ",$B$5))</f>
        <v>annual crop temperate boreal moist</v>
      </c>
      <c r="K13" s="150">
        <f>VLOOKUP($J13,'Standard data'!$E$88:$F$99,2,FALSE)</f>
        <v>0.69</v>
      </c>
      <c r="L13" s="150" t="str">
        <f>IF(C13="",CONCATENATE("full tillage"," ",$B$4," ",$B$5),CONCATENATE(C13," ",$B$4," ",$B$5))</f>
        <v>full tillage temperate boreal moist</v>
      </c>
      <c r="M13" s="150">
        <f>VLOOKUP($L13,'Standard data'!$E$104:$F$109,2,FALSE)</f>
        <v>1</v>
      </c>
      <c r="N13" s="150" t="str">
        <f>IF(D13="",CONCATENATE("incorporated"," ",F13," ",E13),CONCATENATE(D13," ",F13," ",E13))</f>
        <v>incorporated yes no</v>
      </c>
      <c r="O13" s="150" t="str">
        <f>VLOOKUP($N13,'Standard data'!$E$115:$F$126,2,FALSE)</f>
        <v>high man</v>
      </c>
      <c r="P13" s="150" t="str">
        <f>CONCATENATE(O13," ",$B$4," ",$B$5)</f>
        <v>high man temperate boreal moist</v>
      </c>
      <c r="Q13" s="150">
        <f>VLOOKUP(P13,'Standard data'!$E$131:$F$138,2,FALSE)</f>
        <v>1.44</v>
      </c>
      <c r="R13" s="155">
        <f>$I13*$K13*$M13*$Q13</f>
        <v>23.846399999999996</v>
      </c>
      <c r="S13" s="282">
        <f>$R13*Crops!$D17</f>
        <v>0</v>
      </c>
      <c r="T13" s="172">
        <f>IF(AND(G13="YES",H13="YES"),Crops!$D17*VLOOKUP(B6,'Standard data'!B146:C147,2,FALSE),0)</f>
        <v>0</v>
      </c>
    </row>
    <row r="14" spans="1:20">
      <c r="A14" s="150">
        <f>Crops!B18</f>
        <v>2</v>
      </c>
      <c r="B14" s="150" t="str">
        <f>Crops!C18</f>
        <v>ALFALFA_GREEN_FLOWERING</v>
      </c>
      <c r="C14" s="150" t="str">
        <f>Crops!X18</f>
        <v>full tillage</v>
      </c>
      <c r="D14" s="150" t="str">
        <f>Crops!V18</f>
        <v>incorporated</v>
      </c>
      <c r="E14" s="150" t="str">
        <f>Crops!W18</f>
        <v>no</v>
      </c>
      <c r="F14" s="150" t="str">
        <f>Crops!L18</f>
        <v>yes</v>
      </c>
      <c r="G14" s="150" t="str">
        <f>Crops!Y18</f>
        <v>no</v>
      </c>
      <c r="H14" s="150" t="str">
        <f>Crops!Z18</f>
        <v>no</v>
      </c>
      <c r="I14" s="150">
        <f>IF(Crops!Y18="NO",(INDEX('Standard data'!$C$76:$H$80,Crops!$E$4,Crops!$E$5)),0)</f>
        <v>24</v>
      </c>
      <c r="J14" s="150" t="str">
        <f t="shared" ref="J14:J35" si="0">IF($B14="Rice",CONCATENATE("paddy rice"," ",$B$4," ",$B$5),CONCATENATE("annual crop"," ",$B$4," ",$B$5))</f>
        <v>annual crop temperate boreal moist</v>
      </c>
      <c r="K14" s="150">
        <f>VLOOKUP($J14,'Standard data'!$E$88:$F$99,2,FALSE)</f>
        <v>0.69</v>
      </c>
      <c r="L14" s="150" t="str">
        <f t="shared" ref="L14:L35" si="1">IF(C14="",CONCATENATE("full tillage"," ",$B$4," ",$B$5),CONCATENATE(C14," ",$B$4," ",$B$5))</f>
        <v>full tillage temperate boreal moist</v>
      </c>
      <c r="M14" s="150">
        <f>VLOOKUP($L14,'Standard data'!$E$104:$F$109,2,FALSE)</f>
        <v>1</v>
      </c>
      <c r="N14" s="150" t="str">
        <f t="shared" ref="N14:N35" si="2">IF(D14="",CONCATENATE("incorporated"," ",F14," ",E14),CONCATENATE(D14," ",F14," ",E14))</f>
        <v>incorporated yes no</v>
      </c>
      <c r="O14" s="150" t="str">
        <f>VLOOKUP($N14,'Standard data'!$E$115:$F$126,2,FALSE)</f>
        <v>high man</v>
      </c>
      <c r="P14" s="150" t="str">
        <f t="shared" ref="P14:P35" si="3">CONCATENATE(O14," ",$B$4," ",$B$5)</f>
        <v>high man temperate boreal moist</v>
      </c>
      <c r="Q14" s="150">
        <f>VLOOKUP(P14,'Standard data'!$E$131:$F$138,2,FALSE)</f>
        <v>1.44</v>
      </c>
      <c r="R14" s="155">
        <f t="shared" ref="R14:R35" si="4">$I14*$K14*$M14*$Q14</f>
        <v>23.846399999999996</v>
      </c>
      <c r="S14" s="282">
        <f>$R14*Crops!$D18</f>
        <v>0</v>
      </c>
      <c r="T14" s="172">
        <f>IF(AND(G14="YES",H14="YES"),Crops!$D18*VLOOKUP(B7,'Standard data'!B147:C148,2,FALSE),0)</f>
        <v>0</v>
      </c>
    </row>
    <row r="15" spans="1:20">
      <c r="A15" s="150">
        <f>Crops!B19</f>
        <v>3</v>
      </c>
      <c r="B15" s="150" t="str">
        <f>Crops!C19</f>
        <v>ALFALFA_GREEN_FLOWERING</v>
      </c>
      <c r="C15" s="150" t="str">
        <f>Crops!X19</f>
        <v>full tillage</v>
      </c>
      <c r="D15" s="150" t="str">
        <f>Crops!V19</f>
        <v>incorporated</v>
      </c>
      <c r="E15" s="150" t="str">
        <f>Crops!W19</f>
        <v>no</v>
      </c>
      <c r="F15" s="150" t="str">
        <f>Crops!L19</f>
        <v>yes</v>
      </c>
      <c r="G15" s="150" t="str">
        <f>Crops!Y19</f>
        <v>no</v>
      </c>
      <c r="H15" s="150" t="str">
        <f>Crops!Z19</f>
        <v>no</v>
      </c>
      <c r="I15" s="150">
        <f>IF(Crops!Y19="NO",(INDEX('Standard data'!$C$76:$H$80,Crops!$E$4,Crops!$E$5)),0)</f>
        <v>24</v>
      </c>
      <c r="J15" s="150" t="str">
        <f t="shared" si="0"/>
        <v>annual crop temperate boreal moist</v>
      </c>
      <c r="K15" s="150">
        <f>VLOOKUP($J15,'Standard data'!$E$88:$F$99,2,FALSE)</f>
        <v>0.69</v>
      </c>
      <c r="L15" s="150" t="str">
        <f t="shared" si="1"/>
        <v>full tillage temperate boreal moist</v>
      </c>
      <c r="M15" s="150">
        <f>VLOOKUP($L15,'Standard data'!$E$104:$F$109,2,FALSE)</f>
        <v>1</v>
      </c>
      <c r="N15" s="150" t="str">
        <f t="shared" si="2"/>
        <v>incorporated yes no</v>
      </c>
      <c r="O15" s="150" t="str">
        <f>VLOOKUP($N15,'Standard data'!$E$115:$F$126,2,FALSE)</f>
        <v>high man</v>
      </c>
      <c r="P15" s="150" t="str">
        <f t="shared" si="3"/>
        <v>high man temperate boreal moist</v>
      </c>
      <c r="Q15" s="150">
        <f>VLOOKUP(P15,'Standard data'!$E$131:$F$138,2,FALSE)</f>
        <v>1.44</v>
      </c>
      <c r="R15" s="155">
        <f t="shared" si="4"/>
        <v>23.846399999999996</v>
      </c>
      <c r="S15" s="282">
        <f>$R15*Crops!$D19</f>
        <v>0</v>
      </c>
      <c r="T15" s="172">
        <f>IF(AND(G15="YES",H15="YES"),Crops!$D19*VLOOKUP(B8,'Standard data'!B148:C149,2,FALSE),0)</f>
        <v>0</v>
      </c>
    </row>
    <row r="16" spans="1:20">
      <c r="A16" s="150">
        <f>Crops!B20</f>
        <v>4</v>
      </c>
      <c r="B16" s="150" t="str">
        <f>Crops!C20</f>
        <v>ALFALFA_GREEN_FLOWERING</v>
      </c>
      <c r="C16" s="150" t="str">
        <f>Crops!X20</f>
        <v>full tillage</v>
      </c>
      <c r="D16" s="150" t="str">
        <f>Crops!V20</f>
        <v>incorporated</v>
      </c>
      <c r="E16" s="150" t="str">
        <f>Crops!W20</f>
        <v>no</v>
      </c>
      <c r="F16" s="150" t="str">
        <f>Crops!L20</f>
        <v>yes</v>
      </c>
      <c r="G16" s="150" t="str">
        <f>Crops!Y20</f>
        <v>no</v>
      </c>
      <c r="H16" s="150" t="str">
        <f>Crops!Z20</f>
        <v>no</v>
      </c>
      <c r="I16" s="150">
        <f>IF(Crops!Y20="NO",(INDEX('Standard data'!$C$76:$H$80,Crops!$E$4,Crops!$E$5)),0)</f>
        <v>24</v>
      </c>
      <c r="J16" s="150" t="str">
        <f t="shared" si="0"/>
        <v>annual crop temperate boreal moist</v>
      </c>
      <c r="K16" s="150">
        <f>VLOOKUP($J16,'Standard data'!$E$88:$F$99,2,FALSE)</f>
        <v>0.69</v>
      </c>
      <c r="L16" s="150" t="str">
        <f t="shared" si="1"/>
        <v>full tillage temperate boreal moist</v>
      </c>
      <c r="M16" s="150">
        <f>VLOOKUP($L16,'Standard data'!$E$104:$F$109,2,FALSE)</f>
        <v>1</v>
      </c>
      <c r="N16" s="150" t="str">
        <f t="shared" si="2"/>
        <v>incorporated yes no</v>
      </c>
      <c r="O16" s="150" t="str">
        <f>VLOOKUP($N16,'Standard data'!$E$115:$F$126,2,FALSE)</f>
        <v>high man</v>
      </c>
      <c r="P16" s="150" t="str">
        <f t="shared" si="3"/>
        <v>high man temperate boreal moist</v>
      </c>
      <c r="Q16" s="150">
        <f>VLOOKUP(P16,'Standard data'!$E$131:$F$138,2,FALSE)</f>
        <v>1.44</v>
      </c>
      <c r="R16" s="155">
        <f t="shared" si="4"/>
        <v>23.846399999999996</v>
      </c>
      <c r="S16" s="282">
        <f>$R16*Crops!$D20</f>
        <v>0</v>
      </c>
      <c r="T16" s="172">
        <f>IF(AND(G16="YES",H16="YES"),Crops!$D20*VLOOKUP(B9,'Standard data'!B148:C150,2,FALSE),0)</f>
        <v>0</v>
      </c>
    </row>
    <row r="17" spans="1:20">
      <c r="A17" s="150">
        <f>Crops!B21</f>
        <v>5</v>
      </c>
      <c r="B17" s="150" t="str">
        <f>Crops!C21</f>
        <v>ALFALFA_GREEN_FLOWERING</v>
      </c>
      <c r="C17" s="150" t="str">
        <f>Crops!X21</f>
        <v>full tillage</v>
      </c>
      <c r="D17" s="150" t="str">
        <f>Crops!V21</f>
        <v>incorporated</v>
      </c>
      <c r="E17" s="150" t="str">
        <f>Crops!W21</f>
        <v>no</v>
      </c>
      <c r="F17" s="150" t="str">
        <f>Crops!L21</f>
        <v>yes</v>
      </c>
      <c r="G17" s="150" t="str">
        <f>Crops!Y21</f>
        <v>no</v>
      </c>
      <c r="H17" s="150" t="str">
        <f>Crops!Z21</f>
        <v>no</v>
      </c>
      <c r="I17" s="150">
        <f>IF(Crops!Y21="NO",(INDEX('Standard data'!$C$76:$H$80,Crops!$E$4,Crops!$E$5)),0)</f>
        <v>24</v>
      </c>
      <c r="J17" s="150" t="str">
        <f t="shared" si="0"/>
        <v>annual crop temperate boreal moist</v>
      </c>
      <c r="K17" s="150">
        <f>VLOOKUP($J17,'Standard data'!$E$88:$F$99,2,FALSE)</f>
        <v>0.69</v>
      </c>
      <c r="L17" s="150" t="str">
        <f t="shared" si="1"/>
        <v>full tillage temperate boreal moist</v>
      </c>
      <c r="M17" s="150">
        <f>VLOOKUP($L17,'Standard data'!$E$104:$F$109,2,FALSE)</f>
        <v>1</v>
      </c>
      <c r="N17" s="150" t="str">
        <f t="shared" si="2"/>
        <v>incorporated yes no</v>
      </c>
      <c r="O17" s="150" t="str">
        <f>VLOOKUP($N17,'Standard data'!$E$115:$F$126,2,FALSE)</f>
        <v>high man</v>
      </c>
      <c r="P17" s="150" t="str">
        <f t="shared" si="3"/>
        <v>high man temperate boreal moist</v>
      </c>
      <c r="Q17" s="150">
        <f>VLOOKUP(P17,'Standard data'!$E$131:$F$138,2,FALSE)</f>
        <v>1.44</v>
      </c>
      <c r="R17" s="155">
        <f t="shared" si="4"/>
        <v>23.846399999999996</v>
      </c>
      <c r="S17" s="282">
        <f>$R17*Crops!$D21</f>
        <v>0</v>
      </c>
      <c r="T17" s="172">
        <f>IF(AND(G17="YES",H17="YES"),Crops!$D21*VLOOKUP(B10,'Standard data'!B149:C151,2,FALSE),0)</f>
        <v>0</v>
      </c>
    </row>
    <row r="18" spans="1:20">
      <c r="A18" s="150">
        <f>Crops!B22</f>
        <v>6</v>
      </c>
      <c r="B18" s="150" t="str">
        <f>Crops!C22</f>
        <v>ALFALFA_GREEN_FLOWERING</v>
      </c>
      <c r="C18" s="150" t="str">
        <f>Crops!X22</f>
        <v>full tillage</v>
      </c>
      <c r="D18" s="150" t="str">
        <f>Crops!V22</f>
        <v>incorporated</v>
      </c>
      <c r="E18" s="150" t="str">
        <f>Crops!W22</f>
        <v>no</v>
      </c>
      <c r="F18" s="150" t="str">
        <f>Crops!L22</f>
        <v>yes</v>
      </c>
      <c r="G18" s="150" t="str">
        <f>Crops!Y22</f>
        <v>no</v>
      </c>
      <c r="H18" s="150" t="str">
        <f>Crops!Z22</f>
        <v>no</v>
      </c>
      <c r="I18" s="150">
        <f>IF(Crops!Y22="NO",(INDEX('Standard data'!$C$76:$H$80,Crops!$E$4,Crops!$E$5)),0)</f>
        <v>24</v>
      </c>
      <c r="J18" s="150" t="str">
        <f t="shared" si="0"/>
        <v>annual crop temperate boreal moist</v>
      </c>
      <c r="K18" s="150">
        <f>VLOOKUP($J18,'Standard data'!$E$88:$F$99,2,FALSE)</f>
        <v>0.69</v>
      </c>
      <c r="L18" s="150" t="str">
        <f t="shared" si="1"/>
        <v>full tillage temperate boreal moist</v>
      </c>
      <c r="M18" s="150">
        <f>VLOOKUP($L18,'Standard data'!$E$104:$F$109,2,FALSE)</f>
        <v>1</v>
      </c>
      <c r="N18" s="150" t="str">
        <f t="shared" si="2"/>
        <v>incorporated yes no</v>
      </c>
      <c r="O18" s="150" t="str">
        <f>VLOOKUP($N18,'Standard data'!$E$115:$F$126,2,FALSE)</f>
        <v>high man</v>
      </c>
      <c r="P18" s="150" t="str">
        <f t="shared" si="3"/>
        <v>high man temperate boreal moist</v>
      </c>
      <c r="Q18" s="150">
        <f>VLOOKUP(P18,'Standard data'!$E$131:$F$138,2,FALSE)</f>
        <v>1.44</v>
      </c>
      <c r="R18" s="155">
        <f t="shared" si="4"/>
        <v>23.846399999999996</v>
      </c>
      <c r="S18" s="282">
        <f>$R18*Crops!$D22</f>
        <v>0</v>
      </c>
      <c r="T18" s="172">
        <f>IF(AND(G18="YES",H18="YES"),Crops!$D22*VLOOKUP(B11,'Standard data'!B150:C152,2,FALSE),0)</f>
        <v>0</v>
      </c>
    </row>
    <row r="19" spans="1:20">
      <c r="A19" s="150">
        <f>Crops!B23</f>
        <v>7</v>
      </c>
      <c r="B19" s="150" t="str">
        <f>Crops!C23</f>
        <v>ALFALFA_GREEN_FLOWERING</v>
      </c>
      <c r="C19" s="150" t="str">
        <f>Crops!X23</f>
        <v>full tillage</v>
      </c>
      <c r="D19" s="150" t="str">
        <f>Crops!V23</f>
        <v>incorporated</v>
      </c>
      <c r="E19" s="150" t="str">
        <f>Crops!W23</f>
        <v>no</v>
      </c>
      <c r="F19" s="150" t="str">
        <f>Crops!L23</f>
        <v>yes</v>
      </c>
      <c r="G19" s="150" t="str">
        <f>Crops!Y23</f>
        <v>no</v>
      </c>
      <c r="H19" s="150" t="str">
        <f>Crops!Z23</f>
        <v>no</v>
      </c>
      <c r="I19" s="150">
        <f>IF(Crops!Y23="NO",(INDEX('Standard data'!$C$76:$H$80,Crops!$E$4,Crops!$E$5)),0)</f>
        <v>24</v>
      </c>
      <c r="J19" s="150" t="str">
        <f t="shared" si="0"/>
        <v>annual crop temperate boreal moist</v>
      </c>
      <c r="K19" s="150">
        <f>VLOOKUP($J19,'Standard data'!$E$88:$F$99,2,FALSE)</f>
        <v>0.69</v>
      </c>
      <c r="L19" s="150" t="str">
        <f t="shared" si="1"/>
        <v>full tillage temperate boreal moist</v>
      </c>
      <c r="M19" s="150">
        <f>VLOOKUP($L19,'Standard data'!$E$104:$F$109,2,FALSE)</f>
        <v>1</v>
      </c>
      <c r="N19" s="150" t="str">
        <f t="shared" si="2"/>
        <v>incorporated yes no</v>
      </c>
      <c r="O19" s="150" t="str">
        <f>VLOOKUP($N19,'Standard data'!$E$115:$F$126,2,FALSE)</f>
        <v>high man</v>
      </c>
      <c r="P19" s="150" t="str">
        <f t="shared" si="3"/>
        <v>high man temperate boreal moist</v>
      </c>
      <c r="Q19" s="150">
        <f>VLOOKUP(P19,'Standard data'!$E$131:$F$138,2,FALSE)</f>
        <v>1.44</v>
      </c>
      <c r="R19" s="155">
        <f t="shared" si="4"/>
        <v>23.846399999999996</v>
      </c>
      <c r="S19" s="282">
        <f>$R19*Crops!$D23</f>
        <v>0</v>
      </c>
      <c r="T19" s="172">
        <f>IF(AND(G19="YES",H19="YES"),Crops!$D23*VLOOKUP(B12,'Standard data'!B151:C153,2,FALSE),0)</f>
        <v>0</v>
      </c>
    </row>
    <row r="20" spans="1:20">
      <c r="A20" s="150">
        <f>Crops!B24</f>
        <v>8</v>
      </c>
      <c r="B20" s="150" t="str">
        <f>Crops!C24</f>
        <v>ALFALFA_GREEN_FLOWERING</v>
      </c>
      <c r="C20" s="150" t="str">
        <f>Crops!X24</f>
        <v>full tillage</v>
      </c>
      <c r="D20" s="150" t="str">
        <f>Crops!V24</f>
        <v>incorporated</v>
      </c>
      <c r="E20" s="150" t="str">
        <f>Crops!W24</f>
        <v>no</v>
      </c>
      <c r="F20" s="150" t="str">
        <f>Crops!L24</f>
        <v>yes</v>
      </c>
      <c r="G20" s="150" t="str">
        <f>Crops!Y24</f>
        <v>no</v>
      </c>
      <c r="H20" s="150" t="str">
        <f>Crops!Z24</f>
        <v>no</v>
      </c>
      <c r="I20" s="150">
        <f>IF(Crops!Y24="NO",(INDEX('Standard data'!$C$76:$H$80,Crops!$E$4,Crops!$E$5)),0)</f>
        <v>24</v>
      </c>
      <c r="J20" s="150" t="str">
        <f t="shared" si="0"/>
        <v>annual crop temperate boreal moist</v>
      </c>
      <c r="K20" s="150">
        <f>VLOOKUP($J20,'Standard data'!$E$88:$F$99,2,FALSE)</f>
        <v>0.69</v>
      </c>
      <c r="L20" s="150" t="str">
        <f t="shared" si="1"/>
        <v>full tillage temperate boreal moist</v>
      </c>
      <c r="M20" s="150">
        <f>VLOOKUP($L20,'Standard data'!$E$104:$F$109,2,FALSE)</f>
        <v>1</v>
      </c>
      <c r="N20" s="150" t="str">
        <f t="shared" si="2"/>
        <v>incorporated yes no</v>
      </c>
      <c r="O20" s="150" t="str">
        <f>VLOOKUP($N20,'Standard data'!$E$115:$F$126,2,FALSE)</f>
        <v>high man</v>
      </c>
      <c r="P20" s="150" t="str">
        <f t="shared" si="3"/>
        <v>high man temperate boreal moist</v>
      </c>
      <c r="Q20" s="150">
        <f>VLOOKUP(P20,'Standard data'!$E$131:$F$138,2,FALSE)</f>
        <v>1.44</v>
      </c>
      <c r="R20" s="155">
        <f t="shared" si="4"/>
        <v>23.846399999999996</v>
      </c>
      <c r="S20" s="282">
        <f>$R20*Crops!$D24</f>
        <v>0</v>
      </c>
      <c r="T20" s="172">
        <f>IF(AND(G20="YES",H20="YES"),Crops!$D24*VLOOKUP(B13,'Standard data'!B152:C154,2,FALSE),0)</f>
        <v>0</v>
      </c>
    </row>
    <row r="21" spans="1:20">
      <c r="A21" s="150">
        <f>Crops!B25</f>
        <v>9</v>
      </c>
      <c r="B21" s="150" t="str">
        <f>Crops!C25</f>
        <v>ALFALFA_GREEN_FLOWERING</v>
      </c>
      <c r="C21" s="150" t="str">
        <f>Crops!X25</f>
        <v>full tillage</v>
      </c>
      <c r="D21" s="150" t="str">
        <f>Crops!V25</f>
        <v>incorporated</v>
      </c>
      <c r="E21" s="150" t="str">
        <f>Crops!W25</f>
        <v>no</v>
      </c>
      <c r="F21" s="150" t="str">
        <f>Crops!L25</f>
        <v>yes</v>
      </c>
      <c r="G21" s="150" t="str">
        <f>Crops!Y25</f>
        <v>no</v>
      </c>
      <c r="H21" s="150" t="str">
        <f>Crops!Z25</f>
        <v>no</v>
      </c>
      <c r="I21" s="150">
        <f>IF(Crops!Y25="NO",(INDEX('Standard data'!$C$76:$H$80,Crops!$E$4,Crops!$E$5)),0)</f>
        <v>24</v>
      </c>
      <c r="J21" s="150" t="str">
        <f t="shared" si="0"/>
        <v>annual crop temperate boreal moist</v>
      </c>
      <c r="K21" s="150">
        <f>VLOOKUP($J21,'Standard data'!$E$88:$F$99,2,FALSE)</f>
        <v>0.69</v>
      </c>
      <c r="L21" s="150" t="str">
        <f t="shared" si="1"/>
        <v>full tillage temperate boreal moist</v>
      </c>
      <c r="M21" s="150">
        <f>VLOOKUP($L21,'Standard data'!$E$104:$F$109,2,FALSE)</f>
        <v>1</v>
      </c>
      <c r="N21" s="150" t="str">
        <f t="shared" si="2"/>
        <v>incorporated yes no</v>
      </c>
      <c r="O21" s="150" t="str">
        <f>VLOOKUP($N21,'Standard data'!$E$115:$F$126,2,FALSE)</f>
        <v>high man</v>
      </c>
      <c r="P21" s="150" t="str">
        <f t="shared" si="3"/>
        <v>high man temperate boreal moist</v>
      </c>
      <c r="Q21" s="150">
        <f>VLOOKUP(P21,'Standard data'!$E$131:$F$138,2,FALSE)</f>
        <v>1.44</v>
      </c>
      <c r="R21" s="155">
        <f t="shared" si="4"/>
        <v>23.846399999999996</v>
      </c>
      <c r="S21" s="282">
        <f>$R21*Crops!$D25</f>
        <v>0</v>
      </c>
      <c r="T21" s="172">
        <f>IF(AND(G21="YES",H21="YES"),Crops!$D25*VLOOKUP(B14,'Standard data'!B153:C155,2,FALSE),0)</f>
        <v>0</v>
      </c>
    </row>
    <row r="22" spans="1:20">
      <c r="A22" s="150">
        <f>Crops!B26</f>
        <v>10</v>
      </c>
      <c r="B22" s="150" t="str">
        <f>Crops!C26</f>
        <v>ALFALFA_GREEN_FLOWERING</v>
      </c>
      <c r="C22" s="150" t="str">
        <f>Crops!X26</f>
        <v>full tillage</v>
      </c>
      <c r="D22" s="150" t="str">
        <f>Crops!V26</f>
        <v>incorporated</v>
      </c>
      <c r="E22" s="150" t="str">
        <f>Crops!W26</f>
        <v>no</v>
      </c>
      <c r="F22" s="150" t="str">
        <f>Crops!L26</f>
        <v>yes</v>
      </c>
      <c r="G22" s="150" t="str">
        <f>Crops!Y26</f>
        <v>no</v>
      </c>
      <c r="H22" s="150" t="str">
        <f>Crops!Z26</f>
        <v>no</v>
      </c>
      <c r="I22" s="150">
        <f>IF(Crops!Y26="NO",(INDEX('Standard data'!$C$76:$H$80,Crops!$E$4,Crops!$E$5)),0)</f>
        <v>24</v>
      </c>
      <c r="J22" s="150" t="str">
        <f t="shared" si="0"/>
        <v>annual crop temperate boreal moist</v>
      </c>
      <c r="K22" s="150">
        <f>VLOOKUP($J22,'Standard data'!$E$88:$F$99,2,FALSE)</f>
        <v>0.69</v>
      </c>
      <c r="L22" s="150" t="str">
        <f t="shared" si="1"/>
        <v>full tillage temperate boreal moist</v>
      </c>
      <c r="M22" s="150">
        <f>VLOOKUP($L22,'Standard data'!$E$104:$F$109,2,FALSE)</f>
        <v>1</v>
      </c>
      <c r="N22" s="150" t="str">
        <f t="shared" si="2"/>
        <v>incorporated yes no</v>
      </c>
      <c r="O22" s="150" t="str">
        <f>VLOOKUP($N22,'Standard data'!$E$115:$F$126,2,FALSE)</f>
        <v>high man</v>
      </c>
      <c r="P22" s="150" t="str">
        <f t="shared" si="3"/>
        <v>high man temperate boreal moist</v>
      </c>
      <c r="Q22" s="150">
        <f>VLOOKUP(P22,'Standard data'!$E$131:$F$138,2,FALSE)</f>
        <v>1.44</v>
      </c>
      <c r="R22" s="155">
        <f t="shared" si="4"/>
        <v>23.846399999999996</v>
      </c>
      <c r="S22" s="282">
        <f>$R22*Crops!$D26</f>
        <v>0</v>
      </c>
      <c r="T22" s="172">
        <f>IF(AND(G22="YES",H22="YES"),Crops!$D26*VLOOKUP(B15,'Standard data'!B154:C156,2,FALSE),0)</f>
        <v>0</v>
      </c>
    </row>
    <row r="23" spans="1:20">
      <c r="A23" s="150">
        <f>Crops!B27</f>
        <v>11</v>
      </c>
      <c r="B23" s="150" t="str">
        <f>Crops!C27</f>
        <v>ALFALFA_GREEN_FLOWERING</v>
      </c>
      <c r="C23" s="150" t="str">
        <f>Crops!X27</f>
        <v>full tillage</v>
      </c>
      <c r="D23" s="150" t="str">
        <f>Crops!V27</f>
        <v>incorporated</v>
      </c>
      <c r="E23" s="150" t="str">
        <f>Crops!W27</f>
        <v>no</v>
      </c>
      <c r="F23" s="150" t="str">
        <f>Crops!L27</f>
        <v>yes</v>
      </c>
      <c r="G23" s="150" t="str">
        <f>Crops!Y27</f>
        <v>no</v>
      </c>
      <c r="H23" s="150" t="str">
        <f>Crops!Z27</f>
        <v>no</v>
      </c>
      <c r="I23" s="150">
        <f>IF(Crops!Y27="NO",(INDEX('Standard data'!$C$76:$H$80,Crops!$E$4,Crops!$E$5)),0)</f>
        <v>24</v>
      </c>
      <c r="J23" s="150" t="str">
        <f t="shared" si="0"/>
        <v>annual crop temperate boreal moist</v>
      </c>
      <c r="K23" s="150">
        <f>VLOOKUP($J23,'Standard data'!$E$88:$F$99,2,FALSE)</f>
        <v>0.69</v>
      </c>
      <c r="L23" s="150" t="str">
        <f t="shared" si="1"/>
        <v>full tillage temperate boreal moist</v>
      </c>
      <c r="M23" s="150">
        <f>VLOOKUP($L23,'Standard data'!$E$104:$F$109,2,FALSE)</f>
        <v>1</v>
      </c>
      <c r="N23" s="150" t="str">
        <f t="shared" si="2"/>
        <v>incorporated yes no</v>
      </c>
      <c r="O23" s="150" t="str">
        <f>VLOOKUP($N23,'Standard data'!$E$115:$F$126,2,FALSE)</f>
        <v>high man</v>
      </c>
      <c r="P23" s="150" t="str">
        <f t="shared" si="3"/>
        <v>high man temperate boreal moist</v>
      </c>
      <c r="Q23" s="150">
        <f>VLOOKUP(P23,'Standard data'!$E$131:$F$138,2,FALSE)</f>
        <v>1.44</v>
      </c>
      <c r="R23" s="155">
        <f t="shared" si="4"/>
        <v>23.846399999999996</v>
      </c>
      <c r="S23" s="282">
        <f>$R23*Crops!$D27</f>
        <v>0</v>
      </c>
      <c r="T23" s="172">
        <f>IF(AND(G23="YES",H23="YES"),Crops!$D27*VLOOKUP(B16,'Standard data'!B155:C157,2,FALSE),0)</f>
        <v>0</v>
      </c>
    </row>
    <row r="24" spans="1:20">
      <c r="A24" s="150">
        <f>Crops!B28</f>
        <v>12</v>
      </c>
      <c r="B24" s="150" t="str">
        <f>Crops!C28</f>
        <v>ALFALFA_GREEN_FLOWERING</v>
      </c>
      <c r="C24" s="150" t="str">
        <f>Crops!X28</f>
        <v>full tillage</v>
      </c>
      <c r="D24" s="150" t="str">
        <f>Crops!V28</f>
        <v>incorporated</v>
      </c>
      <c r="E24" s="150" t="str">
        <f>Crops!W28</f>
        <v>no</v>
      </c>
      <c r="F24" s="150" t="str">
        <f>Crops!L28</f>
        <v>yes</v>
      </c>
      <c r="G24" s="150" t="str">
        <f>Crops!Y28</f>
        <v>no</v>
      </c>
      <c r="H24" s="150" t="str">
        <f>Crops!Z28</f>
        <v>no</v>
      </c>
      <c r="I24" s="150">
        <f>IF(Crops!Y28="NO",(INDEX('Standard data'!$C$76:$H$80,Crops!$E$4,Crops!$E$5)),0)</f>
        <v>24</v>
      </c>
      <c r="J24" s="150" t="str">
        <f t="shared" si="0"/>
        <v>annual crop temperate boreal moist</v>
      </c>
      <c r="K24" s="150">
        <f>VLOOKUP($J24,'Standard data'!$E$88:$F$99,2,FALSE)</f>
        <v>0.69</v>
      </c>
      <c r="L24" s="150" t="str">
        <f t="shared" si="1"/>
        <v>full tillage temperate boreal moist</v>
      </c>
      <c r="M24" s="150">
        <f>VLOOKUP($L24,'Standard data'!$E$104:$F$109,2,FALSE)</f>
        <v>1</v>
      </c>
      <c r="N24" s="150" t="str">
        <f t="shared" si="2"/>
        <v>incorporated yes no</v>
      </c>
      <c r="O24" s="150" t="str">
        <f>VLOOKUP($N24,'Standard data'!$E$115:$F$126,2,FALSE)</f>
        <v>high man</v>
      </c>
      <c r="P24" s="150" t="str">
        <f t="shared" si="3"/>
        <v>high man temperate boreal moist</v>
      </c>
      <c r="Q24" s="150">
        <f>VLOOKUP(P24,'Standard data'!$E$131:$F$138,2,FALSE)</f>
        <v>1.44</v>
      </c>
      <c r="R24" s="155">
        <f t="shared" si="4"/>
        <v>23.846399999999996</v>
      </c>
      <c r="S24" s="282">
        <f>$R24*Crops!$D28</f>
        <v>0</v>
      </c>
      <c r="T24" s="172">
        <f>IF(AND(G24="YES",H24="YES"),Crops!$D28*VLOOKUP(B17,'Standard data'!B156:C158,2,FALSE),0)</f>
        <v>0</v>
      </c>
    </row>
    <row r="25" spans="1:20">
      <c r="A25" s="150">
        <f>Crops!B29</f>
        <v>13</v>
      </c>
      <c r="B25" s="150" t="str">
        <f>Crops!C29</f>
        <v>ALFALFA_GREEN_FLOWERING</v>
      </c>
      <c r="C25" s="150" t="str">
        <f>Crops!X29</f>
        <v>full tillage</v>
      </c>
      <c r="D25" s="150" t="str">
        <f>Crops!V29</f>
        <v>incorporated</v>
      </c>
      <c r="E25" s="150" t="str">
        <f>Crops!W29</f>
        <v>no</v>
      </c>
      <c r="F25" s="150" t="str">
        <f>Crops!L29</f>
        <v>yes</v>
      </c>
      <c r="G25" s="150" t="str">
        <f>Crops!Y29</f>
        <v>no</v>
      </c>
      <c r="H25" s="150" t="str">
        <f>Crops!Z29</f>
        <v>no</v>
      </c>
      <c r="I25" s="150">
        <f>IF(Crops!Y29="NO",(INDEX('Standard data'!$C$76:$H$80,Crops!$E$4,Crops!$E$5)),0)</f>
        <v>24</v>
      </c>
      <c r="J25" s="150" t="str">
        <f t="shared" si="0"/>
        <v>annual crop temperate boreal moist</v>
      </c>
      <c r="K25" s="150">
        <f>VLOOKUP($J25,'Standard data'!$E$88:$F$99,2,FALSE)</f>
        <v>0.69</v>
      </c>
      <c r="L25" s="150" t="str">
        <f t="shared" si="1"/>
        <v>full tillage temperate boreal moist</v>
      </c>
      <c r="M25" s="150">
        <f>VLOOKUP($L25,'Standard data'!$E$104:$F$109,2,FALSE)</f>
        <v>1</v>
      </c>
      <c r="N25" s="150" t="str">
        <f t="shared" si="2"/>
        <v>incorporated yes no</v>
      </c>
      <c r="O25" s="150" t="str">
        <f>VLOOKUP($N25,'Standard data'!$E$115:$F$126,2,FALSE)</f>
        <v>high man</v>
      </c>
      <c r="P25" s="150" t="str">
        <f t="shared" si="3"/>
        <v>high man temperate boreal moist</v>
      </c>
      <c r="Q25" s="150">
        <f>VLOOKUP(P25,'Standard data'!$E$131:$F$138,2,FALSE)</f>
        <v>1.44</v>
      </c>
      <c r="R25" s="155">
        <f t="shared" si="4"/>
        <v>23.846399999999996</v>
      </c>
      <c r="S25" s="282">
        <f>$R25*Crops!$D29</f>
        <v>0</v>
      </c>
      <c r="T25" s="172">
        <f>IF(AND(G25="YES",H25="YES"),Crops!$D29*VLOOKUP(B18,'Standard data'!B157:C159,2,FALSE),0)</f>
        <v>0</v>
      </c>
    </row>
    <row r="26" spans="1:20">
      <c r="A26" s="150">
        <f>Crops!B30</f>
        <v>14</v>
      </c>
      <c r="B26" s="150" t="str">
        <f>Crops!C30</f>
        <v>ALFALFA_GREEN_FLOWERING</v>
      </c>
      <c r="C26" s="150" t="str">
        <f>Crops!X30</f>
        <v>full tillage</v>
      </c>
      <c r="D26" s="150" t="str">
        <f>Crops!V30</f>
        <v>incorporated</v>
      </c>
      <c r="E26" s="150" t="str">
        <f>Crops!W30</f>
        <v>no</v>
      </c>
      <c r="F26" s="150" t="str">
        <f>Crops!L30</f>
        <v>yes</v>
      </c>
      <c r="G26" s="150" t="str">
        <f>Crops!Y30</f>
        <v>no</v>
      </c>
      <c r="H26" s="150" t="str">
        <f>Crops!Z30</f>
        <v>no</v>
      </c>
      <c r="I26" s="150">
        <f>IF(Crops!Y30="NO",(INDEX('Standard data'!$C$76:$H$80,Crops!$E$4,Crops!$E$5)),0)</f>
        <v>24</v>
      </c>
      <c r="J26" s="150" t="str">
        <f t="shared" si="0"/>
        <v>annual crop temperate boreal moist</v>
      </c>
      <c r="K26" s="150">
        <f>VLOOKUP($J26,'Standard data'!$E$88:$F$99,2,FALSE)</f>
        <v>0.69</v>
      </c>
      <c r="L26" s="150" t="str">
        <f t="shared" si="1"/>
        <v>full tillage temperate boreal moist</v>
      </c>
      <c r="M26" s="150">
        <f>VLOOKUP($L26,'Standard data'!$E$104:$F$109,2,FALSE)</f>
        <v>1</v>
      </c>
      <c r="N26" s="150" t="str">
        <f t="shared" si="2"/>
        <v>incorporated yes no</v>
      </c>
      <c r="O26" s="150" t="str">
        <f>VLOOKUP($N26,'Standard data'!$E$115:$F$126,2,FALSE)</f>
        <v>high man</v>
      </c>
      <c r="P26" s="150" t="str">
        <f t="shared" si="3"/>
        <v>high man temperate boreal moist</v>
      </c>
      <c r="Q26" s="150">
        <f>VLOOKUP(P26,'Standard data'!$E$131:$F$138,2,FALSE)</f>
        <v>1.44</v>
      </c>
      <c r="R26" s="155">
        <f t="shared" si="4"/>
        <v>23.846399999999996</v>
      </c>
      <c r="S26" s="282">
        <f>$R26*Crops!$D30</f>
        <v>0</v>
      </c>
      <c r="T26" s="172">
        <f>IF(AND(G26="YES",H26="YES"),Crops!$D30*VLOOKUP(B19,'Standard data'!B158:C160,2,FALSE),0)</f>
        <v>0</v>
      </c>
    </row>
    <row r="27" spans="1:20">
      <c r="A27" s="150">
        <f>Crops!B31</f>
        <v>15</v>
      </c>
      <c r="B27" s="150" t="str">
        <f>Crops!C31</f>
        <v>ALFALFA_GREEN_FLOWERING</v>
      </c>
      <c r="C27" s="150" t="str">
        <f>Crops!X31</f>
        <v>full tillage</v>
      </c>
      <c r="D27" s="150" t="str">
        <f>Crops!V31</f>
        <v>incorporated</v>
      </c>
      <c r="E27" s="150" t="str">
        <f>Crops!W31</f>
        <v>no</v>
      </c>
      <c r="F27" s="150" t="str">
        <f>Crops!L31</f>
        <v>yes</v>
      </c>
      <c r="G27" s="150" t="str">
        <f>Crops!Y31</f>
        <v>no</v>
      </c>
      <c r="H27" s="150" t="str">
        <f>Crops!Z31</f>
        <v>no</v>
      </c>
      <c r="I27" s="150">
        <f>IF(Crops!Y31="NO",(INDEX('Standard data'!$C$76:$H$80,Crops!$E$4,Crops!$E$5)),0)</f>
        <v>24</v>
      </c>
      <c r="J27" s="150" t="str">
        <f t="shared" si="0"/>
        <v>annual crop temperate boreal moist</v>
      </c>
      <c r="K27" s="150">
        <f>VLOOKUP($J27,'Standard data'!$E$88:$F$99,2,FALSE)</f>
        <v>0.69</v>
      </c>
      <c r="L27" s="150" t="str">
        <f t="shared" si="1"/>
        <v>full tillage temperate boreal moist</v>
      </c>
      <c r="M27" s="150">
        <f>VLOOKUP($L27,'Standard data'!$E$104:$F$109,2,FALSE)</f>
        <v>1</v>
      </c>
      <c r="N27" s="150" t="str">
        <f t="shared" si="2"/>
        <v>incorporated yes no</v>
      </c>
      <c r="O27" s="150" t="str">
        <f>VLOOKUP($N27,'Standard data'!$E$115:$F$126,2,FALSE)</f>
        <v>high man</v>
      </c>
      <c r="P27" s="150" t="str">
        <f t="shared" si="3"/>
        <v>high man temperate boreal moist</v>
      </c>
      <c r="Q27" s="150">
        <f>VLOOKUP(P27,'Standard data'!$E$131:$F$138,2,FALSE)</f>
        <v>1.44</v>
      </c>
      <c r="R27" s="155">
        <f t="shared" si="4"/>
        <v>23.846399999999996</v>
      </c>
      <c r="S27" s="282">
        <f>$R27*Crops!$D31</f>
        <v>0</v>
      </c>
      <c r="T27" s="172">
        <f>IF(AND(G27="YES",H27="YES"),Crops!$D31*VLOOKUP(B20,'Standard data'!B159:C161,2,FALSE),0)</f>
        <v>0</v>
      </c>
    </row>
    <row r="28" spans="1:20">
      <c r="A28" s="150">
        <f>Crops!B32</f>
        <v>16</v>
      </c>
      <c r="B28" s="150" t="str">
        <f>Crops!C32</f>
        <v>ALFALFA_GREEN_FLOWERING</v>
      </c>
      <c r="C28" s="150" t="str">
        <f>Crops!X32</f>
        <v>full tillage</v>
      </c>
      <c r="D28" s="150" t="str">
        <f>Crops!V32</f>
        <v>incorporated</v>
      </c>
      <c r="E28" s="150" t="str">
        <f>Crops!W32</f>
        <v>no</v>
      </c>
      <c r="F28" s="150" t="str">
        <f>Crops!L32</f>
        <v>yes</v>
      </c>
      <c r="G28" s="150" t="str">
        <f>Crops!Y32</f>
        <v>no</v>
      </c>
      <c r="H28" s="150" t="str">
        <f>Crops!Z32</f>
        <v>no</v>
      </c>
      <c r="I28" s="150">
        <f>IF(Crops!Y32="NO",(INDEX('Standard data'!$C$76:$H$80,Crops!$E$4,Crops!$E$5)),0)</f>
        <v>24</v>
      </c>
      <c r="J28" s="150" t="str">
        <f t="shared" si="0"/>
        <v>annual crop temperate boreal moist</v>
      </c>
      <c r="K28" s="150">
        <f>VLOOKUP($J28,'Standard data'!$E$88:$F$99,2,FALSE)</f>
        <v>0.69</v>
      </c>
      <c r="L28" s="150" t="str">
        <f t="shared" si="1"/>
        <v>full tillage temperate boreal moist</v>
      </c>
      <c r="M28" s="150">
        <f>VLOOKUP($L28,'Standard data'!$E$104:$F$109,2,FALSE)</f>
        <v>1</v>
      </c>
      <c r="N28" s="150" t="str">
        <f t="shared" si="2"/>
        <v>incorporated yes no</v>
      </c>
      <c r="O28" s="150" t="str">
        <f>VLOOKUP($N28,'Standard data'!$E$115:$F$126,2,FALSE)</f>
        <v>high man</v>
      </c>
      <c r="P28" s="150" t="str">
        <f t="shared" si="3"/>
        <v>high man temperate boreal moist</v>
      </c>
      <c r="Q28" s="150">
        <f>VLOOKUP(P28,'Standard data'!$E$131:$F$138,2,FALSE)</f>
        <v>1.44</v>
      </c>
      <c r="R28" s="155">
        <f t="shared" si="4"/>
        <v>23.846399999999996</v>
      </c>
      <c r="S28" s="282">
        <f>$R28*Crops!$D32</f>
        <v>0</v>
      </c>
      <c r="T28" s="172">
        <f>IF(AND(G28="YES",H28="YES"),Crops!$D32*VLOOKUP(B21,'Standard data'!B160:C162,2,FALSE),0)</f>
        <v>0</v>
      </c>
    </row>
    <row r="29" spans="1:20">
      <c r="A29" s="150">
        <f>Crops!B33</f>
        <v>17</v>
      </c>
      <c r="B29" s="150" t="str">
        <f>Crops!C33</f>
        <v>ALFALFA_GREEN_FLOWERING</v>
      </c>
      <c r="C29" s="150" t="str">
        <f>Crops!X33</f>
        <v>full tillage</v>
      </c>
      <c r="D29" s="150" t="str">
        <f>Crops!V33</f>
        <v>incorporated</v>
      </c>
      <c r="E29" s="150" t="str">
        <f>Crops!W33</f>
        <v>no</v>
      </c>
      <c r="F29" s="150" t="str">
        <f>Crops!L33</f>
        <v>yes</v>
      </c>
      <c r="G29" s="150" t="str">
        <f>Crops!Y33</f>
        <v>no</v>
      </c>
      <c r="H29" s="150" t="str">
        <f>Crops!Z33</f>
        <v>no</v>
      </c>
      <c r="I29" s="150">
        <f>IF(Crops!Y33="NO",(INDEX('Standard data'!$C$76:$H$80,Crops!$E$4,Crops!$E$5)),0)</f>
        <v>24</v>
      </c>
      <c r="J29" s="150" t="str">
        <f t="shared" si="0"/>
        <v>annual crop temperate boreal moist</v>
      </c>
      <c r="K29" s="150">
        <f>VLOOKUP($J29,'Standard data'!$E$88:$F$99,2,FALSE)</f>
        <v>0.69</v>
      </c>
      <c r="L29" s="150" t="str">
        <f t="shared" si="1"/>
        <v>full tillage temperate boreal moist</v>
      </c>
      <c r="M29" s="150">
        <f>VLOOKUP($L29,'Standard data'!$E$104:$F$109,2,FALSE)</f>
        <v>1</v>
      </c>
      <c r="N29" s="150" t="str">
        <f t="shared" si="2"/>
        <v>incorporated yes no</v>
      </c>
      <c r="O29" s="150" t="str">
        <f>VLOOKUP($N29,'Standard data'!$E$115:$F$126,2,FALSE)</f>
        <v>high man</v>
      </c>
      <c r="P29" s="150" t="str">
        <f t="shared" si="3"/>
        <v>high man temperate boreal moist</v>
      </c>
      <c r="Q29" s="150">
        <f>VLOOKUP(P29,'Standard data'!$E$131:$F$138,2,FALSE)</f>
        <v>1.44</v>
      </c>
      <c r="R29" s="155">
        <f t="shared" si="4"/>
        <v>23.846399999999996</v>
      </c>
      <c r="S29" s="282">
        <f>$R29*Crops!$D33</f>
        <v>0</v>
      </c>
      <c r="T29" s="172">
        <f>IF(AND(G29="YES",H29="YES"),Crops!$D33*VLOOKUP(B22,'Standard data'!B161:C163,2,FALSE),0)</f>
        <v>0</v>
      </c>
    </row>
    <row r="30" spans="1:20">
      <c r="A30" s="150">
        <f>Crops!B34</f>
        <v>18</v>
      </c>
      <c r="B30" s="150" t="str">
        <f>Crops!C34</f>
        <v>ALFALFA_GREEN_FLOWERING</v>
      </c>
      <c r="C30" s="150" t="str">
        <f>Crops!X34</f>
        <v>full tillage</v>
      </c>
      <c r="D30" s="150" t="str">
        <f>Crops!V34</f>
        <v>incorporated</v>
      </c>
      <c r="E30" s="150" t="str">
        <f>Crops!W34</f>
        <v>no</v>
      </c>
      <c r="F30" s="150" t="str">
        <f>Crops!L34</f>
        <v>yes</v>
      </c>
      <c r="G30" s="150" t="str">
        <f>Crops!Y34</f>
        <v>no</v>
      </c>
      <c r="H30" s="150" t="str">
        <f>Crops!Z34</f>
        <v>no</v>
      </c>
      <c r="I30" s="150">
        <f>IF(Crops!Y34="NO",(INDEX('Standard data'!$C$76:$H$80,Crops!$E$4,Crops!$E$5)),0)</f>
        <v>24</v>
      </c>
      <c r="J30" s="150" t="str">
        <f t="shared" si="0"/>
        <v>annual crop temperate boreal moist</v>
      </c>
      <c r="K30" s="150">
        <f>VLOOKUP($J30,'Standard data'!$E$88:$F$99,2,FALSE)</f>
        <v>0.69</v>
      </c>
      <c r="L30" s="150" t="str">
        <f t="shared" si="1"/>
        <v>full tillage temperate boreal moist</v>
      </c>
      <c r="M30" s="150">
        <f>VLOOKUP($L30,'Standard data'!$E$104:$F$109,2,FALSE)</f>
        <v>1</v>
      </c>
      <c r="N30" s="150" t="str">
        <f t="shared" si="2"/>
        <v>incorporated yes no</v>
      </c>
      <c r="O30" s="150" t="str">
        <f>VLOOKUP($N30,'Standard data'!$E$115:$F$126,2,FALSE)</f>
        <v>high man</v>
      </c>
      <c r="P30" s="150" t="str">
        <f t="shared" si="3"/>
        <v>high man temperate boreal moist</v>
      </c>
      <c r="Q30" s="150">
        <f>VLOOKUP(P30,'Standard data'!$E$131:$F$138,2,FALSE)</f>
        <v>1.44</v>
      </c>
      <c r="R30" s="155">
        <f t="shared" si="4"/>
        <v>23.846399999999996</v>
      </c>
      <c r="S30" s="282">
        <f>$R30*Crops!$D34</f>
        <v>0</v>
      </c>
      <c r="T30" s="172">
        <f>IF(AND(G30="YES",H30="YES"),Crops!$D34*VLOOKUP(B23,'Standard data'!B162:C164,2,FALSE),0)</f>
        <v>0</v>
      </c>
    </row>
    <row r="31" spans="1:20">
      <c r="A31" s="150">
        <f>Crops!B35</f>
        <v>19</v>
      </c>
      <c r="B31" s="150" t="str">
        <f>Crops!C35</f>
        <v>ALFALFA_GREEN_FLOWERING</v>
      </c>
      <c r="C31" s="150" t="str">
        <f>Crops!X35</f>
        <v>full tillage</v>
      </c>
      <c r="D31" s="150" t="str">
        <f>Crops!V35</f>
        <v>incorporated</v>
      </c>
      <c r="E31" s="150" t="str">
        <f>Crops!W35</f>
        <v>no</v>
      </c>
      <c r="F31" s="150" t="str">
        <f>Crops!L35</f>
        <v>yes</v>
      </c>
      <c r="G31" s="150" t="str">
        <f>Crops!Y35</f>
        <v>no</v>
      </c>
      <c r="H31" s="150" t="str">
        <f>Crops!Z35</f>
        <v>no</v>
      </c>
      <c r="I31" s="150">
        <f>IF(Crops!Y35="NO",(INDEX('Standard data'!$C$76:$H$80,Crops!$E$4,Crops!$E$5)),0)</f>
        <v>24</v>
      </c>
      <c r="J31" s="150" t="str">
        <f t="shared" si="0"/>
        <v>annual crop temperate boreal moist</v>
      </c>
      <c r="K31" s="150">
        <f>VLOOKUP($J31,'Standard data'!$E$88:$F$99,2,FALSE)</f>
        <v>0.69</v>
      </c>
      <c r="L31" s="150" t="str">
        <f t="shared" si="1"/>
        <v>full tillage temperate boreal moist</v>
      </c>
      <c r="M31" s="150">
        <f>VLOOKUP($L31,'Standard data'!$E$104:$F$109,2,FALSE)</f>
        <v>1</v>
      </c>
      <c r="N31" s="150" t="str">
        <f t="shared" si="2"/>
        <v>incorporated yes no</v>
      </c>
      <c r="O31" s="150" t="str">
        <f>VLOOKUP($N31,'Standard data'!$E$115:$F$126,2,FALSE)</f>
        <v>high man</v>
      </c>
      <c r="P31" s="150" t="str">
        <f t="shared" si="3"/>
        <v>high man temperate boreal moist</v>
      </c>
      <c r="Q31" s="150">
        <f>VLOOKUP(P31,'Standard data'!$E$131:$F$138,2,FALSE)</f>
        <v>1.44</v>
      </c>
      <c r="R31" s="155">
        <f t="shared" si="4"/>
        <v>23.846399999999996</v>
      </c>
      <c r="S31" s="282">
        <f>$R31*Crops!$D35</f>
        <v>0</v>
      </c>
      <c r="T31" s="172">
        <f>IF(AND(G31="YES",H31="YES"),Crops!$D35*VLOOKUP(B24,'Standard data'!B163:C165,2,FALSE),0)</f>
        <v>0</v>
      </c>
    </row>
    <row r="32" spans="1:20">
      <c r="A32" s="150">
        <f>Crops!B36</f>
        <v>20</v>
      </c>
      <c r="B32" s="150" t="str">
        <f>Crops!C36</f>
        <v>ALFALFA_GREEN_FLOWERING</v>
      </c>
      <c r="C32" s="150" t="str">
        <f>Crops!X36</f>
        <v>full tillage</v>
      </c>
      <c r="D32" s="150" t="str">
        <f>Crops!V36</f>
        <v>incorporated</v>
      </c>
      <c r="E32" s="150" t="str">
        <f>Crops!W36</f>
        <v>no</v>
      </c>
      <c r="F32" s="150" t="str">
        <f>Crops!L36</f>
        <v>yes</v>
      </c>
      <c r="G32" s="150" t="str">
        <f>Crops!Y36</f>
        <v>no</v>
      </c>
      <c r="H32" s="150" t="str">
        <f>Crops!Z36</f>
        <v>no</v>
      </c>
      <c r="I32" s="150">
        <f>IF(Crops!Y36="NO",(INDEX('Standard data'!$C$76:$H$80,Crops!$E$4,Crops!$E$5)),0)</f>
        <v>24</v>
      </c>
      <c r="J32" s="150" t="str">
        <f t="shared" si="0"/>
        <v>annual crop temperate boreal moist</v>
      </c>
      <c r="K32" s="150">
        <f>VLOOKUP($J32,'Standard data'!$E$88:$F$99,2,FALSE)</f>
        <v>0.69</v>
      </c>
      <c r="L32" s="150" t="str">
        <f t="shared" si="1"/>
        <v>full tillage temperate boreal moist</v>
      </c>
      <c r="M32" s="150">
        <f>VLOOKUP($L32,'Standard data'!$E$104:$F$109,2,FALSE)</f>
        <v>1</v>
      </c>
      <c r="N32" s="150" t="str">
        <f t="shared" si="2"/>
        <v>incorporated yes no</v>
      </c>
      <c r="O32" s="150" t="str">
        <f>VLOOKUP($N32,'Standard data'!$E$115:$F$126,2,FALSE)</f>
        <v>high man</v>
      </c>
      <c r="P32" s="150" t="str">
        <f t="shared" si="3"/>
        <v>high man temperate boreal moist</v>
      </c>
      <c r="Q32" s="150">
        <f>VLOOKUP(P32,'Standard data'!$E$131:$F$138,2,FALSE)</f>
        <v>1.44</v>
      </c>
      <c r="R32" s="155">
        <f t="shared" si="4"/>
        <v>23.846399999999996</v>
      </c>
      <c r="S32" s="282">
        <f>$R32*Crops!$D36</f>
        <v>0</v>
      </c>
      <c r="T32" s="172">
        <f>IF(AND(G32="YES",H32="YES"),Crops!$D36*VLOOKUP(B25,'Standard data'!B164:C166,2,FALSE),0)</f>
        <v>0</v>
      </c>
    </row>
    <row r="33" spans="1:20">
      <c r="A33" s="150">
        <f>Crops!B37</f>
        <v>21</v>
      </c>
      <c r="B33" s="150" t="str">
        <f>Crops!C37</f>
        <v>ALFALFA_GREEN_FLOWERING</v>
      </c>
      <c r="C33" s="150" t="str">
        <f>Crops!X37</f>
        <v>full tillage</v>
      </c>
      <c r="D33" s="150" t="str">
        <f>Crops!V37</f>
        <v>incorporated</v>
      </c>
      <c r="E33" s="150" t="str">
        <f>Crops!W37</f>
        <v>no</v>
      </c>
      <c r="F33" s="150" t="str">
        <f>Crops!L37</f>
        <v>yes</v>
      </c>
      <c r="G33" s="150" t="str">
        <f>Crops!Y37</f>
        <v>no</v>
      </c>
      <c r="H33" s="150" t="str">
        <f>Crops!Z37</f>
        <v>no</v>
      </c>
      <c r="I33" s="150">
        <f>IF(Crops!Y37="NO",(INDEX('Standard data'!$C$76:$H$80,Crops!$E$4,Crops!$E$5)),0)</f>
        <v>24</v>
      </c>
      <c r="J33" s="150" t="str">
        <f t="shared" si="0"/>
        <v>annual crop temperate boreal moist</v>
      </c>
      <c r="K33" s="150">
        <f>VLOOKUP($J33,'Standard data'!$E$88:$F$99,2,FALSE)</f>
        <v>0.69</v>
      </c>
      <c r="L33" s="150" t="str">
        <f t="shared" si="1"/>
        <v>full tillage temperate boreal moist</v>
      </c>
      <c r="M33" s="150">
        <f>VLOOKUP($L33,'Standard data'!$E$104:$F$109,2,FALSE)</f>
        <v>1</v>
      </c>
      <c r="N33" s="150" t="str">
        <f t="shared" si="2"/>
        <v>incorporated yes no</v>
      </c>
      <c r="O33" s="150" t="str">
        <f>VLOOKUP($N33,'Standard data'!$E$115:$F$126,2,FALSE)</f>
        <v>high man</v>
      </c>
      <c r="P33" s="150" t="str">
        <f t="shared" si="3"/>
        <v>high man temperate boreal moist</v>
      </c>
      <c r="Q33" s="150">
        <f>VLOOKUP(P33,'Standard data'!$E$131:$F$138,2,FALSE)</f>
        <v>1.44</v>
      </c>
      <c r="R33" s="155">
        <f t="shared" si="4"/>
        <v>23.846399999999996</v>
      </c>
      <c r="S33" s="282">
        <f>$R33*Crops!$D37</f>
        <v>0</v>
      </c>
      <c r="T33" s="172">
        <f>IF(AND(G33="YES",H33="YES"),Crops!$D37*VLOOKUP(B26,'Standard data'!B165:C167,2,FALSE),0)</f>
        <v>0</v>
      </c>
    </row>
    <row r="34" spans="1:20">
      <c r="A34" s="150">
        <f>Crops!B38</f>
        <v>22</v>
      </c>
      <c r="B34" s="150" t="str">
        <f>Crops!C38</f>
        <v>ALFALFA_GREEN_FLOWERING</v>
      </c>
      <c r="C34" s="150" t="str">
        <f>Crops!X38</f>
        <v>full tillage</v>
      </c>
      <c r="D34" s="150" t="str">
        <f>Crops!V38</f>
        <v>incorporated</v>
      </c>
      <c r="E34" s="150" t="str">
        <f>Crops!W38</f>
        <v>no</v>
      </c>
      <c r="F34" s="150" t="str">
        <f>Crops!L38</f>
        <v>yes</v>
      </c>
      <c r="G34" s="150" t="str">
        <f>Crops!Y38</f>
        <v>no</v>
      </c>
      <c r="H34" s="150" t="str">
        <f>Crops!Z38</f>
        <v>no</v>
      </c>
      <c r="I34" s="150">
        <f>IF(Crops!Y38="NO",(INDEX('Standard data'!$C$76:$H$80,Crops!$E$4,Crops!$E$5)),0)</f>
        <v>24</v>
      </c>
      <c r="J34" s="150" t="str">
        <f t="shared" si="0"/>
        <v>annual crop temperate boreal moist</v>
      </c>
      <c r="K34" s="150">
        <f>VLOOKUP($J34,'Standard data'!$E$88:$F$99,2,FALSE)</f>
        <v>0.69</v>
      </c>
      <c r="L34" s="150" t="str">
        <f t="shared" si="1"/>
        <v>full tillage temperate boreal moist</v>
      </c>
      <c r="M34" s="150">
        <f>VLOOKUP($L34,'Standard data'!$E$104:$F$109,2,FALSE)</f>
        <v>1</v>
      </c>
      <c r="N34" s="150" t="str">
        <f t="shared" si="2"/>
        <v>incorporated yes no</v>
      </c>
      <c r="O34" s="150" t="str">
        <f>VLOOKUP($N34,'Standard data'!$E$115:$F$126,2,FALSE)</f>
        <v>high man</v>
      </c>
      <c r="P34" s="150" t="str">
        <f t="shared" si="3"/>
        <v>high man temperate boreal moist</v>
      </c>
      <c r="Q34" s="150">
        <f>VLOOKUP(P34,'Standard data'!$E$131:$F$138,2,FALSE)</f>
        <v>1.44</v>
      </c>
      <c r="R34" s="155">
        <f t="shared" si="4"/>
        <v>23.846399999999996</v>
      </c>
      <c r="S34" s="282">
        <f>$R34*Crops!$D38</f>
        <v>0</v>
      </c>
      <c r="T34" s="172">
        <f>IF(AND(G34="YES",H34="YES"),Crops!$D38*VLOOKUP(B27,'Standard data'!B166:C167,2,FALSE),0)</f>
        <v>0</v>
      </c>
    </row>
    <row r="35" spans="1:20" ht="15.75" thickBot="1">
      <c r="A35" s="150">
        <f>Crops!B39</f>
        <v>23</v>
      </c>
      <c r="B35" s="150" t="str">
        <f>Crops!C39</f>
        <v>ALFALFA_GREEN_FLOWERING</v>
      </c>
      <c r="C35" s="150" t="str">
        <f>Crops!X39</f>
        <v>full tillage</v>
      </c>
      <c r="D35" s="150" t="str">
        <f>Crops!V39</f>
        <v>incorporated</v>
      </c>
      <c r="E35" s="150" t="str">
        <f>Crops!W39</f>
        <v>no</v>
      </c>
      <c r="F35" s="150" t="str">
        <f>Crops!L39</f>
        <v>yes</v>
      </c>
      <c r="G35" s="150" t="str">
        <f>Crops!Y39</f>
        <v>no</v>
      </c>
      <c r="H35" s="150" t="str">
        <f>Crops!Z39</f>
        <v>no</v>
      </c>
      <c r="I35" s="150">
        <f>IF(Crops!Y39="NO",(INDEX('Standard data'!$C$76:$H$80,Crops!$E$4,Crops!$E$5)),0)</f>
        <v>24</v>
      </c>
      <c r="J35" s="150" t="str">
        <f t="shared" si="0"/>
        <v>annual crop temperate boreal moist</v>
      </c>
      <c r="K35" s="150">
        <f>VLOOKUP($J35,'Standard data'!$E$88:$F$99,2,FALSE)</f>
        <v>0.69</v>
      </c>
      <c r="L35" s="150" t="str">
        <f t="shared" si="1"/>
        <v>full tillage temperate boreal moist</v>
      </c>
      <c r="M35" s="150">
        <f>VLOOKUP($L35,'Standard data'!$E$104:$F$109,2,FALSE)</f>
        <v>1</v>
      </c>
      <c r="N35" s="150" t="str">
        <f t="shared" si="2"/>
        <v>incorporated yes no</v>
      </c>
      <c r="O35" s="150" t="str">
        <f>VLOOKUP($N35,'Standard data'!$E$115:$F$126,2,FALSE)</f>
        <v>high man</v>
      </c>
      <c r="P35" s="150" t="str">
        <f t="shared" si="3"/>
        <v>high man temperate boreal moist</v>
      </c>
      <c r="Q35" s="150">
        <f>VLOOKUP(P35,'Standard data'!$E$131:$F$138,2,FALSE)</f>
        <v>1.44</v>
      </c>
      <c r="R35" s="155">
        <f t="shared" si="4"/>
        <v>23.846399999999996</v>
      </c>
      <c r="S35" s="283">
        <f>$R35*Crops!$D39</f>
        <v>0</v>
      </c>
      <c r="T35" s="174">
        <f>IF(AND(G35="YES",H35="YES"),Crops!$D39*VLOOKUP(B28,'Standard data'!B167:C167,2,FALSE),0)</f>
        <v>0</v>
      </c>
    </row>
    <row r="36" spans="1:20" ht="15.75" thickBot="1">
      <c r="C36" s="128"/>
      <c r="D36" s="128"/>
      <c r="E36" s="128"/>
      <c r="F36" s="128"/>
      <c r="G36" s="128"/>
      <c r="H36" s="128"/>
      <c r="I36" s="32"/>
      <c r="J36" s="32"/>
      <c r="K36" s="70"/>
      <c r="L36" s="70"/>
      <c r="M36" s="32"/>
      <c r="N36" s="32"/>
      <c r="O36" s="32"/>
      <c r="P36" s="32"/>
      <c r="Q36" s="32"/>
      <c r="R36" s="32"/>
      <c r="S36" s="326">
        <f>SUM(S13:S35)</f>
        <v>0</v>
      </c>
      <c r="T36" s="326">
        <f>SUM(T13:T35)</f>
        <v>0</v>
      </c>
    </row>
    <row r="37" spans="1:20" s="109" customFormat="1">
      <c r="B37" s="39"/>
      <c r="C37" s="39"/>
      <c r="D37" s="39"/>
      <c r="E37" s="39"/>
      <c r="F37" s="39"/>
      <c r="G37" s="39"/>
      <c r="H37" s="39"/>
      <c r="I37" s="39"/>
      <c r="J37" s="39"/>
      <c r="K37" s="39"/>
      <c r="L37" s="39"/>
      <c r="M37" s="39"/>
      <c r="N37" s="39"/>
      <c r="O37" s="39"/>
      <c r="P37" s="39"/>
      <c r="Q37" s="39"/>
      <c r="R37" s="39"/>
      <c r="S37" s="39"/>
      <c r="T37" s="39"/>
    </row>
    <row r="53" spans="9:20" ht="26.25">
      <c r="I53" s="33" t="s">
        <v>62</v>
      </c>
      <c r="J53" s="32"/>
      <c r="K53" s="32"/>
      <c r="L53" s="32"/>
      <c r="M53" s="32"/>
      <c r="N53" s="32"/>
      <c r="O53" s="33" t="s">
        <v>62</v>
      </c>
      <c r="P53" s="32"/>
      <c r="Q53" s="32"/>
      <c r="R53" s="32"/>
      <c r="T53" s="32"/>
    </row>
    <row r="54" spans="9:20" ht="126">
      <c r="I54" s="40" t="s">
        <v>63</v>
      </c>
      <c r="J54" s="38"/>
      <c r="K54" s="38"/>
      <c r="L54" s="38"/>
      <c r="M54" s="38"/>
      <c r="N54" s="32"/>
      <c r="O54" s="40" t="s">
        <v>64</v>
      </c>
      <c r="P54" s="38"/>
      <c r="Q54" s="38"/>
      <c r="R54" s="38"/>
      <c r="T54" s="38"/>
    </row>
    <row r="55" spans="9:20" ht="38.25">
      <c r="I55" s="41" t="s">
        <v>66</v>
      </c>
      <c r="J55" s="41" t="s">
        <v>0</v>
      </c>
      <c r="K55" s="41" t="s">
        <v>67</v>
      </c>
      <c r="L55" s="42" t="s">
        <v>68</v>
      </c>
      <c r="M55" s="41" t="s">
        <v>69</v>
      </c>
      <c r="N55" s="32"/>
      <c r="O55" s="41" t="s">
        <v>70</v>
      </c>
      <c r="P55" s="41" t="s">
        <v>0</v>
      </c>
      <c r="Q55" s="41" t="s">
        <v>67</v>
      </c>
      <c r="R55" s="42" t="s">
        <v>68</v>
      </c>
      <c r="T55" s="41" t="s">
        <v>196</v>
      </c>
    </row>
    <row r="56" spans="9:20" ht="39">
      <c r="I56" s="36" t="s">
        <v>77</v>
      </c>
      <c r="J56" s="45" t="s">
        <v>78</v>
      </c>
      <c r="K56" s="35" t="s">
        <v>79</v>
      </c>
      <c r="L56" s="35" t="s">
        <v>80</v>
      </c>
      <c r="M56" s="46">
        <v>0.8</v>
      </c>
      <c r="N56" s="32"/>
      <c r="O56" s="35" t="s">
        <v>59</v>
      </c>
      <c r="P56" s="45" t="s">
        <v>78</v>
      </c>
      <c r="Q56" s="35" t="s">
        <v>79</v>
      </c>
      <c r="R56" s="35" t="s">
        <v>81</v>
      </c>
      <c r="T56" s="36">
        <v>0.95</v>
      </c>
    </row>
    <row r="57" spans="9:20" ht="51.75">
      <c r="I57" s="36" t="s">
        <v>86</v>
      </c>
      <c r="J57" s="45" t="s">
        <v>78</v>
      </c>
      <c r="K57" s="35" t="s">
        <v>79</v>
      </c>
      <c r="L57" s="35" t="s">
        <v>87</v>
      </c>
      <c r="M57" s="46">
        <v>0.8</v>
      </c>
      <c r="N57" s="32"/>
      <c r="O57" s="35" t="s">
        <v>59</v>
      </c>
      <c r="P57" s="45" t="s">
        <v>84</v>
      </c>
      <c r="Q57" s="35" t="s">
        <v>79</v>
      </c>
      <c r="R57" s="35" t="s">
        <v>88</v>
      </c>
      <c r="T57" s="36">
        <v>0.92</v>
      </c>
    </row>
    <row r="58" spans="9:20" ht="39">
      <c r="I58" s="36" t="s">
        <v>77</v>
      </c>
      <c r="J58" s="45" t="s">
        <v>78</v>
      </c>
      <c r="K58" s="35" t="s">
        <v>91</v>
      </c>
      <c r="L58" s="35" t="s">
        <v>93</v>
      </c>
      <c r="M58" s="36">
        <v>0.69</v>
      </c>
      <c r="N58" s="32"/>
      <c r="O58" s="35" t="s">
        <v>59</v>
      </c>
      <c r="P58" s="45" t="s">
        <v>92</v>
      </c>
      <c r="Q58" s="35" t="s">
        <v>79</v>
      </c>
      <c r="R58" s="35" t="s">
        <v>94</v>
      </c>
      <c r="T58" s="36">
        <v>0.95</v>
      </c>
    </row>
    <row r="59" spans="9:20" ht="51.75">
      <c r="I59" s="36" t="s">
        <v>86</v>
      </c>
      <c r="J59" s="45" t="s">
        <v>78</v>
      </c>
      <c r="K59" s="35" t="s">
        <v>91</v>
      </c>
      <c r="L59" s="35" t="s">
        <v>96</v>
      </c>
      <c r="M59" s="36">
        <v>0.69</v>
      </c>
      <c r="N59" s="32"/>
      <c r="O59" s="35" t="s">
        <v>59</v>
      </c>
      <c r="P59" s="45" t="s">
        <v>78</v>
      </c>
      <c r="Q59" s="35" t="s">
        <v>91</v>
      </c>
      <c r="R59" s="35" t="s">
        <v>97</v>
      </c>
      <c r="T59" s="36">
        <v>0.92</v>
      </c>
    </row>
    <row r="60" spans="9:20" ht="26.25">
      <c r="I60" s="36" t="s">
        <v>77</v>
      </c>
      <c r="J60" s="45" t="s">
        <v>84</v>
      </c>
      <c r="K60" s="35" t="s">
        <v>79</v>
      </c>
      <c r="L60" s="35" t="s">
        <v>99</v>
      </c>
      <c r="M60" s="36">
        <v>0.57999999999999996</v>
      </c>
      <c r="N60" s="32"/>
      <c r="O60" s="35" t="s">
        <v>59</v>
      </c>
      <c r="P60" s="45" t="s">
        <v>84</v>
      </c>
      <c r="Q60" s="35" t="s">
        <v>91</v>
      </c>
      <c r="R60" s="35" t="s">
        <v>100</v>
      </c>
      <c r="T60" s="36">
        <v>0.94</v>
      </c>
    </row>
    <row r="61" spans="9:20" ht="39">
      <c r="I61" s="36" t="s">
        <v>86</v>
      </c>
      <c r="J61" s="45" t="s">
        <v>84</v>
      </c>
      <c r="K61" s="35" t="s">
        <v>79</v>
      </c>
      <c r="L61" s="35" t="s">
        <v>103</v>
      </c>
      <c r="M61" s="36">
        <v>0.57999999999999996</v>
      </c>
      <c r="N61" s="32"/>
      <c r="O61" s="35" t="s">
        <v>59</v>
      </c>
      <c r="P61" s="45" t="s">
        <v>92</v>
      </c>
      <c r="Q61" s="35" t="s">
        <v>91</v>
      </c>
      <c r="R61" s="35" t="s">
        <v>104</v>
      </c>
      <c r="T61" s="46">
        <v>1</v>
      </c>
    </row>
    <row r="62" spans="9:20" ht="39">
      <c r="I62" s="36" t="s">
        <v>77</v>
      </c>
      <c r="J62" s="45" t="s">
        <v>84</v>
      </c>
      <c r="K62" s="35" t="s">
        <v>91</v>
      </c>
      <c r="L62" s="35" t="s">
        <v>107</v>
      </c>
      <c r="M62" s="36">
        <v>0.48</v>
      </c>
      <c r="N62" s="32"/>
      <c r="O62" s="35" t="s">
        <v>106</v>
      </c>
      <c r="P62" s="45" t="s">
        <v>78</v>
      </c>
      <c r="Q62" s="35" t="s">
        <v>79</v>
      </c>
      <c r="R62" s="35" t="s">
        <v>108</v>
      </c>
      <c r="T62" s="46">
        <v>1</v>
      </c>
    </row>
    <row r="63" spans="9:20" ht="51.75">
      <c r="I63" s="36" t="s">
        <v>86</v>
      </c>
      <c r="J63" s="45" t="s">
        <v>84</v>
      </c>
      <c r="K63" s="35" t="s">
        <v>91</v>
      </c>
      <c r="L63" s="35" t="s">
        <v>110</v>
      </c>
      <c r="M63" s="36">
        <v>0.48</v>
      </c>
      <c r="N63" s="32"/>
      <c r="O63" s="35" t="s">
        <v>106</v>
      </c>
      <c r="P63" s="45" t="s">
        <v>78</v>
      </c>
      <c r="Q63" s="35" t="s">
        <v>91</v>
      </c>
      <c r="R63" s="35" t="s">
        <v>111</v>
      </c>
      <c r="T63" s="46">
        <v>1</v>
      </c>
    </row>
    <row r="64" spans="9:20" ht="39">
      <c r="I64" s="36" t="s">
        <v>77</v>
      </c>
      <c r="J64" s="45" t="s">
        <v>92</v>
      </c>
      <c r="K64" s="49"/>
      <c r="L64" s="35" t="s">
        <v>113</v>
      </c>
      <c r="M64" s="36">
        <v>0.64</v>
      </c>
      <c r="N64" s="32"/>
      <c r="O64" s="35" t="s">
        <v>106</v>
      </c>
      <c r="P64" s="45" t="s">
        <v>84</v>
      </c>
      <c r="Q64" s="35" t="s">
        <v>79</v>
      </c>
      <c r="R64" s="35" t="s">
        <v>114</v>
      </c>
      <c r="T64" s="46">
        <v>1</v>
      </c>
    </row>
    <row r="65" spans="9:20" ht="51.75">
      <c r="I65" s="36" t="s">
        <v>86</v>
      </c>
      <c r="J65" s="45" t="s">
        <v>92</v>
      </c>
      <c r="K65" s="49"/>
      <c r="L65" s="35" t="s">
        <v>116</v>
      </c>
      <c r="M65" s="36">
        <v>0.64</v>
      </c>
      <c r="N65" s="32"/>
      <c r="O65" s="35" t="s">
        <v>106</v>
      </c>
      <c r="P65" s="45" t="s">
        <v>84</v>
      </c>
      <c r="Q65" s="35" t="s">
        <v>91</v>
      </c>
      <c r="R65" s="35" t="s">
        <v>117</v>
      </c>
      <c r="T65" s="46">
        <v>1</v>
      </c>
    </row>
    <row r="66" spans="9:20" ht="39">
      <c r="I66" s="50" t="s">
        <v>119</v>
      </c>
      <c r="J66" s="51" t="s">
        <v>92</v>
      </c>
      <c r="K66" s="35" t="s">
        <v>79</v>
      </c>
      <c r="L66" s="35" t="s">
        <v>120</v>
      </c>
      <c r="M66" s="52">
        <v>1.1000000000000001</v>
      </c>
      <c r="N66" s="32"/>
      <c r="O66" s="35" t="s">
        <v>106</v>
      </c>
      <c r="P66" s="45" t="s">
        <v>92</v>
      </c>
      <c r="Q66" s="49"/>
      <c r="R66" s="35" t="s">
        <v>121</v>
      </c>
      <c r="T66" s="46">
        <v>1</v>
      </c>
    </row>
    <row r="67" spans="9:20" ht="51.75">
      <c r="I67" s="50" t="s">
        <v>119</v>
      </c>
      <c r="J67" s="51" t="s">
        <v>92</v>
      </c>
      <c r="K67" s="35" t="s">
        <v>91</v>
      </c>
      <c r="L67" s="35" t="s">
        <v>124</v>
      </c>
      <c r="M67" s="52">
        <v>1.1000000000000001</v>
      </c>
      <c r="N67" s="32"/>
      <c r="O67" s="35" t="s">
        <v>102</v>
      </c>
      <c r="P67" s="45" t="s">
        <v>78</v>
      </c>
      <c r="Q67" s="35" t="s">
        <v>79</v>
      </c>
      <c r="R67" s="35" t="s">
        <v>125</v>
      </c>
      <c r="T67" s="36">
        <v>1.04</v>
      </c>
    </row>
    <row r="68" spans="9:20" ht="39">
      <c r="I68" s="50" t="s">
        <v>119</v>
      </c>
      <c r="J68" s="51" t="s">
        <v>84</v>
      </c>
      <c r="K68" s="35" t="s">
        <v>79</v>
      </c>
      <c r="L68" s="35" t="s">
        <v>127</v>
      </c>
      <c r="M68" s="52">
        <v>1.1000000000000001</v>
      </c>
      <c r="N68" s="32"/>
      <c r="O68" s="35" t="s">
        <v>102</v>
      </c>
      <c r="P68" s="45" t="s">
        <v>78</v>
      </c>
      <c r="Q68" s="35" t="s">
        <v>91</v>
      </c>
      <c r="R68" s="35" t="s">
        <v>128</v>
      </c>
      <c r="T68" s="36">
        <v>1.04</v>
      </c>
    </row>
    <row r="69" spans="9:20" ht="39">
      <c r="I69" s="50" t="s">
        <v>119</v>
      </c>
      <c r="J69" s="51" t="s">
        <v>84</v>
      </c>
      <c r="K69" s="35" t="s">
        <v>91</v>
      </c>
      <c r="L69" s="35" t="s">
        <v>129</v>
      </c>
      <c r="M69" s="52">
        <v>1.1000000000000001</v>
      </c>
      <c r="N69" s="32"/>
      <c r="O69" s="35" t="s">
        <v>102</v>
      </c>
      <c r="P69" s="45" t="s">
        <v>84</v>
      </c>
      <c r="Q69" s="35" t="s">
        <v>79</v>
      </c>
      <c r="R69" s="35" t="s">
        <v>130</v>
      </c>
      <c r="T69" s="36">
        <v>1.1100000000000001</v>
      </c>
    </row>
    <row r="70" spans="9:20" ht="39">
      <c r="I70" s="50" t="s">
        <v>119</v>
      </c>
      <c r="J70" s="51" t="s">
        <v>78</v>
      </c>
      <c r="K70" s="35" t="s">
        <v>79</v>
      </c>
      <c r="L70" s="35" t="s">
        <v>131</v>
      </c>
      <c r="M70" s="52">
        <v>1.1000000000000001</v>
      </c>
      <c r="N70" s="32"/>
      <c r="O70" s="35" t="s">
        <v>102</v>
      </c>
      <c r="P70" s="45" t="s">
        <v>84</v>
      </c>
      <c r="Q70" s="35" t="s">
        <v>91</v>
      </c>
      <c r="R70" s="35" t="s">
        <v>132</v>
      </c>
      <c r="T70" s="36">
        <v>1.1100000000000001</v>
      </c>
    </row>
    <row r="71" spans="9:20" ht="39">
      <c r="I71" s="50" t="s">
        <v>119</v>
      </c>
      <c r="J71" s="51" t="s">
        <v>78</v>
      </c>
      <c r="K71" s="35" t="s">
        <v>91</v>
      </c>
      <c r="L71" s="35" t="s">
        <v>133</v>
      </c>
      <c r="M71" s="52">
        <v>1.1000000000000001</v>
      </c>
      <c r="N71" s="32"/>
      <c r="O71" s="35" t="s">
        <v>102</v>
      </c>
      <c r="P71" s="45" t="s">
        <v>92</v>
      </c>
      <c r="Q71" s="49"/>
      <c r="R71" s="35" t="s">
        <v>134</v>
      </c>
      <c r="T71" s="36">
        <v>1.08</v>
      </c>
    </row>
    <row r="72" spans="9:20" ht="39">
      <c r="I72" s="36" t="s">
        <v>135</v>
      </c>
      <c r="J72" s="45" t="s">
        <v>92</v>
      </c>
      <c r="K72" s="35" t="s">
        <v>79</v>
      </c>
      <c r="L72" s="35" t="s">
        <v>136</v>
      </c>
      <c r="M72" s="46">
        <v>1</v>
      </c>
      <c r="N72" s="32"/>
      <c r="O72" s="32"/>
      <c r="P72" s="32"/>
      <c r="Q72" s="32"/>
      <c r="R72" s="32"/>
      <c r="T72" s="36">
        <v>1.37</v>
      </c>
    </row>
    <row r="73" spans="9:20" ht="51.75">
      <c r="I73" s="36" t="s">
        <v>135</v>
      </c>
      <c r="J73" s="45" t="s">
        <v>92</v>
      </c>
      <c r="K73" s="35" t="s">
        <v>91</v>
      </c>
      <c r="L73" s="35" t="s">
        <v>137</v>
      </c>
      <c r="M73" s="46">
        <v>1</v>
      </c>
      <c r="N73" s="32"/>
      <c r="O73" s="32"/>
      <c r="P73" s="32"/>
      <c r="Q73" s="32"/>
      <c r="R73" s="32"/>
      <c r="T73" s="36">
        <v>1.37</v>
      </c>
    </row>
    <row r="74" spans="9:20" ht="26.25">
      <c r="I74" s="36" t="s">
        <v>135</v>
      </c>
      <c r="J74" s="45" t="s">
        <v>84</v>
      </c>
      <c r="K74" s="35" t="s">
        <v>79</v>
      </c>
      <c r="L74" s="35" t="s">
        <v>138</v>
      </c>
      <c r="M74" s="46">
        <v>1</v>
      </c>
      <c r="N74" s="32"/>
      <c r="O74" s="32"/>
      <c r="P74" s="32"/>
      <c r="Q74" s="32"/>
      <c r="R74" s="32"/>
      <c r="T74" s="36">
        <v>1.44</v>
      </c>
    </row>
    <row r="75" spans="9:20" ht="39">
      <c r="I75" s="36" t="s">
        <v>135</v>
      </c>
      <c r="J75" s="45" t="s">
        <v>84</v>
      </c>
      <c r="K75" s="35" t="s">
        <v>91</v>
      </c>
      <c r="L75" s="35" t="s">
        <v>139</v>
      </c>
      <c r="M75" s="46">
        <v>1</v>
      </c>
      <c r="N75" s="32"/>
      <c r="O75" s="32"/>
      <c r="P75" s="32"/>
      <c r="Q75" s="32"/>
      <c r="R75" s="32"/>
      <c r="T75" s="36">
        <v>1.44</v>
      </c>
    </row>
    <row r="76" spans="9:20" ht="39">
      <c r="I76" s="36" t="s">
        <v>135</v>
      </c>
      <c r="J76" s="45" t="s">
        <v>78</v>
      </c>
      <c r="K76" s="35" t="s">
        <v>79</v>
      </c>
      <c r="L76" s="35" t="s">
        <v>140</v>
      </c>
      <c r="M76" s="46">
        <v>1</v>
      </c>
      <c r="N76" s="32"/>
      <c r="O76" s="32"/>
      <c r="P76" s="32"/>
      <c r="Q76" s="32"/>
      <c r="R76" s="32"/>
      <c r="T76" s="36">
        <v>1.41</v>
      </c>
    </row>
    <row r="77" spans="9:20" ht="39">
      <c r="I77" s="36" t="s">
        <v>135</v>
      </c>
      <c r="J77" s="45" t="s">
        <v>78</v>
      </c>
      <c r="K77" s="35" t="s">
        <v>91</v>
      </c>
      <c r="L77" s="35" t="s">
        <v>141</v>
      </c>
      <c r="M77" s="46">
        <v>1</v>
      </c>
      <c r="N77" s="32"/>
      <c r="O77" s="32"/>
      <c r="P77" s="32"/>
      <c r="Q77" s="32"/>
      <c r="R77" s="32"/>
      <c r="T77" s="32"/>
    </row>
    <row r="78" spans="9:20" ht="39">
      <c r="I78" s="36" t="s">
        <v>142</v>
      </c>
      <c r="J78" s="45" t="s">
        <v>92</v>
      </c>
      <c r="K78" s="35" t="s">
        <v>79</v>
      </c>
      <c r="L78" s="35" t="s">
        <v>143</v>
      </c>
      <c r="M78" s="46">
        <v>1</v>
      </c>
    </row>
    <row r="79" spans="9:20" ht="51.75">
      <c r="I79" s="36" t="s">
        <v>142</v>
      </c>
      <c r="J79" s="45" t="s">
        <v>92</v>
      </c>
      <c r="K79" s="35" t="s">
        <v>91</v>
      </c>
      <c r="L79" s="35" t="s">
        <v>144</v>
      </c>
      <c r="M79" s="46">
        <v>1</v>
      </c>
    </row>
    <row r="80" spans="9:20" ht="26.25">
      <c r="I80" s="36" t="s">
        <v>142</v>
      </c>
      <c r="J80" s="45" t="s">
        <v>84</v>
      </c>
      <c r="K80" s="35" t="s">
        <v>79</v>
      </c>
      <c r="L80" s="35" t="s">
        <v>145</v>
      </c>
      <c r="M80" s="46">
        <v>1</v>
      </c>
    </row>
    <row r="81" spans="9:13" ht="39">
      <c r="I81" s="36" t="s">
        <v>142</v>
      </c>
      <c r="J81" s="45" t="s">
        <v>84</v>
      </c>
      <c r="K81" s="35" t="s">
        <v>91</v>
      </c>
      <c r="L81" s="35" t="s">
        <v>146</v>
      </c>
      <c r="M81" s="46">
        <v>1</v>
      </c>
    </row>
    <row r="82" spans="9:13" ht="39">
      <c r="I82" s="36" t="s">
        <v>142</v>
      </c>
      <c r="J82" s="45" t="s">
        <v>78</v>
      </c>
      <c r="K82" s="35" t="s">
        <v>79</v>
      </c>
      <c r="L82" s="35" t="s">
        <v>147</v>
      </c>
      <c r="M82" s="46">
        <v>1</v>
      </c>
    </row>
    <row r="83" spans="9:13" ht="39">
      <c r="I83" s="36" t="s">
        <v>142</v>
      </c>
      <c r="J83" s="45" t="s">
        <v>78</v>
      </c>
      <c r="K83" s="35" t="s">
        <v>91</v>
      </c>
      <c r="L83" s="35" t="s">
        <v>148</v>
      </c>
      <c r="M83" s="46">
        <v>1</v>
      </c>
    </row>
    <row r="84" spans="9:13" ht="26.25">
      <c r="I84" s="36" t="s">
        <v>149</v>
      </c>
      <c r="J84" s="45" t="s">
        <v>84</v>
      </c>
      <c r="K84" s="35" t="s">
        <v>79</v>
      </c>
      <c r="L84" s="35" t="s">
        <v>150</v>
      </c>
      <c r="M84" s="46">
        <v>0.93</v>
      </c>
    </row>
    <row r="85" spans="9:13" ht="39">
      <c r="I85" s="36" t="s">
        <v>149</v>
      </c>
      <c r="J85" s="45" t="s">
        <v>78</v>
      </c>
      <c r="K85" s="35" t="s">
        <v>79</v>
      </c>
      <c r="L85" s="35" t="s">
        <v>151</v>
      </c>
      <c r="M85" s="46">
        <v>0.93</v>
      </c>
    </row>
    <row r="86" spans="9:13" ht="39">
      <c r="I86" s="36" t="s">
        <v>149</v>
      </c>
      <c r="J86" s="45" t="s">
        <v>84</v>
      </c>
      <c r="K86" s="35" t="s">
        <v>91</v>
      </c>
      <c r="L86" s="35" t="s">
        <v>152</v>
      </c>
      <c r="M86" s="46">
        <v>0.82</v>
      </c>
    </row>
    <row r="87" spans="9:13" ht="39">
      <c r="I87" s="36" t="s">
        <v>149</v>
      </c>
      <c r="J87" s="45" t="s">
        <v>78</v>
      </c>
      <c r="K87" s="35" t="s">
        <v>91</v>
      </c>
      <c r="L87" s="35" t="s">
        <v>153</v>
      </c>
      <c r="M87" s="46">
        <v>0.82</v>
      </c>
    </row>
    <row r="88" spans="9:13" ht="39">
      <c r="I88" s="36" t="s">
        <v>149</v>
      </c>
      <c r="J88" s="45" t="s">
        <v>92</v>
      </c>
      <c r="K88" s="49"/>
      <c r="L88" s="35" t="s">
        <v>154</v>
      </c>
      <c r="M88" s="46">
        <v>0.88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heetViews>
  <sheetFormatPr baseColWidth="10" defaultRowHeight="15"/>
  <cols>
    <col min="2" max="4" width="22.140625" customWidth="1"/>
    <col min="8" max="8" width="16.85546875" customWidth="1"/>
  </cols>
  <sheetData>
    <row r="1" spans="1:9" ht="15.75" thickBot="1">
      <c r="A1" s="107"/>
    </row>
    <row r="2" spans="1:9">
      <c r="A2" s="175" t="s">
        <v>568</v>
      </c>
      <c r="B2" s="159"/>
    </row>
    <row r="3" spans="1:9">
      <c r="A3" s="163" t="str">
        <f>Crops!B4</f>
        <v>Climate</v>
      </c>
      <c r="B3" s="165" t="str">
        <f>Crops!C4</f>
        <v>warm temperate dry</v>
      </c>
    </row>
    <row r="4" spans="1:9">
      <c r="A4" s="163" t="str">
        <f>Crops!B5</f>
        <v>Temperature regime</v>
      </c>
      <c r="B4" s="165" t="str">
        <f>Crops!C5</f>
        <v>temperate boreal</v>
      </c>
    </row>
    <row r="5" spans="1:9">
      <c r="A5" s="163" t="str">
        <f>Crops!B6</f>
        <v>Moisture regime</v>
      </c>
      <c r="B5" s="165" t="str">
        <f>Crops!C6</f>
        <v>moist</v>
      </c>
    </row>
    <row r="6" spans="1:9">
      <c r="A6" s="163" t="str">
        <f>Crops!B7</f>
        <v>Soil</v>
      </c>
      <c r="B6" s="165" t="str">
        <f>Crops!C7</f>
        <v>Acrisol</v>
      </c>
    </row>
    <row r="7" spans="1:9">
      <c r="A7" s="163" t="str">
        <f>Crops!B8</f>
        <v>Dominant soil</v>
      </c>
      <c r="B7" s="165" t="str">
        <f>Crops!C8</f>
        <v>LAC soils</v>
      </c>
    </row>
    <row r="8" spans="1:9" ht="15.75" thickBot="1">
      <c r="A8" s="166" t="str">
        <f>Crops!B9</f>
        <v>Climate zone (organic soil factor)</v>
      </c>
      <c r="B8" s="168" t="str">
        <f>Crops!C9</f>
        <v>warm temperate</v>
      </c>
    </row>
    <row r="9" spans="1:9" ht="15.75" thickBot="1">
      <c r="A9" s="107"/>
    </row>
    <row r="10" spans="1:9" ht="30.75" thickBot="1">
      <c r="A10" s="150" t="s">
        <v>548</v>
      </c>
      <c r="B10" s="150" t="s">
        <v>6</v>
      </c>
      <c r="C10" s="150" t="s">
        <v>486</v>
      </c>
      <c r="D10" s="150" t="s">
        <v>471</v>
      </c>
      <c r="E10" s="150" t="s">
        <v>23</v>
      </c>
      <c r="F10" s="150" t="s">
        <v>25</v>
      </c>
      <c r="G10" s="150" t="s">
        <v>557</v>
      </c>
      <c r="H10" s="281" t="s">
        <v>33</v>
      </c>
      <c r="I10" s="171" t="s">
        <v>34</v>
      </c>
    </row>
    <row r="11" spans="1:9" ht="15.75" thickBot="1">
      <c r="A11" s="150"/>
      <c r="B11" s="150"/>
      <c r="C11" s="150"/>
      <c r="D11" s="150"/>
      <c r="E11" s="150" t="s">
        <v>55</v>
      </c>
      <c r="F11" s="150"/>
      <c r="G11" s="150" t="s">
        <v>55</v>
      </c>
      <c r="H11" s="281" t="s">
        <v>56</v>
      </c>
      <c r="I11" s="171" t="s">
        <v>56</v>
      </c>
    </row>
    <row r="12" spans="1:9" ht="15.75" thickBot="1">
      <c r="A12" s="150"/>
      <c r="B12" s="150"/>
      <c r="C12" s="150"/>
      <c r="D12" s="150"/>
      <c r="E12" s="150"/>
      <c r="F12" s="150"/>
      <c r="G12" s="150"/>
      <c r="H12" s="281" t="s">
        <v>169</v>
      </c>
      <c r="I12" s="171" t="s">
        <v>170</v>
      </c>
    </row>
    <row r="13" spans="1:9" ht="15.75" thickBot="1">
      <c r="A13" s="152">
        <f>Crops!B17</f>
        <v>1</v>
      </c>
      <c r="B13" s="152" t="str">
        <f>Crops!C43</f>
        <v>ALMOND</v>
      </c>
      <c r="C13" s="152" t="str">
        <f>Crops!Y43</f>
        <v>no</v>
      </c>
      <c r="D13" s="152" t="str">
        <f>Crops!Z43</f>
        <v>no</v>
      </c>
      <c r="E13" s="152">
        <f>IF($C13="no",(INDEX('Standard data'!$C$76:$H$80,Crops!$E$4,Crops!$E$5)),0)</f>
        <v>24</v>
      </c>
      <c r="F13" s="152">
        <v>1</v>
      </c>
      <c r="G13" s="152">
        <f>E13*F13</f>
        <v>24</v>
      </c>
      <c r="H13" s="281">
        <f>$G13*Crops!D43</f>
        <v>0</v>
      </c>
      <c r="I13" s="171">
        <f>IF(AND(C13="YES",D13="YES"),Crops!$D43*VLOOKUP($B$6,'Standard data'!$B$146:$C$147,2,FALSE),0)</f>
        <v>0</v>
      </c>
    </row>
    <row r="14" spans="1:9" ht="15.75" thickBot="1">
      <c r="A14" s="152">
        <f>Crops!B18</f>
        <v>2</v>
      </c>
      <c r="B14" s="152" t="str">
        <f>Crops!C44</f>
        <v>ALMOND</v>
      </c>
      <c r="C14" s="152" t="str">
        <f>Crops!Y44</f>
        <v>no</v>
      </c>
      <c r="D14" s="152" t="str">
        <f>Crops!Z44</f>
        <v>no</v>
      </c>
      <c r="E14" s="152">
        <f>IF($C14="no",(INDEX('Standard data'!$C$76:$H$80,Crops!$E$4,Crops!$E$5)),0)</f>
        <v>24</v>
      </c>
      <c r="F14" s="152">
        <v>1</v>
      </c>
      <c r="G14" s="152">
        <f t="shared" ref="G14:G23" si="0">E14*F14</f>
        <v>24</v>
      </c>
      <c r="H14" s="281">
        <f>$G14*Crops!D44</f>
        <v>0</v>
      </c>
      <c r="I14" s="171">
        <f>IF(AND(C14="YES",D14="YES"),Crops!$D44*VLOOKUP($B$6,'Standard data'!$B$146:$C$147,2,FALSE),0)</f>
        <v>0</v>
      </c>
    </row>
    <row r="15" spans="1:9" ht="15.75" thickBot="1">
      <c r="A15" s="152">
        <f>Crops!B19</f>
        <v>3</v>
      </c>
      <c r="B15" s="152" t="str">
        <f>Crops!C45</f>
        <v>ALMOND</v>
      </c>
      <c r="C15" s="152" t="str">
        <f>Crops!Y45</f>
        <v>no</v>
      </c>
      <c r="D15" s="152" t="str">
        <f>Crops!Z45</f>
        <v>no</v>
      </c>
      <c r="E15" s="152">
        <f>IF($C15="no",(INDEX('Standard data'!$C$76:$H$80,Crops!$E$4,Crops!$E$5)),0)</f>
        <v>24</v>
      </c>
      <c r="F15" s="152">
        <v>1</v>
      </c>
      <c r="G15" s="152">
        <f t="shared" si="0"/>
        <v>24</v>
      </c>
      <c r="H15" s="281">
        <f>$G15*Crops!D45</f>
        <v>0</v>
      </c>
      <c r="I15" s="171">
        <f>IF(AND(C15="YES",D15="YES"),Crops!$D45*VLOOKUP($B$6,'Standard data'!$B$146:$C$147,2,FALSE),0)</f>
        <v>0</v>
      </c>
    </row>
    <row r="16" spans="1:9" ht="15.75" thickBot="1">
      <c r="A16" s="152">
        <f>Crops!B20</f>
        <v>4</v>
      </c>
      <c r="B16" s="152" t="str">
        <f>Crops!C46</f>
        <v>ALMOND</v>
      </c>
      <c r="C16" s="152" t="str">
        <f>Crops!Y46</f>
        <v>no</v>
      </c>
      <c r="D16" s="152" t="str">
        <f>Crops!Z46</f>
        <v>no</v>
      </c>
      <c r="E16" s="152">
        <f>IF($C16="no",(INDEX('Standard data'!$C$76:$H$80,Crops!$E$4,Crops!$E$5)),0)</f>
        <v>24</v>
      </c>
      <c r="F16" s="152">
        <v>1</v>
      </c>
      <c r="G16" s="152">
        <f t="shared" si="0"/>
        <v>24</v>
      </c>
      <c r="H16" s="281">
        <f>$G16*Crops!D46</f>
        <v>0</v>
      </c>
      <c r="I16" s="171">
        <f>IF(AND(C16="YES",D16="YES"),Crops!$D46*VLOOKUP($B$6,'Standard data'!$B$146:$C$147,2,FALSE),0)</f>
        <v>0</v>
      </c>
    </row>
    <row r="17" spans="1:9" ht="15.75" thickBot="1">
      <c r="A17" s="152">
        <f>Crops!B21</f>
        <v>5</v>
      </c>
      <c r="B17" s="152" t="str">
        <f>Crops!C47</f>
        <v>ALMOND</v>
      </c>
      <c r="C17" s="152" t="str">
        <f>Crops!Y47</f>
        <v>no</v>
      </c>
      <c r="D17" s="152" t="str">
        <f>Crops!Z47</f>
        <v>no</v>
      </c>
      <c r="E17" s="152">
        <f>IF($C17="no",(INDEX('Standard data'!$C$76:$H$80,Crops!$E$4,Crops!$E$5)),0)</f>
        <v>24</v>
      </c>
      <c r="F17" s="152">
        <v>1</v>
      </c>
      <c r="G17" s="152">
        <f t="shared" si="0"/>
        <v>24</v>
      </c>
      <c r="H17" s="281">
        <f>$G17*Crops!D47</f>
        <v>0</v>
      </c>
      <c r="I17" s="171">
        <f>IF(AND(C17="YES",D17="YES"),Crops!$D47*VLOOKUP($B$6,'Standard data'!$B$146:$C$147,2,FALSE),0)</f>
        <v>0</v>
      </c>
    </row>
    <row r="18" spans="1:9" ht="15.75" thickBot="1">
      <c r="A18" s="152">
        <f>Crops!B22</f>
        <v>6</v>
      </c>
      <c r="B18" s="152" t="str">
        <f>Crops!C48</f>
        <v>ALMOND</v>
      </c>
      <c r="C18" s="152" t="str">
        <f>Crops!Y48</f>
        <v>no</v>
      </c>
      <c r="D18" s="152" t="str">
        <f>Crops!Z48</f>
        <v>no</v>
      </c>
      <c r="E18" s="152">
        <f>IF($C18="no",(INDEX('Standard data'!$C$76:$H$80,Crops!$E$4,Crops!$E$5)),0)</f>
        <v>24</v>
      </c>
      <c r="F18" s="152">
        <v>1</v>
      </c>
      <c r="G18" s="152">
        <f t="shared" si="0"/>
        <v>24</v>
      </c>
      <c r="H18" s="281">
        <f>$G18*Crops!D48</f>
        <v>0</v>
      </c>
      <c r="I18" s="171">
        <f>IF(AND(C18="YES",D18="YES"),Crops!$D48*VLOOKUP($B$6,'Standard data'!$B$146:$C$147,2,FALSE),0)</f>
        <v>0</v>
      </c>
    </row>
    <row r="19" spans="1:9" ht="15.75" thickBot="1">
      <c r="A19" s="152">
        <f>Crops!B23</f>
        <v>7</v>
      </c>
      <c r="B19" s="152" t="str">
        <f>Crops!C49</f>
        <v>ALMOND</v>
      </c>
      <c r="C19" s="152" t="str">
        <f>Crops!Y49</f>
        <v>no</v>
      </c>
      <c r="D19" s="152" t="str">
        <f>Crops!Z49</f>
        <v>no</v>
      </c>
      <c r="E19" s="152">
        <f>IF($C19="no",(INDEX('Standard data'!$C$76:$H$80,Crops!$E$4,Crops!$E$5)),0)</f>
        <v>24</v>
      </c>
      <c r="F19" s="152">
        <v>1</v>
      </c>
      <c r="G19" s="152">
        <f t="shared" si="0"/>
        <v>24</v>
      </c>
      <c r="H19" s="281">
        <f>$G19*Crops!D49</f>
        <v>0</v>
      </c>
      <c r="I19" s="171">
        <f>IF(AND(C19="YES",D19="YES"),Crops!$D49*VLOOKUP($B$6,'Standard data'!$B$146:$C$147,2,FALSE),0)</f>
        <v>0</v>
      </c>
    </row>
    <row r="20" spans="1:9" ht="15.75" thickBot="1">
      <c r="A20" s="152">
        <f>Crops!B24</f>
        <v>8</v>
      </c>
      <c r="B20" s="152" t="str">
        <f>Crops!C50</f>
        <v>ALMOND</v>
      </c>
      <c r="C20" s="152" t="str">
        <f>Crops!Y50</f>
        <v>no</v>
      </c>
      <c r="D20" s="152" t="str">
        <f>Crops!Z50</f>
        <v>no</v>
      </c>
      <c r="E20" s="152">
        <f>IF($C20="no",(INDEX('Standard data'!$C$76:$H$80,Crops!$E$4,Crops!$E$5)),0)</f>
        <v>24</v>
      </c>
      <c r="F20" s="152">
        <v>1</v>
      </c>
      <c r="G20" s="152">
        <f t="shared" si="0"/>
        <v>24</v>
      </c>
      <c r="H20" s="281">
        <f>$G20*Crops!D50</f>
        <v>0</v>
      </c>
      <c r="I20" s="171">
        <f>IF(AND(C20="YES",D20="YES"),Crops!$D50*VLOOKUP($B$6,'Standard data'!$B$146:$C$147,2,FALSE),0)</f>
        <v>0</v>
      </c>
    </row>
    <row r="21" spans="1:9" ht="15.75" thickBot="1">
      <c r="A21" s="152">
        <f>Crops!B25</f>
        <v>9</v>
      </c>
      <c r="B21" s="152" t="str">
        <f>Crops!C51</f>
        <v>ALMOND</v>
      </c>
      <c r="C21" s="152" t="str">
        <f>Crops!Y51</f>
        <v>no</v>
      </c>
      <c r="D21" s="152" t="str">
        <f>Crops!Z51</f>
        <v>no</v>
      </c>
      <c r="E21" s="152">
        <f>IF($C21="no",(INDEX('Standard data'!$C$76:$H$80,Crops!$E$4,Crops!$E$5)),0)</f>
        <v>24</v>
      </c>
      <c r="F21" s="152">
        <v>1</v>
      </c>
      <c r="G21" s="152">
        <f t="shared" si="0"/>
        <v>24</v>
      </c>
      <c r="H21" s="281">
        <f>$G21*Crops!D51</f>
        <v>0</v>
      </c>
      <c r="I21" s="171">
        <f>IF(AND(C21="YES",D21="YES"),Crops!$D51*VLOOKUP($B$6,'Standard data'!$B$146:$C$147,2,FALSE),0)</f>
        <v>0</v>
      </c>
    </row>
    <row r="22" spans="1:9" ht="15.75" thickBot="1">
      <c r="A22" s="152">
        <f>Crops!B26</f>
        <v>10</v>
      </c>
      <c r="B22" s="152" t="str">
        <f>Crops!C52</f>
        <v>ALMOND</v>
      </c>
      <c r="C22" s="152" t="str">
        <f>Crops!Y52</f>
        <v>no</v>
      </c>
      <c r="D22" s="152" t="str">
        <f>Crops!Z52</f>
        <v>no</v>
      </c>
      <c r="E22" s="152">
        <f>IF($C22="no",(INDEX('Standard data'!$C$76:$H$80,Crops!$E$4,Crops!$E$5)),0)</f>
        <v>24</v>
      </c>
      <c r="F22" s="152">
        <v>1</v>
      </c>
      <c r="G22" s="152">
        <f t="shared" si="0"/>
        <v>24</v>
      </c>
      <c r="H22" s="281">
        <f>$G22*Crops!D52</f>
        <v>0</v>
      </c>
      <c r="I22" s="171">
        <f>IF(AND(C22="YES",D22="YES"),Crops!$D52*VLOOKUP($B$6,'Standard data'!$B$146:$C$147,2,FALSE),0)</f>
        <v>0</v>
      </c>
    </row>
    <row r="23" spans="1:9" ht="15.75" thickBot="1">
      <c r="A23" s="152">
        <f>Crops!B27</f>
        <v>11</v>
      </c>
      <c r="B23" s="152" t="str">
        <f>Crops!C53</f>
        <v>ALMOND</v>
      </c>
      <c r="C23" s="152" t="str">
        <f>Crops!Y53</f>
        <v>no</v>
      </c>
      <c r="D23" s="152" t="str">
        <f>Crops!Z53</f>
        <v>no</v>
      </c>
      <c r="E23" s="152">
        <f>IF($C23="no",(INDEX('Standard data'!$C$76:$H$80,Crops!$E$4,Crops!$E$5)),0)</f>
        <v>24</v>
      </c>
      <c r="F23" s="152">
        <v>1</v>
      </c>
      <c r="G23" s="152">
        <f t="shared" si="0"/>
        <v>24</v>
      </c>
      <c r="H23" s="281">
        <f>$G23*Crops!D53</f>
        <v>0</v>
      </c>
      <c r="I23" s="171">
        <f>IF(AND(C23="YES",D23="YES"),Crops!$D53*VLOOKUP($B$6,'Standard data'!$B$146:$C$147,2,FALSE),0)</f>
        <v>0</v>
      </c>
    </row>
    <row r="24" spans="1:9" ht="15.75" thickBot="1">
      <c r="C24" s="128"/>
      <c r="D24" s="128"/>
      <c r="E24" s="32"/>
      <c r="F24" s="70"/>
      <c r="G24" s="32"/>
      <c r="H24" s="326">
        <f>SUM(H13:H23)</f>
        <v>0</v>
      </c>
      <c r="I24" s="326">
        <f>SUM(I13:I23)</f>
        <v>0</v>
      </c>
    </row>
    <row r="25" spans="1:9">
      <c r="E25" s="32"/>
      <c r="F25" s="32"/>
      <c r="G25" s="32"/>
      <c r="H25" s="32"/>
      <c r="I25" s="32"/>
    </row>
    <row r="26" spans="1:9" s="109" customFormat="1">
      <c r="B26" s="39"/>
      <c r="C26" s="39"/>
      <c r="D26" s="39"/>
      <c r="E26" s="39"/>
      <c r="F26" s="39"/>
      <c r="G26" s="39"/>
      <c r="H26" s="39"/>
      <c r="I26" s="39"/>
    </row>
    <row r="42" spans="5:9" ht="26.25">
      <c r="E42" s="33" t="s">
        <v>62</v>
      </c>
      <c r="F42" s="32"/>
      <c r="G42" s="32"/>
      <c r="I42" s="32"/>
    </row>
    <row r="43" spans="5:9" ht="78.75">
      <c r="E43" s="40" t="s">
        <v>63</v>
      </c>
      <c r="F43" s="38"/>
      <c r="G43" s="38"/>
      <c r="I43" s="38"/>
    </row>
    <row r="44" spans="5:9" ht="51">
      <c r="E44" s="41" t="s">
        <v>66</v>
      </c>
      <c r="F44" s="41" t="s">
        <v>67</v>
      </c>
      <c r="G44" s="42" t="s">
        <v>68</v>
      </c>
      <c r="I44" s="41" t="s">
        <v>196</v>
      </c>
    </row>
    <row r="45" spans="5:9" ht="39">
      <c r="E45" s="36" t="s">
        <v>77</v>
      </c>
      <c r="F45" s="35" t="s">
        <v>79</v>
      </c>
      <c r="G45" s="35" t="s">
        <v>81</v>
      </c>
      <c r="I45" s="36">
        <v>0.95</v>
      </c>
    </row>
    <row r="46" spans="5:9" ht="26.25">
      <c r="E46" s="36" t="s">
        <v>86</v>
      </c>
      <c r="F46" s="35" t="s">
        <v>79</v>
      </c>
      <c r="G46" s="35" t="s">
        <v>88</v>
      </c>
      <c r="I46" s="36">
        <v>0.92</v>
      </c>
    </row>
    <row r="47" spans="5:9" ht="39">
      <c r="E47" s="36" t="s">
        <v>77</v>
      </c>
      <c r="F47" s="35" t="s">
        <v>91</v>
      </c>
      <c r="G47" s="35" t="s">
        <v>94</v>
      </c>
      <c r="I47" s="36">
        <v>0.95</v>
      </c>
    </row>
    <row r="48" spans="5:9" ht="39">
      <c r="E48" s="36" t="s">
        <v>86</v>
      </c>
      <c r="F48" s="35" t="s">
        <v>91</v>
      </c>
      <c r="G48" s="35" t="s">
        <v>97</v>
      </c>
      <c r="I48" s="36">
        <v>0.92</v>
      </c>
    </row>
    <row r="49" spans="5:9" ht="39">
      <c r="E49" s="36" t="s">
        <v>77</v>
      </c>
      <c r="F49" s="35" t="s">
        <v>79</v>
      </c>
      <c r="G49" s="35" t="s">
        <v>100</v>
      </c>
      <c r="I49" s="36">
        <v>0.94</v>
      </c>
    </row>
    <row r="50" spans="5:9" ht="51.75">
      <c r="E50" s="36" t="s">
        <v>86</v>
      </c>
      <c r="F50" s="35" t="s">
        <v>79</v>
      </c>
      <c r="G50" s="35" t="s">
        <v>104</v>
      </c>
      <c r="I50" s="46">
        <v>1</v>
      </c>
    </row>
    <row r="51" spans="5:9" ht="51.75">
      <c r="E51" s="36" t="s">
        <v>77</v>
      </c>
      <c r="F51" s="35" t="s">
        <v>91</v>
      </c>
      <c r="G51" s="35" t="s">
        <v>108</v>
      </c>
      <c r="I51" s="46">
        <v>1</v>
      </c>
    </row>
    <row r="52" spans="5:9" ht="51.75">
      <c r="E52" s="36" t="s">
        <v>86</v>
      </c>
      <c r="F52" s="35" t="s">
        <v>91</v>
      </c>
      <c r="G52" s="35" t="s">
        <v>111</v>
      </c>
      <c r="I52" s="46">
        <v>1</v>
      </c>
    </row>
    <row r="53" spans="5:9" ht="39">
      <c r="E53" s="36" t="s">
        <v>77</v>
      </c>
      <c r="F53" s="49"/>
      <c r="G53" s="35" t="s">
        <v>114</v>
      </c>
      <c r="I53" s="46">
        <v>1</v>
      </c>
    </row>
    <row r="54" spans="5:9" ht="51.75">
      <c r="E54" s="36" t="s">
        <v>86</v>
      </c>
      <c r="F54" s="49"/>
      <c r="G54" s="35" t="s">
        <v>117</v>
      </c>
      <c r="I54" s="46">
        <v>1</v>
      </c>
    </row>
    <row r="55" spans="5:9" ht="51.75">
      <c r="E55" s="50" t="s">
        <v>119</v>
      </c>
      <c r="F55" s="35" t="s">
        <v>79</v>
      </c>
      <c r="G55" s="35" t="s">
        <v>121</v>
      </c>
      <c r="I55" s="46">
        <v>1</v>
      </c>
    </row>
    <row r="56" spans="5:9" ht="39">
      <c r="E56" s="50" t="s">
        <v>119</v>
      </c>
      <c r="F56" s="35" t="s">
        <v>91</v>
      </c>
      <c r="G56" s="35" t="s">
        <v>125</v>
      </c>
      <c r="I56" s="36">
        <v>1.04</v>
      </c>
    </row>
    <row r="57" spans="5:9" ht="39">
      <c r="E57" s="50" t="s">
        <v>119</v>
      </c>
      <c r="F57" s="35" t="s">
        <v>79</v>
      </c>
      <c r="G57" s="35" t="s">
        <v>128</v>
      </c>
      <c r="I57" s="36">
        <v>1.04</v>
      </c>
    </row>
    <row r="58" spans="5:9" ht="26.25">
      <c r="E58" s="50" t="s">
        <v>119</v>
      </c>
      <c r="F58" s="35" t="s">
        <v>91</v>
      </c>
      <c r="G58" s="35" t="s">
        <v>130</v>
      </c>
      <c r="I58" s="36">
        <v>1.1100000000000001</v>
      </c>
    </row>
    <row r="59" spans="5:9" ht="39">
      <c r="E59" s="50" t="s">
        <v>119</v>
      </c>
      <c r="F59" s="35" t="s">
        <v>79</v>
      </c>
      <c r="G59" s="35" t="s">
        <v>132</v>
      </c>
      <c r="I59" s="36">
        <v>1.1100000000000001</v>
      </c>
    </row>
    <row r="60" spans="5:9" ht="39">
      <c r="E60" s="50" t="s">
        <v>119</v>
      </c>
      <c r="F60" s="35" t="s">
        <v>91</v>
      </c>
      <c r="G60" s="35" t="s">
        <v>134</v>
      </c>
      <c r="I60" s="36">
        <v>1.08</v>
      </c>
    </row>
    <row r="61" spans="5:9">
      <c r="E61" s="36" t="s">
        <v>135</v>
      </c>
      <c r="F61" s="35" t="s">
        <v>79</v>
      </c>
      <c r="G61" s="32"/>
      <c r="I61" s="36">
        <v>1.37</v>
      </c>
    </row>
    <row r="62" spans="5:9">
      <c r="E62" s="36" t="s">
        <v>135</v>
      </c>
      <c r="F62" s="35" t="s">
        <v>91</v>
      </c>
      <c r="G62" s="32"/>
      <c r="I62" s="36">
        <v>1.37</v>
      </c>
    </row>
    <row r="63" spans="5:9">
      <c r="E63" s="36" t="s">
        <v>135</v>
      </c>
      <c r="F63" s="35" t="s">
        <v>79</v>
      </c>
      <c r="G63" s="32"/>
      <c r="I63" s="36">
        <v>1.44</v>
      </c>
    </row>
    <row r="64" spans="5:9">
      <c r="E64" s="36" t="s">
        <v>135</v>
      </c>
      <c r="F64" s="35" t="s">
        <v>91</v>
      </c>
      <c r="G64" s="32"/>
      <c r="I64" s="36">
        <v>1.44</v>
      </c>
    </row>
    <row r="65" spans="5:9">
      <c r="E65" s="36" t="s">
        <v>135</v>
      </c>
      <c r="F65" s="35" t="s">
        <v>79</v>
      </c>
      <c r="G65" s="32"/>
      <c r="I65" s="36">
        <v>1.41</v>
      </c>
    </row>
    <row r="66" spans="5:9">
      <c r="E66" s="36" t="s">
        <v>135</v>
      </c>
      <c r="F66" s="35" t="s">
        <v>91</v>
      </c>
      <c r="G66" s="32"/>
      <c r="I66" s="32"/>
    </row>
    <row r="67" spans="5:9">
      <c r="E67" s="36" t="s">
        <v>142</v>
      </c>
      <c r="F67" s="35" t="s">
        <v>79</v>
      </c>
    </row>
    <row r="68" spans="5:9">
      <c r="E68" s="36" t="s">
        <v>142</v>
      </c>
      <c r="F68" s="35" t="s">
        <v>91</v>
      </c>
    </row>
    <row r="69" spans="5:9">
      <c r="E69" s="36" t="s">
        <v>142</v>
      </c>
      <c r="F69" s="35" t="s">
        <v>79</v>
      </c>
    </row>
    <row r="70" spans="5:9">
      <c r="E70" s="36" t="s">
        <v>142</v>
      </c>
      <c r="F70" s="35" t="s">
        <v>91</v>
      </c>
    </row>
    <row r="71" spans="5:9">
      <c r="E71" s="36" t="s">
        <v>142</v>
      </c>
      <c r="F71" s="35" t="s">
        <v>79</v>
      </c>
    </row>
    <row r="72" spans="5:9">
      <c r="E72" s="36" t="s">
        <v>142</v>
      </c>
      <c r="F72" s="35" t="s">
        <v>91</v>
      </c>
    </row>
    <row r="73" spans="5:9">
      <c r="E73" s="36" t="s">
        <v>149</v>
      </c>
      <c r="F73" s="35" t="s">
        <v>79</v>
      </c>
    </row>
    <row r="74" spans="5:9">
      <c r="E74" s="36" t="s">
        <v>149</v>
      </c>
      <c r="F74" s="35" t="s">
        <v>79</v>
      </c>
    </row>
    <row r="75" spans="5:9">
      <c r="E75" s="36" t="s">
        <v>149</v>
      </c>
      <c r="F75" s="35" t="s">
        <v>91</v>
      </c>
    </row>
    <row r="76" spans="5:9">
      <c r="E76" s="36" t="s">
        <v>149</v>
      </c>
      <c r="F76" s="35" t="s">
        <v>91</v>
      </c>
    </row>
    <row r="77" spans="5:9">
      <c r="E77" s="36" t="s">
        <v>149</v>
      </c>
      <c r="F77" s="49"/>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G31" sqref="G31"/>
    </sheetView>
  </sheetViews>
  <sheetFormatPr baseColWidth="10" defaultRowHeight="15"/>
  <cols>
    <col min="1" max="1" width="44.42578125" bestFit="1" customWidth="1"/>
    <col min="5" max="5" width="15.28515625" bestFit="1" customWidth="1"/>
  </cols>
  <sheetData>
    <row r="1" spans="1:5" ht="18.75">
      <c r="A1" s="319" t="s">
        <v>713</v>
      </c>
    </row>
    <row r="3" spans="1:5">
      <c r="A3" s="2"/>
    </row>
    <row r="4" spans="1:5" ht="15.75" thickBot="1">
      <c r="A4" s="145" t="s">
        <v>712</v>
      </c>
      <c r="B4" s="145" t="s">
        <v>159</v>
      </c>
      <c r="C4" s="145">
        <v>1</v>
      </c>
    </row>
    <row r="5" spans="1:5" ht="16.5" thickTop="1" thickBot="1">
      <c r="A5" s="145"/>
      <c r="B5" s="145" t="s">
        <v>74</v>
      </c>
      <c r="C5" s="145">
        <v>25</v>
      </c>
    </row>
    <row r="6" spans="1:5" ht="16.5" thickTop="1" thickBot="1">
      <c r="A6" s="145"/>
      <c r="B6" s="145" t="s">
        <v>75</v>
      </c>
      <c r="C6" s="145">
        <v>298</v>
      </c>
    </row>
    <row r="7" spans="1:5" ht="15.75" thickTop="1"/>
    <row r="8" spans="1:5" ht="15.75" thickBot="1"/>
    <row r="9" spans="1:5">
      <c r="A9" s="9"/>
      <c r="B9" s="6" t="s">
        <v>159</v>
      </c>
      <c r="C9" s="4" t="s">
        <v>75</v>
      </c>
      <c r="D9" s="11" t="s">
        <v>74</v>
      </c>
      <c r="E9" s="13" t="s">
        <v>160</v>
      </c>
    </row>
    <row r="10" spans="1:5" ht="15.75" thickBot="1">
      <c r="A10" s="10"/>
      <c r="B10" s="7" t="s">
        <v>194</v>
      </c>
      <c r="C10" s="5" t="s">
        <v>52</v>
      </c>
      <c r="D10" s="12" t="s">
        <v>53</v>
      </c>
      <c r="E10" s="14" t="s">
        <v>722</v>
      </c>
    </row>
    <row r="11" spans="1:5">
      <c r="A11" s="324" t="s">
        <v>714</v>
      </c>
      <c r="B11" s="320"/>
      <c r="C11" s="321"/>
      <c r="D11" s="322"/>
      <c r="E11" s="323"/>
    </row>
    <row r="12" spans="1:5">
      <c r="A12" s="10" t="s">
        <v>717</v>
      </c>
      <c r="B12" s="22"/>
      <c r="C12" s="23">
        <f>Crops!BA40</f>
        <v>0</v>
      </c>
      <c r="D12" s="24">
        <f>Crops!BB40</f>
        <v>0</v>
      </c>
      <c r="E12" s="15">
        <f>C12*$C$6+D12*$C$5</f>
        <v>0</v>
      </c>
    </row>
    <row r="13" spans="1:5">
      <c r="A13" s="10" t="s">
        <v>719</v>
      </c>
      <c r="B13" s="26">
        <f>SUM(Crops!BK40:BL40,Crops!BF40)</f>
        <v>0</v>
      </c>
      <c r="C13" s="27"/>
      <c r="D13" s="27"/>
      <c r="E13" s="16">
        <f>B13</f>
        <v>0</v>
      </c>
    </row>
    <row r="14" spans="1:5">
      <c r="A14" s="10" t="s">
        <v>716</v>
      </c>
      <c r="B14" s="26">
        <f>Crops!BM40</f>
        <v>0</v>
      </c>
      <c r="C14" s="27"/>
      <c r="D14" s="27"/>
      <c r="E14" s="16">
        <f t="shared" ref="E14:E16" si="0">B14</f>
        <v>0</v>
      </c>
    </row>
    <row r="15" spans="1:5">
      <c r="A15" s="10" t="s">
        <v>720</v>
      </c>
      <c r="B15" s="25">
        <f>'Carbon cycle_crops'!S36</f>
        <v>0</v>
      </c>
      <c r="C15" s="26"/>
      <c r="D15" s="27"/>
      <c r="E15" s="16">
        <f t="shared" si="0"/>
        <v>0</v>
      </c>
    </row>
    <row r="16" spans="1:5">
      <c r="A16" s="10" t="s">
        <v>721</v>
      </c>
      <c r="B16" s="25">
        <f>'Carbon cycle_crops'!T36</f>
        <v>0</v>
      </c>
      <c r="C16" s="26"/>
      <c r="D16" s="27"/>
      <c r="E16" s="16">
        <f t="shared" si="0"/>
        <v>0</v>
      </c>
    </row>
    <row r="17" spans="1:5">
      <c r="A17" s="10"/>
      <c r="B17" s="25"/>
      <c r="C17" s="26"/>
      <c r="D17" s="27"/>
      <c r="E17" s="17"/>
    </row>
    <row r="18" spans="1:5">
      <c r="A18" s="324" t="s">
        <v>555</v>
      </c>
      <c r="B18" s="25"/>
      <c r="C18" s="26"/>
      <c r="D18" s="27"/>
      <c r="E18" s="17"/>
    </row>
    <row r="19" spans="1:5">
      <c r="A19" s="10" t="s">
        <v>717</v>
      </c>
      <c r="B19" s="25"/>
      <c r="C19" s="26">
        <f>Grassland!AH32+Grassland!AX32</f>
        <v>0</v>
      </c>
      <c r="D19" s="27">
        <f>Grassland!AY32</f>
        <v>0</v>
      </c>
      <c r="E19" s="15">
        <f>C19*$C$6+D19*$C$5</f>
        <v>0</v>
      </c>
    </row>
    <row r="20" spans="1:5">
      <c r="A20" s="10" t="s">
        <v>719</v>
      </c>
      <c r="B20" s="25">
        <f>Grassland!BD32+Grassland!BE32</f>
        <v>0</v>
      </c>
      <c r="C20" s="26"/>
      <c r="D20" s="27"/>
      <c r="E20" s="16">
        <f t="shared" ref="E20:E23" si="1">B20</f>
        <v>0</v>
      </c>
    </row>
    <row r="21" spans="1:5">
      <c r="A21" s="10" t="s">
        <v>716</v>
      </c>
      <c r="B21" s="25">
        <f>Grassland!BF32</f>
        <v>0</v>
      </c>
      <c r="C21" s="26"/>
      <c r="D21" s="27"/>
      <c r="E21" s="16">
        <f t="shared" si="1"/>
        <v>0</v>
      </c>
    </row>
    <row r="22" spans="1:5">
      <c r="A22" s="10" t="s">
        <v>720</v>
      </c>
      <c r="B22" s="25">
        <f>'Carbon cycle_grassland'!P30+'Carbon cycle_grassland'!Y30</f>
        <v>0</v>
      </c>
      <c r="C22" s="26"/>
      <c r="D22" s="27"/>
      <c r="E22" s="16">
        <f t="shared" si="1"/>
        <v>0</v>
      </c>
    </row>
    <row r="23" spans="1:5">
      <c r="A23" s="10" t="s">
        <v>721</v>
      </c>
      <c r="B23" s="25">
        <f>'Carbon cycle_grassland'!Z30</f>
        <v>0</v>
      </c>
      <c r="C23" s="26"/>
      <c r="D23" s="27"/>
      <c r="E23" s="16">
        <f t="shared" si="1"/>
        <v>0</v>
      </c>
    </row>
    <row r="24" spans="1:5">
      <c r="A24" s="10"/>
      <c r="B24" s="25"/>
      <c r="C24" s="26"/>
      <c r="D24" s="27"/>
      <c r="E24" s="17"/>
    </row>
    <row r="25" spans="1:5">
      <c r="A25" s="324" t="s">
        <v>715</v>
      </c>
      <c r="B25" s="25"/>
      <c r="C25" s="26"/>
      <c r="D25" s="27"/>
      <c r="E25" s="17"/>
    </row>
    <row r="26" spans="1:5">
      <c r="A26" s="10" t="s">
        <v>717</v>
      </c>
      <c r="B26" s="25"/>
      <c r="C26" s="26">
        <f>Crops!BA54</f>
        <v>0</v>
      </c>
      <c r="D26" s="27">
        <f>Crops!BB54</f>
        <v>0</v>
      </c>
      <c r="E26" s="15">
        <f>C26*$C$6+D26*$C$5</f>
        <v>0</v>
      </c>
    </row>
    <row r="27" spans="1:5">
      <c r="A27" s="10" t="s">
        <v>719</v>
      </c>
      <c r="B27" s="25">
        <f>SUM(Crops!BF54,Crops!BK54:BL54)</f>
        <v>0</v>
      </c>
      <c r="C27" s="26"/>
      <c r="D27" s="27"/>
      <c r="E27" s="16">
        <f t="shared" ref="E27:E30" si="2">B27</f>
        <v>0</v>
      </c>
    </row>
    <row r="28" spans="1:5">
      <c r="A28" s="10" t="s">
        <v>716</v>
      </c>
      <c r="B28" s="25">
        <f>Crops!BM54</f>
        <v>0</v>
      </c>
      <c r="C28" s="26"/>
      <c r="D28" s="27"/>
      <c r="E28" s="16">
        <f t="shared" si="2"/>
        <v>0</v>
      </c>
    </row>
    <row r="29" spans="1:5">
      <c r="A29" s="10" t="s">
        <v>720</v>
      </c>
      <c r="B29" s="25">
        <f>'Carbon cycle_trees'!H24</f>
        <v>0</v>
      </c>
      <c r="C29" s="26"/>
      <c r="D29" s="27"/>
      <c r="E29" s="16">
        <f t="shared" si="2"/>
        <v>0</v>
      </c>
    </row>
    <row r="30" spans="1:5">
      <c r="A30" s="10" t="s">
        <v>721</v>
      </c>
      <c r="B30" s="25">
        <f>'Carbon cycle_trees'!I24</f>
        <v>0</v>
      </c>
      <c r="C30" s="26"/>
      <c r="D30" s="27"/>
      <c r="E30" s="16">
        <f t="shared" si="2"/>
        <v>0</v>
      </c>
    </row>
    <row r="31" spans="1:5" ht="15.75" thickBot="1">
      <c r="A31" s="10"/>
      <c r="B31" s="8"/>
      <c r="C31" s="1"/>
      <c r="D31" s="3"/>
      <c r="E31" s="17"/>
    </row>
    <row r="32" spans="1:5" ht="15.75" thickBot="1">
      <c r="A32" s="14" t="s">
        <v>161</v>
      </c>
      <c r="B32" s="19"/>
      <c r="C32" s="20"/>
      <c r="D32" s="21"/>
      <c r="E32" s="18">
        <f>SUM(E12:E30)</f>
        <v>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dimension ref="A1:AF305"/>
  <sheetViews>
    <sheetView tabSelected="1" zoomScaleNormal="100" zoomScaleSheetLayoutView="100" zoomScalePageLayoutView="110" workbookViewId="0">
      <pane xSplit="4" ySplit="6" topLeftCell="E7" activePane="bottomRight" state="frozenSplit"/>
      <selection activeCell="M15" sqref="M15"/>
      <selection pane="topRight" activeCell="M15" sqref="M15"/>
      <selection pane="bottomLeft" activeCell="A34" sqref="A34"/>
      <selection pane="bottomRight" activeCell="S9" sqref="S9"/>
    </sheetView>
  </sheetViews>
  <sheetFormatPr baseColWidth="10" defaultColWidth="11.42578125" defaultRowHeight="15" outlineLevelCol="1"/>
  <cols>
    <col min="2" max="2" width="30.42578125" customWidth="1"/>
    <col min="3" max="3" width="13.42578125" hidden="1" customWidth="1" outlineLevel="1"/>
    <col min="4" max="5" width="16.42578125" hidden="1" customWidth="1" outlineLevel="1"/>
    <col min="6" max="6" width="9.140625" hidden="1" customWidth="1" outlineLevel="1"/>
    <col min="7" max="7" width="10.7109375" hidden="1" customWidth="1" outlineLevel="1"/>
    <col min="8" max="8" width="10.85546875" hidden="1" customWidth="1" outlineLevel="1"/>
    <col min="9" max="9" width="10.42578125" hidden="1" customWidth="1" outlineLevel="1"/>
    <col min="10" max="10" width="11.42578125" hidden="1" customWidth="1" outlineLevel="1"/>
    <col min="11" max="11" width="12.28515625" hidden="1" customWidth="1" outlineLevel="1"/>
    <col min="12" max="12" width="6.7109375" hidden="1" customWidth="1" outlineLevel="1"/>
    <col min="13" max="13" width="11.42578125" hidden="1" customWidth="1" outlineLevel="1"/>
    <col min="14" max="14" width="11.42578125" customWidth="1" collapsed="1"/>
    <col min="15" max="20" width="11.42578125" customWidth="1"/>
    <col min="21" max="21" width="12.140625" customWidth="1"/>
    <col min="22" max="25" width="11.42578125" customWidth="1"/>
    <col min="26" max="26" width="9.42578125" customWidth="1"/>
  </cols>
  <sheetData>
    <row r="1" spans="1:32" ht="15.75">
      <c r="A1" s="125" t="s">
        <v>370</v>
      </c>
      <c r="B1" s="125"/>
      <c r="C1" s="125"/>
      <c r="D1" s="125"/>
      <c r="E1" s="76"/>
      <c r="F1" s="76"/>
      <c r="G1" s="76"/>
      <c r="H1" s="76"/>
      <c r="I1" s="76"/>
      <c r="J1" s="76"/>
      <c r="K1" s="76"/>
      <c r="L1" s="77"/>
      <c r="M1" s="78"/>
      <c r="N1" s="76"/>
      <c r="O1" s="79"/>
      <c r="P1" s="79"/>
      <c r="Q1" s="79"/>
      <c r="R1" s="79"/>
      <c r="S1" s="79"/>
      <c r="T1" s="79"/>
      <c r="U1" s="80"/>
      <c r="V1" s="79"/>
      <c r="W1" s="79"/>
      <c r="X1" s="79"/>
      <c r="Y1" s="79"/>
      <c r="Z1" s="79"/>
      <c r="AA1" s="79"/>
      <c r="AB1" s="81"/>
      <c r="AC1" s="79"/>
      <c r="AD1" s="79"/>
      <c r="AE1" s="81"/>
      <c r="AF1" s="81"/>
    </row>
    <row r="2" spans="1:32">
      <c r="A2" s="76"/>
      <c r="B2" s="79">
        <v>1</v>
      </c>
      <c r="C2" s="76">
        <v>2</v>
      </c>
      <c r="D2" s="79">
        <v>3</v>
      </c>
      <c r="E2" s="76">
        <v>4</v>
      </c>
      <c r="F2" s="79">
        <v>5</v>
      </c>
      <c r="G2" s="76">
        <v>6</v>
      </c>
      <c r="H2" s="79">
        <v>7</v>
      </c>
      <c r="I2" s="76">
        <v>8</v>
      </c>
      <c r="J2" s="79">
        <v>9</v>
      </c>
      <c r="K2" s="76">
        <v>10</v>
      </c>
      <c r="L2" s="79">
        <v>11</v>
      </c>
      <c r="M2" s="76">
        <v>12</v>
      </c>
      <c r="N2" s="79">
        <v>13</v>
      </c>
      <c r="O2" s="76">
        <v>14</v>
      </c>
      <c r="P2" s="79">
        <v>15</v>
      </c>
      <c r="Q2" s="76">
        <v>16</v>
      </c>
      <c r="R2" s="79">
        <v>17</v>
      </c>
      <c r="S2" s="76">
        <v>18</v>
      </c>
      <c r="T2" s="79">
        <v>19</v>
      </c>
      <c r="U2" s="76">
        <v>20</v>
      </c>
      <c r="V2" s="79">
        <v>21</v>
      </c>
      <c r="W2" s="76">
        <v>22</v>
      </c>
      <c r="X2" s="79">
        <v>23</v>
      </c>
      <c r="Y2" s="76">
        <v>24</v>
      </c>
      <c r="Z2" s="79">
        <v>25</v>
      </c>
      <c r="AA2" s="79"/>
      <c r="AB2" s="81"/>
      <c r="AC2" s="79"/>
      <c r="AD2" s="79"/>
      <c r="AE2" s="81"/>
      <c r="AF2" s="81"/>
    </row>
    <row r="3" spans="1:32" ht="12.75" hidden="1" customHeight="1">
      <c r="A3" s="83"/>
      <c r="B3" s="79"/>
      <c r="C3" s="79"/>
      <c r="D3" s="79"/>
      <c r="E3" s="79"/>
      <c r="F3" s="79"/>
      <c r="G3" s="79"/>
      <c r="H3" s="79"/>
      <c r="I3" s="84" t="s">
        <v>371</v>
      </c>
      <c r="J3" s="77"/>
      <c r="K3" s="78"/>
      <c r="L3" s="76"/>
      <c r="M3" s="79"/>
      <c r="N3" s="85"/>
      <c r="O3" s="86"/>
      <c r="P3" s="85" t="s">
        <v>372</v>
      </c>
      <c r="Q3" s="86"/>
      <c r="R3" s="86"/>
      <c r="S3" s="87"/>
      <c r="T3" s="79"/>
      <c r="U3" s="80"/>
      <c r="V3" s="79"/>
      <c r="W3" s="79"/>
      <c r="X3" s="79"/>
      <c r="Y3" s="79"/>
      <c r="Z3" s="79"/>
      <c r="AA3" s="79"/>
      <c r="AB3" s="81"/>
      <c r="AC3" s="79"/>
      <c r="AD3" s="79"/>
      <c r="AE3" s="81"/>
      <c r="AF3" s="81"/>
    </row>
    <row r="4" spans="1:32" s="109" customFormat="1" ht="12.75" customHeight="1">
      <c r="A4" s="306"/>
      <c r="B4" s="307"/>
      <c r="C4" s="307"/>
      <c r="D4" s="307"/>
      <c r="E4" s="307"/>
      <c r="F4" s="307"/>
      <c r="G4" s="307"/>
      <c r="H4" s="307"/>
      <c r="I4" s="308"/>
      <c r="J4" s="309"/>
      <c r="K4" s="310"/>
      <c r="L4" s="308"/>
      <c r="M4" s="307"/>
      <c r="N4" s="311" t="s">
        <v>704</v>
      </c>
      <c r="O4" s="312" t="s">
        <v>705</v>
      </c>
      <c r="P4" s="311" t="s">
        <v>706</v>
      </c>
      <c r="Q4" s="312" t="s">
        <v>707</v>
      </c>
      <c r="R4" s="312" t="s">
        <v>701</v>
      </c>
      <c r="S4" s="313"/>
      <c r="T4" s="307"/>
      <c r="U4" s="314" t="s">
        <v>702</v>
      </c>
      <c r="V4" s="307"/>
      <c r="W4" s="307"/>
      <c r="X4" s="307"/>
      <c r="Y4" s="307" t="s">
        <v>703</v>
      </c>
      <c r="Z4" s="307"/>
      <c r="AA4" s="307"/>
      <c r="AB4" s="315"/>
      <c r="AC4" s="307"/>
      <c r="AD4" s="307"/>
      <c r="AE4" s="315"/>
      <c r="AF4" s="315"/>
    </row>
    <row r="5" spans="1:32" s="88" customFormat="1" ht="60" customHeight="1" thickBot="1">
      <c r="A5" s="284" t="s">
        <v>259</v>
      </c>
      <c r="B5" s="284" t="s">
        <v>776</v>
      </c>
      <c r="C5" s="288" t="s">
        <v>373</v>
      </c>
      <c r="D5" s="288" t="s">
        <v>374</v>
      </c>
      <c r="E5" s="288" t="s">
        <v>375</v>
      </c>
      <c r="F5" s="288" t="s">
        <v>376</v>
      </c>
      <c r="G5" s="288" t="s">
        <v>377</v>
      </c>
      <c r="H5" s="288" t="s">
        <v>378</v>
      </c>
      <c r="I5" s="288" t="s">
        <v>379</v>
      </c>
      <c r="J5" s="288" t="s">
        <v>380</v>
      </c>
      <c r="K5" s="288" t="s">
        <v>167</v>
      </c>
      <c r="L5" s="288" t="s">
        <v>381</v>
      </c>
      <c r="M5" s="288" t="s">
        <v>382</v>
      </c>
      <c r="N5" s="284" t="s">
        <v>383</v>
      </c>
      <c r="O5" s="284" t="s">
        <v>384</v>
      </c>
      <c r="P5" s="284" t="s">
        <v>385</v>
      </c>
      <c r="Q5" s="284" t="s">
        <v>386</v>
      </c>
      <c r="R5" s="284" t="s">
        <v>387</v>
      </c>
      <c r="S5" s="288" t="s">
        <v>388</v>
      </c>
      <c r="T5" s="288" t="s">
        <v>164</v>
      </c>
      <c r="U5" s="284" t="s">
        <v>389</v>
      </c>
      <c r="V5" s="288" t="s">
        <v>390</v>
      </c>
      <c r="W5" s="288" t="s">
        <v>391</v>
      </c>
      <c r="X5" s="288" t="s">
        <v>392</v>
      </c>
      <c r="Y5" s="284" t="s">
        <v>393</v>
      </c>
      <c r="Z5" s="288" t="s">
        <v>166</v>
      </c>
      <c r="AB5" s="89"/>
      <c r="AE5" s="89"/>
      <c r="AF5" s="89"/>
    </row>
    <row r="6" spans="1:32" ht="19.5" customHeight="1" thickTop="1" thickBot="1">
      <c r="A6" s="284"/>
      <c r="B6" s="284" t="s">
        <v>395</v>
      </c>
      <c r="C6" s="288"/>
      <c r="D6" s="288">
        <v>0</v>
      </c>
      <c r="E6" s="288">
        <v>0</v>
      </c>
      <c r="F6" s="288">
        <v>0</v>
      </c>
      <c r="G6" s="288" t="s">
        <v>46</v>
      </c>
      <c r="H6" s="288" t="s">
        <v>396</v>
      </c>
      <c r="I6" s="288">
        <v>0</v>
      </c>
      <c r="J6" s="288">
        <v>1</v>
      </c>
      <c r="K6" s="288" t="s">
        <v>260</v>
      </c>
      <c r="L6" s="288" t="s">
        <v>172</v>
      </c>
      <c r="M6" s="288" t="str">
        <f>" "</f>
        <v xml:space="preserve"> </v>
      </c>
      <c r="N6" s="284"/>
      <c r="O6" s="284"/>
      <c r="P6" s="284"/>
      <c r="Q6" s="284"/>
      <c r="R6" s="284"/>
      <c r="S6" s="288">
        <v>1</v>
      </c>
      <c r="T6" s="288" t="s">
        <v>397</v>
      </c>
      <c r="U6" s="284">
        <v>0</v>
      </c>
      <c r="V6" s="288"/>
      <c r="W6" s="288" t="s">
        <v>57</v>
      </c>
      <c r="X6" s="288"/>
      <c r="Y6" s="284"/>
      <c r="Z6" s="288">
        <f>A6</f>
        <v>0</v>
      </c>
      <c r="AA6" s="79"/>
      <c r="AB6" s="81"/>
      <c r="AC6" s="79"/>
      <c r="AD6" s="79"/>
      <c r="AE6" s="91"/>
      <c r="AF6" s="81"/>
    </row>
    <row r="7" spans="1:32" ht="19.5" customHeight="1" thickTop="1" thickBot="1">
      <c r="A7" s="340" t="s">
        <v>897</v>
      </c>
      <c r="B7" s="284"/>
      <c r="C7" s="288"/>
      <c r="D7" s="288"/>
      <c r="E7" s="288"/>
      <c r="F7" s="288"/>
      <c r="G7" s="288"/>
      <c r="H7" s="288"/>
      <c r="I7" s="288"/>
      <c r="J7" s="288"/>
      <c r="K7" s="288"/>
      <c r="L7" s="288"/>
      <c r="M7" s="288"/>
      <c r="N7" s="284"/>
      <c r="O7" s="284"/>
      <c r="P7" s="284"/>
      <c r="Q7" s="284"/>
      <c r="R7" s="284"/>
      <c r="S7" s="288"/>
      <c r="T7" s="288"/>
      <c r="U7" s="284"/>
      <c r="V7" s="288"/>
      <c r="W7" s="288"/>
      <c r="X7" s="288"/>
      <c r="Y7" s="284"/>
      <c r="Z7" s="288"/>
      <c r="AA7" s="79"/>
      <c r="AB7" s="81"/>
      <c r="AC7" s="79"/>
      <c r="AD7" s="79"/>
      <c r="AE7" s="91"/>
      <c r="AF7" s="81"/>
    </row>
    <row r="8" spans="1:32" ht="16.5" thickTop="1" thickBot="1">
      <c r="A8" s="284"/>
      <c r="B8" s="284" t="s">
        <v>858</v>
      </c>
      <c r="C8" s="288"/>
      <c r="D8" s="288"/>
      <c r="E8" s="288"/>
      <c r="F8" s="288"/>
      <c r="G8" s="288"/>
      <c r="H8" s="288"/>
      <c r="I8" s="288"/>
      <c r="J8" s="288"/>
      <c r="K8" s="288"/>
      <c r="L8" s="288"/>
      <c r="M8" s="288"/>
      <c r="N8" s="284"/>
      <c r="O8" s="284"/>
      <c r="P8" s="284"/>
      <c r="Q8" s="284"/>
      <c r="R8" s="284"/>
      <c r="S8" s="288"/>
      <c r="T8" s="288"/>
      <c r="U8" s="284"/>
      <c r="V8" s="288"/>
      <c r="W8" s="288"/>
      <c r="X8" s="288"/>
      <c r="Y8" s="284"/>
      <c r="Z8" s="288"/>
      <c r="AA8" s="79"/>
      <c r="AB8" s="81"/>
      <c r="AC8" s="79"/>
      <c r="AD8" s="79"/>
      <c r="AE8" s="91"/>
      <c r="AF8" s="81"/>
    </row>
    <row r="9" spans="1:32" ht="46.5" thickTop="1" thickBot="1">
      <c r="A9" s="284"/>
      <c r="B9" s="284" t="s">
        <v>859</v>
      </c>
      <c r="C9" s="288"/>
      <c r="D9" s="288"/>
      <c r="E9" s="288"/>
      <c r="F9" s="288"/>
      <c r="G9" s="288"/>
      <c r="H9" s="288"/>
      <c r="I9" s="288"/>
      <c r="J9" s="288"/>
      <c r="K9" s="288"/>
      <c r="L9" s="288"/>
      <c r="M9" s="288"/>
      <c r="N9" s="284"/>
      <c r="O9" s="284"/>
      <c r="P9" s="284"/>
      <c r="Q9" s="284"/>
      <c r="R9" s="284"/>
      <c r="S9" s="288"/>
      <c r="T9" s="288"/>
      <c r="U9" s="284"/>
      <c r="V9" s="288"/>
      <c r="W9" s="288"/>
      <c r="X9" s="288"/>
      <c r="Y9" s="284"/>
      <c r="Z9" s="288"/>
      <c r="AA9" s="79"/>
      <c r="AB9" s="81"/>
      <c r="AC9" s="79"/>
      <c r="AD9" s="79"/>
      <c r="AE9" s="91"/>
      <c r="AF9" s="81"/>
    </row>
    <row r="10" spans="1:32" ht="31.5" thickTop="1" thickBot="1">
      <c r="A10" s="284"/>
      <c r="B10" s="284" t="s">
        <v>860</v>
      </c>
      <c r="C10" s="288"/>
      <c r="D10" s="288"/>
      <c r="E10" s="288"/>
      <c r="F10" s="288"/>
      <c r="G10" s="288"/>
      <c r="H10" s="288"/>
      <c r="I10" s="288"/>
      <c r="J10" s="288"/>
      <c r="K10" s="288"/>
      <c r="L10" s="288"/>
      <c r="M10" s="288"/>
      <c r="N10" s="284"/>
      <c r="O10" s="284"/>
      <c r="P10" s="284"/>
      <c r="Q10" s="284"/>
      <c r="R10" s="284"/>
      <c r="S10" s="288"/>
      <c r="T10" s="288"/>
      <c r="U10" s="284"/>
      <c r="V10" s="288"/>
      <c r="W10" s="288"/>
      <c r="X10" s="288"/>
      <c r="Y10" s="284"/>
      <c r="Z10" s="288"/>
      <c r="AA10" s="79"/>
      <c r="AB10" s="81"/>
      <c r="AC10" s="79"/>
      <c r="AD10" s="79"/>
      <c r="AE10" s="91"/>
      <c r="AF10" s="81"/>
    </row>
    <row r="11" spans="1:32" ht="16.5" thickTop="1" thickBot="1">
      <c r="A11" s="284"/>
      <c r="B11" s="284" t="s">
        <v>861</v>
      </c>
      <c r="C11" s="288"/>
      <c r="D11" s="288"/>
      <c r="E11" s="288"/>
      <c r="F11" s="288"/>
      <c r="G11" s="288"/>
      <c r="H11" s="288"/>
      <c r="I11" s="288"/>
      <c r="J11" s="288"/>
      <c r="K11" s="288"/>
      <c r="L11" s="288"/>
      <c r="M11" s="288"/>
      <c r="N11" s="284"/>
      <c r="O11" s="284"/>
      <c r="P11" s="284"/>
      <c r="Q11" s="284"/>
      <c r="R11" s="284"/>
      <c r="S11" s="288"/>
      <c r="T11" s="288"/>
      <c r="U11" s="284"/>
      <c r="V11" s="288"/>
      <c r="W11" s="288"/>
      <c r="X11" s="288"/>
      <c r="Y11" s="284"/>
      <c r="Z11" s="288"/>
      <c r="AA11" s="79"/>
      <c r="AB11" s="81"/>
      <c r="AC11" s="79"/>
      <c r="AD11" s="79"/>
      <c r="AE11" s="91"/>
      <c r="AF11" s="81"/>
    </row>
    <row r="12" spans="1:32" ht="16.5" thickTop="1" thickBot="1">
      <c r="A12" s="284"/>
      <c r="B12" s="335" t="s">
        <v>760</v>
      </c>
      <c r="C12" s="288"/>
      <c r="D12" s="288">
        <v>4</v>
      </c>
      <c r="E12" s="288">
        <v>1.3</v>
      </c>
      <c r="F12" s="288">
        <v>6.2</v>
      </c>
      <c r="G12" s="288" t="s">
        <v>46</v>
      </c>
      <c r="H12" s="288" t="s">
        <v>400</v>
      </c>
      <c r="I12" s="288"/>
      <c r="J12" s="288">
        <v>0.2</v>
      </c>
      <c r="K12" s="288" t="s">
        <v>264</v>
      </c>
      <c r="L12" s="288" t="s">
        <v>172</v>
      </c>
      <c r="M12" s="288" t="s">
        <v>46</v>
      </c>
      <c r="N12" s="284"/>
      <c r="O12" s="284"/>
      <c r="P12" s="284"/>
      <c r="Q12" s="284"/>
      <c r="R12" s="284"/>
      <c r="S12" s="288">
        <v>1</v>
      </c>
      <c r="T12" s="288" t="s">
        <v>179</v>
      </c>
      <c r="U12" s="284">
        <v>0</v>
      </c>
      <c r="V12" s="288" t="s">
        <v>77</v>
      </c>
      <c r="W12" s="288" t="s">
        <v>57</v>
      </c>
      <c r="X12" s="288">
        <v>0</v>
      </c>
      <c r="Y12" s="284">
        <v>0.8</v>
      </c>
      <c r="Z12" s="288">
        <f>A12</f>
        <v>0</v>
      </c>
      <c r="AA12" s="79"/>
      <c r="AB12" s="81"/>
      <c r="AC12" s="91"/>
      <c r="AD12" s="81"/>
      <c r="AE12" s="79"/>
      <c r="AF12" s="79"/>
    </row>
    <row r="13" spans="1:32" ht="16.5" thickTop="1" thickBot="1">
      <c r="A13" s="284"/>
      <c r="B13" s="284" t="s">
        <v>761</v>
      </c>
      <c r="C13" s="288"/>
      <c r="D13" s="288">
        <v>12.9</v>
      </c>
      <c r="E13" s="288">
        <v>2.9</v>
      </c>
      <c r="F13" s="288">
        <v>12.6</v>
      </c>
      <c r="G13" s="288" t="s">
        <v>46</v>
      </c>
      <c r="H13" s="288" t="s">
        <v>401</v>
      </c>
      <c r="I13" s="288">
        <v>1.08</v>
      </c>
      <c r="J13" s="288">
        <v>0.1</v>
      </c>
      <c r="K13" s="288" t="s">
        <v>265</v>
      </c>
      <c r="L13" s="288" t="s">
        <v>172</v>
      </c>
      <c r="M13" s="288" t="s">
        <v>46</v>
      </c>
      <c r="N13" s="284">
        <v>0.61380000000000001</v>
      </c>
      <c r="O13" s="284">
        <v>0</v>
      </c>
      <c r="P13" s="284">
        <v>1</v>
      </c>
      <c r="Q13" s="284">
        <v>1.6899999999999998E-2</v>
      </c>
      <c r="R13" s="284">
        <f>Q13</f>
        <v>1.6899999999999998E-2</v>
      </c>
      <c r="S13" s="288">
        <v>1</v>
      </c>
      <c r="T13" s="288" t="s">
        <v>179</v>
      </c>
      <c r="U13" s="284">
        <v>0</v>
      </c>
      <c r="V13" s="288" t="s">
        <v>77</v>
      </c>
      <c r="W13" s="288" t="s">
        <v>57</v>
      </c>
      <c r="X13" s="288">
        <v>0</v>
      </c>
      <c r="Y13" s="284">
        <v>0.8</v>
      </c>
      <c r="Z13" s="288">
        <f>A13</f>
        <v>0</v>
      </c>
      <c r="AA13" s="79"/>
      <c r="AB13" s="81"/>
      <c r="AC13" s="91"/>
      <c r="AD13" s="81"/>
      <c r="AE13" s="79"/>
      <c r="AF13" s="79"/>
    </row>
    <row r="14" spans="1:32" ht="16.5" thickTop="1" thickBot="1">
      <c r="A14" s="284"/>
      <c r="B14" s="284" t="s">
        <v>762</v>
      </c>
      <c r="C14" s="288"/>
      <c r="D14" s="288">
        <v>3</v>
      </c>
      <c r="E14" s="288">
        <v>1</v>
      </c>
      <c r="F14" s="288">
        <v>3</v>
      </c>
      <c r="G14" s="288" t="s">
        <v>46</v>
      </c>
      <c r="H14" s="288" t="s">
        <v>402</v>
      </c>
      <c r="I14" s="288">
        <v>1.08</v>
      </c>
      <c r="J14" s="288">
        <v>0.1</v>
      </c>
      <c r="K14" s="288" t="s">
        <v>265</v>
      </c>
      <c r="L14" s="288" t="s">
        <v>172</v>
      </c>
      <c r="M14" s="288" t="s">
        <v>46</v>
      </c>
      <c r="N14" s="335"/>
      <c r="O14" s="335"/>
      <c r="P14" s="335"/>
      <c r="Q14" s="335"/>
      <c r="R14" s="335"/>
      <c r="S14" s="288">
        <v>1</v>
      </c>
      <c r="T14" s="288" t="s">
        <v>179</v>
      </c>
      <c r="U14" s="284">
        <v>0</v>
      </c>
      <c r="V14" s="288" t="s">
        <v>77</v>
      </c>
      <c r="W14" s="288" t="s">
        <v>57</v>
      </c>
      <c r="X14" s="288">
        <v>0</v>
      </c>
      <c r="Y14" s="284">
        <v>0.8</v>
      </c>
      <c r="Z14" s="288">
        <f>A14</f>
        <v>0</v>
      </c>
      <c r="AA14" s="79"/>
      <c r="AB14" s="81"/>
      <c r="AC14" s="91"/>
      <c r="AD14" s="81"/>
      <c r="AE14" s="79"/>
      <c r="AF14" s="79"/>
    </row>
    <row r="15" spans="1:32" ht="16.5" thickTop="1" thickBot="1">
      <c r="A15" s="284"/>
      <c r="B15" s="284" t="s">
        <v>764</v>
      </c>
      <c r="C15" s="288"/>
      <c r="D15" s="288">
        <v>15</v>
      </c>
      <c r="E15" s="288">
        <v>8</v>
      </c>
      <c r="F15" s="288">
        <v>7</v>
      </c>
      <c r="G15" s="288" t="s">
        <v>405</v>
      </c>
      <c r="H15" s="288" t="s">
        <v>400</v>
      </c>
      <c r="I15" s="288">
        <v>15.93</v>
      </c>
      <c r="J15" s="288">
        <v>0.85</v>
      </c>
      <c r="K15" s="288" t="s">
        <v>268</v>
      </c>
      <c r="L15" s="288" t="s">
        <v>172</v>
      </c>
      <c r="M15" s="288" t="s">
        <v>46</v>
      </c>
      <c r="N15" s="284">
        <v>0.98</v>
      </c>
      <c r="O15" s="284">
        <v>0.59</v>
      </c>
      <c r="P15" s="284">
        <v>0.22</v>
      </c>
      <c r="Q15" s="284">
        <v>7.7000000000000002E-3</v>
      </c>
      <c r="R15" s="284">
        <v>1.4E-2</v>
      </c>
      <c r="S15" s="288">
        <v>1</v>
      </c>
      <c r="T15" s="288" t="s">
        <v>406</v>
      </c>
      <c r="U15" s="284">
        <v>0.40799999999999997</v>
      </c>
      <c r="V15" s="288" t="s">
        <v>77</v>
      </c>
      <c r="W15" s="288" t="s">
        <v>60</v>
      </c>
      <c r="X15" s="288">
        <v>0</v>
      </c>
      <c r="Y15" s="284">
        <v>0.8</v>
      </c>
      <c r="Z15" s="288">
        <f>A15</f>
        <v>0</v>
      </c>
      <c r="AA15" s="79"/>
      <c r="AB15" s="81"/>
      <c r="AC15" s="91"/>
      <c r="AD15" s="81"/>
      <c r="AE15" s="79"/>
      <c r="AF15" s="79"/>
    </row>
    <row r="16" spans="1:32" ht="61.5" thickTop="1" thickBot="1">
      <c r="A16" s="284"/>
      <c r="B16" s="284" t="s">
        <v>765</v>
      </c>
      <c r="C16" s="288"/>
      <c r="D16" s="288">
        <v>15</v>
      </c>
      <c r="E16" s="288">
        <v>8</v>
      </c>
      <c r="F16" s="288">
        <v>7</v>
      </c>
      <c r="G16" s="288" t="s">
        <v>405</v>
      </c>
      <c r="H16" s="288" t="s">
        <v>400</v>
      </c>
      <c r="I16" s="288">
        <v>15.93</v>
      </c>
      <c r="J16" s="288">
        <v>0.85</v>
      </c>
      <c r="K16" s="288" t="s">
        <v>268</v>
      </c>
      <c r="L16" s="288" t="s">
        <v>172</v>
      </c>
      <c r="M16" s="288" t="s">
        <v>46</v>
      </c>
      <c r="N16" s="284">
        <v>0.98</v>
      </c>
      <c r="O16" s="284">
        <v>0.59</v>
      </c>
      <c r="P16" s="284">
        <v>0.22</v>
      </c>
      <c r="Q16" s="284">
        <v>7.7000000000000002E-3</v>
      </c>
      <c r="R16" s="284">
        <v>1.4E-2</v>
      </c>
      <c r="S16" s="288">
        <v>1</v>
      </c>
      <c r="T16" s="288" t="s">
        <v>406</v>
      </c>
      <c r="U16" s="284">
        <v>0.40799999999999997</v>
      </c>
      <c r="V16" s="288" t="s">
        <v>77</v>
      </c>
      <c r="W16" s="288" t="s">
        <v>60</v>
      </c>
      <c r="X16" s="288">
        <v>0</v>
      </c>
      <c r="Y16" s="284">
        <v>0.8</v>
      </c>
      <c r="Z16" s="288">
        <f>A16</f>
        <v>0</v>
      </c>
      <c r="AA16" s="79"/>
      <c r="AB16" s="81"/>
      <c r="AC16" s="91"/>
      <c r="AD16" s="81"/>
      <c r="AE16" s="79"/>
      <c r="AF16" s="79"/>
    </row>
    <row r="17" spans="1:32" ht="16.5" thickTop="1" thickBot="1">
      <c r="A17" s="284"/>
      <c r="B17" s="284" t="s">
        <v>768</v>
      </c>
      <c r="C17" s="288">
        <v>5</v>
      </c>
      <c r="D17" s="288">
        <v>5</v>
      </c>
      <c r="E17" s="288">
        <v>2.7</v>
      </c>
      <c r="F17" s="288">
        <v>4.3</v>
      </c>
      <c r="G17" s="288" t="s">
        <v>46</v>
      </c>
      <c r="H17" s="288" t="s">
        <v>411</v>
      </c>
      <c r="I17" s="288">
        <v>3</v>
      </c>
      <c r="J17" s="288">
        <v>0.19</v>
      </c>
      <c r="K17" s="288" t="s">
        <v>273</v>
      </c>
      <c r="L17" s="288" t="s">
        <v>172</v>
      </c>
      <c r="M17" s="288" t="s">
        <v>46</v>
      </c>
      <c r="N17" s="284">
        <v>1.1299999999999999</v>
      </c>
      <c r="O17" s="284">
        <v>0.85</v>
      </c>
      <c r="P17" s="284">
        <v>0.19</v>
      </c>
      <c r="Q17" s="284">
        <v>1.1475000000000001E-3</v>
      </c>
      <c r="R17" s="284">
        <v>8.8000000000000014E-4</v>
      </c>
      <c r="S17" s="288">
        <v>1</v>
      </c>
      <c r="T17" s="288" t="s">
        <v>179</v>
      </c>
      <c r="U17" s="284">
        <v>0</v>
      </c>
      <c r="V17" s="288" t="s">
        <v>77</v>
      </c>
      <c r="W17" s="288" t="s">
        <v>57</v>
      </c>
      <c r="X17" s="288">
        <v>1</v>
      </c>
      <c r="Y17" s="284">
        <v>0.8</v>
      </c>
      <c r="Z17" s="288">
        <f>A17</f>
        <v>0</v>
      </c>
      <c r="AA17" s="79"/>
      <c r="AB17" s="81"/>
      <c r="AC17" s="91"/>
      <c r="AD17" s="81"/>
      <c r="AE17" s="79"/>
      <c r="AF17" s="79"/>
    </row>
    <row r="18" spans="1:32" ht="16.5" thickTop="1" thickBot="1">
      <c r="A18" s="284"/>
      <c r="B18" s="335" t="s">
        <v>769</v>
      </c>
      <c r="C18" s="288">
        <v>3.4</v>
      </c>
      <c r="D18" s="288">
        <v>3.4</v>
      </c>
      <c r="E18" s="288">
        <v>1</v>
      </c>
      <c r="F18" s="288">
        <v>3.2</v>
      </c>
      <c r="G18" s="288" t="s">
        <v>46</v>
      </c>
      <c r="H18" s="288" t="s">
        <v>399</v>
      </c>
      <c r="I18" s="288">
        <v>1</v>
      </c>
      <c r="J18" s="288">
        <v>0.1</v>
      </c>
      <c r="K18" s="288" t="s">
        <v>269</v>
      </c>
      <c r="L18" s="288" t="s">
        <v>172</v>
      </c>
      <c r="M18" s="288" t="s">
        <v>46</v>
      </c>
      <c r="N18" s="284"/>
      <c r="O18" s="284"/>
      <c r="P18" s="284"/>
      <c r="Q18" s="284"/>
      <c r="R18" s="284"/>
      <c r="S18" s="288">
        <v>1</v>
      </c>
      <c r="T18" s="288" t="s">
        <v>179</v>
      </c>
      <c r="U18" s="284">
        <v>0</v>
      </c>
      <c r="V18" s="288" t="s">
        <v>77</v>
      </c>
      <c r="W18" s="288" t="s">
        <v>57</v>
      </c>
      <c r="X18" s="288">
        <v>1</v>
      </c>
      <c r="Y18" s="284">
        <v>0.8</v>
      </c>
      <c r="Z18" s="288">
        <f>A18</f>
        <v>0</v>
      </c>
      <c r="AA18" s="79"/>
      <c r="AB18" s="81"/>
      <c r="AC18" s="91"/>
      <c r="AD18" s="81"/>
      <c r="AE18" s="79"/>
      <c r="AF18" s="79"/>
    </row>
    <row r="19" spans="1:32" ht="16.5" thickTop="1" thickBot="1">
      <c r="A19" s="284"/>
      <c r="B19" s="284" t="s">
        <v>783</v>
      </c>
      <c r="C19" s="288"/>
      <c r="D19" s="288">
        <v>16</v>
      </c>
      <c r="E19" s="288">
        <v>3.5</v>
      </c>
      <c r="F19" s="288">
        <v>35</v>
      </c>
      <c r="G19" s="288" t="s">
        <v>424</v>
      </c>
      <c r="H19" s="288" t="s">
        <v>399</v>
      </c>
      <c r="I19" s="288">
        <v>17.2</v>
      </c>
      <c r="J19" s="288">
        <v>1</v>
      </c>
      <c r="K19" s="288" t="s">
        <v>270</v>
      </c>
      <c r="L19" s="288" t="s">
        <v>172</v>
      </c>
      <c r="M19" s="288" t="s">
        <v>425</v>
      </c>
      <c r="N19" s="284">
        <v>0</v>
      </c>
      <c r="O19" s="284">
        <v>0</v>
      </c>
      <c r="P19" s="284">
        <v>0</v>
      </c>
      <c r="Q19" s="284">
        <v>1.9E-2</v>
      </c>
      <c r="R19" s="284">
        <v>0</v>
      </c>
      <c r="S19" s="288">
        <v>1</v>
      </c>
      <c r="T19" s="288" t="s">
        <v>180</v>
      </c>
      <c r="U19" s="284">
        <v>6.827</v>
      </c>
      <c r="V19" s="288" t="s">
        <v>77</v>
      </c>
      <c r="W19" s="288" t="s">
        <v>57</v>
      </c>
      <c r="X19" s="288">
        <v>0</v>
      </c>
      <c r="Y19" s="284">
        <v>0.8</v>
      </c>
      <c r="Z19" s="288">
        <f>A19</f>
        <v>0</v>
      </c>
      <c r="AA19" s="79"/>
      <c r="AB19" s="81"/>
      <c r="AC19" s="91"/>
      <c r="AD19" s="81"/>
      <c r="AE19" s="79"/>
      <c r="AF19" s="79"/>
    </row>
    <row r="20" spans="1:32" ht="61.5" thickTop="1" thickBot="1">
      <c r="A20" s="284"/>
      <c r="B20" s="284" t="s">
        <v>862</v>
      </c>
      <c r="C20" s="288"/>
      <c r="D20" s="288"/>
      <c r="E20" s="288"/>
      <c r="F20" s="288"/>
      <c r="G20" s="288"/>
      <c r="H20" s="288"/>
      <c r="I20" s="288"/>
      <c r="J20" s="288"/>
      <c r="K20" s="288"/>
      <c r="L20" s="288"/>
      <c r="M20" s="288"/>
      <c r="N20" s="284"/>
      <c r="O20" s="284"/>
      <c r="P20" s="284"/>
      <c r="Q20" s="284"/>
      <c r="R20" s="284"/>
      <c r="S20" s="288"/>
      <c r="T20" s="288"/>
      <c r="U20" s="284"/>
      <c r="V20" s="288"/>
      <c r="W20" s="288"/>
      <c r="X20" s="288"/>
      <c r="Y20" s="284"/>
      <c r="Z20" s="288"/>
      <c r="AA20" s="79"/>
      <c r="AB20" s="81"/>
      <c r="AC20" s="79"/>
      <c r="AD20" s="79"/>
      <c r="AE20" s="91"/>
      <c r="AF20" s="81"/>
    </row>
    <row r="21" spans="1:32" ht="61.5" thickTop="1" thickBot="1">
      <c r="A21" s="284"/>
      <c r="B21" s="284" t="s">
        <v>863</v>
      </c>
      <c r="C21" s="288"/>
      <c r="D21" s="288"/>
      <c r="E21" s="288"/>
      <c r="F21" s="288"/>
      <c r="G21" s="288"/>
      <c r="H21" s="288"/>
      <c r="I21" s="288"/>
      <c r="J21" s="288"/>
      <c r="K21" s="288"/>
      <c r="L21" s="288"/>
      <c r="M21" s="288"/>
      <c r="N21" s="284"/>
      <c r="O21" s="284"/>
      <c r="P21" s="284"/>
      <c r="Q21" s="284"/>
      <c r="R21" s="284"/>
      <c r="S21" s="288"/>
      <c r="T21" s="288"/>
      <c r="U21" s="284"/>
      <c r="V21" s="288"/>
      <c r="W21" s="288"/>
      <c r="X21" s="288"/>
      <c r="Y21" s="284"/>
      <c r="Z21" s="288"/>
      <c r="AA21" s="79"/>
      <c r="AB21" s="81"/>
      <c r="AC21" s="79"/>
      <c r="AD21" s="79"/>
      <c r="AE21" s="91"/>
      <c r="AF21" s="81"/>
    </row>
    <row r="22" spans="1:32" ht="61.5" thickTop="1" thickBot="1">
      <c r="A22" s="284"/>
      <c r="B22" s="284" t="s">
        <v>772</v>
      </c>
      <c r="C22" s="288"/>
      <c r="D22" s="288">
        <v>5.3</v>
      </c>
      <c r="E22" s="288">
        <v>1.4</v>
      </c>
      <c r="F22" s="288">
        <v>4.3</v>
      </c>
      <c r="G22" s="288" t="s">
        <v>46</v>
      </c>
      <c r="H22" s="288" t="s">
        <v>411</v>
      </c>
      <c r="I22" s="288">
        <v>1.2</v>
      </c>
      <c r="J22" s="288">
        <v>0.1</v>
      </c>
      <c r="K22" s="288" t="s">
        <v>275</v>
      </c>
      <c r="L22" s="288" t="s">
        <v>172</v>
      </c>
      <c r="M22" s="288" t="s">
        <v>46</v>
      </c>
      <c r="N22" s="284">
        <v>0.3866</v>
      </c>
      <c r="O22" s="284">
        <v>0</v>
      </c>
      <c r="P22" s="284">
        <v>0.2</v>
      </c>
      <c r="Q22" s="284">
        <v>6.2199999999999998E-2</v>
      </c>
      <c r="R22" s="284">
        <f>Q22</f>
        <v>6.2199999999999998E-2</v>
      </c>
      <c r="S22" s="288">
        <v>1</v>
      </c>
      <c r="T22" s="288" t="s">
        <v>179</v>
      </c>
      <c r="U22" s="284">
        <v>0</v>
      </c>
      <c r="V22" s="288" t="s">
        <v>77</v>
      </c>
      <c r="W22" s="288" t="s">
        <v>57</v>
      </c>
      <c r="X22" s="288">
        <v>0</v>
      </c>
      <c r="Y22" s="284">
        <v>0.8</v>
      </c>
      <c r="Z22" s="288">
        <f>A22</f>
        <v>0</v>
      </c>
      <c r="AA22" s="79"/>
      <c r="AB22" s="81"/>
      <c r="AC22" s="91"/>
      <c r="AD22" s="81"/>
      <c r="AE22" s="79"/>
      <c r="AF22" s="79"/>
    </row>
    <row r="23" spans="1:32" ht="16.5" thickTop="1" thickBot="1">
      <c r="A23" s="284"/>
      <c r="B23" s="284" t="s">
        <v>864</v>
      </c>
      <c r="C23" s="288"/>
      <c r="D23" s="288"/>
      <c r="E23" s="288"/>
      <c r="F23" s="288"/>
      <c r="G23" s="288"/>
      <c r="H23" s="288"/>
      <c r="I23" s="288"/>
      <c r="J23" s="288"/>
      <c r="K23" s="288"/>
      <c r="L23" s="288"/>
      <c r="M23" s="288"/>
      <c r="N23" s="284"/>
      <c r="O23" s="284"/>
      <c r="P23" s="284"/>
      <c r="Q23" s="284"/>
      <c r="R23" s="284"/>
      <c r="S23" s="288"/>
      <c r="T23" s="288"/>
      <c r="U23" s="284"/>
      <c r="V23" s="288"/>
      <c r="W23" s="288"/>
      <c r="X23" s="288"/>
      <c r="Y23" s="284"/>
      <c r="Z23" s="288"/>
      <c r="AA23" s="79"/>
      <c r="AB23" s="81"/>
      <c r="AC23" s="91"/>
      <c r="AD23" s="81"/>
      <c r="AE23" s="79"/>
      <c r="AF23" s="79"/>
    </row>
    <row r="24" spans="1:32" ht="106.5" thickTop="1" thickBot="1">
      <c r="A24" s="284"/>
      <c r="B24" s="284" t="s">
        <v>770</v>
      </c>
      <c r="C24" s="288"/>
      <c r="D24" s="288">
        <v>4</v>
      </c>
      <c r="E24" s="288">
        <v>1.7</v>
      </c>
      <c r="F24" s="288">
        <v>5.0999999999999996</v>
      </c>
      <c r="G24" s="288" t="s">
        <v>46</v>
      </c>
      <c r="H24" s="288" t="s">
        <v>412</v>
      </c>
      <c r="I24" s="288">
        <v>1.4</v>
      </c>
      <c r="J24" s="288">
        <v>0.15</v>
      </c>
      <c r="K24" s="288" t="s">
        <v>274</v>
      </c>
      <c r="L24" s="288" t="s">
        <v>172</v>
      </c>
      <c r="M24" s="288" t="s">
        <v>46</v>
      </c>
      <c r="N24" s="284">
        <v>1.03E-2</v>
      </c>
      <c r="O24" s="284">
        <v>0</v>
      </c>
      <c r="P24" s="284">
        <v>0.2</v>
      </c>
      <c r="Q24" s="284">
        <v>4.4200000000000003E-2</v>
      </c>
      <c r="R24" s="284">
        <f>Q24</f>
        <v>4.4200000000000003E-2</v>
      </c>
      <c r="S24" s="288">
        <v>1</v>
      </c>
      <c r="T24" s="288" t="s">
        <v>179</v>
      </c>
      <c r="U24" s="284">
        <v>0</v>
      </c>
      <c r="V24" s="288" t="s">
        <v>77</v>
      </c>
      <c r="W24" s="288" t="s">
        <v>60</v>
      </c>
      <c r="X24" s="288">
        <v>0</v>
      </c>
      <c r="Y24" s="284">
        <v>0.8</v>
      </c>
      <c r="Z24" s="288">
        <f>A24</f>
        <v>0</v>
      </c>
      <c r="AA24" s="79"/>
      <c r="AB24" s="81"/>
      <c r="AC24" s="91"/>
      <c r="AD24" s="81"/>
      <c r="AE24" s="79"/>
      <c r="AF24" s="79"/>
    </row>
    <row r="25" spans="1:32" ht="76.5" thickTop="1" thickBot="1">
      <c r="A25" s="284"/>
      <c r="B25" s="284" t="s">
        <v>892</v>
      </c>
      <c r="C25" s="288"/>
      <c r="D25" s="288">
        <v>19</v>
      </c>
      <c r="E25" s="288">
        <v>9</v>
      </c>
      <c r="F25" s="288">
        <v>7</v>
      </c>
      <c r="G25" s="288" t="s">
        <v>46</v>
      </c>
      <c r="H25" s="288" t="s">
        <v>408</v>
      </c>
      <c r="I25" s="288">
        <v>14.4</v>
      </c>
      <c r="J25" s="288">
        <v>0.9</v>
      </c>
      <c r="K25" s="288" t="s">
        <v>272</v>
      </c>
      <c r="L25" s="288" t="s">
        <v>172</v>
      </c>
      <c r="M25" s="288" t="s">
        <v>46</v>
      </c>
      <c r="N25" s="284"/>
      <c r="O25" s="284"/>
      <c r="P25" s="284"/>
      <c r="Q25" s="284"/>
      <c r="R25" s="284"/>
      <c r="S25" s="288">
        <v>1</v>
      </c>
      <c r="T25" s="288" t="s">
        <v>176</v>
      </c>
      <c r="U25" s="284">
        <v>0</v>
      </c>
      <c r="V25" s="288" t="s">
        <v>77</v>
      </c>
      <c r="W25" s="288" t="s">
        <v>57</v>
      </c>
      <c r="X25" s="288">
        <v>0</v>
      </c>
      <c r="Y25" s="284">
        <v>0.8</v>
      </c>
      <c r="Z25" s="288">
        <f>A25</f>
        <v>0</v>
      </c>
      <c r="AA25" s="79"/>
      <c r="AB25" s="81"/>
      <c r="AC25" s="91"/>
      <c r="AD25" s="81"/>
      <c r="AE25" s="79"/>
      <c r="AF25" s="79"/>
    </row>
    <row r="26" spans="1:32" ht="31.5" thickTop="1" thickBot="1">
      <c r="A26" s="284"/>
      <c r="B26" s="284" t="s">
        <v>771</v>
      </c>
      <c r="C26" s="288"/>
      <c r="D26" s="288">
        <v>3.25</v>
      </c>
      <c r="E26" s="288">
        <v>1.1499999999999999</v>
      </c>
      <c r="F26" s="288">
        <v>4.5</v>
      </c>
      <c r="G26" s="288" t="s">
        <v>46</v>
      </c>
      <c r="H26" s="288" t="s">
        <v>413</v>
      </c>
      <c r="I26" s="288">
        <v>1</v>
      </c>
      <c r="J26" s="288">
        <v>0.1</v>
      </c>
      <c r="K26" s="288" t="s">
        <v>274</v>
      </c>
      <c r="L26" s="288" t="s">
        <v>172</v>
      </c>
      <c r="M26" s="288" t="s">
        <v>46</v>
      </c>
      <c r="N26" s="284">
        <v>1.03E-2</v>
      </c>
      <c r="O26" s="284">
        <v>0</v>
      </c>
      <c r="P26" s="284">
        <v>0.2</v>
      </c>
      <c r="Q26" s="284">
        <v>4.4200000000000003E-2</v>
      </c>
      <c r="R26" s="284">
        <f>Q26</f>
        <v>4.4200000000000003E-2</v>
      </c>
      <c r="S26" s="288">
        <v>1</v>
      </c>
      <c r="T26" s="288" t="s">
        <v>179</v>
      </c>
      <c r="U26" s="284">
        <v>0</v>
      </c>
      <c r="V26" s="288" t="s">
        <v>77</v>
      </c>
      <c r="W26" s="288" t="s">
        <v>60</v>
      </c>
      <c r="X26" s="288">
        <v>0</v>
      </c>
      <c r="Y26" s="284">
        <v>0.8</v>
      </c>
      <c r="Z26" s="288">
        <f>A26</f>
        <v>0</v>
      </c>
      <c r="AA26" s="79"/>
      <c r="AB26" s="81"/>
      <c r="AC26" s="91"/>
      <c r="AD26" s="81"/>
      <c r="AE26" s="79"/>
      <c r="AF26" s="79"/>
    </row>
    <row r="27" spans="1:32" ht="16.5" thickTop="1" thickBot="1">
      <c r="A27" s="284"/>
      <c r="B27" s="284" t="s">
        <v>865</v>
      </c>
      <c r="C27" s="288"/>
      <c r="D27" s="288"/>
      <c r="E27" s="288"/>
      <c r="F27" s="288"/>
      <c r="G27" s="288"/>
      <c r="H27" s="288"/>
      <c r="I27" s="288"/>
      <c r="J27" s="288"/>
      <c r="K27" s="288"/>
      <c r="L27" s="288"/>
      <c r="M27" s="288"/>
      <c r="N27" s="284"/>
      <c r="O27" s="284"/>
      <c r="P27" s="284"/>
      <c r="Q27" s="284"/>
      <c r="R27" s="284"/>
      <c r="S27" s="288"/>
      <c r="T27" s="288"/>
      <c r="U27" s="284"/>
      <c r="V27" s="288"/>
      <c r="W27" s="288"/>
      <c r="X27" s="288"/>
      <c r="Y27" s="284"/>
      <c r="Z27" s="288"/>
      <c r="AA27" s="79"/>
      <c r="AB27" s="81"/>
      <c r="AC27" s="79"/>
      <c r="AD27" s="79"/>
      <c r="AE27" s="91"/>
      <c r="AF27" s="81"/>
    </row>
    <row r="28" spans="1:32" ht="16.5" thickTop="1" thickBot="1">
      <c r="A28" s="284"/>
      <c r="B28" s="284" t="s">
        <v>773</v>
      </c>
      <c r="C28" s="288"/>
      <c r="D28" s="288">
        <v>3</v>
      </c>
      <c r="E28" s="288">
        <v>2</v>
      </c>
      <c r="F28" s="288">
        <v>6</v>
      </c>
      <c r="G28" s="288" t="s">
        <v>46</v>
      </c>
      <c r="H28" s="288" t="s">
        <v>400</v>
      </c>
      <c r="I28" s="288">
        <v>1.5</v>
      </c>
      <c r="J28" s="288">
        <v>0.1</v>
      </c>
      <c r="K28" s="288" t="s">
        <v>276</v>
      </c>
      <c r="L28" s="288" t="s">
        <v>172</v>
      </c>
      <c r="M28" s="288" t="s">
        <v>46</v>
      </c>
      <c r="N28" s="284">
        <v>0.1</v>
      </c>
      <c r="O28" s="284">
        <v>1.06</v>
      </c>
      <c r="P28" s="284">
        <v>0.2</v>
      </c>
      <c r="Q28" s="284">
        <v>1.9E-2</v>
      </c>
      <c r="R28" s="284">
        <v>1.4E-2</v>
      </c>
      <c r="S28" s="288">
        <v>1</v>
      </c>
      <c r="T28" s="288" t="s">
        <v>179</v>
      </c>
      <c r="U28" s="284">
        <v>0</v>
      </c>
      <c r="V28" s="288" t="s">
        <v>77</v>
      </c>
      <c r="W28" s="288" t="s">
        <v>57</v>
      </c>
      <c r="X28" s="288">
        <v>0</v>
      </c>
      <c r="Y28" s="284">
        <v>0.8</v>
      </c>
      <c r="Z28" s="288">
        <f>A28</f>
        <v>0</v>
      </c>
      <c r="AA28" s="79"/>
      <c r="AB28" s="81"/>
      <c r="AC28" s="91"/>
      <c r="AD28" s="81"/>
      <c r="AE28" s="79"/>
      <c r="AF28" s="79"/>
    </row>
    <row r="29" spans="1:32" ht="16.5" thickTop="1" thickBot="1">
      <c r="A29" s="284"/>
      <c r="B29" s="284" t="s">
        <v>774</v>
      </c>
      <c r="C29" s="288"/>
      <c r="D29" s="288">
        <v>11</v>
      </c>
      <c r="E29" s="288">
        <v>3.7</v>
      </c>
      <c r="F29" s="288">
        <v>10.7</v>
      </c>
      <c r="G29" s="288">
        <v>1000</v>
      </c>
      <c r="H29" s="288" t="s">
        <v>400</v>
      </c>
      <c r="I29" s="288">
        <v>1.06</v>
      </c>
      <c r="J29" s="288">
        <v>0.15</v>
      </c>
      <c r="K29" s="288" t="s">
        <v>274</v>
      </c>
      <c r="L29" s="288" t="s">
        <v>172</v>
      </c>
      <c r="M29" s="288">
        <v>1000</v>
      </c>
      <c r="N29" s="284">
        <v>0.12509999999999999</v>
      </c>
      <c r="O29" s="284">
        <v>0</v>
      </c>
      <c r="P29" s="284">
        <v>0.2</v>
      </c>
      <c r="Q29" s="284">
        <v>2.93E-2</v>
      </c>
      <c r="R29" s="284">
        <f>Q29</f>
        <v>2.93E-2</v>
      </c>
      <c r="S29" s="288"/>
      <c r="T29" s="288" t="s">
        <v>179</v>
      </c>
      <c r="U29" s="284">
        <v>0</v>
      </c>
      <c r="V29" s="288" t="s">
        <v>77</v>
      </c>
      <c r="W29" s="288" t="s">
        <v>57</v>
      </c>
      <c r="X29" s="288">
        <v>0</v>
      </c>
      <c r="Y29" s="284">
        <v>0.8</v>
      </c>
      <c r="Z29" s="288">
        <f>A29</f>
        <v>0</v>
      </c>
      <c r="AA29" s="79"/>
      <c r="AB29" s="81"/>
      <c r="AC29" s="91"/>
      <c r="AD29" s="81"/>
      <c r="AE29" s="79"/>
      <c r="AF29" s="79"/>
    </row>
    <row r="30" spans="1:32" ht="16.5" thickTop="1" thickBot="1">
      <c r="A30" s="284"/>
      <c r="B30" s="284" t="s">
        <v>775</v>
      </c>
      <c r="C30" s="288"/>
      <c r="D30" s="288">
        <v>2</v>
      </c>
      <c r="E30" s="288">
        <v>2</v>
      </c>
      <c r="F30" s="288">
        <v>6</v>
      </c>
      <c r="G30" s="288" t="s">
        <v>46</v>
      </c>
      <c r="H30" s="288" t="s">
        <v>402</v>
      </c>
      <c r="I30" s="288">
        <v>1</v>
      </c>
      <c r="J30" s="288">
        <v>0.15</v>
      </c>
      <c r="K30" s="288" t="s">
        <v>277</v>
      </c>
      <c r="L30" s="288" t="s">
        <v>172</v>
      </c>
      <c r="M30" s="288" t="s">
        <v>46</v>
      </c>
      <c r="N30" s="284"/>
      <c r="O30" s="284"/>
      <c r="P30" s="284"/>
      <c r="Q30" s="284"/>
      <c r="R30" s="284"/>
      <c r="S30" s="288">
        <v>1</v>
      </c>
      <c r="T30" s="288" t="s">
        <v>179</v>
      </c>
      <c r="U30" s="284">
        <v>0</v>
      </c>
      <c r="V30" s="288" t="s">
        <v>77</v>
      </c>
      <c r="W30" s="288" t="s">
        <v>57</v>
      </c>
      <c r="X30" s="288">
        <v>0</v>
      </c>
      <c r="Y30" s="284">
        <v>0.8</v>
      </c>
      <c r="Z30" s="288">
        <f>A30</f>
        <v>0</v>
      </c>
      <c r="AA30" s="79"/>
      <c r="AB30" s="81"/>
      <c r="AC30" s="91"/>
      <c r="AD30" s="81"/>
      <c r="AE30" s="79"/>
      <c r="AF30" s="79"/>
    </row>
    <row r="31" spans="1:32" ht="61.5" thickTop="1" thickBot="1">
      <c r="A31" s="284"/>
      <c r="B31" s="284" t="s">
        <v>777</v>
      </c>
      <c r="C31" s="288">
        <v>37</v>
      </c>
      <c r="D31" s="288">
        <v>37</v>
      </c>
      <c r="E31" s="288">
        <v>11</v>
      </c>
      <c r="F31" s="288">
        <v>16</v>
      </c>
      <c r="G31" s="288" t="s">
        <v>46</v>
      </c>
      <c r="H31" s="288" t="s">
        <v>411</v>
      </c>
      <c r="I31" s="288">
        <v>5.7</v>
      </c>
      <c r="J31" s="288">
        <v>0.89</v>
      </c>
      <c r="K31" s="288" t="s">
        <v>320</v>
      </c>
      <c r="L31" s="288" t="s">
        <v>172</v>
      </c>
      <c r="M31" s="288" t="s">
        <v>46</v>
      </c>
      <c r="N31" s="284">
        <v>1.1299999999999999</v>
      </c>
      <c r="O31" s="284">
        <v>0.85</v>
      </c>
      <c r="P31" s="284">
        <v>0.19</v>
      </c>
      <c r="Q31" s="284">
        <v>1.1609999999999999E-3</v>
      </c>
      <c r="R31" s="284">
        <v>8.8000000000000014E-4</v>
      </c>
      <c r="S31" s="288">
        <v>1</v>
      </c>
      <c r="T31" s="288" t="s">
        <v>179</v>
      </c>
      <c r="U31" s="284">
        <v>0</v>
      </c>
      <c r="V31" s="288" t="s">
        <v>77</v>
      </c>
      <c r="W31" s="288" t="s">
        <v>60</v>
      </c>
      <c r="X31" s="288">
        <v>1</v>
      </c>
      <c r="Y31" s="284">
        <v>0.8</v>
      </c>
      <c r="Z31" s="288">
        <f>A31</f>
        <v>0</v>
      </c>
      <c r="AA31" s="79"/>
      <c r="AB31" s="81"/>
      <c r="AC31" s="91"/>
      <c r="AD31" s="81"/>
      <c r="AE31" s="79"/>
      <c r="AF31" s="79"/>
    </row>
    <row r="32" spans="1:32" ht="61.5" thickTop="1" thickBot="1">
      <c r="A32" s="284"/>
      <c r="B32" s="284" t="s">
        <v>778</v>
      </c>
      <c r="C32" s="288">
        <v>37</v>
      </c>
      <c r="D32" s="288">
        <v>37</v>
      </c>
      <c r="E32" s="288">
        <v>11</v>
      </c>
      <c r="F32" s="288">
        <v>16</v>
      </c>
      <c r="G32" s="288" t="s">
        <v>46</v>
      </c>
      <c r="H32" s="288" t="s">
        <v>411</v>
      </c>
      <c r="I32" s="288">
        <v>5.7</v>
      </c>
      <c r="J32" s="288">
        <v>0.89</v>
      </c>
      <c r="K32" s="288" t="s">
        <v>320</v>
      </c>
      <c r="L32" s="288" t="s">
        <v>172</v>
      </c>
      <c r="M32" s="288" t="s">
        <v>46</v>
      </c>
      <c r="N32" s="284">
        <v>1.1299999999999999</v>
      </c>
      <c r="O32" s="284">
        <v>0.85</v>
      </c>
      <c r="P32" s="284">
        <v>0.19</v>
      </c>
      <c r="Q32" s="284">
        <v>1.1609999999999999E-3</v>
      </c>
      <c r="R32" s="284">
        <v>8.8000000000000014E-4</v>
      </c>
      <c r="S32" s="288">
        <v>1</v>
      </c>
      <c r="T32" s="288" t="s">
        <v>179</v>
      </c>
      <c r="U32" s="284">
        <v>0</v>
      </c>
      <c r="V32" s="288" t="s">
        <v>77</v>
      </c>
      <c r="W32" s="288" t="s">
        <v>60</v>
      </c>
      <c r="X32" s="288">
        <v>1</v>
      </c>
      <c r="Y32" s="284">
        <v>0.8</v>
      </c>
      <c r="Z32" s="288">
        <f>A32</f>
        <v>0</v>
      </c>
      <c r="AA32" s="79"/>
      <c r="AB32" s="81"/>
      <c r="AC32" s="91"/>
      <c r="AD32" s="81"/>
      <c r="AE32" s="79"/>
      <c r="AF32" s="79"/>
    </row>
    <row r="33" spans="1:32" ht="46.5" thickTop="1" thickBot="1">
      <c r="A33" s="284"/>
      <c r="B33" s="284" t="s">
        <v>779</v>
      </c>
      <c r="C33" s="288"/>
      <c r="D33" s="288">
        <v>2.4</v>
      </c>
      <c r="E33" s="288">
        <v>0.8</v>
      </c>
      <c r="F33" s="288">
        <v>4.5</v>
      </c>
      <c r="G33" s="288" t="s">
        <v>46</v>
      </c>
      <c r="H33" s="288" t="s">
        <v>416</v>
      </c>
      <c r="I33" s="288">
        <v>1</v>
      </c>
      <c r="J33" s="288">
        <v>0.08</v>
      </c>
      <c r="K33" s="288" t="s">
        <v>280</v>
      </c>
      <c r="L33" s="288" t="s">
        <v>172</v>
      </c>
      <c r="M33" s="288" t="s">
        <v>46</v>
      </c>
      <c r="N33" s="284"/>
      <c r="O33" s="284"/>
      <c r="P33" s="284"/>
      <c r="Q33" s="284"/>
      <c r="R33" s="284"/>
      <c r="S33" s="288">
        <v>1</v>
      </c>
      <c r="T33" s="288" t="s">
        <v>179</v>
      </c>
      <c r="U33" s="284">
        <v>0</v>
      </c>
      <c r="V33" s="288" t="s">
        <v>77</v>
      </c>
      <c r="W33" s="288" t="s">
        <v>57</v>
      </c>
      <c r="X33" s="288">
        <v>0</v>
      </c>
      <c r="Y33" s="284">
        <v>0.8</v>
      </c>
      <c r="Z33" s="288">
        <f>A33</f>
        <v>0</v>
      </c>
      <c r="AA33" s="79"/>
      <c r="AB33" s="81"/>
      <c r="AC33" s="91"/>
      <c r="AD33" s="81"/>
      <c r="AE33" s="79"/>
      <c r="AF33" s="79"/>
    </row>
    <row r="34" spans="1:32" ht="31.5" thickTop="1" thickBot="1">
      <c r="A34" s="284"/>
      <c r="B34" s="284" t="s">
        <v>866</v>
      </c>
      <c r="C34" s="288"/>
      <c r="D34" s="288"/>
      <c r="E34" s="288"/>
      <c r="F34" s="288"/>
      <c r="G34" s="288"/>
      <c r="H34" s="288"/>
      <c r="I34" s="288"/>
      <c r="J34" s="288"/>
      <c r="K34" s="288"/>
      <c r="L34" s="288"/>
      <c r="M34" s="288"/>
      <c r="N34" s="284"/>
      <c r="O34" s="284"/>
      <c r="P34" s="284"/>
      <c r="Q34" s="284"/>
      <c r="R34" s="284"/>
      <c r="S34" s="288"/>
      <c r="T34" s="288"/>
      <c r="U34" s="284"/>
      <c r="V34" s="288"/>
      <c r="W34" s="288"/>
      <c r="X34" s="288"/>
      <c r="Y34" s="284"/>
      <c r="Z34" s="288"/>
      <c r="AA34" s="79"/>
      <c r="AB34" s="81"/>
      <c r="AC34" s="79"/>
      <c r="AD34" s="79"/>
      <c r="AE34" s="91"/>
      <c r="AF34" s="81"/>
    </row>
    <row r="35" spans="1:32" ht="16.5" thickTop="1" thickBot="1">
      <c r="A35" s="284"/>
      <c r="B35" s="284" t="s">
        <v>867</v>
      </c>
      <c r="C35" s="288"/>
      <c r="D35" s="288"/>
      <c r="E35" s="288"/>
      <c r="F35" s="288"/>
      <c r="G35" s="288"/>
      <c r="H35" s="288"/>
      <c r="I35" s="288"/>
      <c r="J35" s="288"/>
      <c r="K35" s="288"/>
      <c r="L35" s="288"/>
      <c r="M35" s="288"/>
      <c r="N35" s="284"/>
      <c r="O35" s="284"/>
      <c r="P35" s="284"/>
      <c r="Q35" s="284"/>
      <c r="R35" s="284"/>
      <c r="S35" s="288"/>
      <c r="T35" s="288"/>
      <c r="U35" s="284"/>
      <c r="V35" s="288"/>
      <c r="W35" s="288"/>
      <c r="X35" s="288"/>
      <c r="Y35" s="284"/>
      <c r="Z35" s="288"/>
      <c r="AA35" s="79"/>
      <c r="AB35" s="81"/>
      <c r="AC35" s="79"/>
      <c r="AD35" s="79"/>
      <c r="AE35" s="91"/>
      <c r="AF35" s="81"/>
    </row>
    <row r="36" spans="1:32" ht="16.5" thickTop="1" thickBot="1">
      <c r="A36" s="284"/>
      <c r="B36" s="284" t="s">
        <v>868</v>
      </c>
      <c r="C36" s="288"/>
      <c r="D36" s="288"/>
      <c r="E36" s="288"/>
      <c r="F36" s="288"/>
      <c r="G36" s="288"/>
      <c r="H36" s="288"/>
      <c r="I36" s="288"/>
      <c r="J36" s="288"/>
      <c r="K36" s="288"/>
      <c r="L36" s="288"/>
      <c r="M36" s="288"/>
      <c r="N36" s="284"/>
      <c r="O36" s="284"/>
      <c r="P36" s="284"/>
      <c r="Q36" s="284"/>
      <c r="R36" s="284"/>
      <c r="S36" s="288"/>
      <c r="T36" s="288"/>
      <c r="U36" s="284"/>
      <c r="V36" s="288"/>
      <c r="W36" s="288"/>
      <c r="X36" s="288"/>
      <c r="Y36" s="284"/>
      <c r="Z36" s="288"/>
      <c r="AA36" s="79"/>
      <c r="AB36" s="81"/>
      <c r="AC36" s="79"/>
      <c r="AD36" s="79"/>
      <c r="AE36" s="91"/>
      <c r="AF36" s="81"/>
    </row>
    <row r="37" spans="1:32" ht="31.5" thickTop="1" thickBot="1">
      <c r="A37" s="284"/>
      <c r="B37" s="284" t="s">
        <v>869</v>
      </c>
      <c r="C37" s="288"/>
      <c r="D37" s="288"/>
      <c r="E37" s="288"/>
      <c r="F37" s="288"/>
      <c r="G37" s="288"/>
      <c r="H37" s="288"/>
      <c r="I37" s="288"/>
      <c r="J37" s="288"/>
      <c r="K37" s="288"/>
      <c r="L37" s="288"/>
      <c r="M37" s="288"/>
      <c r="N37" s="284"/>
      <c r="O37" s="284"/>
      <c r="P37" s="284"/>
      <c r="Q37" s="284"/>
      <c r="R37" s="284"/>
      <c r="S37" s="288"/>
      <c r="T37" s="288"/>
      <c r="U37" s="284"/>
      <c r="V37" s="288"/>
      <c r="W37" s="288"/>
      <c r="X37" s="288"/>
      <c r="Y37" s="284"/>
      <c r="Z37" s="288"/>
      <c r="AA37" s="79"/>
      <c r="AB37" s="81"/>
      <c r="AC37" s="79"/>
      <c r="AD37" s="79"/>
      <c r="AE37" s="91"/>
      <c r="AF37" s="81"/>
    </row>
    <row r="38" spans="1:32" ht="46.5" thickTop="1" thickBot="1">
      <c r="A38" s="284"/>
      <c r="B38" s="284" t="s">
        <v>870</v>
      </c>
      <c r="C38" s="288"/>
      <c r="D38" s="288"/>
      <c r="E38" s="288"/>
      <c r="F38" s="288"/>
      <c r="G38" s="288"/>
      <c r="H38" s="288"/>
      <c r="I38" s="288"/>
      <c r="J38" s="288"/>
      <c r="K38" s="288"/>
      <c r="L38" s="288"/>
      <c r="M38" s="288"/>
      <c r="N38" s="284"/>
      <c r="O38" s="284"/>
      <c r="P38" s="284"/>
      <c r="Q38" s="284"/>
      <c r="R38" s="284"/>
      <c r="S38" s="288"/>
      <c r="T38" s="288"/>
      <c r="U38" s="284"/>
      <c r="V38" s="288"/>
      <c r="W38" s="288"/>
      <c r="X38" s="288"/>
      <c r="Y38" s="284"/>
      <c r="Z38" s="288"/>
      <c r="AA38" s="79"/>
      <c r="AB38" s="81"/>
      <c r="AC38" s="79"/>
      <c r="AD38" s="79"/>
      <c r="AE38" s="91"/>
      <c r="AF38" s="81"/>
    </row>
    <row r="39" spans="1:32" ht="61.5" thickTop="1" thickBot="1">
      <c r="A39" s="284"/>
      <c r="B39" s="284" t="s">
        <v>780</v>
      </c>
      <c r="C39" s="288"/>
      <c r="D39" s="288">
        <v>14</v>
      </c>
      <c r="E39" s="288">
        <v>7</v>
      </c>
      <c r="F39" s="288">
        <v>5</v>
      </c>
      <c r="G39" s="288" t="s">
        <v>405</v>
      </c>
      <c r="H39" s="288" t="s">
        <v>420</v>
      </c>
      <c r="I39" s="288">
        <v>16.21</v>
      </c>
      <c r="J39" s="288">
        <v>0.85</v>
      </c>
      <c r="K39" s="288" t="s">
        <v>304</v>
      </c>
      <c r="L39" s="288" t="s">
        <v>172</v>
      </c>
      <c r="M39" s="288" t="s">
        <v>46</v>
      </c>
      <c r="N39" s="284">
        <v>1.03</v>
      </c>
      <c r="O39" s="284">
        <v>0.61</v>
      </c>
      <c r="P39" s="284">
        <v>0.22</v>
      </c>
      <c r="Q39" s="284">
        <v>7.8259999999999996E-3</v>
      </c>
      <c r="R39" s="284">
        <v>7.7000000000000002E-3</v>
      </c>
      <c r="S39" s="288">
        <v>1</v>
      </c>
      <c r="T39" s="288" t="s">
        <v>176</v>
      </c>
      <c r="U39" s="284">
        <v>0.89629999999999999</v>
      </c>
      <c r="V39" s="288" t="s">
        <v>77</v>
      </c>
      <c r="W39" s="288" t="s">
        <v>57</v>
      </c>
      <c r="X39" s="288">
        <v>0</v>
      </c>
      <c r="Y39" s="284">
        <v>0.8</v>
      </c>
      <c r="Z39" s="288">
        <f>A39</f>
        <v>0</v>
      </c>
      <c r="AA39" s="79"/>
      <c r="AB39" s="81"/>
      <c r="AC39" s="91"/>
      <c r="AD39" s="81"/>
      <c r="AE39" s="79"/>
      <c r="AF39" s="79"/>
    </row>
    <row r="40" spans="1:32" ht="61.5" thickTop="1" thickBot="1">
      <c r="A40" s="284"/>
      <c r="B40" s="284" t="s">
        <v>781</v>
      </c>
      <c r="C40" s="288"/>
      <c r="D40" s="288">
        <v>2.4</v>
      </c>
      <c r="E40" s="288">
        <v>0.9</v>
      </c>
      <c r="F40" s="288">
        <v>3.65</v>
      </c>
      <c r="G40" s="288" t="s">
        <v>46</v>
      </c>
      <c r="H40" s="288" t="s">
        <v>402</v>
      </c>
      <c r="I40" s="288">
        <v>0.59</v>
      </c>
      <c r="J40" s="288">
        <v>0.1</v>
      </c>
      <c r="K40" s="288" t="s">
        <v>284</v>
      </c>
      <c r="L40" s="288" t="s">
        <v>172</v>
      </c>
      <c r="M40" s="288" t="s">
        <v>46</v>
      </c>
      <c r="N40" s="284">
        <v>7.4700000000000003E-2</v>
      </c>
      <c r="O40" s="284">
        <v>0</v>
      </c>
      <c r="P40" s="284">
        <v>0.1</v>
      </c>
      <c r="Q40" s="284">
        <v>4.1500000000000002E-2</v>
      </c>
      <c r="R40" s="284">
        <f>Q40</f>
        <v>4.1500000000000002E-2</v>
      </c>
      <c r="S40" s="288">
        <v>1</v>
      </c>
      <c r="T40" s="288" t="s">
        <v>179</v>
      </c>
      <c r="U40" s="284">
        <v>0</v>
      </c>
      <c r="V40" s="288" t="s">
        <v>77</v>
      </c>
      <c r="W40" s="288" t="s">
        <v>57</v>
      </c>
      <c r="X40" s="288">
        <v>0</v>
      </c>
      <c r="Y40" s="284">
        <v>0.8</v>
      </c>
      <c r="Z40" s="288">
        <f>A40</f>
        <v>0</v>
      </c>
      <c r="AA40" s="79"/>
      <c r="AB40" s="81"/>
      <c r="AC40" s="91"/>
      <c r="AD40" s="81"/>
      <c r="AE40" s="79"/>
      <c r="AF40" s="79"/>
    </row>
    <row r="41" spans="1:32" ht="16.5" thickTop="1" thickBot="1">
      <c r="A41" s="284"/>
      <c r="B41" s="284" t="s">
        <v>763</v>
      </c>
      <c r="C41" s="288"/>
      <c r="D41" s="288">
        <v>7.5</v>
      </c>
      <c r="E41" s="288">
        <v>1.6</v>
      </c>
      <c r="F41" s="288">
        <v>7.1</v>
      </c>
      <c r="G41" s="288" t="s">
        <v>46</v>
      </c>
      <c r="H41" s="288" t="s">
        <v>403</v>
      </c>
      <c r="I41" s="288">
        <v>0.7</v>
      </c>
      <c r="J41" s="288">
        <v>7.0000000000000007E-2</v>
      </c>
      <c r="K41" s="288" t="s">
        <v>266</v>
      </c>
      <c r="L41" s="288" t="s">
        <v>172</v>
      </c>
      <c r="M41" s="288" t="s">
        <v>46</v>
      </c>
      <c r="N41" s="284">
        <v>7.4700000000000003E-2</v>
      </c>
      <c r="O41" s="284">
        <v>0</v>
      </c>
      <c r="P41" s="284">
        <v>0.1</v>
      </c>
      <c r="Q41" s="284">
        <v>4.1500000000000002E-2</v>
      </c>
      <c r="R41" s="284">
        <f>Q41</f>
        <v>4.1500000000000002E-2</v>
      </c>
      <c r="S41" s="288">
        <v>1</v>
      </c>
      <c r="T41" s="288" t="s">
        <v>179</v>
      </c>
      <c r="U41" s="284">
        <v>0</v>
      </c>
      <c r="V41" s="288" t="s">
        <v>77</v>
      </c>
      <c r="W41" s="288" t="s">
        <v>57</v>
      </c>
      <c r="X41" s="288">
        <v>0</v>
      </c>
      <c r="Y41" s="284">
        <v>0.8</v>
      </c>
      <c r="Z41" s="288">
        <f>A41</f>
        <v>0</v>
      </c>
      <c r="AA41" s="79"/>
      <c r="AB41" s="81"/>
      <c r="AC41" s="91"/>
      <c r="AD41" s="81"/>
      <c r="AE41" s="79"/>
      <c r="AF41" s="79"/>
    </row>
    <row r="42" spans="1:32" ht="31.5" thickTop="1" thickBot="1">
      <c r="A42" s="284"/>
      <c r="B42" s="284" t="s">
        <v>784</v>
      </c>
      <c r="C42" s="288"/>
      <c r="D42" s="288">
        <v>2.5</v>
      </c>
      <c r="E42" s="288">
        <v>1.5</v>
      </c>
      <c r="F42" s="288">
        <v>5</v>
      </c>
      <c r="G42" s="288" t="s">
        <v>46</v>
      </c>
      <c r="H42" s="288" t="s">
        <v>400</v>
      </c>
      <c r="I42" s="288">
        <v>0.68</v>
      </c>
      <c r="J42" s="288">
        <v>0.1</v>
      </c>
      <c r="K42" s="288" t="s">
        <v>287</v>
      </c>
      <c r="L42" s="288" t="s">
        <v>172</v>
      </c>
      <c r="M42" s="288" t="s">
        <v>46</v>
      </c>
      <c r="N42" s="284"/>
      <c r="O42" s="284"/>
      <c r="P42" s="284"/>
      <c r="Q42" s="284"/>
      <c r="R42" s="284"/>
      <c r="S42" s="288">
        <v>1</v>
      </c>
      <c r="T42" s="288" t="s">
        <v>179</v>
      </c>
      <c r="U42" s="284">
        <v>0</v>
      </c>
      <c r="V42" s="288" t="s">
        <v>77</v>
      </c>
      <c r="W42" s="288" t="s">
        <v>57</v>
      </c>
      <c r="X42" s="288">
        <v>0</v>
      </c>
      <c r="Y42" s="284">
        <v>0.8</v>
      </c>
      <c r="Z42" s="288">
        <f>A42</f>
        <v>0</v>
      </c>
      <c r="AA42" s="79"/>
      <c r="AB42" s="81"/>
      <c r="AC42" s="91"/>
      <c r="AD42" s="81"/>
      <c r="AE42" s="79"/>
      <c r="AF42" s="79"/>
    </row>
    <row r="43" spans="1:32" ht="46.5" thickTop="1" thickBot="1">
      <c r="A43" s="284"/>
      <c r="B43" s="284" t="s">
        <v>816</v>
      </c>
      <c r="C43" s="288">
        <v>35.5</v>
      </c>
      <c r="D43" s="288">
        <f>C43</f>
        <v>35.5</v>
      </c>
      <c r="E43" s="288">
        <v>12</v>
      </c>
      <c r="F43" s="288">
        <v>13</v>
      </c>
      <c r="G43" s="288" t="s">
        <v>431</v>
      </c>
      <c r="H43" s="288" t="s">
        <v>399</v>
      </c>
      <c r="I43" s="288">
        <v>15.99</v>
      </c>
      <c r="J43" s="288">
        <v>0.86</v>
      </c>
      <c r="K43" s="288" t="s">
        <v>290</v>
      </c>
      <c r="L43" s="288" t="s">
        <v>172</v>
      </c>
      <c r="M43" s="288" t="s">
        <v>46</v>
      </c>
      <c r="N43" s="334">
        <v>1.1299999999999999</v>
      </c>
      <c r="O43" s="334">
        <v>0.85</v>
      </c>
      <c r="P43" s="284">
        <v>0.19</v>
      </c>
      <c r="Q43" s="284">
        <v>1.1475000000000001E-2</v>
      </c>
      <c r="R43" s="284">
        <v>8.8000000000000005E-3</v>
      </c>
      <c r="S43" s="288">
        <v>1</v>
      </c>
      <c r="T43" s="288" t="s">
        <v>176</v>
      </c>
      <c r="U43" s="284">
        <v>0</v>
      </c>
      <c r="V43" s="288" t="s">
        <v>77</v>
      </c>
      <c r="W43" s="288" t="s">
        <v>57</v>
      </c>
      <c r="X43" s="288">
        <v>1</v>
      </c>
      <c r="Y43" s="284">
        <v>0.8</v>
      </c>
      <c r="Z43" s="288">
        <f>A43</f>
        <v>0</v>
      </c>
      <c r="AA43" s="79"/>
      <c r="AB43" s="81"/>
      <c r="AC43" s="79"/>
      <c r="AD43" s="79"/>
      <c r="AE43" s="91"/>
    </row>
    <row r="44" spans="1:32" ht="16.5" thickTop="1" thickBot="1">
      <c r="A44" s="284"/>
      <c r="B44" s="284" t="s">
        <v>817</v>
      </c>
      <c r="C44" s="288">
        <v>35.5</v>
      </c>
      <c r="D44" s="288">
        <f>C44</f>
        <v>35.5</v>
      </c>
      <c r="E44" s="288">
        <v>12</v>
      </c>
      <c r="F44" s="288">
        <v>13</v>
      </c>
      <c r="G44" s="288" t="s">
        <v>431</v>
      </c>
      <c r="H44" s="288" t="s">
        <v>399</v>
      </c>
      <c r="I44" s="288">
        <v>15.99</v>
      </c>
      <c r="J44" s="288">
        <v>0.86</v>
      </c>
      <c r="K44" s="288" t="s">
        <v>290</v>
      </c>
      <c r="L44" s="288" t="s">
        <v>172</v>
      </c>
      <c r="M44" s="288" t="s">
        <v>46</v>
      </c>
      <c r="N44" s="334">
        <v>1.1299999999999999</v>
      </c>
      <c r="O44" s="334">
        <v>0.85</v>
      </c>
      <c r="P44" s="284">
        <v>0.19</v>
      </c>
      <c r="Q44" s="284">
        <v>1.1475000000000001E-2</v>
      </c>
      <c r="R44" s="284">
        <v>8.8000000000000005E-3</v>
      </c>
      <c r="S44" s="288">
        <v>1</v>
      </c>
      <c r="T44" s="288" t="s">
        <v>176</v>
      </c>
      <c r="U44" s="284">
        <v>0</v>
      </c>
      <c r="V44" s="288" t="s">
        <v>77</v>
      </c>
      <c r="W44" s="288" t="s">
        <v>57</v>
      </c>
      <c r="X44" s="288">
        <v>1</v>
      </c>
      <c r="Y44" s="284">
        <v>0.8</v>
      </c>
      <c r="Z44" s="288">
        <f>A44</f>
        <v>0</v>
      </c>
      <c r="AA44" s="79"/>
      <c r="AB44" s="81"/>
      <c r="AC44" s="79"/>
      <c r="AD44" s="79"/>
      <c r="AE44" s="91"/>
    </row>
    <row r="45" spans="1:32" ht="30" customHeight="1" thickTop="1" thickBot="1">
      <c r="A45" s="284"/>
      <c r="B45" s="334" t="s">
        <v>894</v>
      </c>
      <c r="C45" s="288"/>
      <c r="D45" s="288"/>
      <c r="E45" s="288"/>
      <c r="F45" s="288"/>
      <c r="G45" s="288" t="s">
        <v>226</v>
      </c>
      <c r="H45" s="288"/>
      <c r="I45" s="288">
        <v>18.399999999999999</v>
      </c>
      <c r="J45" s="288">
        <v>1</v>
      </c>
      <c r="K45" s="288" t="s">
        <v>181</v>
      </c>
      <c r="L45" s="288" t="s">
        <v>172</v>
      </c>
      <c r="M45" s="288" t="s">
        <v>226</v>
      </c>
      <c r="N45" s="284"/>
      <c r="O45" s="284"/>
      <c r="P45" s="284"/>
      <c r="Q45" s="284"/>
      <c r="R45" s="284"/>
      <c r="S45" s="288"/>
      <c r="T45" s="288" t="s">
        <v>181</v>
      </c>
      <c r="U45" s="284">
        <v>0</v>
      </c>
      <c r="V45" s="288" t="s">
        <v>149</v>
      </c>
      <c r="W45" s="288" t="s">
        <v>57</v>
      </c>
      <c r="X45" s="288">
        <v>0</v>
      </c>
      <c r="Y45" s="284">
        <v>0.8</v>
      </c>
      <c r="Z45" s="288">
        <f>A45</f>
        <v>0</v>
      </c>
      <c r="AA45" s="79"/>
      <c r="AB45" s="81"/>
      <c r="AC45" s="91"/>
      <c r="AD45" s="81"/>
      <c r="AE45" s="79"/>
      <c r="AF45" s="79"/>
    </row>
    <row r="46" spans="1:32" ht="20.25" customHeight="1" thickTop="1" thickBot="1">
      <c r="A46" s="284"/>
      <c r="B46" s="334" t="s">
        <v>895</v>
      </c>
      <c r="C46" s="288">
        <v>30</v>
      </c>
      <c r="D46" s="288"/>
      <c r="E46" s="288"/>
      <c r="F46" s="288"/>
      <c r="G46" s="288" t="s">
        <v>226</v>
      </c>
      <c r="H46" s="288"/>
      <c r="I46" s="288">
        <v>18.399999999999999</v>
      </c>
      <c r="J46" s="288">
        <v>1</v>
      </c>
      <c r="K46" s="288" t="s">
        <v>181</v>
      </c>
      <c r="L46" s="288" t="s">
        <v>172</v>
      </c>
      <c r="M46" s="288" t="s">
        <v>226</v>
      </c>
      <c r="N46" s="284"/>
      <c r="O46" s="284"/>
      <c r="P46" s="284"/>
      <c r="Q46" s="284"/>
      <c r="R46" s="284"/>
      <c r="S46" s="288"/>
      <c r="T46" s="288" t="s">
        <v>438</v>
      </c>
      <c r="U46" s="284">
        <v>0</v>
      </c>
      <c r="V46" s="288" t="s">
        <v>149</v>
      </c>
      <c r="W46" s="288" t="s">
        <v>57</v>
      </c>
      <c r="X46" s="288">
        <v>1</v>
      </c>
      <c r="Y46" s="284">
        <v>0.8</v>
      </c>
      <c r="Z46" s="288">
        <f>A46</f>
        <v>0</v>
      </c>
      <c r="AA46" s="79"/>
      <c r="AB46" s="81"/>
      <c r="AC46" s="91"/>
      <c r="AD46" s="81"/>
      <c r="AE46" s="79"/>
      <c r="AF46" s="79"/>
    </row>
    <row r="47" spans="1:32" ht="61.5" thickTop="1" thickBot="1">
      <c r="A47" s="284"/>
      <c r="B47" s="284" t="s">
        <v>871</v>
      </c>
      <c r="C47" s="288"/>
      <c r="D47" s="288"/>
      <c r="E47" s="288"/>
      <c r="F47" s="288"/>
      <c r="G47" s="288"/>
      <c r="H47" s="288"/>
      <c r="I47" s="288"/>
      <c r="J47" s="288"/>
      <c r="K47" s="288"/>
      <c r="L47" s="288"/>
      <c r="M47" s="288"/>
      <c r="N47" s="284"/>
      <c r="O47" s="284"/>
      <c r="P47" s="284"/>
      <c r="Q47" s="284"/>
      <c r="R47" s="284"/>
      <c r="S47" s="288"/>
      <c r="T47" s="288"/>
      <c r="U47" s="284"/>
      <c r="V47" s="288"/>
      <c r="W47" s="288"/>
      <c r="X47" s="288"/>
      <c r="Y47" s="284"/>
      <c r="Z47" s="288"/>
      <c r="AA47" s="79"/>
      <c r="AB47" s="81"/>
      <c r="AC47" s="79"/>
      <c r="AD47" s="79"/>
      <c r="AE47" s="91"/>
      <c r="AF47" s="81"/>
    </row>
    <row r="48" spans="1:32" ht="16.5" thickTop="1" thickBot="1">
      <c r="A48" s="284"/>
      <c r="B48" s="284" t="s">
        <v>872</v>
      </c>
      <c r="C48" s="288"/>
      <c r="D48" s="288"/>
      <c r="E48" s="288"/>
      <c r="F48" s="288"/>
      <c r="G48" s="288"/>
      <c r="H48" s="288"/>
      <c r="I48" s="288"/>
      <c r="J48" s="288"/>
      <c r="K48" s="288"/>
      <c r="L48" s="288"/>
      <c r="M48" s="288"/>
      <c r="N48" s="284"/>
      <c r="O48" s="284"/>
      <c r="P48" s="284"/>
      <c r="Q48" s="284"/>
      <c r="R48" s="284"/>
      <c r="S48" s="288"/>
      <c r="T48" s="288"/>
      <c r="U48" s="284"/>
      <c r="V48" s="288"/>
      <c r="W48" s="288"/>
      <c r="X48" s="288"/>
      <c r="Y48" s="284"/>
      <c r="Z48" s="288"/>
      <c r="AA48" s="79"/>
      <c r="AB48" s="81"/>
      <c r="AC48" s="79"/>
      <c r="AD48" s="79"/>
      <c r="AE48" s="91"/>
      <c r="AF48" s="81"/>
    </row>
    <row r="49" spans="1:32" ht="16.5" thickTop="1" thickBot="1">
      <c r="A49" s="284"/>
      <c r="B49" s="284" t="s">
        <v>873</v>
      </c>
      <c r="C49" s="288"/>
      <c r="D49" s="288"/>
      <c r="E49" s="288"/>
      <c r="F49" s="288"/>
      <c r="G49" s="288"/>
      <c r="H49" s="288"/>
      <c r="I49" s="288"/>
      <c r="J49" s="288"/>
      <c r="K49" s="288"/>
      <c r="L49" s="288"/>
      <c r="M49" s="288"/>
      <c r="N49" s="284"/>
      <c r="O49" s="284"/>
      <c r="P49" s="284"/>
      <c r="Q49" s="284"/>
      <c r="R49" s="284"/>
      <c r="S49" s="288"/>
      <c r="T49" s="288"/>
      <c r="U49" s="284"/>
      <c r="V49" s="288"/>
      <c r="W49" s="288"/>
      <c r="X49" s="288"/>
      <c r="Y49" s="284"/>
      <c r="Z49" s="288"/>
      <c r="AA49" s="79"/>
      <c r="AB49" s="81"/>
      <c r="AC49" s="79"/>
      <c r="AD49" s="79"/>
      <c r="AE49" s="91"/>
      <c r="AF49" s="81"/>
    </row>
    <row r="50" spans="1:32" ht="16.5" thickTop="1" thickBot="1">
      <c r="A50" s="284"/>
      <c r="B50" s="284" t="s">
        <v>782</v>
      </c>
      <c r="C50" s="288"/>
      <c r="D50" s="288">
        <v>1.1000000000000001</v>
      </c>
      <c r="E50" s="288">
        <v>2.6</v>
      </c>
      <c r="F50" s="288">
        <v>2.1</v>
      </c>
      <c r="G50" s="288" t="s">
        <v>46</v>
      </c>
      <c r="H50" s="288" t="s">
        <v>410</v>
      </c>
      <c r="I50" s="288">
        <v>15.93</v>
      </c>
      <c r="J50" s="288">
        <v>0.16</v>
      </c>
      <c r="K50" s="288" t="s">
        <v>292</v>
      </c>
      <c r="L50" s="288" t="s">
        <v>172</v>
      </c>
      <c r="M50" s="288" t="s">
        <v>46</v>
      </c>
      <c r="N50" s="284">
        <v>0</v>
      </c>
      <c r="O50" s="284">
        <v>0</v>
      </c>
      <c r="P50" s="284">
        <v>0</v>
      </c>
      <c r="Q50" s="284">
        <v>0.01</v>
      </c>
      <c r="R50" s="284">
        <v>0</v>
      </c>
      <c r="S50" s="288">
        <v>1</v>
      </c>
      <c r="T50" s="288" t="s">
        <v>177</v>
      </c>
      <c r="U50" s="284"/>
      <c r="V50" s="288" t="s">
        <v>77</v>
      </c>
      <c r="W50" s="288" t="s">
        <v>57</v>
      </c>
      <c r="X50" s="288">
        <v>0</v>
      </c>
      <c r="Y50" s="284">
        <v>0.8</v>
      </c>
      <c r="Z50" s="288">
        <f>A50</f>
        <v>0</v>
      </c>
      <c r="AA50" s="79"/>
      <c r="AB50" s="81"/>
      <c r="AC50" s="91"/>
      <c r="AD50" s="81"/>
      <c r="AE50" s="79"/>
      <c r="AF50" s="79"/>
    </row>
    <row r="51" spans="1:32" ht="16.5" thickTop="1" thickBot="1">
      <c r="A51" s="284"/>
      <c r="B51" s="284" t="s">
        <v>856</v>
      </c>
      <c r="C51" s="288"/>
      <c r="D51" s="288">
        <v>1.3</v>
      </c>
      <c r="E51" s="288">
        <v>2.8</v>
      </c>
      <c r="F51" s="288">
        <v>5.4</v>
      </c>
      <c r="G51" s="288" t="s">
        <v>46</v>
      </c>
      <c r="H51" s="288" t="s">
        <v>420</v>
      </c>
      <c r="I51" s="288">
        <v>1.45</v>
      </c>
      <c r="J51" s="288">
        <v>0.3</v>
      </c>
      <c r="K51" s="288" t="s">
        <v>293</v>
      </c>
      <c r="L51" s="288" t="s">
        <v>172</v>
      </c>
      <c r="M51" s="288" t="s">
        <v>46</v>
      </c>
      <c r="N51" s="284">
        <v>1.2200000000000001E-2</v>
      </c>
      <c r="O51" s="284">
        <v>0</v>
      </c>
      <c r="P51" s="284">
        <v>0.1</v>
      </c>
      <c r="Q51" s="284">
        <v>6.0600000000000001E-2</v>
      </c>
      <c r="R51" s="284">
        <f>Q51</f>
        <v>6.0600000000000001E-2</v>
      </c>
      <c r="S51" s="288">
        <v>1</v>
      </c>
      <c r="T51" s="288" t="s">
        <v>179</v>
      </c>
      <c r="U51" s="284">
        <v>0</v>
      </c>
      <c r="V51" s="288" t="s">
        <v>77</v>
      </c>
      <c r="W51" s="288" t="s">
        <v>57</v>
      </c>
      <c r="X51" s="288">
        <v>0</v>
      </c>
      <c r="Y51" s="284">
        <v>0.8</v>
      </c>
      <c r="Z51" s="288">
        <f>A51</f>
        <v>0</v>
      </c>
      <c r="AA51" s="79"/>
      <c r="AB51" s="81"/>
      <c r="AC51" s="91"/>
      <c r="AD51" s="81"/>
      <c r="AE51" s="79"/>
      <c r="AF51" s="79"/>
    </row>
    <row r="52" spans="1:32" ht="16.5" thickTop="1" thickBot="1">
      <c r="A52" s="284"/>
      <c r="B52" s="284" t="s">
        <v>874</v>
      </c>
      <c r="C52" s="288"/>
      <c r="D52" s="288"/>
      <c r="E52" s="288"/>
      <c r="F52" s="288"/>
      <c r="G52" s="288"/>
      <c r="H52" s="288"/>
      <c r="I52" s="288"/>
      <c r="J52" s="288"/>
      <c r="K52" s="288"/>
      <c r="L52" s="288"/>
      <c r="M52" s="288"/>
      <c r="N52" s="284"/>
      <c r="O52" s="284"/>
      <c r="P52" s="284"/>
      <c r="Q52" s="284"/>
      <c r="R52" s="284"/>
      <c r="S52" s="288"/>
      <c r="T52" s="288"/>
      <c r="U52" s="284"/>
      <c r="V52" s="288"/>
      <c r="W52" s="288"/>
      <c r="X52" s="288"/>
      <c r="Y52" s="284"/>
      <c r="Z52" s="288"/>
      <c r="AA52" s="79"/>
      <c r="AB52" s="81"/>
      <c r="AC52" s="79"/>
      <c r="AD52" s="79"/>
      <c r="AE52" s="91"/>
      <c r="AF52" s="81"/>
    </row>
    <row r="53" spans="1:32" ht="16.5" thickTop="1" thickBot="1">
      <c r="A53" s="284"/>
      <c r="B53" s="284" t="s">
        <v>875</v>
      </c>
      <c r="C53" s="288"/>
      <c r="D53" s="288"/>
      <c r="E53" s="288"/>
      <c r="F53" s="288"/>
      <c r="G53" s="288"/>
      <c r="H53" s="288"/>
      <c r="I53" s="288"/>
      <c r="J53" s="288"/>
      <c r="K53" s="288"/>
      <c r="L53" s="288"/>
      <c r="M53" s="288"/>
      <c r="N53" s="284"/>
      <c r="O53" s="284"/>
      <c r="P53" s="284"/>
      <c r="Q53" s="284"/>
      <c r="R53" s="284"/>
      <c r="S53" s="288"/>
      <c r="T53" s="288"/>
      <c r="U53" s="284"/>
      <c r="V53" s="288"/>
      <c r="W53" s="288"/>
      <c r="X53" s="288"/>
      <c r="Y53" s="284"/>
      <c r="Z53" s="288"/>
      <c r="AA53" s="79"/>
      <c r="AB53" s="81"/>
      <c r="AC53" s="79"/>
      <c r="AD53" s="79"/>
      <c r="AE53" s="91"/>
      <c r="AF53" s="81"/>
    </row>
    <row r="54" spans="1:32" ht="46.5" thickTop="1" thickBot="1">
      <c r="A54" s="284"/>
      <c r="B54" s="284" t="s">
        <v>789</v>
      </c>
      <c r="C54" s="288"/>
      <c r="D54" s="288">
        <v>3.5</v>
      </c>
      <c r="E54" s="288">
        <v>1.1000000000000001</v>
      </c>
      <c r="F54" s="288">
        <v>3.2</v>
      </c>
      <c r="G54" s="288" t="s">
        <v>46</v>
      </c>
      <c r="H54" s="288" t="s">
        <v>399</v>
      </c>
      <c r="I54" s="288">
        <v>1.69</v>
      </c>
      <c r="J54" s="288">
        <v>0.1</v>
      </c>
      <c r="K54" s="288" t="s">
        <v>299</v>
      </c>
      <c r="L54" s="288" t="s">
        <v>172</v>
      </c>
      <c r="M54" s="288" t="s">
        <v>46</v>
      </c>
      <c r="N54" s="284"/>
      <c r="O54" s="284"/>
      <c r="P54" s="284"/>
      <c r="Q54" s="284"/>
      <c r="R54" s="284"/>
      <c r="S54" s="288">
        <v>1</v>
      </c>
      <c r="T54" s="288" t="s">
        <v>179</v>
      </c>
      <c r="U54" s="284">
        <v>0</v>
      </c>
      <c r="V54" s="288" t="s">
        <v>77</v>
      </c>
      <c r="W54" s="288" t="s">
        <v>57</v>
      </c>
      <c r="X54" s="288">
        <v>0</v>
      </c>
      <c r="Y54" s="284">
        <v>0.8</v>
      </c>
      <c r="Z54" s="288">
        <f>A54</f>
        <v>0</v>
      </c>
      <c r="AA54" s="79"/>
      <c r="AB54" s="81"/>
      <c r="AC54" s="91"/>
      <c r="AD54" s="81"/>
      <c r="AE54" s="79"/>
      <c r="AF54" s="79"/>
    </row>
    <row r="55" spans="1:32" ht="16.5" thickTop="1" thickBot="1">
      <c r="A55" s="284"/>
      <c r="B55" s="284" t="s">
        <v>790</v>
      </c>
      <c r="C55" s="288">
        <v>38</v>
      </c>
      <c r="D55" s="288">
        <v>38</v>
      </c>
      <c r="E55" s="288">
        <v>5</v>
      </c>
      <c r="F55" s="288">
        <v>8</v>
      </c>
      <c r="G55" s="288" t="s">
        <v>431</v>
      </c>
      <c r="H55" s="288"/>
      <c r="I55" s="288">
        <v>16.96</v>
      </c>
      <c r="J55" s="288">
        <v>0.86</v>
      </c>
      <c r="K55" s="288" t="s">
        <v>301</v>
      </c>
      <c r="L55" s="288" t="s">
        <v>172</v>
      </c>
      <c r="M55" s="288" t="s">
        <v>46</v>
      </c>
      <c r="N55" s="284">
        <v>1.1299999999999999</v>
      </c>
      <c r="O55" s="284">
        <v>0.85</v>
      </c>
      <c r="P55" s="284">
        <v>0.19</v>
      </c>
      <c r="Q55" s="284">
        <v>1.1610000000000001E-2</v>
      </c>
      <c r="R55" s="284">
        <v>8.8000000000000005E-3</v>
      </c>
      <c r="S55" s="288">
        <v>1</v>
      </c>
      <c r="T55" s="288" t="s">
        <v>179</v>
      </c>
      <c r="U55" s="284">
        <v>0</v>
      </c>
      <c r="V55" s="288" t="s">
        <v>77</v>
      </c>
      <c r="W55" s="288" t="s">
        <v>57</v>
      </c>
      <c r="X55" s="288">
        <v>1</v>
      </c>
      <c r="Y55" s="284">
        <v>0.8</v>
      </c>
      <c r="Z55" s="288">
        <f>A55</f>
        <v>0</v>
      </c>
      <c r="AA55" s="79"/>
      <c r="AB55" s="81"/>
      <c r="AC55" s="91"/>
      <c r="AD55" s="81"/>
      <c r="AE55" s="79"/>
      <c r="AF55" s="79"/>
    </row>
    <row r="56" spans="1:32" ht="16.5" thickTop="1" thickBot="1">
      <c r="A56" s="284"/>
      <c r="B56" s="284" t="s">
        <v>791</v>
      </c>
      <c r="C56" s="288"/>
      <c r="D56" s="288">
        <v>2</v>
      </c>
      <c r="E56" s="288">
        <v>1</v>
      </c>
      <c r="F56" s="288">
        <v>5</v>
      </c>
      <c r="G56" s="288" t="s">
        <v>46</v>
      </c>
      <c r="H56" s="288" t="s">
        <v>399</v>
      </c>
      <c r="I56" s="288">
        <v>1</v>
      </c>
      <c r="J56" s="288"/>
      <c r="K56" s="288" t="s">
        <v>302</v>
      </c>
      <c r="L56" s="288" t="s">
        <v>172</v>
      </c>
      <c r="M56" s="288" t="s">
        <v>46</v>
      </c>
      <c r="N56" s="284">
        <v>1.89E-2</v>
      </c>
      <c r="O56" s="284">
        <v>0</v>
      </c>
      <c r="P56" s="284">
        <v>0.1</v>
      </c>
      <c r="Q56" s="284">
        <v>8.8999999999999996E-2</v>
      </c>
      <c r="R56" s="284">
        <v>8.8999999999999996E-2</v>
      </c>
      <c r="S56" s="288">
        <v>1</v>
      </c>
      <c r="T56" s="288" t="s">
        <v>179</v>
      </c>
      <c r="U56" s="284">
        <v>0</v>
      </c>
      <c r="V56" s="288" t="s">
        <v>77</v>
      </c>
      <c r="W56" s="288" t="s">
        <v>57</v>
      </c>
      <c r="X56" s="288">
        <v>0</v>
      </c>
      <c r="Y56" s="284">
        <v>0.8</v>
      </c>
      <c r="Z56" s="288">
        <f>A56</f>
        <v>0</v>
      </c>
      <c r="AA56" s="79"/>
      <c r="AB56" s="81"/>
      <c r="AC56" s="91"/>
      <c r="AD56" s="81"/>
      <c r="AE56" s="79"/>
      <c r="AF56" s="79"/>
    </row>
    <row r="57" spans="1:32" ht="16.5" thickTop="1" thickBot="1">
      <c r="A57" s="284"/>
      <c r="B57" s="284" t="s">
        <v>792</v>
      </c>
      <c r="C57" s="288"/>
      <c r="D57" s="288">
        <v>2</v>
      </c>
      <c r="E57" s="288">
        <v>1</v>
      </c>
      <c r="F57" s="288">
        <v>5</v>
      </c>
      <c r="G57" s="288" t="s">
        <v>46</v>
      </c>
      <c r="H57" s="288" t="s">
        <v>399</v>
      </c>
      <c r="I57" s="288">
        <v>1</v>
      </c>
      <c r="J57" s="288"/>
      <c r="K57" s="288" t="s">
        <v>302</v>
      </c>
      <c r="L57" s="288" t="s">
        <v>172</v>
      </c>
      <c r="M57" s="288" t="s">
        <v>46</v>
      </c>
      <c r="N57" s="284">
        <v>1.89E-2</v>
      </c>
      <c r="O57" s="284">
        <v>0</v>
      </c>
      <c r="P57" s="284">
        <v>0.1</v>
      </c>
      <c r="Q57" s="284">
        <v>8.8999999999999996E-2</v>
      </c>
      <c r="R57" s="284">
        <v>8.8999999999999996E-2</v>
      </c>
      <c r="S57" s="288">
        <v>1</v>
      </c>
      <c r="T57" s="288" t="s">
        <v>179</v>
      </c>
      <c r="U57" s="284">
        <v>0</v>
      </c>
      <c r="V57" s="288" t="s">
        <v>77</v>
      </c>
      <c r="W57" s="288" t="s">
        <v>57</v>
      </c>
      <c r="X57" s="288">
        <v>0</v>
      </c>
      <c r="Y57" s="284">
        <v>0.8</v>
      </c>
      <c r="Z57" s="288">
        <f>A57</f>
        <v>0</v>
      </c>
      <c r="AA57" s="79"/>
      <c r="AB57" s="81"/>
      <c r="AC57" s="91"/>
      <c r="AD57" s="81"/>
      <c r="AE57" s="79"/>
      <c r="AF57" s="79"/>
    </row>
    <row r="58" spans="1:32" ht="16.5" thickTop="1" thickBot="1">
      <c r="A58" s="284"/>
      <c r="B58" s="284" t="s">
        <v>812</v>
      </c>
      <c r="C58" s="288"/>
      <c r="D58" s="288">
        <v>12.5</v>
      </c>
      <c r="E58" s="288">
        <v>5.5</v>
      </c>
      <c r="F58" s="288">
        <v>12.5</v>
      </c>
      <c r="G58" s="288" t="s">
        <v>424</v>
      </c>
      <c r="H58" s="288" t="s">
        <v>400</v>
      </c>
      <c r="I58" s="288">
        <v>18.7</v>
      </c>
      <c r="J58" s="288">
        <v>1</v>
      </c>
      <c r="K58" s="288" t="s">
        <v>304</v>
      </c>
      <c r="L58" s="288" t="s">
        <v>172</v>
      </c>
      <c r="M58" s="288" t="s">
        <v>425</v>
      </c>
      <c r="N58" s="284">
        <v>0.3</v>
      </c>
      <c r="O58" s="284">
        <v>0</v>
      </c>
      <c r="P58" s="284">
        <v>0.22</v>
      </c>
      <c r="Q58" s="284">
        <v>6.0000000000000001E-3</v>
      </c>
      <c r="R58" s="284">
        <v>1.2E-2</v>
      </c>
      <c r="S58" s="288">
        <v>1</v>
      </c>
      <c r="T58" s="288" t="s">
        <v>180</v>
      </c>
      <c r="U58" s="284">
        <v>0</v>
      </c>
      <c r="V58" s="288" t="s">
        <v>77</v>
      </c>
      <c r="W58" s="288" t="s">
        <v>57</v>
      </c>
      <c r="X58" s="288">
        <v>0</v>
      </c>
      <c r="Y58" s="284">
        <v>0.8</v>
      </c>
      <c r="Z58" s="288">
        <f>A58</f>
        <v>0</v>
      </c>
      <c r="AA58" s="79"/>
      <c r="AB58" s="81"/>
      <c r="AC58" s="79"/>
      <c r="AD58" s="79"/>
      <c r="AE58" s="91"/>
    </row>
    <row r="59" spans="1:32" ht="16.5" thickTop="1" thickBot="1">
      <c r="A59" s="284"/>
      <c r="B59" s="284" t="s">
        <v>794</v>
      </c>
      <c r="C59" s="288"/>
      <c r="D59" s="288">
        <v>2.2000000000000002</v>
      </c>
      <c r="E59" s="288">
        <v>0.8</v>
      </c>
      <c r="F59" s="288">
        <v>0.4</v>
      </c>
      <c r="G59" s="288" t="s">
        <v>46</v>
      </c>
      <c r="H59" s="288" t="s">
        <v>399</v>
      </c>
      <c r="I59" s="288">
        <v>1.1399999999999999</v>
      </c>
      <c r="J59" s="288">
        <v>0.1</v>
      </c>
      <c r="K59" s="288" t="s">
        <v>307</v>
      </c>
      <c r="L59" s="288" t="s">
        <v>172</v>
      </c>
      <c r="M59" s="288" t="s">
        <v>46</v>
      </c>
      <c r="N59" s="284">
        <v>5.5899999999999998E-2</v>
      </c>
      <c r="O59" s="284">
        <v>0</v>
      </c>
      <c r="P59" s="284">
        <v>0.2</v>
      </c>
      <c r="Q59" s="284">
        <v>1.9099999999999999E-2</v>
      </c>
      <c r="R59" s="284">
        <f>Q59</f>
        <v>1.9099999999999999E-2</v>
      </c>
      <c r="S59" s="288">
        <v>1</v>
      </c>
      <c r="T59" s="288" t="s">
        <v>179</v>
      </c>
      <c r="U59" s="284">
        <v>0</v>
      </c>
      <c r="V59" s="288" t="s">
        <v>77</v>
      </c>
      <c r="W59" s="288" t="s">
        <v>57</v>
      </c>
      <c r="X59" s="288">
        <v>0</v>
      </c>
      <c r="Y59" s="284">
        <v>0.8</v>
      </c>
      <c r="Z59" s="288">
        <f>A59</f>
        <v>0</v>
      </c>
      <c r="AA59" s="79"/>
      <c r="AB59" s="81"/>
      <c r="AC59" s="91"/>
      <c r="AD59" s="81"/>
      <c r="AE59" s="79"/>
      <c r="AF59" s="79"/>
    </row>
    <row r="60" spans="1:32" ht="16.5" thickTop="1" thickBot="1">
      <c r="A60" s="284"/>
      <c r="B60" s="284" t="s">
        <v>876</v>
      </c>
      <c r="C60" s="288"/>
      <c r="D60" s="288"/>
      <c r="E60" s="288"/>
      <c r="F60" s="288"/>
      <c r="G60" s="288"/>
      <c r="H60" s="288"/>
      <c r="I60" s="288"/>
      <c r="J60" s="288"/>
      <c r="K60" s="288"/>
      <c r="L60" s="288"/>
      <c r="M60" s="288"/>
      <c r="N60" s="284"/>
      <c r="O60" s="284"/>
      <c r="P60" s="284"/>
      <c r="Q60" s="284"/>
      <c r="R60" s="284"/>
      <c r="S60" s="288"/>
      <c r="T60" s="288"/>
      <c r="U60" s="284"/>
      <c r="V60" s="288"/>
      <c r="W60" s="288"/>
      <c r="X60" s="288"/>
      <c r="Y60" s="284"/>
      <c r="Z60" s="288"/>
      <c r="AA60" s="79"/>
      <c r="AB60" s="81"/>
      <c r="AC60" s="79"/>
      <c r="AD60" s="79"/>
      <c r="AE60" s="91"/>
      <c r="AF60" s="81"/>
    </row>
    <row r="61" spans="1:32" ht="16.5" thickTop="1" thickBot="1">
      <c r="A61" s="284"/>
      <c r="B61" s="284" t="s">
        <v>877</v>
      </c>
      <c r="C61" s="288"/>
      <c r="D61" s="288"/>
      <c r="E61" s="288"/>
      <c r="F61" s="288"/>
      <c r="G61" s="288"/>
      <c r="H61" s="288"/>
      <c r="I61" s="288"/>
      <c r="J61" s="288"/>
      <c r="K61" s="288"/>
      <c r="L61" s="288"/>
      <c r="M61" s="288"/>
      <c r="N61" s="284"/>
      <c r="O61" s="284"/>
      <c r="P61" s="284"/>
      <c r="Q61" s="284"/>
      <c r="R61" s="284"/>
      <c r="S61" s="288"/>
      <c r="T61" s="288"/>
      <c r="U61" s="284"/>
      <c r="V61" s="288"/>
      <c r="W61" s="288"/>
      <c r="X61" s="288"/>
      <c r="Y61" s="284"/>
      <c r="Z61" s="288"/>
      <c r="AA61" s="79"/>
      <c r="AB61" s="81"/>
      <c r="AC61" s="79"/>
      <c r="AD61" s="79"/>
      <c r="AE61" s="91"/>
      <c r="AF61" s="81"/>
    </row>
    <row r="62" spans="1:32" ht="16.5" thickTop="1" thickBot="1">
      <c r="A62" s="284"/>
      <c r="B62" s="284" t="s">
        <v>878</v>
      </c>
      <c r="C62" s="288"/>
      <c r="D62" s="288"/>
      <c r="E62" s="288"/>
      <c r="F62" s="288"/>
      <c r="G62" s="288"/>
      <c r="H62" s="288"/>
      <c r="I62" s="288"/>
      <c r="J62" s="288"/>
      <c r="K62" s="288"/>
      <c r="L62" s="288"/>
      <c r="M62" s="288"/>
      <c r="N62" s="284"/>
      <c r="O62" s="284"/>
      <c r="P62" s="284"/>
      <c r="Q62" s="284"/>
      <c r="R62" s="284"/>
      <c r="S62" s="288"/>
      <c r="T62" s="288"/>
      <c r="U62" s="284"/>
      <c r="V62" s="288"/>
      <c r="W62" s="288"/>
      <c r="X62" s="288"/>
      <c r="Y62" s="284"/>
      <c r="Z62" s="288"/>
      <c r="AA62" s="79"/>
      <c r="AB62" s="81"/>
      <c r="AC62" s="79"/>
      <c r="AD62" s="79"/>
      <c r="AE62" s="91"/>
      <c r="AF62" s="81"/>
    </row>
    <row r="63" spans="1:32" ht="16.5" thickTop="1" thickBot="1">
      <c r="A63" s="284"/>
      <c r="B63" s="284" t="s">
        <v>879</v>
      </c>
      <c r="C63" s="288"/>
      <c r="D63" s="288"/>
      <c r="E63" s="288"/>
      <c r="F63" s="288"/>
      <c r="G63" s="288"/>
      <c r="H63" s="288"/>
      <c r="I63" s="288"/>
      <c r="J63" s="288"/>
      <c r="K63" s="288"/>
      <c r="L63" s="288"/>
      <c r="M63" s="288"/>
      <c r="N63" s="284"/>
      <c r="O63" s="284"/>
      <c r="P63" s="284"/>
      <c r="Q63" s="284"/>
      <c r="R63" s="284"/>
      <c r="S63" s="288"/>
      <c r="T63" s="288"/>
      <c r="U63" s="284"/>
      <c r="V63" s="288"/>
      <c r="W63" s="288"/>
      <c r="X63" s="288"/>
      <c r="Y63" s="284"/>
      <c r="Z63" s="288"/>
      <c r="AA63" s="79"/>
      <c r="AB63" s="81"/>
      <c r="AC63" s="79"/>
      <c r="AD63" s="79"/>
      <c r="AE63" s="91"/>
      <c r="AF63" s="81"/>
    </row>
    <row r="64" spans="1:32" ht="31.5" thickTop="1" thickBot="1">
      <c r="A64" s="284"/>
      <c r="B64" s="284" t="s">
        <v>880</v>
      </c>
      <c r="C64" s="288"/>
      <c r="D64" s="288"/>
      <c r="E64" s="288"/>
      <c r="F64" s="288"/>
      <c r="G64" s="288"/>
      <c r="H64" s="288"/>
      <c r="I64" s="288"/>
      <c r="J64" s="288"/>
      <c r="K64" s="288"/>
      <c r="L64" s="288"/>
      <c r="M64" s="288"/>
      <c r="N64" s="284"/>
      <c r="O64" s="284"/>
      <c r="P64" s="284"/>
      <c r="Q64" s="284"/>
      <c r="R64" s="284"/>
      <c r="S64" s="288"/>
      <c r="T64" s="288"/>
      <c r="U64" s="284"/>
      <c r="V64" s="288"/>
      <c r="W64" s="288"/>
      <c r="X64" s="288"/>
      <c r="Y64" s="284"/>
      <c r="Z64" s="288"/>
      <c r="AA64" s="79"/>
      <c r="AB64" s="81"/>
      <c r="AC64" s="79"/>
      <c r="AD64" s="79"/>
      <c r="AE64" s="91"/>
      <c r="AF64" s="81"/>
    </row>
    <row r="65" spans="1:32" ht="16.5" thickTop="1" thickBot="1">
      <c r="A65" s="284"/>
      <c r="B65" s="284" t="s">
        <v>881</v>
      </c>
      <c r="C65" s="288"/>
      <c r="D65" s="288"/>
      <c r="E65" s="288"/>
      <c r="F65" s="288"/>
      <c r="G65" s="288"/>
      <c r="H65" s="288"/>
      <c r="I65" s="288"/>
      <c r="J65" s="288"/>
      <c r="K65" s="288"/>
      <c r="L65" s="288"/>
      <c r="M65" s="288"/>
      <c r="N65" s="284"/>
      <c r="O65" s="284"/>
      <c r="P65" s="284"/>
      <c r="Q65" s="284"/>
      <c r="R65" s="284"/>
      <c r="S65" s="288"/>
      <c r="T65" s="288"/>
      <c r="U65" s="284"/>
      <c r="V65" s="288"/>
      <c r="W65" s="288"/>
      <c r="X65" s="288"/>
      <c r="Y65" s="284"/>
      <c r="Z65" s="288"/>
      <c r="AA65" s="79"/>
      <c r="AB65" s="81"/>
      <c r="AC65" s="79"/>
      <c r="AD65" s="79"/>
      <c r="AE65" s="91"/>
      <c r="AF65" s="81"/>
    </row>
    <row r="66" spans="1:32" ht="16.5" thickTop="1" thickBot="1">
      <c r="A66" s="284"/>
      <c r="B66" s="284" t="s">
        <v>795</v>
      </c>
      <c r="C66" s="288"/>
      <c r="D66" s="288">
        <v>19</v>
      </c>
      <c r="E66" s="288">
        <v>8</v>
      </c>
      <c r="F66" s="288">
        <v>7</v>
      </c>
      <c r="G66" s="288" t="s">
        <v>405</v>
      </c>
      <c r="H66" s="288" t="s">
        <v>400</v>
      </c>
      <c r="I66" s="288">
        <v>17.45</v>
      </c>
      <c r="J66" s="288">
        <v>0.85</v>
      </c>
      <c r="K66" s="288" t="s">
        <v>312</v>
      </c>
      <c r="L66" s="288" t="s">
        <v>172</v>
      </c>
      <c r="M66" s="288" t="s">
        <v>46</v>
      </c>
      <c r="N66" s="284">
        <v>0.91</v>
      </c>
      <c r="O66" s="284">
        <v>0.89</v>
      </c>
      <c r="P66" s="284">
        <v>0.25</v>
      </c>
      <c r="Q66" s="284">
        <v>7.7000000000000002E-3</v>
      </c>
      <c r="R66" s="284">
        <v>8.8000000000000005E-3</v>
      </c>
      <c r="S66" s="288">
        <v>1</v>
      </c>
      <c r="T66" s="288" t="s">
        <v>176</v>
      </c>
      <c r="U66" s="284">
        <v>0</v>
      </c>
      <c r="V66" s="288" t="s">
        <v>77</v>
      </c>
      <c r="W66" s="288" t="s">
        <v>57</v>
      </c>
      <c r="X66" s="288">
        <v>0</v>
      </c>
      <c r="Y66" s="284">
        <v>0.8</v>
      </c>
      <c r="Z66" s="288">
        <f>A66</f>
        <v>0</v>
      </c>
      <c r="AA66" s="79"/>
      <c r="AB66" s="81"/>
      <c r="AC66" s="79"/>
      <c r="AD66" s="79"/>
      <c r="AE66" s="91"/>
      <c r="AF66" s="81"/>
    </row>
    <row r="67" spans="1:32" ht="16.5" thickTop="1" thickBot="1">
      <c r="A67" s="284"/>
      <c r="B67" s="284" t="s">
        <v>882</v>
      </c>
      <c r="C67" s="288"/>
      <c r="D67" s="288"/>
      <c r="E67" s="288"/>
      <c r="F67" s="288"/>
      <c r="G67" s="288"/>
      <c r="H67" s="288"/>
      <c r="I67" s="288"/>
      <c r="J67" s="288"/>
      <c r="K67" s="288"/>
      <c r="L67" s="288"/>
      <c r="M67" s="288"/>
      <c r="N67" s="284"/>
      <c r="O67" s="284"/>
      <c r="P67" s="284"/>
      <c r="Q67" s="284"/>
      <c r="R67" s="284"/>
      <c r="S67" s="288"/>
      <c r="T67" s="288"/>
      <c r="U67" s="284"/>
      <c r="V67" s="288"/>
      <c r="W67" s="288"/>
      <c r="X67" s="288"/>
      <c r="Y67" s="284"/>
      <c r="Z67" s="288"/>
      <c r="AA67" s="79"/>
      <c r="AB67" s="81"/>
      <c r="AC67" s="79"/>
      <c r="AD67" s="79"/>
      <c r="AE67" s="91"/>
      <c r="AF67" s="81"/>
    </row>
    <row r="68" spans="1:32" ht="16.5" thickTop="1" thickBot="1">
      <c r="A68" s="284"/>
      <c r="B68" s="284" t="s">
        <v>796</v>
      </c>
      <c r="C68" s="288"/>
      <c r="D68" s="288">
        <v>2</v>
      </c>
      <c r="E68" s="288">
        <v>1.5</v>
      </c>
      <c r="F68" s="288">
        <v>4.5999999999999996</v>
      </c>
      <c r="G68" s="288" t="s">
        <v>46</v>
      </c>
      <c r="H68" s="288" t="s">
        <v>400</v>
      </c>
      <c r="I68" s="288">
        <v>1.45</v>
      </c>
      <c r="J68" s="288">
        <v>0.3</v>
      </c>
      <c r="K68" s="288" t="s">
        <v>315</v>
      </c>
      <c r="L68" s="288" t="s">
        <v>172</v>
      </c>
      <c r="M68" s="288" t="s">
        <v>46</v>
      </c>
      <c r="N68" s="284">
        <v>1.2200000000000001E-2</v>
      </c>
      <c r="O68" s="284">
        <v>0</v>
      </c>
      <c r="P68" s="284">
        <v>0.1</v>
      </c>
      <c r="Q68" s="284">
        <v>6.0600000000000001E-2</v>
      </c>
      <c r="R68" s="284">
        <v>6.0600000000000001E-2</v>
      </c>
      <c r="S68" s="288">
        <v>1</v>
      </c>
      <c r="T68" s="288" t="s">
        <v>179</v>
      </c>
      <c r="U68" s="284">
        <v>0</v>
      </c>
      <c r="V68" s="288" t="s">
        <v>77</v>
      </c>
      <c r="W68" s="288" t="s">
        <v>57</v>
      </c>
      <c r="X68" s="288">
        <v>0</v>
      </c>
      <c r="Y68" s="284">
        <v>0.8</v>
      </c>
      <c r="Z68" s="288">
        <f>A68</f>
        <v>0</v>
      </c>
      <c r="AA68" s="79"/>
      <c r="AB68" s="81"/>
      <c r="AC68" s="91"/>
      <c r="AD68" s="81"/>
      <c r="AE68" s="79"/>
      <c r="AF68" s="79"/>
    </row>
    <row r="69" spans="1:32" ht="76.5" thickTop="1" thickBot="1">
      <c r="A69" s="284"/>
      <c r="B69" s="284" t="s">
        <v>803</v>
      </c>
      <c r="C69" s="288"/>
      <c r="D69" s="288">
        <v>19</v>
      </c>
      <c r="E69" s="288">
        <v>13</v>
      </c>
      <c r="F69" s="288">
        <v>8</v>
      </c>
      <c r="G69" s="288" t="s">
        <v>46</v>
      </c>
      <c r="H69" s="288" t="s">
        <v>441</v>
      </c>
      <c r="I69" s="288">
        <v>22.3</v>
      </c>
      <c r="J69" s="288">
        <v>0.93</v>
      </c>
      <c r="K69" s="288" t="s">
        <v>327</v>
      </c>
      <c r="L69" s="288" t="s">
        <v>172</v>
      </c>
      <c r="M69" s="288" t="s">
        <v>46</v>
      </c>
      <c r="N69" s="284">
        <v>2</v>
      </c>
      <c r="O69" s="284">
        <v>0</v>
      </c>
      <c r="P69" s="284">
        <v>0.2</v>
      </c>
      <c r="Q69" s="284">
        <v>1.6500000000000001E-2</v>
      </c>
      <c r="R69" s="284">
        <v>1.6500000000000001E-2</v>
      </c>
      <c r="S69" s="288">
        <v>1</v>
      </c>
      <c r="T69" s="288" t="s">
        <v>176</v>
      </c>
      <c r="U69" s="284">
        <v>0</v>
      </c>
      <c r="V69" s="288" t="s">
        <v>77</v>
      </c>
      <c r="W69" s="288" t="s">
        <v>57</v>
      </c>
      <c r="X69" s="288">
        <v>0</v>
      </c>
      <c r="Y69" s="284">
        <v>0.8</v>
      </c>
      <c r="Z69" s="288">
        <f>A69</f>
        <v>0</v>
      </c>
      <c r="AA69" s="79"/>
      <c r="AB69" s="81"/>
      <c r="AC69" s="79"/>
      <c r="AD69" s="79"/>
      <c r="AE69" s="91"/>
      <c r="AF69" s="81"/>
    </row>
    <row r="70" spans="1:32" ht="16.5" thickTop="1" thickBot="1">
      <c r="A70" s="284"/>
      <c r="B70" s="284" t="s">
        <v>883</v>
      </c>
      <c r="C70" s="288"/>
      <c r="D70" s="288"/>
      <c r="E70" s="288"/>
      <c r="F70" s="288"/>
      <c r="G70" s="288"/>
      <c r="H70" s="288"/>
      <c r="I70" s="288"/>
      <c r="J70" s="288"/>
      <c r="K70" s="288"/>
      <c r="L70" s="288"/>
      <c r="M70" s="288"/>
      <c r="N70" s="284"/>
      <c r="O70" s="284"/>
      <c r="P70" s="284"/>
      <c r="Q70" s="284"/>
      <c r="R70" s="284"/>
      <c r="S70" s="288"/>
      <c r="T70" s="288"/>
      <c r="U70" s="284"/>
      <c r="V70" s="288"/>
      <c r="W70" s="288"/>
      <c r="X70" s="288"/>
      <c r="Y70" s="284"/>
      <c r="Z70" s="288"/>
      <c r="AA70" s="79"/>
      <c r="AB70" s="81"/>
      <c r="AC70" s="79"/>
      <c r="AD70" s="79"/>
      <c r="AE70" s="91"/>
      <c r="AF70" s="81"/>
    </row>
    <row r="71" spans="1:32" ht="16.5" thickTop="1" thickBot="1">
      <c r="A71" s="284"/>
      <c r="B71" s="284" t="s">
        <v>884</v>
      </c>
      <c r="C71" s="288"/>
      <c r="D71" s="288"/>
      <c r="E71" s="288"/>
      <c r="F71" s="288"/>
      <c r="G71" s="288"/>
      <c r="H71" s="288"/>
      <c r="I71" s="288"/>
      <c r="J71" s="288"/>
      <c r="K71" s="288"/>
      <c r="L71" s="288"/>
      <c r="M71" s="288"/>
      <c r="N71" s="284"/>
      <c r="O71" s="284"/>
      <c r="P71" s="284"/>
      <c r="Q71" s="284"/>
      <c r="R71" s="284"/>
      <c r="S71" s="288"/>
      <c r="T71" s="288"/>
      <c r="U71" s="284"/>
      <c r="V71" s="288"/>
      <c r="W71" s="288"/>
      <c r="X71" s="288"/>
      <c r="Y71" s="284"/>
      <c r="Z71" s="288"/>
      <c r="AA71" s="79"/>
      <c r="AB71" s="81"/>
      <c r="AC71" s="79"/>
      <c r="AD71" s="79"/>
      <c r="AE71" s="91"/>
      <c r="AF71" s="81"/>
    </row>
    <row r="72" spans="1:32" ht="16.5" thickTop="1" thickBot="1">
      <c r="A72" s="284"/>
      <c r="B72" s="284" t="s">
        <v>797</v>
      </c>
      <c r="C72" s="288"/>
      <c r="D72" s="288">
        <v>2.5</v>
      </c>
      <c r="E72" s="288">
        <v>1</v>
      </c>
      <c r="F72" s="288">
        <v>8</v>
      </c>
      <c r="G72" s="288" t="s">
        <v>46</v>
      </c>
      <c r="H72" s="288" t="s">
        <v>413</v>
      </c>
      <c r="I72" s="288">
        <v>1</v>
      </c>
      <c r="J72" s="288">
        <v>0.1</v>
      </c>
      <c r="K72" s="288" t="s">
        <v>318</v>
      </c>
      <c r="L72" s="288" t="s">
        <v>172</v>
      </c>
      <c r="M72" s="288" t="s">
        <v>46</v>
      </c>
      <c r="N72" s="284"/>
      <c r="O72" s="284"/>
      <c r="P72" s="284"/>
      <c r="Q72" s="284"/>
      <c r="R72" s="284"/>
      <c r="S72" s="288">
        <v>1</v>
      </c>
      <c r="T72" s="288" t="s">
        <v>179</v>
      </c>
      <c r="U72" s="284">
        <v>0</v>
      </c>
      <c r="V72" s="288" t="s">
        <v>77</v>
      </c>
      <c r="W72" s="288" t="s">
        <v>57</v>
      </c>
      <c r="X72" s="288">
        <v>0</v>
      </c>
      <c r="Y72" s="284">
        <v>0.8</v>
      </c>
      <c r="Z72" s="288">
        <f>A72</f>
        <v>0</v>
      </c>
      <c r="AA72" s="79"/>
      <c r="AB72" s="81"/>
      <c r="AC72" s="91"/>
      <c r="AD72" s="81"/>
      <c r="AE72" s="79"/>
      <c r="AF72" s="79"/>
    </row>
    <row r="73" spans="1:32" ht="31.5" thickTop="1" thickBot="1">
      <c r="A73" s="284"/>
      <c r="B73" s="284" t="s">
        <v>800</v>
      </c>
      <c r="C73" s="288">
        <v>32.5</v>
      </c>
      <c r="D73" s="288">
        <f>C73</f>
        <v>32.5</v>
      </c>
      <c r="E73" s="288">
        <v>8</v>
      </c>
      <c r="F73" s="288">
        <v>11</v>
      </c>
      <c r="G73" s="288" t="s">
        <v>431</v>
      </c>
      <c r="H73" s="288" t="s">
        <v>399</v>
      </c>
      <c r="I73" s="288">
        <v>15.73</v>
      </c>
      <c r="J73" s="288">
        <v>0.86</v>
      </c>
      <c r="K73" s="288" t="s">
        <v>320</v>
      </c>
      <c r="L73" s="288" t="s">
        <v>172</v>
      </c>
      <c r="M73" s="288" t="s">
        <v>46</v>
      </c>
      <c r="N73" s="284">
        <v>1.1299999999999999</v>
      </c>
      <c r="O73" s="284">
        <v>0.85</v>
      </c>
      <c r="P73" s="284">
        <v>0.19</v>
      </c>
      <c r="Q73" s="284">
        <v>1.1610000000000001E-2</v>
      </c>
      <c r="R73" s="284">
        <v>8.8000000000000005E-3</v>
      </c>
      <c r="S73" s="288">
        <v>1</v>
      </c>
      <c r="T73" s="288" t="s">
        <v>406</v>
      </c>
      <c r="U73" s="284">
        <v>0.14899999999999999</v>
      </c>
      <c r="V73" s="288" t="s">
        <v>77</v>
      </c>
      <c r="W73" s="288" t="s">
        <v>60</v>
      </c>
      <c r="X73" s="288">
        <v>1</v>
      </c>
      <c r="Y73" s="284">
        <v>0.8</v>
      </c>
      <c r="Z73" s="288">
        <f>A73</f>
        <v>0</v>
      </c>
      <c r="AA73" s="79"/>
      <c r="AB73" s="81"/>
      <c r="AC73" s="91"/>
      <c r="AD73" s="81"/>
      <c r="AE73" s="79"/>
      <c r="AF73" s="79"/>
    </row>
    <row r="74" spans="1:32" ht="46.5" thickTop="1" thickBot="1">
      <c r="A74" s="284"/>
      <c r="B74" s="284" t="s">
        <v>786</v>
      </c>
      <c r="C74" s="288">
        <v>7</v>
      </c>
      <c r="D74" s="288">
        <v>7</v>
      </c>
      <c r="E74" s="288">
        <v>2</v>
      </c>
      <c r="F74" s="288">
        <v>3</v>
      </c>
      <c r="G74" s="288" t="s">
        <v>46</v>
      </c>
      <c r="H74" s="288" t="s">
        <v>427</v>
      </c>
      <c r="I74" s="288">
        <v>1</v>
      </c>
      <c r="J74" s="288">
        <v>0.1</v>
      </c>
      <c r="K74" s="288" t="s">
        <v>295</v>
      </c>
      <c r="L74" s="288" t="s">
        <v>172</v>
      </c>
      <c r="M74" s="288" t="s">
        <v>46</v>
      </c>
      <c r="N74" s="284"/>
      <c r="O74" s="284"/>
      <c r="P74" s="284"/>
      <c r="Q74" s="284"/>
      <c r="R74" s="284"/>
      <c r="S74" s="288">
        <v>1</v>
      </c>
      <c r="T74" s="288" t="s">
        <v>179</v>
      </c>
      <c r="U74" s="284">
        <v>0.14899999999999999</v>
      </c>
      <c r="V74" s="288" t="s">
        <v>77</v>
      </c>
      <c r="W74" s="288" t="s">
        <v>57</v>
      </c>
      <c r="X74" s="288">
        <v>0</v>
      </c>
      <c r="Y74" s="284">
        <v>0.8</v>
      </c>
      <c r="Z74" s="288">
        <f>A74</f>
        <v>0</v>
      </c>
      <c r="AA74" s="79"/>
      <c r="AB74" s="81"/>
      <c r="AC74" s="91"/>
      <c r="AD74" s="81"/>
      <c r="AE74" s="79"/>
      <c r="AF74" s="79"/>
    </row>
    <row r="75" spans="1:32" ht="61.5" thickTop="1" thickBot="1">
      <c r="A75" s="284"/>
      <c r="B75" s="284" t="s">
        <v>787</v>
      </c>
      <c r="C75" s="288">
        <v>7</v>
      </c>
      <c r="D75" s="288">
        <v>7</v>
      </c>
      <c r="E75" s="288">
        <v>2</v>
      </c>
      <c r="F75" s="288">
        <v>3</v>
      </c>
      <c r="G75" s="288" t="s">
        <v>46</v>
      </c>
      <c r="H75" s="288" t="s">
        <v>427</v>
      </c>
      <c r="I75" s="288">
        <v>1</v>
      </c>
      <c r="J75" s="288">
        <v>0.1</v>
      </c>
      <c r="K75" s="288" t="s">
        <v>295</v>
      </c>
      <c r="L75" s="288" t="s">
        <v>172</v>
      </c>
      <c r="M75" s="288" t="s">
        <v>46</v>
      </c>
      <c r="N75" s="284"/>
      <c r="O75" s="284"/>
      <c r="P75" s="284"/>
      <c r="Q75" s="284"/>
      <c r="R75" s="284"/>
      <c r="S75" s="288">
        <v>1</v>
      </c>
      <c r="T75" s="288" t="s">
        <v>179</v>
      </c>
      <c r="U75" s="284">
        <v>0.14899999999999999</v>
      </c>
      <c r="V75" s="288" t="s">
        <v>77</v>
      </c>
      <c r="W75" s="288" t="s">
        <v>57</v>
      </c>
      <c r="X75" s="288">
        <v>0</v>
      </c>
      <c r="Y75" s="284">
        <v>0.8</v>
      </c>
      <c r="Z75" s="288">
        <f>A75</f>
        <v>0</v>
      </c>
      <c r="AA75" s="79"/>
      <c r="AB75" s="81"/>
      <c r="AC75" s="91"/>
      <c r="AD75" s="81"/>
      <c r="AE75" s="79"/>
      <c r="AF75" s="79"/>
    </row>
    <row r="76" spans="1:32" ht="106.5" thickTop="1" thickBot="1">
      <c r="A76" s="284"/>
      <c r="B76" s="284" t="s">
        <v>798</v>
      </c>
      <c r="C76" s="288"/>
      <c r="D76" s="288">
        <v>41.3</v>
      </c>
      <c r="E76" s="288">
        <v>8.6</v>
      </c>
      <c r="F76" s="288">
        <v>8.5</v>
      </c>
      <c r="G76" s="288" t="s">
        <v>46</v>
      </c>
      <c r="H76" s="288" t="s">
        <v>404</v>
      </c>
      <c r="I76" s="288">
        <v>23.7</v>
      </c>
      <c r="J76" s="288">
        <v>0.94</v>
      </c>
      <c r="K76" s="288" t="s">
        <v>322</v>
      </c>
      <c r="L76" s="288" t="s">
        <v>172</v>
      </c>
      <c r="M76" s="288" t="s">
        <v>46</v>
      </c>
      <c r="N76" s="284"/>
      <c r="O76" s="284"/>
      <c r="P76" s="284"/>
      <c r="Q76" s="284"/>
      <c r="R76" s="284"/>
      <c r="S76" s="288">
        <v>1</v>
      </c>
      <c r="T76" s="288" t="s">
        <v>178</v>
      </c>
      <c r="U76" s="284">
        <v>0</v>
      </c>
      <c r="V76" s="288" t="s">
        <v>77</v>
      </c>
      <c r="W76" s="288" t="s">
        <v>57</v>
      </c>
      <c r="X76" s="288">
        <v>0</v>
      </c>
      <c r="Y76" s="284">
        <v>0.8</v>
      </c>
      <c r="Z76" s="288">
        <f>A76</f>
        <v>0</v>
      </c>
      <c r="AA76" s="79"/>
      <c r="AB76" s="81"/>
      <c r="AC76" s="91"/>
      <c r="AD76" s="81"/>
      <c r="AE76" s="79"/>
      <c r="AF76" s="79"/>
    </row>
    <row r="77" spans="1:32" ht="106.5" thickTop="1" thickBot="1">
      <c r="A77" s="284"/>
      <c r="B77" s="284" t="s">
        <v>799</v>
      </c>
      <c r="C77" s="288"/>
      <c r="D77" s="288">
        <v>41.3</v>
      </c>
      <c r="E77" s="288">
        <v>8.6</v>
      </c>
      <c r="F77" s="288">
        <v>8.5</v>
      </c>
      <c r="G77" s="288" t="s">
        <v>46</v>
      </c>
      <c r="H77" s="288" t="s">
        <v>404</v>
      </c>
      <c r="I77" s="288">
        <v>23.7</v>
      </c>
      <c r="J77" s="288">
        <v>0.94</v>
      </c>
      <c r="K77" s="288" t="s">
        <v>322</v>
      </c>
      <c r="L77" s="288" t="s">
        <v>172</v>
      </c>
      <c r="M77" s="288" t="s">
        <v>46</v>
      </c>
      <c r="N77" s="284"/>
      <c r="O77" s="284"/>
      <c r="P77" s="284"/>
      <c r="Q77" s="284"/>
      <c r="R77" s="284"/>
      <c r="S77" s="288">
        <v>1</v>
      </c>
      <c r="T77" s="288" t="s">
        <v>178</v>
      </c>
      <c r="U77" s="284">
        <v>0</v>
      </c>
      <c r="V77" s="288" t="s">
        <v>77</v>
      </c>
      <c r="W77" s="288" t="s">
        <v>57</v>
      </c>
      <c r="X77" s="288">
        <v>0</v>
      </c>
      <c r="Y77" s="284">
        <v>0.8</v>
      </c>
      <c r="Z77" s="288">
        <f>A77</f>
        <v>0</v>
      </c>
      <c r="AA77" s="79"/>
      <c r="AB77" s="81"/>
      <c r="AC77" s="91"/>
      <c r="AD77" s="81"/>
      <c r="AE77" s="79"/>
      <c r="AF77" s="79"/>
    </row>
    <row r="78" spans="1:32" ht="106.5" thickTop="1" thickBot="1">
      <c r="A78" s="284"/>
      <c r="B78" s="284" t="s">
        <v>801</v>
      </c>
      <c r="C78" s="288"/>
      <c r="D78" s="288">
        <v>3.2</v>
      </c>
      <c r="E78" s="288">
        <v>1.1000000000000001</v>
      </c>
      <c r="F78" s="288">
        <v>4.0999999999999996</v>
      </c>
      <c r="G78" s="288" t="s">
        <v>46</v>
      </c>
      <c r="H78" s="288" t="s">
        <v>404</v>
      </c>
      <c r="I78" s="288">
        <v>1.7</v>
      </c>
      <c r="J78" s="288">
        <v>0.08</v>
      </c>
      <c r="K78" s="288" t="s">
        <v>325</v>
      </c>
      <c r="L78" s="288" t="s">
        <v>172</v>
      </c>
      <c r="M78" s="288" t="s">
        <v>46</v>
      </c>
      <c r="N78" s="284"/>
      <c r="O78" s="284"/>
      <c r="P78" s="284"/>
      <c r="Q78" s="284"/>
      <c r="R78" s="284"/>
      <c r="S78" s="288">
        <v>1</v>
      </c>
      <c r="T78" s="288" t="s">
        <v>179</v>
      </c>
      <c r="U78" s="284">
        <v>0</v>
      </c>
      <c r="V78" s="288" t="s">
        <v>77</v>
      </c>
      <c r="W78" s="288"/>
      <c r="X78" s="288">
        <v>0</v>
      </c>
      <c r="Y78" s="284">
        <v>0.8</v>
      </c>
      <c r="Z78" s="288">
        <f>A78</f>
        <v>0</v>
      </c>
      <c r="AA78" s="79"/>
      <c r="AB78" s="81"/>
      <c r="AC78" s="91"/>
      <c r="AD78" s="81"/>
      <c r="AE78" s="79"/>
      <c r="AF78" s="79"/>
    </row>
    <row r="79" spans="1:32" ht="61.5" thickTop="1" thickBot="1">
      <c r="A79" s="284"/>
      <c r="B79" s="284" t="s">
        <v>802</v>
      </c>
      <c r="C79" s="288"/>
      <c r="D79" s="288">
        <v>3.2</v>
      </c>
      <c r="E79" s="288">
        <v>1.1000000000000001</v>
      </c>
      <c r="F79" s="288">
        <v>4.0999999999999996</v>
      </c>
      <c r="G79" s="288" t="s">
        <v>46</v>
      </c>
      <c r="H79" s="288" t="s">
        <v>404</v>
      </c>
      <c r="I79" s="288">
        <v>1.7</v>
      </c>
      <c r="J79" s="288">
        <v>0.08</v>
      </c>
      <c r="K79" s="288" t="s">
        <v>325</v>
      </c>
      <c r="L79" s="288" t="s">
        <v>172</v>
      </c>
      <c r="M79" s="288" t="s">
        <v>46</v>
      </c>
      <c r="N79" s="284"/>
      <c r="O79" s="284"/>
      <c r="P79" s="284"/>
      <c r="Q79" s="284"/>
      <c r="R79" s="284"/>
      <c r="S79" s="288">
        <v>1</v>
      </c>
      <c r="T79" s="288" t="s">
        <v>179</v>
      </c>
      <c r="U79" s="284">
        <v>0</v>
      </c>
      <c r="V79" s="288" t="s">
        <v>77</v>
      </c>
      <c r="W79" s="288"/>
      <c r="X79" s="288">
        <v>0</v>
      </c>
      <c r="Y79" s="284">
        <v>0.8</v>
      </c>
      <c r="Z79" s="288">
        <f>A79</f>
        <v>0</v>
      </c>
      <c r="AA79" s="79"/>
      <c r="AB79" s="81"/>
      <c r="AC79" s="91"/>
      <c r="AD79" s="81"/>
      <c r="AE79" s="79"/>
      <c r="AF79" s="79"/>
    </row>
    <row r="80" spans="1:32" ht="61.5" thickTop="1" thickBot="1">
      <c r="A80" s="284"/>
      <c r="B80" s="284" t="s">
        <v>849</v>
      </c>
      <c r="C80" s="288"/>
      <c r="D80" s="288">
        <v>1.3</v>
      </c>
      <c r="E80" s="288">
        <v>0.5</v>
      </c>
      <c r="F80" s="288">
        <v>3.6</v>
      </c>
      <c r="G80" s="288" t="s">
        <v>46</v>
      </c>
      <c r="H80" s="288" t="s">
        <v>411</v>
      </c>
      <c r="I80" s="288">
        <v>3.3</v>
      </c>
      <c r="J80" s="288">
        <v>0.2</v>
      </c>
      <c r="K80" s="288" t="s">
        <v>324</v>
      </c>
      <c r="L80" s="288" t="s">
        <v>173</v>
      </c>
      <c r="M80" s="288" t="s">
        <v>46</v>
      </c>
      <c r="N80" s="284"/>
      <c r="O80" s="284"/>
      <c r="P80" s="284"/>
      <c r="Q80" s="284"/>
      <c r="R80" s="284"/>
      <c r="S80" s="288">
        <v>1</v>
      </c>
      <c r="T80" s="288" t="s">
        <v>178</v>
      </c>
      <c r="U80" s="284">
        <v>0</v>
      </c>
      <c r="V80" s="288" t="s">
        <v>135</v>
      </c>
      <c r="W80" s="288" t="s">
        <v>57</v>
      </c>
      <c r="X80" s="288">
        <v>0</v>
      </c>
      <c r="Y80" s="284">
        <v>0.8</v>
      </c>
      <c r="Z80" s="288">
        <f>A80</f>
        <v>0</v>
      </c>
      <c r="AA80" s="79"/>
      <c r="AB80" s="81"/>
      <c r="AC80" s="91"/>
      <c r="AD80" s="81"/>
      <c r="AE80" s="79"/>
      <c r="AF80" s="79"/>
    </row>
    <row r="81" spans="1:32" ht="16.5" thickTop="1" thickBot="1">
      <c r="A81" s="284"/>
      <c r="B81" s="284" t="s">
        <v>804</v>
      </c>
      <c r="C81" s="288"/>
      <c r="D81" s="288">
        <v>3.55</v>
      </c>
      <c r="E81" s="288">
        <v>1.7</v>
      </c>
      <c r="F81" s="288">
        <v>6.5</v>
      </c>
      <c r="G81" s="288" t="s">
        <v>46</v>
      </c>
      <c r="H81" s="288" t="s">
        <v>400</v>
      </c>
      <c r="I81" s="288">
        <v>3.45</v>
      </c>
      <c r="J81" s="288">
        <v>0.2</v>
      </c>
      <c r="K81" s="288" t="s">
        <v>328</v>
      </c>
      <c r="L81" s="288" t="s">
        <v>172</v>
      </c>
      <c r="M81" s="288" t="s">
        <v>46</v>
      </c>
      <c r="N81" s="284">
        <v>0.1</v>
      </c>
      <c r="O81" s="284">
        <v>1.06</v>
      </c>
      <c r="P81" s="284">
        <v>0.2</v>
      </c>
      <c r="Q81" s="284">
        <v>1.9E-2</v>
      </c>
      <c r="R81" s="284">
        <v>1.4E-2</v>
      </c>
      <c r="S81" s="288">
        <v>1</v>
      </c>
      <c r="T81" s="288" t="s">
        <v>179</v>
      </c>
      <c r="U81" s="284">
        <v>0.105</v>
      </c>
      <c r="V81" s="288" t="s">
        <v>77</v>
      </c>
      <c r="W81" s="288" t="s">
        <v>57</v>
      </c>
      <c r="X81" s="288">
        <v>0</v>
      </c>
      <c r="Y81" s="284">
        <v>0.8</v>
      </c>
      <c r="Z81" s="288">
        <f>A81</f>
        <v>0</v>
      </c>
      <c r="AA81" s="79"/>
      <c r="AB81" s="81"/>
      <c r="AC81" s="79"/>
      <c r="AD81" s="79"/>
      <c r="AE81" s="91"/>
      <c r="AF81" s="81"/>
    </row>
    <row r="82" spans="1:32" ht="46.5" thickTop="1" thickBot="1">
      <c r="A82" s="284"/>
      <c r="B82" s="284" t="s">
        <v>793</v>
      </c>
      <c r="C82" s="288"/>
      <c r="D82" s="288">
        <v>2</v>
      </c>
      <c r="E82" s="288">
        <v>0.7</v>
      </c>
      <c r="F82" s="288">
        <v>4.8</v>
      </c>
      <c r="G82" s="288" t="s">
        <v>46</v>
      </c>
      <c r="H82" s="288" t="s">
        <v>411</v>
      </c>
      <c r="I82" s="288">
        <v>0.9</v>
      </c>
      <c r="J82" s="288">
        <v>0.05</v>
      </c>
      <c r="K82" s="288" t="s">
        <v>305</v>
      </c>
      <c r="L82" s="288" t="s">
        <v>172</v>
      </c>
      <c r="M82" s="288" t="s">
        <v>46</v>
      </c>
      <c r="N82" s="284">
        <v>7.4700000000000003E-2</v>
      </c>
      <c r="O82" s="284">
        <v>0</v>
      </c>
      <c r="P82" s="284">
        <v>0.1</v>
      </c>
      <c r="Q82" s="284">
        <v>4.1500000000000002E-2</v>
      </c>
      <c r="R82" s="284">
        <f>Q82</f>
        <v>4.1500000000000002E-2</v>
      </c>
      <c r="S82" s="288">
        <v>1</v>
      </c>
      <c r="T82" s="288" t="s">
        <v>179</v>
      </c>
      <c r="U82" s="284">
        <v>0</v>
      </c>
      <c r="V82" s="288" t="s">
        <v>77</v>
      </c>
      <c r="W82" s="288" t="s">
        <v>57</v>
      </c>
      <c r="X82" s="288">
        <v>0</v>
      </c>
      <c r="Y82" s="284">
        <v>0.8</v>
      </c>
      <c r="Z82" s="288">
        <f>A82</f>
        <v>0</v>
      </c>
      <c r="AA82" s="79"/>
      <c r="AB82" s="81"/>
      <c r="AC82" s="91"/>
      <c r="AD82" s="81"/>
      <c r="AE82" s="79"/>
      <c r="AF82" s="79"/>
    </row>
    <row r="83" spans="1:32" ht="46.5" thickTop="1" thickBot="1">
      <c r="A83" s="284"/>
      <c r="B83" s="284" t="s">
        <v>842</v>
      </c>
      <c r="C83" s="288"/>
      <c r="D83" s="288">
        <v>0.6</v>
      </c>
      <c r="E83" s="288">
        <v>0.4</v>
      </c>
      <c r="F83" s="288">
        <v>2.4</v>
      </c>
      <c r="G83" s="288" t="s">
        <v>424</v>
      </c>
      <c r="H83" s="288" t="s">
        <v>404</v>
      </c>
      <c r="I83" s="288">
        <v>2.4</v>
      </c>
      <c r="J83" s="288">
        <v>0.17</v>
      </c>
      <c r="K83" s="288" t="s">
        <v>329</v>
      </c>
      <c r="L83" s="288" t="s">
        <v>173</v>
      </c>
      <c r="M83" s="288" t="s">
        <v>46</v>
      </c>
      <c r="N83" s="284"/>
      <c r="O83" s="284"/>
      <c r="P83" s="284"/>
      <c r="Q83" s="284"/>
      <c r="R83" s="284"/>
      <c r="S83" s="288">
        <v>1</v>
      </c>
      <c r="T83" s="288" t="s">
        <v>178</v>
      </c>
      <c r="U83" s="284">
        <v>0</v>
      </c>
      <c r="V83" s="288" t="s">
        <v>135</v>
      </c>
      <c r="W83" s="288" t="s">
        <v>57</v>
      </c>
      <c r="X83" s="288">
        <v>0</v>
      </c>
      <c r="Y83" s="284">
        <v>0.8</v>
      </c>
      <c r="Z83" s="288">
        <f>A83</f>
        <v>0</v>
      </c>
      <c r="AA83" s="79"/>
      <c r="AB83" s="81"/>
      <c r="AC83" s="79"/>
      <c r="AD83" s="79"/>
      <c r="AE83" s="91"/>
    </row>
    <row r="84" spans="1:32" ht="46.5" thickTop="1" thickBot="1">
      <c r="A84" s="284"/>
      <c r="B84" s="284" t="s">
        <v>886</v>
      </c>
      <c r="C84" s="288"/>
      <c r="D84" s="288"/>
      <c r="E84" s="288"/>
      <c r="F84" s="288"/>
      <c r="G84" s="288"/>
      <c r="H84" s="288"/>
      <c r="I84" s="288"/>
      <c r="J84" s="288"/>
      <c r="K84" s="288"/>
      <c r="L84" s="288"/>
      <c r="M84" s="288"/>
      <c r="N84" s="284"/>
      <c r="O84" s="284"/>
      <c r="P84" s="284"/>
      <c r="Q84" s="284"/>
      <c r="R84" s="284"/>
      <c r="S84" s="288"/>
      <c r="T84" s="288"/>
      <c r="U84" s="284"/>
      <c r="V84" s="288"/>
      <c r="W84" s="288"/>
      <c r="X84" s="288"/>
      <c r="Y84" s="284"/>
      <c r="Z84" s="288"/>
      <c r="AA84" s="79"/>
      <c r="AB84" s="81"/>
      <c r="AC84" s="79"/>
      <c r="AD84" s="79"/>
      <c r="AE84" s="91"/>
      <c r="AF84" s="81"/>
    </row>
    <row r="85" spans="1:32" ht="46.5" thickTop="1" thickBot="1">
      <c r="A85" s="284"/>
      <c r="B85" s="284" t="s">
        <v>805</v>
      </c>
      <c r="C85" s="288"/>
      <c r="D85" s="288">
        <v>1.7777777777777777</v>
      </c>
      <c r="E85" s="288">
        <v>0.88888888888888884</v>
      </c>
      <c r="F85" s="288">
        <v>1.7777777777777777</v>
      </c>
      <c r="G85" s="288">
        <v>1000</v>
      </c>
      <c r="H85" s="288" t="s">
        <v>442</v>
      </c>
      <c r="I85" s="288">
        <v>0.72</v>
      </c>
      <c r="J85" s="288">
        <v>0.2</v>
      </c>
      <c r="K85" s="288" t="s">
        <v>330</v>
      </c>
      <c r="L85" s="288" t="s">
        <v>172</v>
      </c>
      <c r="M85" s="288">
        <v>1000</v>
      </c>
      <c r="N85" s="284"/>
      <c r="O85" s="284"/>
      <c r="P85" s="284"/>
      <c r="Q85" s="284"/>
      <c r="R85" s="284"/>
      <c r="S85" s="288"/>
      <c r="T85" s="288" t="s">
        <v>179</v>
      </c>
      <c r="U85" s="284">
        <v>0</v>
      </c>
      <c r="V85" s="288" t="s">
        <v>77</v>
      </c>
      <c r="W85" s="288" t="s">
        <v>57</v>
      </c>
      <c r="X85" s="288">
        <v>0</v>
      </c>
      <c r="Y85" s="284">
        <v>0.8</v>
      </c>
      <c r="Z85" s="288">
        <f>A85</f>
        <v>0</v>
      </c>
      <c r="AA85" s="79"/>
      <c r="AB85" s="81"/>
      <c r="AC85" s="79"/>
      <c r="AD85" s="79"/>
      <c r="AE85" s="91"/>
    </row>
    <row r="86" spans="1:32" ht="16.5" thickTop="1" thickBot="1">
      <c r="A86" s="284"/>
      <c r="B86" s="284" t="s">
        <v>857</v>
      </c>
      <c r="C86" s="288"/>
      <c r="D86" s="288">
        <v>35</v>
      </c>
      <c r="E86" s="288">
        <v>16</v>
      </c>
      <c r="F86" s="288">
        <v>16</v>
      </c>
      <c r="G86" s="288" t="s">
        <v>424</v>
      </c>
      <c r="H86" s="288" t="s">
        <v>410</v>
      </c>
      <c r="I86" s="288">
        <v>17.8</v>
      </c>
      <c r="J86" s="288">
        <v>1</v>
      </c>
      <c r="K86" s="288" t="s">
        <v>331</v>
      </c>
      <c r="L86" s="288" t="s">
        <v>172</v>
      </c>
      <c r="M86" s="288" t="s">
        <v>425</v>
      </c>
      <c r="N86" s="284">
        <v>0.3</v>
      </c>
      <c r="O86" s="284">
        <v>0</v>
      </c>
      <c r="P86" s="284">
        <v>0.2</v>
      </c>
      <c r="Q86" s="284">
        <v>1.4999999999999999E-2</v>
      </c>
      <c r="R86" s="284">
        <v>1.2E-2</v>
      </c>
      <c r="S86" s="288">
        <v>1</v>
      </c>
      <c r="T86" s="288" t="s">
        <v>180</v>
      </c>
      <c r="U86" s="284">
        <v>0</v>
      </c>
      <c r="V86" s="288" t="s">
        <v>77</v>
      </c>
      <c r="W86" s="288" t="s">
        <v>60</v>
      </c>
      <c r="X86" s="288">
        <v>0</v>
      </c>
      <c r="Y86" s="284">
        <v>0.8</v>
      </c>
      <c r="Z86" s="288">
        <f>A86</f>
        <v>0</v>
      </c>
      <c r="AA86" s="79"/>
      <c r="AB86" s="81"/>
      <c r="AC86" s="91"/>
      <c r="AD86" s="81"/>
      <c r="AE86" s="79"/>
      <c r="AF86" s="79"/>
    </row>
    <row r="87" spans="1:32" ht="16.5" thickTop="1" thickBot="1">
      <c r="A87" s="284"/>
      <c r="B87" s="284" t="s">
        <v>806</v>
      </c>
      <c r="C87" s="288"/>
      <c r="D87" s="288">
        <v>14</v>
      </c>
      <c r="E87" s="288">
        <v>3</v>
      </c>
      <c r="F87" s="288">
        <v>3</v>
      </c>
      <c r="G87" s="288" t="s">
        <v>446</v>
      </c>
      <c r="H87" s="288" t="s">
        <v>410</v>
      </c>
      <c r="I87" s="288">
        <v>15.56</v>
      </c>
      <c r="J87" s="288">
        <v>0.87</v>
      </c>
      <c r="K87" s="288" t="s">
        <v>334</v>
      </c>
      <c r="L87" s="288" t="s">
        <v>172</v>
      </c>
      <c r="M87" s="288" t="s">
        <v>46</v>
      </c>
      <c r="N87" s="284">
        <v>0.95</v>
      </c>
      <c r="O87" s="284">
        <v>2.46</v>
      </c>
      <c r="P87" s="284">
        <v>0.16</v>
      </c>
      <c r="Q87" s="284">
        <v>8.8000000000000005E-3</v>
      </c>
      <c r="R87" s="284">
        <v>0</v>
      </c>
      <c r="S87" s="288">
        <v>1</v>
      </c>
      <c r="T87" s="288" t="s">
        <v>176</v>
      </c>
      <c r="U87" s="284">
        <v>0</v>
      </c>
      <c r="V87" s="288" t="s">
        <v>77</v>
      </c>
      <c r="W87" s="288" t="s">
        <v>57</v>
      </c>
      <c r="X87" s="288">
        <v>0</v>
      </c>
      <c r="Y87" s="284">
        <v>0.8</v>
      </c>
      <c r="Z87" s="288">
        <f>A87</f>
        <v>0</v>
      </c>
      <c r="AA87" s="79"/>
      <c r="AB87" s="81"/>
      <c r="AC87" s="91"/>
      <c r="AD87" s="81"/>
      <c r="AE87" s="79"/>
      <c r="AF87" s="79"/>
    </row>
    <row r="88" spans="1:32" ht="16.5" thickTop="1" thickBot="1">
      <c r="A88" s="284"/>
      <c r="B88" s="284" t="s">
        <v>807</v>
      </c>
      <c r="C88" s="288"/>
      <c r="D88" s="288">
        <v>14</v>
      </c>
      <c r="E88" s="288">
        <v>3</v>
      </c>
      <c r="F88" s="288">
        <v>3</v>
      </c>
      <c r="G88" s="288" t="s">
        <v>446</v>
      </c>
      <c r="H88" s="288" t="s">
        <v>410</v>
      </c>
      <c r="I88" s="288">
        <v>15.56</v>
      </c>
      <c r="J88" s="288">
        <v>0.87</v>
      </c>
      <c r="K88" s="288" t="s">
        <v>334</v>
      </c>
      <c r="L88" s="288" t="s">
        <v>172</v>
      </c>
      <c r="M88" s="288" t="s">
        <v>46</v>
      </c>
      <c r="N88" s="284">
        <v>0.95</v>
      </c>
      <c r="O88" s="284">
        <v>2.46</v>
      </c>
      <c r="P88" s="284">
        <v>0.16</v>
      </c>
      <c r="Q88" s="284">
        <v>8.8000000000000005E-3</v>
      </c>
      <c r="R88" s="284">
        <v>0</v>
      </c>
      <c r="S88" s="288">
        <v>1</v>
      </c>
      <c r="T88" s="288" t="s">
        <v>176</v>
      </c>
      <c r="U88" s="284">
        <v>0</v>
      </c>
      <c r="V88" s="288" t="s">
        <v>77</v>
      </c>
      <c r="W88" s="288" t="s">
        <v>57</v>
      </c>
      <c r="X88" s="288">
        <v>0</v>
      </c>
      <c r="Y88" s="284">
        <v>0.8</v>
      </c>
      <c r="Z88" s="288">
        <f>A88</f>
        <v>0</v>
      </c>
      <c r="AA88" s="79"/>
      <c r="AB88" s="81"/>
      <c r="AC88" s="91"/>
      <c r="AD88" s="81"/>
      <c r="AE88" s="79"/>
      <c r="AF88" s="79"/>
    </row>
    <row r="89" spans="1:32" ht="16.5" thickTop="1" thickBot="1">
      <c r="A89" s="284"/>
      <c r="B89" s="284" t="s">
        <v>808</v>
      </c>
      <c r="C89" s="288"/>
      <c r="D89" s="288">
        <v>14</v>
      </c>
      <c r="E89" s="288">
        <v>10</v>
      </c>
      <c r="F89" s="288">
        <v>6</v>
      </c>
      <c r="G89" s="288" t="s">
        <v>405</v>
      </c>
      <c r="H89" s="288" t="s">
        <v>400</v>
      </c>
      <c r="I89" s="288">
        <v>17.45</v>
      </c>
      <c r="J89" s="288">
        <v>0.85</v>
      </c>
      <c r="K89" s="288" t="s">
        <v>336</v>
      </c>
      <c r="L89" s="288" t="s">
        <v>172</v>
      </c>
      <c r="M89" s="288" t="s">
        <v>46</v>
      </c>
      <c r="N89" s="284">
        <v>1.0900000000000001</v>
      </c>
      <c r="O89" s="284">
        <v>0.88</v>
      </c>
      <c r="P89" s="284">
        <v>0.22</v>
      </c>
      <c r="Q89" s="284">
        <v>4.3680000000000004E-3</v>
      </c>
      <c r="R89" s="284">
        <v>1.21E-2</v>
      </c>
      <c r="S89" s="288">
        <v>1</v>
      </c>
      <c r="T89" s="288" t="s">
        <v>176</v>
      </c>
      <c r="U89" s="284">
        <v>0.34799999999999998</v>
      </c>
      <c r="V89" s="288" t="s">
        <v>77</v>
      </c>
      <c r="W89" s="288" t="s">
        <v>60</v>
      </c>
      <c r="X89" s="288">
        <v>0</v>
      </c>
      <c r="Y89" s="284">
        <v>0.8</v>
      </c>
      <c r="Z89" s="288">
        <f>A89</f>
        <v>0</v>
      </c>
      <c r="AA89" s="79"/>
      <c r="AB89" s="81"/>
      <c r="AC89" s="91"/>
      <c r="AD89" s="81"/>
      <c r="AE89" s="79"/>
      <c r="AF89" s="79"/>
    </row>
    <row r="90" spans="1:32" ht="16.5" thickTop="1" thickBot="1">
      <c r="A90" s="284"/>
      <c r="B90" s="284" t="s">
        <v>809</v>
      </c>
      <c r="C90" s="288"/>
      <c r="D90" s="288">
        <v>14</v>
      </c>
      <c r="E90" s="288">
        <v>10</v>
      </c>
      <c r="F90" s="288">
        <v>6</v>
      </c>
      <c r="G90" s="288" t="s">
        <v>405</v>
      </c>
      <c r="H90" s="288" t="s">
        <v>400</v>
      </c>
      <c r="I90" s="288">
        <v>17.45</v>
      </c>
      <c r="J90" s="288">
        <v>0.85</v>
      </c>
      <c r="K90" s="288" t="s">
        <v>336</v>
      </c>
      <c r="L90" s="288" t="s">
        <v>172</v>
      </c>
      <c r="M90" s="288" t="s">
        <v>46</v>
      </c>
      <c r="N90" s="284">
        <v>1.0900000000000001</v>
      </c>
      <c r="O90" s="284">
        <v>0.88</v>
      </c>
      <c r="P90" s="284">
        <v>0.22</v>
      </c>
      <c r="Q90" s="284">
        <v>4.3680000000000004E-3</v>
      </c>
      <c r="R90" s="284">
        <v>1.21E-2</v>
      </c>
      <c r="S90" s="288">
        <v>1</v>
      </c>
      <c r="T90" s="288" t="s">
        <v>176</v>
      </c>
      <c r="U90" s="284">
        <v>0.34799999999999998</v>
      </c>
      <c r="V90" s="288" t="s">
        <v>77</v>
      </c>
      <c r="W90" s="288" t="s">
        <v>60</v>
      </c>
      <c r="X90" s="288">
        <v>0</v>
      </c>
      <c r="Y90" s="284">
        <v>0.8</v>
      </c>
      <c r="Z90" s="288">
        <f>A90</f>
        <v>0</v>
      </c>
      <c r="AA90" s="79"/>
      <c r="AB90" s="81"/>
      <c r="AC90" s="91"/>
      <c r="AD90" s="81"/>
      <c r="AE90" s="79"/>
      <c r="AF90" s="79"/>
    </row>
    <row r="91" spans="1:32" ht="16.5" thickTop="1" thickBot="1">
      <c r="A91" s="284"/>
      <c r="B91" s="284" t="s">
        <v>810</v>
      </c>
      <c r="C91" s="288"/>
      <c r="D91" s="288">
        <v>25</v>
      </c>
      <c r="E91" s="288">
        <v>0.8</v>
      </c>
      <c r="F91" s="288">
        <v>31</v>
      </c>
      <c r="G91" s="288" t="s">
        <v>424</v>
      </c>
      <c r="H91" s="288"/>
      <c r="I91" s="288">
        <v>18.399999999999999</v>
      </c>
      <c r="J91" s="288">
        <v>1</v>
      </c>
      <c r="K91" s="288" t="s">
        <v>337</v>
      </c>
      <c r="L91" s="288" t="s">
        <v>172</v>
      </c>
      <c r="M91" s="288" t="s">
        <v>425</v>
      </c>
      <c r="N91" s="284">
        <v>0.3</v>
      </c>
      <c r="O91" s="284">
        <v>0</v>
      </c>
      <c r="P91" s="284">
        <v>0.54</v>
      </c>
      <c r="Q91" s="284">
        <v>1.4999999999999999E-2</v>
      </c>
      <c r="R91" s="284">
        <v>1.2E-2</v>
      </c>
      <c r="S91" s="288">
        <v>1</v>
      </c>
      <c r="T91" s="288" t="s">
        <v>180</v>
      </c>
      <c r="U91" s="284">
        <v>0</v>
      </c>
      <c r="V91" s="288" t="s">
        <v>77</v>
      </c>
      <c r="W91" s="288" t="s">
        <v>60</v>
      </c>
      <c r="X91" s="288">
        <v>0</v>
      </c>
      <c r="Y91" s="284">
        <v>0.8</v>
      </c>
      <c r="Z91" s="288">
        <f>A91</f>
        <v>0</v>
      </c>
      <c r="AA91" s="79"/>
      <c r="AB91" s="81"/>
      <c r="AC91" s="91"/>
      <c r="AD91" s="81"/>
      <c r="AE91" s="79"/>
      <c r="AF91" s="79"/>
    </row>
    <row r="92" spans="1:32" ht="76.5" thickTop="1" thickBot="1">
      <c r="A92" s="284"/>
      <c r="B92" s="284" t="s">
        <v>811</v>
      </c>
      <c r="C92" s="288"/>
      <c r="D92" s="288">
        <v>19</v>
      </c>
      <c r="E92" s="288">
        <v>13</v>
      </c>
      <c r="F92" s="288">
        <v>8</v>
      </c>
      <c r="G92" s="288" t="s">
        <v>46</v>
      </c>
      <c r="H92" s="288" t="s">
        <v>448</v>
      </c>
      <c r="I92" s="288">
        <v>2.1</v>
      </c>
      <c r="J92" s="288">
        <v>0.93</v>
      </c>
      <c r="K92" s="288" t="s">
        <v>338</v>
      </c>
      <c r="L92" s="288" t="s">
        <v>172</v>
      </c>
      <c r="M92" s="288" t="s">
        <v>46</v>
      </c>
      <c r="N92" s="284"/>
      <c r="O92" s="284"/>
      <c r="P92" s="284"/>
      <c r="Q92" s="284"/>
      <c r="R92" s="284"/>
      <c r="S92" s="288">
        <v>1</v>
      </c>
      <c r="T92" s="288" t="s">
        <v>430</v>
      </c>
      <c r="U92" s="284">
        <v>0</v>
      </c>
      <c r="V92" s="288" t="s">
        <v>77</v>
      </c>
      <c r="W92" s="288" t="s">
        <v>57</v>
      </c>
      <c r="X92" s="288">
        <v>0</v>
      </c>
      <c r="Y92" s="284">
        <v>0.8</v>
      </c>
      <c r="Z92" s="288">
        <f>A92</f>
        <v>0</v>
      </c>
      <c r="AA92" s="79"/>
      <c r="AB92" s="81"/>
      <c r="AC92" s="91"/>
      <c r="AD92" s="81"/>
      <c r="AE92" s="79"/>
      <c r="AF92" s="79"/>
    </row>
    <row r="93" spans="1:32" ht="16.5" thickTop="1" thickBot="1">
      <c r="A93" s="284"/>
      <c r="B93" s="284" t="s">
        <v>785</v>
      </c>
      <c r="C93" s="288"/>
      <c r="D93" s="288">
        <v>20</v>
      </c>
      <c r="E93" s="288">
        <v>8</v>
      </c>
      <c r="F93" s="288">
        <v>5</v>
      </c>
      <c r="G93" s="288" t="s">
        <v>405</v>
      </c>
      <c r="H93" s="288" t="s">
        <v>420</v>
      </c>
      <c r="I93" s="288">
        <v>16.43</v>
      </c>
      <c r="J93" s="288">
        <v>0.84</v>
      </c>
      <c r="K93" s="288" t="s">
        <v>341</v>
      </c>
      <c r="L93" s="288" t="s">
        <v>172</v>
      </c>
      <c r="M93" s="288" t="s">
        <v>46</v>
      </c>
      <c r="N93" s="284">
        <v>0.88</v>
      </c>
      <c r="O93" s="284">
        <v>1.33</v>
      </c>
      <c r="P93" s="284">
        <v>0.22</v>
      </c>
      <c r="Q93" s="284">
        <v>7.8259999999999996E-3</v>
      </c>
      <c r="R93" s="284">
        <v>6.6E-3</v>
      </c>
      <c r="S93" s="288">
        <v>1</v>
      </c>
      <c r="T93" s="288" t="s">
        <v>176</v>
      </c>
      <c r="U93" s="284">
        <v>0.87</v>
      </c>
      <c r="V93" s="288" t="s">
        <v>77</v>
      </c>
      <c r="W93" s="288" t="s">
        <v>57</v>
      </c>
      <c r="X93" s="288">
        <v>0</v>
      </c>
      <c r="Y93" s="284">
        <v>0.8</v>
      </c>
      <c r="Z93" s="288">
        <f>A93</f>
        <v>0</v>
      </c>
      <c r="AA93" s="79"/>
      <c r="AB93" s="81"/>
      <c r="AC93" s="91"/>
      <c r="AD93" s="81"/>
      <c r="AE93" s="79"/>
      <c r="AF93" s="79"/>
    </row>
    <row r="94" spans="1:32" ht="46.5" thickTop="1" thickBot="1">
      <c r="A94" s="284"/>
      <c r="B94" s="284" t="s">
        <v>855</v>
      </c>
      <c r="C94" s="288"/>
      <c r="D94" s="288">
        <v>15</v>
      </c>
      <c r="E94" s="288">
        <v>5.9496567505720828</v>
      </c>
      <c r="F94" s="288">
        <v>20</v>
      </c>
      <c r="G94" s="288" t="s">
        <v>424</v>
      </c>
      <c r="H94" s="288" t="s">
        <v>399</v>
      </c>
      <c r="I94" s="288">
        <v>17.8</v>
      </c>
      <c r="J94" s="288">
        <v>1</v>
      </c>
      <c r="K94" s="288" t="s">
        <v>341</v>
      </c>
      <c r="L94" s="288" t="s">
        <v>172</v>
      </c>
      <c r="M94" s="288" t="s">
        <v>425</v>
      </c>
      <c r="N94" s="284">
        <v>0.88</v>
      </c>
      <c r="O94" s="284">
        <v>1.33</v>
      </c>
      <c r="P94" s="284">
        <v>0.22</v>
      </c>
      <c r="Q94" s="284">
        <v>7.7000000000000007E-4</v>
      </c>
      <c r="R94" s="284">
        <v>6.6E-4</v>
      </c>
      <c r="S94" s="288">
        <v>1</v>
      </c>
      <c r="T94" s="288" t="s">
        <v>180</v>
      </c>
      <c r="U94" s="284">
        <v>0</v>
      </c>
      <c r="V94" s="288" t="s">
        <v>77</v>
      </c>
      <c r="W94" s="288" t="s">
        <v>57</v>
      </c>
      <c r="X94" s="288">
        <v>0</v>
      </c>
      <c r="Y94" s="284">
        <v>0.8</v>
      </c>
      <c r="Z94" s="288">
        <f>A94</f>
        <v>0</v>
      </c>
      <c r="AA94" s="79"/>
      <c r="AB94" s="81"/>
      <c r="AC94" s="91"/>
      <c r="AD94" s="81"/>
      <c r="AE94" s="79"/>
      <c r="AF94" s="79"/>
    </row>
    <row r="95" spans="1:32" ht="16.5" thickTop="1" thickBot="1">
      <c r="A95" s="284"/>
      <c r="B95" s="284" t="s">
        <v>822</v>
      </c>
      <c r="C95" s="288"/>
      <c r="D95" s="288">
        <v>15</v>
      </c>
      <c r="E95" s="288">
        <v>5.9</v>
      </c>
      <c r="F95" s="288">
        <v>20</v>
      </c>
      <c r="G95" s="288" t="s">
        <v>46</v>
      </c>
      <c r="H95" s="288"/>
      <c r="I95" s="288">
        <v>17.8</v>
      </c>
      <c r="J95" s="288">
        <v>1</v>
      </c>
      <c r="K95" s="288" t="s">
        <v>341</v>
      </c>
      <c r="L95" s="288" t="s">
        <v>172</v>
      </c>
      <c r="M95" s="288" t="s">
        <v>425</v>
      </c>
      <c r="N95" s="284">
        <v>0.3</v>
      </c>
      <c r="O95" s="284">
        <v>0</v>
      </c>
      <c r="P95" s="284">
        <v>0.2</v>
      </c>
      <c r="Q95" s="284">
        <v>6.0000000000000001E-3</v>
      </c>
      <c r="R95" s="284">
        <v>1.4E-2</v>
      </c>
      <c r="S95" s="288">
        <v>1</v>
      </c>
      <c r="T95" s="288" t="s">
        <v>180</v>
      </c>
      <c r="U95" s="284">
        <v>0</v>
      </c>
      <c r="V95" s="288" t="s">
        <v>77</v>
      </c>
      <c r="W95" s="288" t="s">
        <v>57</v>
      </c>
      <c r="X95" s="288">
        <v>0</v>
      </c>
      <c r="Y95" s="284">
        <v>0.8</v>
      </c>
      <c r="Z95" s="288">
        <f>A95</f>
        <v>0</v>
      </c>
      <c r="AA95" s="79"/>
      <c r="AB95" s="81"/>
      <c r="AC95" s="91"/>
      <c r="AD95" s="81"/>
      <c r="AE95" s="79"/>
      <c r="AF95" s="79"/>
    </row>
    <row r="96" spans="1:32" ht="46.5" thickTop="1" thickBot="1">
      <c r="A96" s="284"/>
      <c r="B96" s="284" t="s">
        <v>814</v>
      </c>
      <c r="C96" s="288">
        <v>56.5</v>
      </c>
      <c r="D96" s="288">
        <f>C96</f>
        <v>56.5</v>
      </c>
      <c r="E96" s="288">
        <v>14</v>
      </c>
      <c r="F96" s="288">
        <v>17</v>
      </c>
      <c r="G96" s="288" t="s">
        <v>451</v>
      </c>
      <c r="H96" s="288" t="s">
        <v>399</v>
      </c>
      <c r="I96" s="288">
        <v>20.18</v>
      </c>
      <c r="J96" s="288">
        <v>0.84</v>
      </c>
      <c r="K96" s="288" t="s">
        <v>342</v>
      </c>
      <c r="L96" s="288" t="s">
        <v>172</v>
      </c>
      <c r="M96" s="288" t="s">
        <v>46</v>
      </c>
      <c r="N96" s="284">
        <v>0.93</v>
      </c>
      <c r="O96" s="284">
        <v>1.35</v>
      </c>
      <c r="P96" s="284">
        <v>0.19</v>
      </c>
      <c r="Q96" s="284">
        <v>8.8000000000000005E-3</v>
      </c>
      <c r="R96" s="284">
        <v>8.8000000000000005E-3</v>
      </c>
      <c r="S96" s="288">
        <v>1</v>
      </c>
      <c r="T96" s="288" t="s">
        <v>176</v>
      </c>
      <c r="U96" s="284">
        <v>0.87</v>
      </c>
      <c r="V96" s="288" t="s">
        <v>77</v>
      </c>
      <c r="W96" s="288" t="s">
        <v>57</v>
      </c>
      <c r="X96" s="288">
        <v>1</v>
      </c>
      <c r="Y96" s="284">
        <v>0.8</v>
      </c>
      <c r="Z96" s="288">
        <f>A96</f>
        <v>0</v>
      </c>
      <c r="AA96" s="79"/>
      <c r="AB96" s="81"/>
      <c r="AC96" s="91"/>
      <c r="AD96" s="81"/>
      <c r="AE96" s="79"/>
      <c r="AF96" s="79"/>
    </row>
    <row r="97" spans="1:32" ht="16.5" thickTop="1" thickBot="1">
      <c r="A97" s="284"/>
      <c r="B97" s="284" t="s">
        <v>815</v>
      </c>
      <c r="C97" s="288"/>
      <c r="D97" s="288">
        <v>5</v>
      </c>
      <c r="E97" s="288">
        <v>1.5</v>
      </c>
      <c r="F97" s="288">
        <v>3</v>
      </c>
      <c r="G97" s="288" t="s">
        <v>46</v>
      </c>
      <c r="H97" s="288" t="s">
        <v>400</v>
      </c>
      <c r="I97" s="288">
        <v>1</v>
      </c>
      <c r="J97" s="288">
        <v>0.1</v>
      </c>
      <c r="K97" s="288" t="s">
        <v>344</v>
      </c>
      <c r="L97" s="288" t="s">
        <v>172</v>
      </c>
      <c r="M97" s="288" t="s">
        <v>46</v>
      </c>
      <c r="N97" s="284"/>
      <c r="O97" s="284"/>
      <c r="P97" s="284"/>
      <c r="Q97" s="284"/>
      <c r="R97" s="284"/>
      <c r="S97" s="288">
        <v>1</v>
      </c>
      <c r="T97" s="288" t="s">
        <v>179</v>
      </c>
      <c r="U97" s="284">
        <v>0</v>
      </c>
      <c r="V97" s="288" t="s">
        <v>77</v>
      </c>
      <c r="W97" s="288" t="s">
        <v>57</v>
      </c>
      <c r="X97" s="288">
        <v>0</v>
      </c>
      <c r="Y97" s="284">
        <v>0.8</v>
      </c>
      <c r="Z97" s="288">
        <f>A97</f>
        <v>0</v>
      </c>
      <c r="AA97" s="79"/>
      <c r="AB97" s="81"/>
      <c r="AC97" s="91"/>
      <c r="AD97" s="81"/>
      <c r="AE97" s="79"/>
      <c r="AF97" s="79"/>
    </row>
    <row r="98" spans="1:32" ht="61.5" thickTop="1" thickBot="1">
      <c r="A98" s="284"/>
      <c r="B98" s="284" t="s">
        <v>830</v>
      </c>
      <c r="C98" s="288"/>
      <c r="D98" s="288">
        <v>2</v>
      </c>
      <c r="E98" s="288">
        <v>0.7</v>
      </c>
      <c r="F98" s="288">
        <v>4.8</v>
      </c>
      <c r="G98" s="288" t="s">
        <v>46</v>
      </c>
      <c r="H98" s="288" t="s">
        <v>411</v>
      </c>
      <c r="I98" s="288">
        <v>0.7</v>
      </c>
      <c r="J98" s="288">
        <v>0.05</v>
      </c>
      <c r="K98" s="288" t="s">
        <v>356</v>
      </c>
      <c r="L98" s="288" t="s">
        <v>172</v>
      </c>
      <c r="M98" s="288" t="s">
        <v>46</v>
      </c>
      <c r="N98" s="284">
        <v>7.4700000000000003E-2</v>
      </c>
      <c r="O98" s="284">
        <v>0</v>
      </c>
      <c r="P98" s="284">
        <v>0.1</v>
      </c>
      <c r="Q98" s="284">
        <v>4.1500000000000002E-2</v>
      </c>
      <c r="R98" s="284">
        <v>4.1500000000000002E-2</v>
      </c>
      <c r="S98" s="288">
        <v>1</v>
      </c>
      <c r="T98" s="288" t="s">
        <v>179</v>
      </c>
      <c r="U98" s="284">
        <v>0</v>
      </c>
      <c r="V98" s="288" t="s">
        <v>77</v>
      </c>
      <c r="W98" s="288" t="s">
        <v>57</v>
      </c>
      <c r="X98" s="288">
        <v>0</v>
      </c>
      <c r="Y98" s="284">
        <v>0.8</v>
      </c>
      <c r="Z98" s="288">
        <f>A98</f>
        <v>0</v>
      </c>
      <c r="AA98" s="79"/>
      <c r="AB98" s="81"/>
      <c r="AC98" s="91"/>
      <c r="AD98" s="81"/>
      <c r="AE98" s="79"/>
      <c r="AF98" s="79"/>
    </row>
    <row r="99" spans="1:32" ht="16.5" thickTop="1" thickBot="1">
      <c r="A99" s="284"/>
      <c r="B99" s="284" t="s">
        <v>830</v>
      </c>
      <c r="C99" s="288"/>
      <c r="D99" s="288"/>
      <c r="E99" s="288"/>
      <c r="F99" s="288"/>
      <c r="G99" s="288"/>
      <c r="H99" s="288"/>
      <c r="I99" s="288"/>
      <c r="J99" s="288"/>
      <c r="K99" s="288"/>
      <c r="L99" s="288"/>
      <c r="M99" s="288"/>
      <c r="N99" s="284"/>
      <c r="O99" s="284"/>
      <c r="P99" s="284"/>
      <c r="Q99" s="284"/>
      <c r="R99" s="284"/>
      <c r="S99" s="288"/>
      <c r="T99" s="288"/>
      <c r="U99" s="284"/>
      <c r="V99" s="288"/>
      <c r="W99" s="288"/>
      <c r="X99" s="288"/>
      <c r="Y99" s="284"/>
      <c r="Z99" s="288"/>
      <c r="AA99" s="79"/>
      <c r="AB99" s="81"/>
      <c r="AC99" s="79"/>
      <c r="AD99" s="79"/>
      <c r="AE99" s="91"/>
      <c r="AF99" s="81"/>
    </row>
    <row r="100" spans="1:32" ht="31.5" thickTop="1" thickBot="1">
      <c r="A100" s="284"/>
      <c r="B100" s="284" t="s">
        <v>831</v>
      </c>
      <c r="C100" s="288"/>
      <c r="D100" s="288">
        <v>2</v>
      </c>
      <c r="E100" s="288">
        <v>0.7</v>
      </c>
      <c r="F100" s="288">
        <v>4.8</v>
      </c>
      <c r="G100" s="288" t="s">
        <v>46</v>
      </c>
      <c r="H100" s="288" t="s">
        <v>411</v>
      </c>
      <c r="I100" s="288">
        <v>0.7</v>
      </c>
      <c r="J100" s="288">
        <v>0.05</v>
      </c>
      <c r="K100" s="288" t="s">
        <v>356</v>
      </c>
      <c r="L100" s="288" t="s">
        <v>172</v>
      </c>
      <c r="M100" s="288" t="s">
        <v>46</v>
      </c>
      <c r="N100" s="284">
        <v>7.4700000000000003E-2</v>
      </c>
      <c r="O100" s="284">
        <v>0</v>
      </c>
      <c r="P100" s="284">
        <v>0.1</v>
      </c>
      <c r="Q100" s="284">
        <v>4.1500000000000002E-2</v>
      </c>
      <c r="R100" s="284">
        <v>4.1500000000000002E-2</v>
      </c>
      <c r="S100" s="288">
        <v>1</v>
      </c>
      <c r="T100" s="288" t="s">
        <v>179</v>
      </c>
      <c r="U100" s="284">
        <v>0</v>
      </c>
      <c r="V100" s="288" t="s">
        <v>77</v>
      </c>
      <c r="W100" s="288" t="s">
        <v>57</v>
      </c>
      <c r="X100" s="288">
        <v>0</v>
      </c>
      <c r="Y100" s="284">
        <v>0.8</v>
      </c>
      <c r="Z100" s="288">
        <f>A100</f>
        <v>0</v>
      </c>
      <c r="AA100" s="79"/>
      <c r="AB100" s="81"/>
      <c r="AC100" s="79"/>
      <c r="AD100" s="79"/>
      <c r="AE100" s="91"/>
      <c r="AF100" s="81"/>
    </row>
    <row r="101" spans="1:32" ht="46.5" thickTop="1" thickBot="1">
      <c r="A101" s="284"/>
      <c r="B101" s="284" t="s">
        <v>831</v>
      </c>
      <c r="C101" s="288"/>
      <c r="D101" s="288"/>
      <c r="E101" s="288"/>
      <c r="F101" s="288"/>
      <c r="G101" s="288"/>
      <c r="H101" s="288"/>
      <c r="I101" s="288"/>
      <c r="J101" s="288"/>
      <c r="K101" s="288"/>
      <c r="L101" s="288"/>
      <c r="M101" s="288"/>
      <c r="N101" s="284"/>
      <c r="O101" s="284"/>
      <c r="P101" s="284"/>
      <c r="Q101" s="284"/>
      <c r="R101" s="284"/>
      <c r="S101" s="288"/>
      <c r="T101" s="288"/>
      <c r="U101" s="284"/>
      <c r="V101" s="288"/>
      <c r="W101" s="288"/>
      <c r="X101" s="288"/>
      <c r="Y101" s="284"/>
      <c r="Z101" s="288"/>
      <c r="AA101" s="79"/>
      <c r="AB101" s="81"/>
      <c r="AC101" s="79"/>
      <c r="AD101" s="79"/>
      <c r="AE101" s="91"/>
      <c r="AF101" s="81"/>
    </row>
    <row r="102" spans="1:32" ht="46.5" thickTop="1" thickBot="1">
      <c r="A102" s="284"/>
      <c r="B102" s="284" t="s">
        <v>818</v>
      </c>
      <c r="C102" s="288"/>
      <c r="D102" s="288">
        <v>1.1000000000000001</v>
      </c>
      <c r="E102" s="288">
        <v>0.6</v>
      </c>
      <c r="F102" s="288">
        <v>1.8</v>
      </c>
      <c r="G102" s="288" t="s">
        <v>46</v>
      </c>
      <c r="H102" s="288" t="s">
        <v>399</v>
      </c>
      <c r="I102" s="288">
        <v>1.53</v>
      </c>
      <c r="J102" s="288">
        <v>0.1</v>
      </c>
      <c r="K102" s="288" t="s">
        <v>345</v>
      </c>
      <c r="L102" s="288" t="s">
        <v>172</v>
      </c>
      <c r="M102" s="288" t="s">
        <v>46</v>
      </c>
      <c r="N102" s="284"/>
      <c r="O102" s="284"/>
      <c r="P102" s="284"/>
      <c r="Q102" s="284"/>
      <c r="R102" s="284"/>
      <c r="S102" s="288">
        <v>1</v>
      </c>
      <c r="T102" s="288" t="s">
        <v>179</v>
      </c>
      <c r="U102" s="284">
        <v>0</v>
      </c>
      <c r="V102" s="288" t="s">
        <v>77</v>
      </c>
      <c r="W102" s="288" t="s">
        <v>57</v>
      </c>
      <c r="X102" s="288">
        <v>0</v>
      </c>
      <c r="Y102" s="284">
        <v>0.8</v>
      </c>
      <c r="Z102" s="288">
        <f>A102</f>
        <v>0</v>
      </c>
      <c r="AA102" s="79"/>
      <c r="AB102" s="81"/>
      <c r="AC102" s="79"/>
      <c r="AD102" s="79"/>
      <c r="AE102" s="91"/>
    </row>
    <row r="103" spans="1:32" ht="46.5" thickTop="1" thickBot="1">
      <c r="A103" s="284"/>
      <c r="B103" s="284" t="s">
        <v>819</v>
      </c>
      <c r="C103" s="288"/>
      <c r="D103" s="288">
        <v>3.1</v>
      </c>
      <c r="E103" s="288">
        <v>1</v>
      </c>
      <c r="F103" s="288">
        <v>2.5</v>
      </c>
      <c r="G103" s="288" t="s">
        <v>46</v>
      </c>
      <c r="H103" s="288" t="s">
        <v>399</v>
      </c>
      <c r="I103" s="288">
        <v>3.89</v>
      </c>
      <c r="J103" s="288">
        <v>0.23200000000000001</v>
      </c>
      <c r="K103" s="288" t="s">
        <v>270</v>
      </c>
      <c r="L103" s="288" t="s">
        <v>172</v>
      </c>
      <c r="M103" s="288" t="s">
        <v>46</v>
      </c>
      <c r="N103" s="284">
        <v>0.1</v>
      </c>
      <c r="O103" s="284">
        <v>1.06</v>
      </c>
      <c r="P103" s="284">
        <v>0.2</v>
      </c>
      <c r="Q103" s="284">
        <v>1.9E-2</v>
      </c>
      <c r="R103" s="284">
        <v>1.4E-2</v>
      </c>
      <c r="S103" s="288">
        <v>1</v>
      </c>
      <c r="T103" s="288" t="s">
        <v>177</v>
      </c>
      <c r="U103" s="284">
        <v>6.827</v>
      </c>
      <c r="V103" s="288" t="s">
        <v>77</v>
      </c>
      <c r="W103" s="288" t="s">
        <v>57</v>
      </c>
      <c r="X103" s="288">
        <v>0</v>
      </c>
      <c r="Y103" s="284">
        <v>0.8</v>
      </c>
      <c r="Z103" s="288">
        <f>A103</f>
        <v>0</v>
      </c>
      <c r="AA103" s="79"/>
      <c r="AB103" s="81"/>
      <c r="AC103" s="79"/>
      <c r="AD103" s="79"/>
      <c r="AE103" s="91"/>
    </row>
    <row r="104" spans="1:32" ht="46.5" thickTop="1" thickBot="1">
      <c r="A104" s="284"/>
      <c r="B104" s="284" t="s">
        <v>820</v>
      </c>
      <c r="C104" s="288"/>
      <c r="D104" s="288">
        <v>3.1</v>
      </c>
      <c r="E104" s="288">
        <v>1</v>
      </c>
      <c r="F104" s="288">
        <v>2.5</v>
      </c>
      <c r="G104" s="288" t="s">
        <v>46</v>
      </c>
      <c r="H104" s="288" t="s">
        <v>399</v>
      </c>
      <c r="I104" s="288">
        <v>3.89</v>
      </c>
      <c r="J104" s="288">
        <v>0.23200000000000001</v>
      </c>
      <c r="K104" s="288" t="s">
        <v>270</v>
      </c>
      <c r="L104" s="288" t="s">
        <v>172</v>
      </c>
      <c r="M104" s="288" t="s">
        <v>46</v>
      </c>
      <c r="N104" s="284">
        <v>0.1</v>
      </c>
      <c r="O104" s="284">
        <v>1.06</v>
      </c>
      <c r="P104" s="284">
        <v>0.2</v>
      </c>
      <c r="Q104" s="284">
        <v>1.9E-2</v>
      </c>
      <c r="R104" s="284">
        <v>1.4E-2</v>
      </c>
      <c r="S104" s="288">
        <v>1</v>
      </c>
      <c r="T104" s="288" t="s">
        <v>177</v>
      </c>
      <c r="U104" s="284">
        <v>6.827</v>
      </c>
      <c r="V104" s="288" t="s">
        <v>77</v>
      </c>
      <c r="W104" s="288" t="s">
        <v>57</v>
      </c>
      <c r="X104" s="288">
        <v>0</v>
      </c>
      <c r="Y104" s="284">
        <v>0.8</v>
      </c>
      <c r="Z104" s="288">
        <f>A104</f>
        <v>0</v>
      </c>
      <c r="AA104" s="79"/>
      <c r="AB104" s="81"/>
      <c r="AC104" s="79"/>
      <c r="AD104" s="79"/>
      <c r="AE104" s="91"/>
    </row>
    <row r="105" spans="1:32" ht="16.5" thickTop="1" thickBot="1">
      <c r="A105" s="284"/>
      <c r="B105" s="284" t="s">
        <v>821</v>
      </c>
      <c r="C105" s="288"/>
      <c r="D105" s="288">
        <v>19</v>
      </c>
      <c r="E105" s="288">
        <v>13</v>
      </c>
      <c r="F105" s="288">
        <v>8</v>
      </c>
      <c r="G105" s="288" t="s">
        <v>443</v>
      </c>
      <c r="H105" s="288" t="s">
        <v>420</v>
      </c>
      <c r="I105" s="288">
        <v>26.13</v>
      </c>
      <c r="J105" s="288">
        <v>0.89</v>
      </c>
      <c r="K105" s="288" t="s">
        <v>346</v>
      </c>
      <c r="L105" s="288" t="s">
        <v>172</v>
      </c>
      <c r="M105" s="288" t="s">
        <v>46</v>
      </c>
      <c r="N105" s="284">
        <v>2</v>
      </c>
      <c r="O105" s="284">
        <v>0</v>
      </c>
      <c r="P105" s="284">
        <v>0.22</v>
      </c>
      <c r="Q105" s="284">
        <v>1.6500000000000001E-2</v>
      </c>
      <c r="R105" s="284">
        <v>1.6500000000000001E-2</v>
      </c>
      <c r="S105" s="288">
        <v>1</v>
      </c>
      <c r="T105" s="288" t="s">
        <v>176</v>
      </c>
      <c r="U105" s="284">
        <v>0.77135900000000002</v>
      </c>
      <c r="V105" s="288" t="s">
        <v>77</v>
      </c>
      <c r="W105" s="288" t="s">
        <v>57</v>
      </c>
      <c r="X105" s="288">
        <v>0</v>
      </c>
      <c r="Y105" s="284">
        <v>0.8</v>
      </c>
      <c r="Z105" s="288">
        <f>A105</f>
        <v>0</v>
      </c>
      <c r="AA105" s="79"/>
      <c r="AB105" s="81"/>
      <c r="AC105" s="79"/>
      <c r="AD105" s="79"/>
      <c r="AE105" s="91"/>
    </row>
    <row r="106" spans="1:32" ht="16.5" thickTop="1" thickBot="1">
      <c r="A106" s="284"/>
      <c r="B106" s="284" t="s">
        <v>896</v>
      </c>
      <c r="C106" s="288"/>
      <c r="D106" s="288">
        <v>19</v>
      </c>
      <c r="E106" s="288">
        <v>13</v>
      </c>
      <c r="F106" s="288">
        <v>8</v>
      </c>
      <c r="G106" s="288" t="s">
        <v>443</v>
      </c>
      <c r="H106" s="288" t="s">
        <v>420</v>
      </c>
      <c r="I106" s="288">
        <v>26.13</v>
      </c>
      <c r="J106" s="288">
        <v>0.89</v>
      </c>
      <c r="K106" s="288" t="s">
        <v>346</v>
      </c>
      <c r="L106" s="288" t="s">
        <v>172</v>
      </c>
      <c r="M106" s="288" t="s">
        <v>46</v>
      </c>
      <c r="N106" s="284">
        <v>2</v>
      </c>
      <c r="O106" s="284">
        <v>0</v>
      </c>
      <c r="P106" s="284">
        <v>0.22</v>
      </c>
      <c r="Q106" s="284">
        <v>1.6500000000000001E-2</v>
      </c>
      <c r="R106" s="284">
        <v>1.6500000000000001E-2</v>
      </c>
      <c r="S106" s="288">
        <v>1</v>
      </c>
      <c r="T106" s="288" t="s">
        <v>176</v>
      </c>
      <c r="U106" s="284">
        <v>0.77135900000000002</v>
      </c>
      <c r="V106" s="288" t="s">
        <v>77</v>
      </c>
      <c r="W106" s="288" t="s">
        <v>57</v>
      </c>
      <c r="X106" s="288">
        <v>0</v>
      </c>
      <c r="Y106" s="284">
        <v>0.8</v>
      </c>
      <c r="Z106" s="288">
        <f>A106</f>
        <v>0</v>
      </c>
      <c r="AA106" s="79"/>
      <c r="AB106" s="81"/>
      <c r="AC106" s="79"/>
      <c r="AD106" s="79"/>
      <c r="AE106" s="91"/>
    </row>
    <row r="107" spans="1:32" ht="16.5" thickTop="1" thickBot="1">
      <c r="A107" s="284"/>
      <c r="B107" s="284" t="s">
        <v>832</v>
      </c>
      <c r="C107" s="288"/>
      <c r="D107" s="288">
        <v>4.3</v>
      </c>
      <c r="E107" s="288"/>
      <c r="F107" s="288"/>
      <c r="G107" s="288" t="s">
        <v>46</v>
      </c>
      <c r="H107" s="288" t="s">
        <v>460</v>
      </c>
      <c r="I107" s="288"/>
      <c r="J107" s="288">
        <v>0.28000000000000003</v>
      </c>
      <c r="K107" s="288" t="s">
        <v>304</v>
      </c>
      <c r="L107" s="288" t="s">
        <v>172</v>
      </c>
      <c r="M107" s="288" t="s">
        <v>46</v>
      </c>
      <c r="N107" s="284">
        <v>1.03</v>
      </c>
      <c r="O107" s="284">
        <v>0.61</v>
      </c>
      <c r="P107" s="284">
        <v>0.22</v>
      </c>
      <c r="Q107" s="284">
        <v>6.9999999999999999E-4</v>
      </c>
      <c r="R107" s="284">
        <v>8.0000000000000004E-4</v>
      </c>
      <c r="S107" s="288">
        <v>1</v>
      </c>
      <c r="T107" s="288" t="s">
        <v>177</v>
      </c>
      <c r="U107" s="284">
        <v>0.89629999999999999</v>
      </c>
      <c r="V107" s="288" t="s">
        <v>77</v>
      </c>
      <c r="W107" s="288" t="s">
        <v>57</v>
      </c>
      <c r="X107" s="288">
        <v>0</v>
      </c>
      <c r="Y107" s="284">
        <v>0.8</v>
      </c>
      <c r="Z107" s="288">
        <f>A107</f>
        <v>0</v>
      </c>
      <c r="AA107" s="79"/>
      <c r="AB107" s="81"/>
      <c r="AC107" s="79"/>
      <c r="AD107" s="79"/>
      <c r="AE107" s="91"/>
    </row>
    <row r="108" spans="1:32" ht="16.5" thickTop="1" thickBot="1">
      <c r="A108" s="284"/>
      <c r="B108" s="284" t="s">
        <v>833</v>
      </c>
      <c r="C108" s="288"/>
      <c r="D108" s="288">
        <v>4.3</v>
      </c>
      <c r="E108" s="288"/>
      <c r="F108" s="288"/>
      <c r="G108" s="288" t="s">
        <v>46</v>
      </c>
      <c r="H108" s="288" t="s">
        <v>460</v>
      </c>
      <c r="I108" s="288"/>
      <c r="J108" s="288">
        <v>0.28000000000000003</v>
      </c>
      <c r="K108" s="288" t="s">
        <v>304</v>
      </c>
      <c r="L108" s="288" t="s">
        <v>172</v>
      </c>
      <c r="M108" s="288" t="s">
        <v>46</v>
      </c>
      <c r="N108" s="284">
        <v>1.03</v>
      </c>
      <c r="O108" s="284">
        <v>0.61</v>
      </c>
      <c r="P108" s="284">
        <v>0.22</v>
      </c>
      <c r="Q108" s="284">
        <v>6.9999999999999999E-4</v>
      </c>
      <c r="R108" s="284">
        <v>8.0000000000000004E-4</v>
      </c>
      <c r="S108" s="288">
        <v>1</v>
      </c>
      <c r="T108" s="288" t="s">
        <v>177</v>
      </c>
      <c r="U108" s="284">
        <v>0.89629999999999999</v>
      </c>
      <c r="V108" s="288" t="s">
        <v>77</v>
      </c>
      <c r="W108" s="288" t="s">
        <v>57</v>
      </c>
      <c r="X108" s="288">
        <v>0</v>
      </c>
      <c r="Y108" s="284">
        <v>0.8</v>
      </c>
      <c r="Z108" s="288">
        <f>A108</f>
        <v>0</v>
      </c>
      <c r="AA108" s="79"/>
      <c r="AB108" s="81"/>
      <c r="AC108" s="79"/>
      <c r="AD108" s="79"/>
      <c r="AE108" s="91"/>
    </row>
    <row r="109" spans="1:32" ht="16.5" thickTop="1" thickBot="1">
      <c r="A109" s="284"/>
      <c r="B109" s="284" t="s">
        <v>887</v>
      </c>
      <c r="C109" s="288"/>
      <c r="D109" s="288"/>
      <c r="E109" s="288"/>
      <c r="F109" s="288"/>
      <c r="G109" s="288"/>
      <c r="H109" s="288"/>
      <c r="I109" s="288"/>
      <c r="J109" s="288"/>
      <c r="K109" s="288"/>
      <c r="L109" s="288"/>
      <c r="M109" s="288"/>
      <c r="N109" s="284"/>
      <c r="O109" s="284"/>
      <c r="P109" s="284"/>
      <c r="Q109" s="284"/>
      <c r="R109" s="284"/>
      <c r="S109" s="288"/>
      <c r="T109" s="288"/>
      <c r="U109" s="284"/>
      <c r="V109" s="288"/>
      <c r="W109" s="288"/>
      <c r="X109" s="288"/>
      <c r="Y109" s="284"/>
      <c r="Z109" s="288"/>
      <c r="AA109" s="79"/>
      <c r="AB109" s="81"/>
      <c r="AC109" s="79"/>
      <c r="AD109" s="79"/>
      <c r="AE109" s="91"/>
    </row>
    <row r="110" spans="1:32" ht="16.5" thickTop="1" thickBot="1">
      <c r="A110" s="284"/>
      <c r="B110" s="284" t="s">
        <v>888</v>
      </c>
      <c r="C110" s="288"/>
      <c r="D110" s="288"/>
      <c r="E110" s="288"/>
      <c r="F110" s="288"/>
      <c r="G110" s="288"/>
      <c r="H110" s="288"/>
      <c r="I110" s="288"/>
      <c r="J110" s="288"/>
      <c r="K110" s="288"/>
      <c r="L110" s="288"/>
      <c r="M110" s="288"/>
      <c r="N110" s="284"/>
      <c r="O110" s="284"/>
      <c r="P110" s="284"/>
      <c r="Q110" s="284"/>
      <c r="R110" s="284"/>
      <c r="S110" s="288"/>
      <c r="T110" s="288"/>
      <c r="U110" s="284"/>
      <c r="V110" s="288"/>
      <c r="W110" s="288"/>
      <c r="X110" s="288"/>
      <c r="Y110" s="284"/>
      <c r="Z110" s="288"/>
      <c r="AA110" s="79"/>
      <c r="AB110" s="81"/>
      <c r="AC110" s="79"/>
      <c r="AD110" s="79"/>
      <c r="AE110" s="91"/>
      <c r="AF110" s="81"/>
    </row>
    <row r="111" spans="1:32" ht="16.5" thickTop="1" thickBot="1">
      <c r="A111" s="284"/>
      <c r="B111" s="284" t="s">
        <v>766</v>
      </c>
      <c r="C111" s="288"/>
      <c r="D111" s="288">
        <v>75</v>
      </c>
      <c r="E111" s="288">
        <v>6</v>
      </c>
      <c r="F111" s="288">
        <v>60</v>
      </c>
      <c r="G111" s="288" t="s">
        <v>409</v>
      </c>
      <c r="H111" s="288" t="s">
        <v>410</v>
      </c>
      <c r="I111" s="288">
        <v>13</v>
      </c>
      <c r="J111" s="288">
        <v>0.81</v>
      </c>
      <c r="K111" s="288" t="s">
        <v>349</v>
      </c>
      <c r="L111" s="288" t="s">
        <v>172</v>
      </c>
      <c r="M111" s="288" t="s">
        <v>46</v>
      </c>
      <c r="N111" s="284"/>
      <c r="O111" s="284"/>
      <c r="P111" s="284"/>
      <c r="Q111" s="284"/>
      <c r="R111" s="284"/>
      <c r="S111" s="288">
        <v>1</v>
      </c>
      <c r="T111" s="288" t="s">
        <v>177</v>
      </c>
      <c r="U111" s="284">
        <v>0</v>
      </c>
      <c r="V111" s="288" t="s">
        <v>77</v>
      </c>
      <c r="W111" s="288" t="s">
        <v>57</v>
      </c>
      <c r="X111" s="288">
        <v>0</v>
      </c>
      <c r="Y111" s="284">
        <v>0.8</v>
      </c>
      <c r="Z111" s="288">
        <f>A111</f>
        <v>0</v>
      </c>
      <c r="AA111" s="79"/>
      <c r="AB111" s="81"/>
      <c r="AC111" s="91"/>
      <c r="AD111" s="81"/>
      <c r="AE111" s="79"/>
      <c r="AF111" s="79"/>
    </row>
    <row r="112" spans="1:32" ht="16.5" thickTop="1" thickBot="1">
      <c r="A112" s="284"/>
      <c r="B112" s="284" t="s">
        <v>767</v>
      </c>
      <c r="C112" s="288"/>
      <c r="D112" s="288">
        <v>40</v>
      </c>
      <c r="E112" s="288">
        <v>5</v>
      </c>
      <c r="F112" s="288">
        <v>30</v>
      </c>
      <c r="G112" s="288" t="s">
        <v>409</v>
      </c>
      <c r="H112" s="288" t="s">
        <v>410</v>
      </c>
      <c r="I112" s="288">
        <v>13</v>
      </c>
      <c r="J112" s="288">
        <v>0.81</v>
      </c>
      <c r="K112" s="288" t="s">
        <v>349</v>
      </c>
      <c r="L112" s="288" t="s">
        <v>172</v>
      </c>
      <c r="M112" s="288" t="s">
        <v>46</v>
      </c>
      <c r="N112" s="284"/>
      <c r="O112" s="284"/>
      <c r="P112" s="284"/>
      <c r="Q112" s="284"/>
      <c r="R112" s="284"/>
      <c r="S112" s="288">
        <v>1</v>
      </c>
      <c r="T112" s="288" t="s">
        <v>177</v>
      </c>
      <c r="U112" s="284">
        <v>0</v>
      </c>
      <c r="V112" s="288" t="s">
        <v>77</v>
      </c>
      <c r="W112" s="288" t="s">
        <v>57</v>
      </c>
      <c r="X112" s="288">
        <v>0</v>
      </c>
      <c r="Y112" s="284">
        <v>0.8</v>
      </c>
      <c r="Z112" s="288">
        <f>A112</f>
        <v>0</v>
      </c>
      <c r="AA112" s="79"/>
      <c r="AB112" s="81"/>
      <c r="AC112" s="91"/>
      <c r="AD112" s="81"/>
      <c r="AE112" s="79"/>
      <c r="AF112" s="79"/>
    </row>
    <row r="113" spans="1:32" ht="31.5" thickTop="1" thickBot="1">
      <c r="A113" s="284"/>
      <c r="B113" s="284" t="s">
        <v>824</v>
      </c>
      <c r="C113" s="288"/>
      <c r="D113" s="288">
        <v>2.6</v>
      </c>
      <c r="E113" s="288">
        <v>0.9</v>
      </c>
      <c r="F113" s="288">
        <v>6.1</v>
      </c>
      <c r="G113" s="288" t="s">
        <v>46</v>
      </c>
      <c r="H113" s="288" t="s">
        <v>457</v>
      </c>
      <c r="I113" s="288">
        <v>0.77</v>
      </c>
      <c r="J113" s="288">
        <v>0.1</v>
      </c>
      <c r="K113" s="288" t="s">
        <v>350</v>
      </c>
      <c r="L113" s="288" t="s">
        <v>172</v>
      </c>
      <c r="M113" s="288" t="s">
        <v>46</v>
      </c>
      <c r="N113" s="284">
        <v>6.3100000000000003E-2</v>
      </c>
      <c r="O113" s="284">
        <v>0</v>
      </c>
      <c r="P113" s="284">
        <v>0.1</v>
      </c>
      <c r="Q113" s="284">
        <v>2.6800000000000001E-2</v>
      </c>
      <c r="R113" s="284">
        <v>2.6800000000000001E-2</v>
      </c>
      <c r="S113" s="288">
        <v>1</v>
      </c>
      <c r="T113" s="288" t="s">
        <v>179</v>
      </c>
      <c r="U113" s="284">
        <v>1.28</v>
      </c>
      <c r="V113" s="288" t="s">
        <v>77</v>
      </c>
      <c r="W113" s="288" t="s">
        <v>57</v>
      </c>
      <c r="X113" s="288">
        <v>0</v>
      </c>
      <c r="Y113" s="284">
        <v>0.8</v>
      </c>
      <c r="Z113" s="288">
        <f>A113</f>
        <v>0</v>
      </c>
      <c r="AA113" s="79"/>
      <c r="AB113" s="81"/>
      <c r="AC113" s="79"/>
      <c r="AD113" s="79"/>
      <c r="AE113" s="91"/>
      <c r="AF113" s="81"/>
    </row>
    <row r="114" spans="1:32" ht="31.5" thickTop="1" thickBot="1">
      <c r="A114" s="284"/>
      <c r="B114" s="284" t="s">
        <v>889</v>
      </c>
      <c r="C114" s="288"/>
      <c r="D114" s="288"/>
      <c r="E114" s="288"/>
      <c r="F114" s="288"/>
      <c r="G114" s="288"/>
      <c r="H114" s="288"/>
      <c r="I114" s="288"/>
      <c r="J114" s="288"/>
      <c r="K114" s="288"/>
      <c r="L114" s="288"/>
      <c r="M114" s="288"/>
      <c r="N114" s="284"/>
      <c r="O114" s="284"/>
      <c r="P114" s="284"/>
      <c r="Q114" s="284"/>
      <c r="R114" s="284"/>
      <c r="S114" s="288"/>
      <c r="T114" s="288"/>
      <c r="U114" s="284"/>
      <c r="V114" s="288"/>
      <c r="W114" s="288"/>
      <c r="X114" s="288"/>
      <c r="Y114" s="284"/>
      <c r="Z114" s="288"/>
      <c r="AA114" s="79"/>
      <c r="AB114" s="81"/>
      <c r="AC114" s="79"/>
      <c r="AD114" s="79"/>
      <c r="AE114" s="91"/>
      <c r="AF114" s="81"/>
    </row>
    <row r="115" spans="1:32" ht="31.5" thickTop="1" thickBot="1">
      <c r="A115" s="284"/>
      <c r="B115" s="284" t="s">
        <v>823</v>
      </c>
      <c r="C115" s="288"/>
      <c r="D115" s="288">
        <v>19</v>
      </c>
      <c r="E115" s="288">
        <v>9</v>
      </c>
      <c r="F115" s="288">
        <v>6</v>
      </c>
      <c r="G115" s="288" t="s">
        <v>405</v>
      </c>
      <c r="H115" s="288" t="s">
        <v>400</v>
      </c>
      <c r="I115" s="288">
        <v>16.22</v>
      </c>
      <c r="J115" s="288">
        <v>0.85</v>
      </c>
      <c r="K115" s="288" t="s">
        <v>351</v>
      </c>
      <c r="L115" s="288" t="s">
        <v>172</v>
      </c>
      <c r="M115" s="288" t="s">
        <v>46</v>
      </c>
      <c r="N115" s="284">
        <v>1.0900000000000001</v>
      </c>
      <c r="O115" s="284">
        <v>0.88</v>
      </c>
      <c r="P115" s="284">
        <v>0.22</v>
      </c>
      <c r="Q115" s="284">
        <v>3.9100000000000003E-3</v>
      </c>
      <c r="R115" s="284">
        <v>9.9000000000000008E-3</v>
      </c>
      <c r="S115" s="288">
        <v>1</v>
      </c>
      <c r="T115" s="288" t="s">
        <v>176</v>
      </c>
      <c r="U115" s="284">
        <v>0.57599999999999996</v>
      </c>
      <c r="V115" s="288" t="s">
        <v>77</v>
      </c>
      <c r="W115" s="288" t="s">
        <v>60</v>
      </c>
      <c r="X115" s="288">
        <v>0</v>
      </c>
      <c r="Y115" s="284">
        <v>0.8</v>
      </c>
      <c r="Z115" s="288">
        <f>A115</f>
        <v>0</v>
      </c>
      <c r="AA115" s="79"/>
      <c r="AB115" s="81"/>
      <c r="AC115" s="79"/>
      <c r="AD115" s="79"/>
      <c r="AE115" s="91"/>
      <c r="AF115" s="81"/>
    </row>
    <row r="116" spans="1:32" ht="31.5" thickTop="1" thickBot="1">
      <c r="A116" s="284"/>
      <c r="B116" s="284" t="s">
        <v>854</v>
      </c>
      <c r="C116" s="288"/>
      <c r="D116" s="288">
        <v>1.75</v>
      </c>
      <c r="E116" s="288">
        <v>0.25</v>
      </c>
      <c r="F116" s="288">
        <v>4</v>
      </c>
      <c r="G116" s="288" t="s">
        <v>46</v>
      </c>
      <c r="H116" s="288" t="s">
        <v>426</v>
      </c>
      <c r="I116" s="288">
        <v>1</v>
      </c>
      <c r="J116" s="288">
        <v>0.15</v>
      </c>
      <c r="K116" s="288" t="s">
        <v>352</v>
      </c>
      <c r="L116" s="288" t="s">
        <v>172</v>
      </c>
      <c r="M116" s="288" t="s">
        <v>425</v>
      </c>
      <c r="N116" s="284">
        <v>0</v>
      </c>
      <c r="O116" s="284">
        <v>0</v>
      </c>
      <c r="P116" s="284">
        <v>0</v>
      </c>
      <c r="Q116" s="284">
        <v>1.9E-2</v>
      </c>
      <c r="R116" s="284">
        <v>0</v>
      </c>
      <c r="S116" s="288">
        <v>1</v>
      </c>
      <c r="T116" s="288" t="s">
        <v>180</v>
      </c>
      <c r="U116" s="284">
        <v>0</v>
      </c>
      <c r="V116" s="288" t="s">
        <v>77</v>
      </c>
      <c r="W116" s="288" t="s">
        <v>57</v>
      </c>
      <c r="X116" s="288">
        <v>0</v>
      </c>
      <c r="Y116" s="284">
        <v>0.8</v>
      </c>
      <c r="Z116" s="288">
        <f>A116</f>
        <v>0</v>
      </c>
      <c r="AA116" s="79"/>
      <c r="AB116" s="81"/>
      <c r="AC116" s="91"/>
      <c r="AD116" s="81"/>
      <c r="AE116" s="79"/>
      <c r="AF116" s="79"/>
    </row>
    <row r="117" spans="1:32" ht="31.5" thickTop="1" thickBot="1">
      <c r="A117" s="284"/>
      <c r="B117" s="284" t="s">
        <v>825</v>
      </c>
      <c r="C117" s="288">
        <v>32.5</v>
      </c>
      <c r="D117" s="288">
        <f>C117</f>
        <v>32.5</v>
      </c>
      <c r="E117" s="288">
        <v>8</v>
      </c>
      <c r="F117" s="288">
        <v>11</v>
      </c>
      <c r="G117" s="288" t="s">
        <v>431</v>
      </c>
      <c r="H117" s="288" t="s">
        <v>458</v>
      </c>
      <c r="I117" s="288">
        <v>15.7</v>
      </c>
      <c r="J117" s="288">
        <v>0.89</v>
      </c>
      <c r="K117" s="288" t="s">
        <v>353</v>
      </c>
      <c r="L117" s="288" t="s">
        <v>172</v>
      </c>
      <c r="M117" s="288" t="s">
        <v>46</v>
      </c>
      <c r="N117" s="284">
        <v>1.1299999999999999</v>
      </c>
      <c r="O117" s="284">
        <v>0.85</v>
      </c>
      <c r="P117" s="284">
        <v>0.19</v>
      </c>
      <c r="Q117" s="284">
        <v>1.1610000000000001E-2</v>
      </c>
      <c r="R117" s="284">
        <v>8.8000000000000005E-3</v>
      </c>
      <c r="S117" s="288">
        <v>1</v>
      </c>
      <c r="T117" s="288" t="s">
        <v>176</v>
      </c>
      <c r="U117" s="284">
        <v>0</v>
      </c>
      <c r="V117" s="288" t="s">
        <v>77</v>
      </c>
      <c r="W117" s="288" t="s">
        <v>60</v>
      </c>
      <c r="X117" s="288">
        <v>1</v>
      </c>
      <c r="Y117" s="284">
        <v>0.8</v>
      </c>
      <c r="Z117" s="288">
        <f>A117</f>
        <v>0</v>
      </c>
      <c r="AA117" s="79"/>
      <c r="AB117" s="81"/>
      <c r="AC117" s="79"/>
      <c r="AD117" s="79"/>
      <c r="AE117" s="91"/>
      <c r="AF117" s="81"/>
    </row>
    <row r="118" spans="1:32" ht="16.5" thickTop="1" thickBot="1">
      <c r="A118" s="284"/>
      <c r="B118" s="284" t="s">
        <v>826</v>
      </c>
      <c r="C118" s="288">
        <v>32.5</v>
      </c>
      <c r="D118" s="288">
        <f>C118</f>
        <v>32.5</v>
      </c>
      <c r="E118" s="288">
        <v>8</v>
      </c>
      <c r="F118" s="288">
        <v>11</v>
      </c>
      <c r="G118" s="288" t="s">
        <v>431</v>
      </c>
      <c r="H118" s="288" t="s">
        <v>458</v>
      </c>
      <c r="I118" s="288">
        <v>15.7</v>
      </c>
      <c r="J118" s="288">
        <v>0.89</v>
      </c>
      <c r="K118" s="288" t="s">
        <v>353</v>
      </c>
      <c r="L118" s="288" t="s">
        <v>172</v>
      </c>
      <c r="M118" s="288" t="s">
        <v>46</v>
      </c>
      <c r="N118" s="284">
        <v>1.1299999999999999</v>
      </c>
      <c r="O118" s="284">
        <v>0.85</v>
      </c>
      <c r="P118" s="284">
        <v>0.19</v>
      </c>
      <c r="Q118" s="284">
        <v>1.1610000000000001E-2</v>
      </c>
      <c r="R118" s="284">
        <v>8.8000000000000005E-3</v>
      </c>
      <c r="S118" s="288">
        <v>1</v>
      </c>
      <c r="T118" s="288" t="s">
        <v>176</v>
      </c>
      <c r="U118" s="284">
        <v>0</v>
      </c>
      <c r="V118" s="288" t="s">
        <v>77</v>
      </c>
      <c r="W118" s="288" t="s">
        <v>60</v>
      </c>
      <c r="X118" s="288">
        <v>1</v>
      </c>
      <c r="Y118" s="284">
        <v>0.8</v>
      </c>
      <c r="Z118" s="288">
        <f>A118</f>
        <v>0</v>
      </c>
      <c r="AA118" s="79"/>
      <c r="AB118" s="81"/>
      <c r="AC118" s="79"/>
      <c r="AD118" s="79"/>
      <c r="AE118" s="91"/>
      <c r="AF118" s="81"/>
    </row>
    <row r="119" spans="1:32" ht="31.5" thickTop="1" thickBot="1">
      <c r="A119" s="284"/>
      <c r="B119" s="284" t="s">
        <v>827</v>
      </c>
      <c r="C119" s="288">
        <v>32.5</v>
      </c>
      <c r="D119" s="288">
        <f>C119</f>
        <v>32.5</v>
      </c>
      <c r="E119" s="288">
        <v>8</v>
      </c>
      <c r="F119" s="288">
        <v>11</v>
      </c>
      <c r="G119" s="288" t="s">
        <v>431</v>
      </c>
      <c r="H119" s="288" t="s">
        <v>458</v>
      </c>
      <c r="I119" s="288">
        <v>15.7</v>
      </c>
      <c r="J119" s="288">
        <v>0.89</v>
      </c>
      <c r="K119" s="288" t="s">
        <v>353</v>
      </c>
      <c r="L119" s="288" t="s">
        <v>172</v>
      </c>
      <c r="M119" s="288" t="s">
        <v>46</v>
      </c>
      <c r="N119" s="284">
        <v>1.1299999999999999</v>
      </c>
      <c r="O119" s="284">
        <v>0.85</v>
      </c>
      <c r="P119" s="284">
        <v>0.19</v>
      </c>
      <c r="Q119" s="284">
        <v>1.1610000000000001E-2</v>
      </c>
      <c r="R119" s="284">
        <v>8.8000000000000005E-3</v>
      </c>
      <c r="S119" s="288">
        <v>1</v>
      </c>
      <c r="T119" s="288" t="s">
        <v>176</v>
      </c>
      <c r="U119" s="284">
        <v>0</v>
      </c>
      <c r="V119" s="288" t="s">
        <v>77</v>
      </c>
      <c r="W119" s="288" t="s">
        <v>60</v>
      </c>
      <c r="X119" s="288">
        <v>1</v>
      </c>
      <c r="Y119" s="284">
        <v>0.8</v>
      </c>
      <c r="Z119" s="288">
        <f>A119</f>
        <v>0</v>
      </c>
      <c r="AA119" s="79"/>
      <c r="AB119" s="81"/>
      <c r="AC119" s="79"/>
      <c r="AD119" s="79"/>
      <c r="AE119" s="91"/>
      <c r="AF119" s="81"/>
    </row>
    <row r="120" spans="1:32" ht="16.5" thickTop="1" thickBot="1">
      <c r="A120" s="284"/>
      <c r="B120" s="284" t="s">
        <v>828</v>
      </c>
      <c r="C120" s="288">
        <v>32.5</v>
      </c>
      <c r="D120" s="288">
        <f>C120</f>
        <v>32.5</v>
      </c>
      <c r="E120" s="288">
        <v>8</v>
      </c>
      <c r="F120" s="288">
        <v>11</v>
      </c>
      <c r="G120" s="288" t="s">
        <v>431</v>
      </c>
      <c r="H120" s="288" t="s">
        <v>458</v>
      </c>
      <c r="I120" s="288">
        <v>15.7</v>
      </c>
      <c r="J120" s="288">
        <v>0.89</v>
      </c>
      <c r="K120" s="288" t="s">
        <v>353</v>
      </c>
      <c r="L120" s="288" t="s">
        <v>172</v>
      </c>
      <c r="M120" s="288" t="s">
        <v>46</v>
      </c>
      <c r="N120" s="284">
        <v>1.1299999999999999</v>
      </c>
      <c r="O120" s="284">
        <v>0.85</v>
      </c>
      <c r="P120" s="284">
        <v>0.19</v>
      </c>
      <c r="Q120" s="284">
        <v>1.1610000000000001E-2</v>
      </c>
      <c r="R120" s="284">
        <v>8.8000000000000005E-3</v>
      </c>
      <c r="S120" s="288">
        <v>1</v>
      </c>
      <c r="T120" s="288" t="s">
        <v>176</v>
      </c>
      <c r="U120" s="284">
        <v>0</v>
      </c>
      <c r="V120" s="288" t="s">
        <v>77</v>
      </c>
      <c r="W120" s="288" t="s">
        <v>60</v>
      </c>
      <c r="X120" s="288">
        <v>1</v>
      </c>
      <c r="Y120" s="284">
        <v>0.8</v>
      </c>
      <c r="Z120" s="288">
        <f>A120</f>
        <v>0</v>
      </c>
      <c r="AA120" s="79"/>
      <c r="AB120" s="81"/>
      <c r="AC120" s="79"/>
      <c r="AD120" s="79"/>
      <c r="AE120" s="91"/>
      <c r="AF120" s="81"/>
    </row>
    <row r="121" spans="1:32" ht="76.5" thickTop="1" thickBot="1">
      <c r="A121" s="284"/>
      <c r="B121" s="284" t="s">
        <v>829</v>
      </c>
      <c r="C121" s="288"/>
      <c r="D121" s="288">
        <v>1.3</v>
      </c>
      <c r="E121" s="288">
        <v>0.9</v>
      </c>
      <c r="F121" s="288">
        <v>2.2000000000000002</v>
      </c>
      <c r="G121" s="288" t="s">
        <v>46</v>
      </c>
      <c r="H121" s="288" t="s">
        <v>416</v>
      </c>
      <c r="I121" s="288">
        <v>1.3</v>
      </c>
      <c r="J121" s="288">
        <v>0.08</v>
      </c>
      <c r="K121" s="288" t="s">
        <v>355</v>
      </c>
      <c r="L121" s="288" t="s">
        <v>172</v>
      </c>
      <c r="M121" s="288" t="s">
        <v>46</v>
      </c>
      <c r="N121" s="284">
        <v>5.5899999999999998E-2</v>
      </c>
      <c r="O121" s="284">
        <v>0</v>
      </c>
      <c r="P121" s="284">
        <v>0.2</v>
      </c>
      <c r="Q121" s="284">
        <v>1.9099999999999999E-2</v>
      </c>
      <c r="R121" s="284">
        <v>1.9099999999999999E-2</v>
      </c>
      <c r="S121" s="288">
        <v>1</v>
      </c>
      <c r="T121" s="288" t="s">
        <v>179</v>
      </c>
      <c r="U121" s="284">
        <v>0</v>
      </c>
      <c r="V121" s="288" t="s">
        <v>77</v>
      </c>
      <c r="W121" s="288" t="s">
        <v>57</v>
      </c>
      <c r="X121" s="288">
        <v>0</v>
      </c>
      <c r="Y121" s="284">
        <v>0.8</v>
      </c>
      <c r="Z121" s="288">
        <f>A121</f>
        <v>0</v>
      </c>
      <c r="AA121" s="79"/>
      <c r="AB121" s="81"/>
      <c r="AC121" s="79"/>
      <c r="AD121" s="79"/>
      <c r="AE121" s="91"/>
      <c r="AF121" s="81"/>
    </row>
    <row r="122" spans="1:32" ht="31.5" thickTop="1" thickBot="1">
      <c r="A122" s="284"/>
      <c r="B122" s="284" t="s">
        <v>890</v>
      </c>
      <c r="C122" s="288"/>
      <c r="D122" s="288">
        <v>19</v>
      </c>
      <c r="E122" s="288">
        <v>9</v>
      </c>
      <c r="F122" s="288">
        <v>7</v>
      </c>
      <c r="G122" s="288" t="s">
        <v>405</v>
      </c>
      <c r="H122" s="288" t="s">
        <v>400</v>
      </c>
      <c r="I122" s="288">
        <v>15.82</v>
      </c>
      <c r="J122" s="288">
        <v>0.85</v>
      </c>
      <c r="K122" s="288" t="s">
        <v>340</v>
      </c>
      <c r="L122" s="288" t="s">
        <v>172</v>
      </c>
      <c r="M122" s="288" t="s">
        <v>46</v>
      </c>
      <c r="N122" s="284">
        <v>1.51</v>
      </c>
      <c r="O122" s="284">
        <v>0.52</v>
      </c>
      <c r="P122" s="284">
        <v>0.24</v>
      </c>
      <c r="Q122" s="284">
        <v>5.4400000000000004E-3</v>
      </c>
      <c r="R122" s="284">
        <v>9.9000000000000008E-3</v>
      </c>
      <c r="S122" s="288">
        <v>1</v>
      </c>
      <c r="T122" s="288" t="s">
        <v>176</v>
      </c>
      <c r="U122" s="284">
        <v>0.499</v>
      </c>
      <c r="V122" s="288" t="s">
        <v>77</v>
      </c>
      <c r="W122" s="288" t="s">
        <v>57</v>
      </c>
      <c r="X122" s="288">
        <v>0</v>
      </c>
      <c r="Y122" s="284">
        <v>0.9</v>
      </c>
      <c r="Z122" s="288">
        <f>A122</f>
        <v>0</v>
      </c>
      <c r="AA122" s="79"/>
      <c r="AB122" s="81"/>
      <c r="AC122" s="79"/>
      <c r="AD122" s="79"/>
      <c r="AE122" s="91"/>
    </row>
    <row r="123" spans="1:32" ht="31.5" thickTop="1" thickBot="1">
      <c r="A123" s="284"/>
      <c r="B123" s="284" t="s">
        <v>813</v>
      </c>
      <c r="C123" s="288"/>
      <c r="D123" s="288">
        <v>19</v>
      </c>
      <c r="E123" s="288">
        <v>9</v>
      </c>
      <c r="F123" s="288">
        <v>7</v>
      </c>
      <c r="G123" s="288" t="s">
        <v>405</v>
      </c>
      <c r="H123" s="288" t="s">
        <v>400</v>
      </c>
      <c r="I123" s="288">
        <v>15.82</v>
      </c>
      <c r="J123" s="288">
        <v>0.85</v>
      </c>
      <c r="K123" s="288" t="s">
        <v>340</v>
      </c>
      <c r="L123" s="288" t="s">
        <v>172</v>
      </c>
      <c r="M123" s="288" t="s">
        <v>46</v>
      </c>
      <c r="N123" s="284">
        <v>1.51</v>
      </c>
      <c r="O123" s="284">
        <v>0.52</v>
      </c>
      <c r="P123" s="284">
        <v>0.24</v>
      </c>
      <c r="Q123" s="284">
        <v>5.4400000000000004E-3</v>
      </c>
      <c r="R123" s="284">
        <v>9.9000000000000008E-3</v>
      </c>
      <c r="S123" s="288">
        <v>1</v>
      </c>
      <c r="T123" s="288" t="s">
        <v>176</v>
      </c>
      <c r="U123" s="284">
        <v>0.499</v>
      </c>
      <c r="V123" s="288" t="s">
        <v>77</v>
      </c>
      <c r="W123" s="288" t="s">
        <v>57</v>
      </c>
      <c r="X123" s="288">
        <v>0</v>
      </c>
      <c r="Y123" s="284">
        <v>0.9</v>
      </c>
      <c r="Z123" s="288">
        <f>A123</f>
        <v>0</v>
      </c>
      <c r="AA123" s="79"/>
      <c r="AB123" s="81"/>
      <c r="AC123" s="79"/>
      <c r="AD123" s="79"/>
      <c r="AE123" s="91"/>
    </row>
    <row r="124" spans="1:32" ht="31.5" thickTop="1" thickBot="1">
      <c r="A124" s="284"/>
      <c r="B124" s="284" t="s">
        <v>788</v>
      </c>
      <c r="C124" s="288"/>
      <c r="D124" s="288">
        <v>21</v>
      </c>
      <c r="E124" s="288">
        <v>12</v>
      </c>
      <c r="F124" s="288">
        <v>6</v>
      </c>
      <c r="G124" s="288" t="s">
        <v>405</v>
      </c>
      <c r="H124" s="288" t="s">
        <v>420</v>
      </c>
      <c r="I124" s="288">
        <v>15.89</v>
      </c>
      <c r="J124" s="288">
        <v>0.85</v>
      </c>
      <c r="K124" s="288" t="s">
        <v>286</v>
      </c>
      <c r="L124" s="288" t="s">
        <v>172</v>
      </c>
      <c r="M124" s="288" t="s">
        <v>46</v>
      </c>
      <c r="N124" s="284">
        <v>1.0900000000000001</v>
      </c>
      <c r="O124" s="284">
        <v>0.88</v>
      </c>
      <c r="P124" s="284">
        <v>0.22</v>
      </c>
      <c r="Q124" s="284">
        <v>5.6100000000000004E-3</v>
      </c>
      <c r="R124" s="284">
        <v>9.9000000000000008E-3</v>
      </c>
      <c r="S124" s="288">
        <v>1</v>
      </c>
      <c r="T124" s="288" t="s">
        <v>176</v>
      </c>
      <c r="U124" s="284">
        <v>0.57699999999999996</v>
      </c>
      <c r="V124" s="288" t="s">
        <v>77</v>
      </c>
      <c r="W124" s="288" t="s">
        <v>60</v>
      </c>
      <c r="X124" s="288">
        <v>0</v>
      </c>
      <c r="Y124" s="284">
        <v>0.9</v>
      </c>
      <c r="Z124" s="288">
        <f>A124</f>
        <v>0</v>
      </c>
      <c r="AA124" s="79"/>
      <c r="AB124" s="81"/>
      <c r="AC124" s="91"/>
      <c r="AD124" s="81"/>
      <c r="AE124" s="79"/>
      <c r="AF124" s="79"/>
    </row>
    <row r="125" spans="1:32" ht="16.5" thickTop="1" thickBot="1">
      <c r="A125" s="284"/>
      <c r="B125" s="284" t="s">
        <v>891</v>
      </c>
      <c r="C125" s="288"/>
      <c r="D125" s="288"/>
      <c r="E125" s="288"/>
      <c r="F125" s="288"/>
      <c r="G125" s="288"/>
      <c r="H125" s="288"/>
      <c r="I125" s="288"/>
      <c r="J125" s="288"/>
      <c r="K125" s="288"/>
      <c r="L125" s="288"/>
      <c r="M125" s="288"/>
      <c r="N125" s="284"/>
      <c r="O125" s="284"/>
      <c r="P125" s="284"/>
      <c r="Q125" s="284"/>
      <c r="R125" s="284"/>
      <c r="S125" s="288"/>
      <c r="T125" s="288"/>
      <c r="U125" s="284"/>
      <c r="V125" s="288"/>
      <c r="W125" s="288"/>
      <c r="X125" s="288"/>
      <c r="Y125" s="284"/>
      <c r="Z125" s="288"/>
      <c r="AA125" s="79"/>
      <c r="AB125" s="81"/>
      <c r="AC125" s="79"/>
      <c r="AD125" s="79"/>
      <c r="AE125" s="91"/>
      <c r="AF125" s="81"/>
    </row>
    <row r="126" spans="1:32" ht="16.5" thickTop="1" thickBot="1">
      <c r="A126" s="284"/>
      <c r="B126" s="284"/>
      <c r="C126" s="288"/>
      <c r="D126" s="288"/>
      <c r="E126" s="288"/>
      <c r="F126" s="288"/>
      <c r="G126" s="288"/>
      <c r="H126" s="288"/>
      <c r="I126" s="288"/>
      <c r="J126" s="288"/>
      <c r="K126" s="288"/>
      <c r="L126" s="288"/>
      <c r="M126" s="288"/>
      <c r="N126" s="284"/>
      <c r="O126" s="284"/>
      <c r="P126" s="284"/>
      <c r="Q126" s="284"/>
      <c r="R126" s="284"/>
      <c r="S126" s="288"/>
      <c r="T126" s="288"/>
      <c r="U126" s="284"/>
      <c r="V126" s="288"/>
      <c r="W126" s="288"/>
      <c r="X126" s="288"/>
      <c r="Y126" s="284"/>
      <c r="Z126" s="288"/>
      <c r="AA126" s="79"/>
      <c r="AB126" s="81"/>
      <c r="AC126" s="79"/>
      <c r="AD126" s="79"/>
      <c r="AE126" s="91"/>
      <c r="AF126" s="81"/>
    </row>
    <row r="127" spans="1:32" ht="16.5" thickTop="1" thickBot="1">
      <c r="A127" s="340" t="s">
        <v>556</v>
      </c>
      <c r="B127" s="284"/>
      <c r="C127" s="288"/>
      <c r="D127" s="288"/>
      <c r="E127" s="288"/>
      <c r="F127" s="288"/>
      <c r="G127" s="288"/>
      <c r="H127" s="288"/>
      <c r="I127" s="288"/>
      <c r="J127" s="288"/>
      <c r="K127" s="288"/>
      <c r="L127" s="288"/>
      <c r="M127" s="288"/>
      <c r="N127" s="284"/>
      <c r="O127" s="284"/>
      <c r="P127" s="284"/>
      <c r="Q127" s="284"/>
      <c r="R127" s="284"/>
      <c r="S127" s="288"/>
      <c r="T127" s="288"/>
      <c r="U127" s="284"/>
      <c r="V127" s="288"/>
      <c r="W127" s="288"/>
      <c r="X127" s="288"/>
      <c r="Y127" s="284"/>
      <c r="Z127" s="288"/>
      <c r="AA127" s="79"/>
      <c r="AB127" s="81"/>
      <c r="AC127" s="79"/>
      <c r="AD127" s="79"/>
      <c r="AE127" s="91"/>
      <c r="AF127" s="81"/>
    </row>
    <row r="128" spans="1:32" ht="46.5" thickTop="1" thickBot="1">
      <c r="A128" s="284"/>
      <c r="B128" s="284" t="s">
        <v>834</v>
      </c>
      <c r="C128" s="288"/>
      <c r="D128" s="288">
        <v>1.3</v>
      </c>
      <c r="E128" s="288">
        <v>0.4</v>
      </c>
      <c r="F128" s="288">
        <v>3</v>
      </c>
      <c r="G128" s="288" t="s">
        <v>46</v>
      </c>
      <c r="H128" s="288" t="s">
        <v>398</v>
      </c>
      <c r="I128" s="288">
        <v>24.1</v>
      </c>
      <c r="J128" s="288">
        <v>0.95</v>
      </c>
      <c r="K128" s="288" t="s">
        <v>261</v>
      </c>
      <c r="L128" s="288" t="s">
        <v>173</v>
      </c>
      <c r="M128" s="288" t="s">
        <v>46</v>
      </c>
      <c r="N128" s="284"/>
      <c r="O128" s="284"/>
      <c r="P128" s="284"/>
      <c r="Q128" s="284"/>
      <c r="R128" s="284"/>
      <c r="S128" s="288">
        <v>1</v>
      </c>
      <c r="T128" s="288" t="s">
        <v>178</v>
      </c>
      <c r="U128" s="284">
        <v>0</v>
      </c>
      <c r="V128" s="288" t="s">
        <v>135</v>
      </c>
      <c r="W128" s="288" t="s">
        <v>57</v>
      </c>
      <c r="X128" s="288">
        <v>0</v>
      </c>
      <c r="Y128" s="284">
        <v>0.8</v>
      </c>
      <c r="Z128" s="288">
        <f>A128</f>
        <v>0</v>
      </c>
      <c r="AA128" s="79"/>
      <c r="AB128" s="81"/>
      <c r="AC128" s="91"/>
      <c r="AD128" s="81"/>
      <c r="AE128" s="79"/>
      <c r="AF128" s="79"/>
    </row>
    <row r="129" spans="1:32" ht="16.5" thickTop="1" thickBot="1">
      <c r="A129" s="284"/>
      <c r="B129" s="284" t="s">
        <v>836</v>
      </c>
      <c r="C129" s="288"/>
      <c r="D129" s="288">
        <v>0.9</v>
      </c>
      <c r="E129" s="288">
        <v>0.3</v>
      </c>
      <c r="F129" s="288">
        <v>2</v>
      </c>
      <c r="G129" s="288" t="s">
        <v>46</v>
      </c>
      <c r="H129" s="288" t="s">
        <v>399</v>
      </c>
      <c r="I129" s="288">
        <v>2.1800000000000002</v>
      </c>
      <c r="J129" s="288">
        <v>0.15</v>
      </c>
      <c r="K129" s="288" t="s">
        <v>262</v>
      </c>
      <c r="L129" s="288" t="s">
        <v>173</v>
      </c>
      <c r="M129" s="288" t="s">
        <v>46</v>
      </c>
      <c r="N129" s="284"/>
      <c r="O129" s="284"/>
      <c r="P129" s="284"/>
      <c r="Q129" s="284"/>
      <c r="R129" s="284"/>
      <c r="S129" s="288">
        <v>1</v>
      </c>
      <c r="T129" s="288" t="s">
        <v>178</v>
      </c>
      <c r="U129" s="284">
        <v>0.40699999999999997</v>
      </c>
      <c r="V129" s="288" t="s">
        <v>135</v>
      </c>
      <c r="W129" s="288" t="s">
        <v>57</v>
      </c>
      <c r="X129" s="288">
        <v>0</v>
      </c>
      <c r="Y129" s="284">
        <v>0.8</v>
      </c>
      <c r="Z129" s="288">
        <f>A129</f>
        <v>0</v>
      </c>
      <c r="AA129" s="79"/>
      <c r="AB129" s="81"/>
      <c r="AC129" s="91"/>
      <c r="AD129" s="81"/>
      <c r="AE129" s="79"/>
      <c r="AF129" s="79"/>
    </row>
    <row r="130" spans="1:32" ht="46.5" thickTop="1" thickBot="1">
      <c r="A130" s="284"/>
      <c r="B130" s="284" t="s">
        <v>835</v>
      </c>
      <c r="C130" s="288"/>
      <c r="D130" s="288">
        <v>1.3</v>
      </c>
      <c r="E130" s="288">
        <v>0.5</v>
      </c>
      <c r="F130" s="288">
        <v>3.6</v>
      </c>
      <c r="G130" s="288" t="s">
        <v>46</v>
      </c>
      <c r="H130" s="288" t="s">
        <v>399</v>
      </c>
      <c r="I130" s="288">
        <v>1.87</v>
      </c>
      <c r="J130" s="288">
        <v>0.15</v>
      </c>
      <c r="K130" s="288" t="s">
        <v>263</v>
      </c>
      <c r="L130" s="288" t="s">
        <v>173</v>
      </c>
      <c r="M130" s="288" t="s">
        <v>46</v>
      </c>
      <c r="N130" s="284"/>
      <c r="O130" s="284"/>
      <c r="P130" s="284"/>
      <c r="Q130" s="284"/>
      <c r="R130" s="284"/>
      <c r="S130" s="288">
        <v>1</v>
      </c>
      <c r="T130" s="288" t="s">
        <v>178</v>
      </c>
      <c r="U130" s="284">
        <v>0</v>
      </c>
      <c r="V130" s="288" t="s">
        <v>135</v>
      </c>
      <c r="W130" s="288" t="s">
        <v>57</v>
      </c>
      <c r="X130" s="288">
        <v>0</v>
      </c>
      <c r="Y130" s="284">
        <v>0.8</v>
      </c>
      <c r="Z130" s="288">
        <f>A130</f>
        <v>0</v>
      </c>
      <c r="AA130" s="79"/>
      <c r="AB130" s="81"/>
      <c r="AC130" s="91"/>
      <c r="AD130" s="81"/>
      <c r="AE130" s="79"/>
      <c r="AF130" s="79"/>
    </row>
    <row r="131" spans="1:32" ht="106.5" thickTop="1" thickBot="1">
      <c r="A131" s="284"/>
      <c r="B131" s="284" t="s">
        <v>837</v>
      </c>
      <c r="C131" s="288"/>
      <c r="D131" s="288">
        <v>3.1</v>
      </c>
      <c r="E131" s="288">
        <v>1.2</v>
      </c>
      <c r="F131" s="288">
        <v>6.1</v>
      </c>
      <c r="G131" s="288" t="s">
        <v>46</v>
      </c>
      <c r="H131" s="288" t="s">
        <v>404</v>
      </c>
      <c r="I131" s="288">
        <v>7</v>
      </c>
      <c r="J131" s="288">
        <v>0.27</v>
      </c>
      <c r="K131" s="288" t="s">
        <v>267</v>
      </c>
      <c r="L131" s="288" t="s">
        <v>173</v>
      </c>
      <c r="M131" s="288" t="s">
        <v>46</v>
      </c>
      <c r="N131" s="284"/>
      <c r="O131" s="284"/>
      <c r="P131" s="284"/>
      <c r="Q131" s="284"/>
      <c r="R131" s="284"/>
      <c r="S131" s="288">
        <v>1</v>
      </c>
      <c r="T131" s="288" t="s">
        <v>178</v>
      </c>
      <c r="U131" s="284">
        <v>0</v>
      </c>
      <c r="V131" s="288" t="s">
        <v>135</v>
      </c>
      <c r="W131" s="288" t="s">
        <v>57</v>
      </c>
      <c r="X131" s="288">
        <v>0</v>
      </c>
      <c r="Y131" s="284">
        <v>0.8</v>
      </c>
      <c r="Z131" s="288">
        <f>A131</f>
        <v>0</v>
      </c>
      <c r="AA131" s="79"/>
      <c r="AB131" s="81"/>
      <c r="AC131" s="91"/>
      <c r="AD131" s="81"/>
      <c r="AE131" s="79"/>
      <c r="AF131" s="79"/>
    </row>
    <row r="132" spans="1:32" ht="46.5" thickTop="1" thickBot="1">
      <c r="A132" s="284"/>
      <c r="B132" s="284" t="s">
        <v>838</v>
      </c>
      <c r="C132" s="288"/>
      <c r="D132" s="288">
        <v>2</v>
      </c>
      <c r="E132" s="288">
        <v>0.5</v>
      </c>
      <c r="F132" s="288">
        <v>3</v>
      </c>
      <c r="G132" s="288" t="s">
        <v>46</v>
      </c>
      <c r="H132" s="288" t="s">
        <v>399</v>
      </c>
      <c r="I132" s="288">
        <v>3.27</v>
      </c>
      <c r="J132" s="288">
        <v>0.15</v>
      </c>
      <c r="K132" s="288" t="s">
        <v>278</v>
      </c>
      <c r="L132" s="288" t="s">
        <v>173</v>
      </c>
      <c r="M132" s="288" t="s">
        <v>46</v>
      </c>
      <c r="N132" s="284"/>
      <c r="O132" s="284"/>
      <c r="P132" s="284"/>
      <c r="Q132" s="284"/>
      <c r="R132" s="284"/>
      <c r="S132" s="288">
        <v>1</v>
      </c>
      <c r="T132" s="288" t="s">
        <v>178</v>
      </c>
      <c r="U132" s="284">
        <v>0</v>
      </c>
      <c r="V132" s="288" t="s">
        <v>135</v>
      </c>
      <c r="W132" s="288" t="s">
        <v>57</v>
      </c>
      <c r="X132" s="288">
        <v>0</v>
      </c>
      <c r="Y132" s="284">
        <v>0.8</v>
      </c>
      <c r="Z132" s="288">
        <f>A132</f>
        <v>0</v>
      </c>
      <c r="AA132" s="79"/>
      <c r="AB132" s="81"/>
      <c r="AC132" s="91"/>
      <c r="AD132" s="81"/>
      <c r="AE132" s="79"/>
      <c r="AF132" s="79"/>
    </row>
    <row r="133" spans="1:32" ht="61.5" thickTop="1" thickBot="1">
      <c r="A133" s="284"/>
      <c r="B133" s="284" t="s">
        <v>839</v>
      </c>
      <c r="C133" s="288"/>
      <c r="D133" s="288">
        <v>1.6</v>
      </c>
      <c r="E133" s="288">
        <v>0.7</v>
      </c>
      <c r="F133" s="288">
        <v>3.5</v>
      </c>
      <c r="G133" s="288" t="s">
        <v>46</v>
      </c>
      <c r="H133" s="288" t="s">
        <v>411</v>
      </c>
      <c r="I133" s="288">
        <v>2.7</v>
      </c>
      <c r="J133" s="288">
        <v>0.2</v>
      </c>
      <c r="K133" s="288" t="s">
        <v>291</v>
      </c>
      <c r="L133" s="288" t="s">
        <v>173</v>
      </c>
      <c r="M133" s="288" t="s">
        <v>46</v>
      </c>
      <c r="N133" s="284"/>
      <c r="O133" s="284"/>
      <c r="P133" s="284"/>
      <c r="Q133" s="284"/>
      <c r="R133" s="284"/>
      <c r="S133" s="288">
        <v>1</v>
      </c>
      <c r="T133" s="288" t="s">
        <v>178</v>
      </c>
      <c r="U133" s="284">
        <v>0</v>
      </c>
      <c r="V133" s="288" t="s">
        <v>135</v>
      </c>
      <c r="W133" s="288" t="s">
        <v>57</v>
      </c>
      <c r="X133" s="288">
        <v>0</v>
      </c>
      <c r="Y133" s="284">
        <v>0.8</v>
      </c>
      <c r="Z133" s="288">
        <f>A133</f>
        <v>0</v>
      </c>
      <c r="AA133" s="79"/>
      <c r="AB133" s="81"/>
      <c r="AC133" s="79"/>
      <c r="AD133" s="79"/>
      <c r="AE133" s="91"/>
      <c r="AF133" s="81"/>
    </row>
    <row r="134" spans="1:32" ht="46.5" thickTop="1" thickBot="1">
      <c r="A134" s="284"/>
      <c r="B134" s="284" t="s">
        <v>852</v>
      </c>
      <c r="C134" s="288"/>
      <c r="D134" s="288">
        <v>1.6</v>
      </c>
      <c r="E134" s="288">
        <v>0.5</v>
      </c>
      <c r="F134" s="288">
        <v>2.4</v>
      </c>
      <c r="G134" s="288" t="s">
        <v>46</v>
      </c>
      <c r="H134" s="288" t="s">
        <v>399</v>
      </c>
      <c r="I134" s="288">
        <v>3</v>
      </c>
      <c r="J134" s="288">
        <v>0.1</v>
      </c>
      <c r="K134" s="288" t="s">
        <v>142</v>
      </c>
      <c r="L134" s="288" t="s">
        <v>173</v>
      </c>
      <c r="M134" s="288" t="s">
        <v>46</v>
      </c>
      <c r="N134" s="284"/>
      <c r="O134" s="284"/>
      <c r="P134" s="284"/>
      <c r="Q134" s="284"/>
      <c r="R134" s="284"/>
      <c r="S134" s="288">
        <v>1</v>
      </c>
      <c r="T134" s="288" t="s">
        <v>178</v>
      </c>
      <c r="U134" s="284">
        <v>0</v>
      </c>
      <c r="V134" s="288" t="s">
        <v>135</v>
      </c>
      <c r="W134" s="288" t="s">
        <v>57</v>
      </c>
      <c r="X134" s="288">
        <v>0</v>
      </c>
      <c r="Y134" s="284">
        <v>0.8</v>
      </c>
      <c r="Z134" s="288">
        <f>A134</f>
        <v>0</v>
      </c>
      <c r="AA134" s="79"/>
      <c r="AB134" s="81"/>
      <c r="AC134" s="91"/>
      <c r="AD134" s="81"/>
      <c r="AE134" s="79"/>
      <c r="AF134" s="79"/>
    </row>
    <row r="135" spans="1:32" ht="16.5" thickTop="1" thickBot="1">
      <c r="A135" s="284"/>
      <c r="B135" s="284" t="s">
        <v>853</v>
      </c>
      <c r="C135" s="288"/>
      <c r="D135" s="288">
        <v>0.85</v>
      </c>
      <c r="E135" s="288">
        <v>0.27</v>
      </c>
      <c r="F135" s="288">
        <v>1.1000000000000001</v>
      </c>
      <c r="G135" s="288" t="s">
        <v>459</v>
      </c>
      <c r="H135" s="288"/>
      <c r="I135" s="288">
        <v>0.54</v>
      </c>
      <c r="J135" s="288">
        <v>0.03</v>
      </c>
      <c r="K135" s="288" t="s">
        <v>142</v>
      </c>
      <c r="L135" s="288" t="s">
        <v>173</v>
      </c>
      <c r="M135" s="288" t="s">
        <v>459</v>
      </c>
      <c r="N135" s="284"/>
      <c r="O135" s="284"/>
      <c r="P135" s="284"/>
      <c r="Q135" s="284"/>
      <c r="R135" s="284"/>
      <c r="S135" s="288"/>
      <c r="T135" s="288" t="s">
        <v>178</v>
      </c>
      <c r="U135" s="284">
        <v>3.1E-2</v>
      </c>
      <c r="V135" s="288" t="s">
        <v>142</v>
      </c>
      <c r="W135" s="288" t="s">
        <v>57</v>
      </c>
      <c r="X135" s="288">
        <v>0</v>
      </c>
      <c r="Y135" s="284">
        <v>0.8</v>
      </c>
      <c r="Z135" s="288">
        <f>A135</f>
        <v>0</v>
      </c>
      <c r="AA135" s="79"/>
      <c r="AB135" s="81"/>
      <c r="AC135" s="79"/>
      <c r="AD135" s="79"/>
      <c r="AE135" s="91"/>
      <c r="AF135" s="81"/>
    </row>
    <row r="136" spans="1:32" ht="106.5" thickTop="1" thickBot="1">
      <c r="A136" s="284"/>
      <c r="B136" s="284" t="s">
        <v>840</v>
      </c>
      <c r="C136" s="288"/>
      <c r="D136" s="288">
        <v>0.8</v>
      </c>
      <c r="E136" s="288">
        <v>0.3</v>
      </c>
      <c r="F136" s="288">
        <v>1.9</v>
      </c>
      <c r="G136" s="288" t="s">
        <v>46</v>
      </c>
      <c r="H136" s="288" t="s">
        <v>404</v>
      </c>
      <c r="I136" s="288">
        <v>1.6</v>
      </c>
      <c r="J136" s="288">
        <v>0.1</v>
      </c>
      <c r="K136" s="288" t="s">
        <v>294</v>
      </c>
      <c r="L136" s="288" t="s">
        <v>173</v>
      </c>
      <c r="M136" s="288" t="s">
        <v>46</v>
      </c>
      <c r="N136" s="284"/>
      <c r="O136" s="284"/>
      <c r="P136" s="284"/>
      <c r="Q136" s="284"/>
      <c r="R136" s="284"/>
      <c r="S136" s="288">
        <v>1</v>
      </c>
      <c r="T136" s="288" t="s">
        <v>178</v>
      </c>
      <c r="U136" s="284">
        <v>3.1E-2</v>
      </c>
      <c r="V136" s="288" t="s">
        <v>135</v>
      </c>
      <c r="W136" s="288" t="s">
        <v>57</v>
      </c>
      <c r="X136" s="288">
        <v>0</v>
      </c>
      <c r="Y136" s="284">
        <v>0.8</v>
      </c>
      <c r="Z136" s="288">
        <f>A136</f>
        <v>0</v>
      </c>
      <c r="AA136" s="79"/>
      <c r="AB136" s="81"/>
      <c r="AC136" s="91"/>
      <c r="AD136" s="81"/>
      <c r="AE136" s="79"/>
      <c r="AF136" s="79"/>
    </row>
    <row r="137" spans="1:32" ht="106.5" thickTop="1" thickBot="1">
      <c r="A137" s="284"/>
      <c r="B137" s="284" t="s">
        <v>841</v>
      </c>
      <c r="C137" s="288"/>
      <c r="D137" s="288">
        <v>23.9</v>
      </c>
      <c r="E137" s="288">
        <v>6.6</v>
      </c>
      <c r="F137" s="288">
        <v>8.1999999999999993</v>
      </c>
      <c r="G137" s="288" t="s">
        <v>46</v>
      </c>
      <c r="H137" s="288" t="s">
        <v>404</v>
      </c>
      <c r="I137" s="288">
        <v>26.3</v>
      </c>
      <c r="J137" s="288">
        <v>0.95</v>
      </c>
      <c r="K137" s="288" t="s">
        <v>296</v>
      </c>
      <c r="L137" s="288" t="s">
        <v>173</v>
      </c>
      <c r="M137" s="288" t="s">
        <v>46</v>
      </c>
      <c r="N137" s="284"/>
      <c r="O137" s="284"/>
      <c r="P137" s="284"/>
      <c r="Q137" s="284"/>
      <c r="R137" s="284"/>
      <c r="S137" s="288">
        <v>1</v>
      </c>
      <c r="T137" s="288" t="s">
        <v>178</v>
      </c>
      <c r="U137" s="284">
        <v>0</v>
      </c>
      <c r="V137" s="288" t="s">
        <v>135</v>
      </c>
      <c r="W137" s="288" t="s">
        <v>57</v>
      </c>
      <c r="X137" s="288">
        <v>0</v>
      </c>
      <c r="Y137" s="284">
        <v>0.8</v>
      </c>
      <c r="Z137" s="288">
        <f>A137</f>
        <v>0</v>
      </c>
      <c r="AA137" s="79"/>
      <c r="AB137" s="81"/>
      <c r="AC137" s="91"/>
      <c r="AD137" s="81"/>
      <c r="AE137" s="79"/>
      <c r="AF137" s="79"/>
    </row>
    <row r="138" spans="1:32" ht="106.5" thickTop="1" thickBot="1">
      <c r="A138" s="284"/>
      <c r="B138" s="284" t="s">
        <v>843</v>
      </c>
      <c r="C138" s="288"/>
      <c r="D138" s="288">
        <v>1.8</v>
      </c>
      <c r="E138" s="288">
        <v>0.8</v>
      </c>
      <c r="F138" s="288">
        <v>3.7</v>
      </c>
      <c r="G138" s="288" t="s">
        <v>46</v>
      </c>
      <c r="H138" s="288" t="s">
        <v>404</v>
      </c>
      <c r="I138" s="288">
        <v>2.5</v>
      </c>
      <c r="J138" s="288">
        <v>0.17</v>
      </c>
      <c r="K138" s="288" t="s">
        <v>297</v>
      </c>
      <c r="L138" s="288" t="s">
        <v>173</v>
      </c>
      <c r="M138" s="288" t="s">
        <v>46</v>
      </c>
      <c r="N138" s="284"/>
      <c r="O138" s="284"/>
      <c r="P138" s="284"/>
      <c r="Q138" s="284"/>
      <c r="R138" s="284"/>
      <c r="S138" s="288">
        <v>1</v>
      </c>
      <c r="T138" s="288" t="s">
        <v>178</v>
      </c>
      <c r="U138" s="284">
        <v>0</v>
      </c>
      <c r="V138" s="288" t="s">
        <v>135</v>
      </c>
      <c r="W138" s="288" t="s">
        <v>57</v>
      </c>
      <c r="X138" s="288">
        <v>0</v>
      </c>
      <c r="Y138" s="284">
        <v>0.8</v>
      </c>
      <c r="Z138" s="288">
        <f>A138</f>
        <v>0</v>
      </c>
      <c r="AA138" s="79"/>
      <c r="AB138" s="81"/>
      <c r="AC138" s="91"/>
      <c r="AD138" s="81"/>
      <c r="AE138" s="79"/>
      <c r="AF138" s="79"/>
    </row>
    <row r="139" spans="1:32" ht="106.5" thickTop="1" thickBot="1">
      <c r="A139" s="284"/>
      <c r="B139" s="284" t="s">
        <v>844</v>
      </c>
      <c r="C139" s="288"/>
      <c r="D139" s="288">
        <v>2.4</v>
      </c>
      <c r="E139" s="288">
        <v>0.3</v>
      </c>
      <c r="F139" s="288">
        <v>1.9</v>
      </c>
      <c r="G139" s="288" t="s">
        <v>46</v>
      </c>
      <c r="H139" s="288" t="s">
        <v>404</v>
      </c>
      <c r="I139" s="288">
        <v>2</v>
      </c>
      <c r="J139" s="288">
        <v>0.12</v>
      </c>
      <c r="K139" s="288" t="s">
        <v>300</v>
      </c>
      <c r="L139" s="288" t="s">
        <v>173</v>
      </c>
      <c r="M139" s="288" t="s">
        <v>46</v>
      </c>
      <c r="N139" s="284"/>
      <c r="O139" s="284"/>
      <c r="P139" s="284"/>
      <c r="Q139" s="284"/>
      <c r="R139" s="284"/>
      <c r="S139" s="288">
        <v>1</v>
      </c>
      <c r="T139" s="288" t="s">
        <v>178</v>
      </c>
      <c r="U139" s="284">
        <v>0</v>
      </c>
      <c r="V139" s="288" t="s">
        <v>135</v>
      </c>
      <c r="W139" s="288" t="s">
        <v>57</v>
      </c>
      <c r="X139" s="288">
        <v>0</v>
      </c>
      <c r="Y139" s="284">
        <v>0.8</v>
      </c>
      <c r="Z139" s="288">
        <f>A139</f>
        <v>0</v>
      </c>
      <c r="AA139" s="79"/>
      <c r="AB139" s="81"/>
      <c r="AC139" s="91"/>
      <c r="AD139" s="81"/>
      <c r="AE139" s="79"/>
      <c r="AF139" s="79"/>
    </row>
    <row r="140" spans="1:32" ht="46.5" thickTop="1" thickBot="1">
      <c r="A140" s="284"/>
      <c r="B140" s="284" t="s">
        <v>846</v>
      </c>
      <c r="C140" s="288"/>
      <c r="D140" s="288">
        <v>5</v>
      </c>
      <c r="E140" s="288">
        <v>2.5</v>
      </c>
      <c r="F140" s="288">
        <v>8</v>
      </c>
      <c r="G140" s="288" t="s">
        <v>46</v>
      </c>
      <c r="H140" s="288" t="s">
        <v>437</v>
      </c>
      <c r="I140" s="288">
        <v>12.3</v>
      </c>
      <c r="J140" s="288">
        <v>0.5</v>
      </c>
      <c r="K140" s="288" t="s">
        <v>314</v>
      </c>
      <c r="L140" s="288" t="s">
        <v>173</v>
      </c>
      <c r="M140" s="288" t="s">
        <v>46</v>
      </c>
      <c r="N140" s="284"/>
      <c r="O140" s="284"/>
      <c r="P140" s="284"/>
      <c r="Q140" s="284"/>
      <c r="R140" s="284"/>
      <c r="S140" s="288">
        <v>1</v>
      </c>
      <c r="T140" s="288" t="s">
        <v>178</v>
      </c>
      <c r="U140" s="284">
        <v>0</v>
      </c>
      <c r="V140" s="288" t="s">
        <v>135</v>
      </c>
      <c r="W140" s="288" t="s">
        <v>57</v>
      </c>
      <c r="X140" s="288">
        <v>0</v>
      </c>
      <c r="Y140" s="284">
        <v>0.8</v>
      </c>
      <c r="Z140" s="288">
        <f>A140</f>
        <v>0</v>
      </c>
      <c r="AA140" s="79"/>
      <c r="AB140" s="81"/>
      <c r="AC140" s="91"/>
      <c r="AD140" s="81"/>
      <c r="AE140" s="79"/>
      <c r="AF140" s="79"/>
    </row>
    <row r="141" spans="1:32" ht="106.5" thickTop="1" thickBot="1">
      <c r="A141" s="284"/>
      <c r="B141" s="284" t="s">
        <v>845</v>
      </c>
      <c r="C141" s="288"/>
      <c r="D141" s="288">
        <v>1.1000000000000001</v>
      </c>
      <c r="E141" s="288">
        <v>0.3</v>
      </c>
      <c r="F141" s="288">
        <v>2</v>
      </c>
      <c r="G141" s="288" t="s">
        <v>46</v>
      </c>
      <c r="H141" s="288" t="s">
        <v>404</v>
      </c>
      <c r="I141" s="288">
        <v>1.9</v>
      </c>
      <c r="J141" s="288">
        <v>0.13</v>
      </c>
      <c r="K141" s="288" t="s">
        <v>316</v>
      </c>
      <c r="L141" s="288" t="s">
        <v>173</v>
      </c>
      <c r="M141" s="288" t="s">
        <v>46</v>
      </c>
      <c r="N141" s="284"/>
      <c r="O141" s="284"/>
      <c r="P141" s="284"/>
      <c r="Q141" s="284"/>
      <c r="R141" s="284"/>
      <c r="S141" s="288">
        <v>1</v>
      </c>
      <c r="T141" s="288" t="s">
        <v>178</v>
      </c>
      <c r="U141" s="284">
        <v>0</v>
      </c>
      <c r="V141" s="288" t="s">
        <v>135</v>
      </c>
      <c r="W141" s="288" t="s">
        <v>57</v>
      </c>
      <c r="X141" s="288">
        <v>0</v>
      </c>
      <c r="Y141" s="284">
        <v>0.8</v>
      </c>
      <c r="Z141" s="288">
        <f>A141</f>
        <v>0</v>
      </c>
      <c r="AA141" s="79"/>
      <c r="AB141" s="81"/>
      <c r="AC141" s="91"/>
      <c r="AD141" s="81"/>
      <c r="AE141" s="79"/>
      <c r="AF141" s="79"/>
    </row>
    <row r="142" spans="1:32" ht="31.5" thickTop="1" thickBot="1">
      <c r="A142" s="284"/>
      <c r="B142" s="284" t="s">
        <v>847</v>
      </c>
      <c r="C142" s="288"/>
      <c r="D142" s="288">
        <v>0.8</v>
      </c>
      <c r="E142" s="288">
        <v>0.5</v>
      </c>
      <c r="F142" s="288">
        <v>2.8</v>
      </c>
      <c r="G142" s="288" t="s">
        <v>46</v>
      </c>
      <c r="H142" s="288" t="s">
        <v>440</v>
      </c>
      <c r="I142" s="288">
        <v>2.16</v>
      </c>
      <c r="J142" s="288">
        <v>0.1</v>
      </c>
      <c r="K142" s="288" t="s">
        <v>321</v>
      </c>
      <c r="L142" s="288" t="s">
        <v>173</v>
      </c>
      <c r="M142" s="288" t="s">
        <v>46</v>
      </c>
      <c r="N142" s="284"/>
      <c r="O142" s="284"/>
      <c r="P142" s="284"/>
      <c r="Q142" s="284"/>
      <c r="R142" s="284"/>
      <c r="S142" s="288">
        <v>1</v>
      </c>
      <c r="T142" s="288" t="s">
        <v>178</v>
      </c>
      <c r="U142" s="284">
        <v>0.27600000000000002</v>
      </c>
      <c r="V142" s="288" t="s">
        <v>135</v>
      </c>
      <c r="W142" s="288" t="s">
        <v>57</v>
      </c>
      <c r="X142" s="288">
        <v>0</v>
      </c>
      <c r="Y142" s="284">
        <v>0.8</v>
      </c>
      <c r="Z142" s="288">
        <f>A142</f>
        <v>0</v>
      </c>
      <c r="AA142" s="79"/>
      <c r="AB142" s="81"/>
      <c r="AC142" s="91"/>
      <c r="AD142" s="81"/>
      <c r="AE142" s="79"/>
      <c r="AF142" s="79"/>
    </row>
    <row r="143" spans="1:32" ht="46.5" thickTop="1" thickBot="1">
      <c r="A143" s="284"/>
      <c r="B143" s="284" t="s">
        <v>848</v>
      </c>
      <c r="C143" s="288"/>
      <c r="D143" s="288">
        <v>0.6</v>
      </c>
      <c r="E143" s="288">
        <v>0.4</v>
      </c>
      <c r="F143" s="288">
        <v>1.6</v>
      </c>
      <c r="G143" s="288" t="s">
        <v>46</v>
      </c>
      <c r="H143" s="288" t="s">
        <v>399</v>
      </c>
      <c r="I143" s="288">
        <v>2.35</v>
      </c>
      <c r="J143" s="288">
        <v>0.1</v>
      </c>
      <c r="K143" s="288" t="s">
        <v>323</v>
      </c>
      <c r="L143" s="288" t="s">
        <v>173</v>
      </c>
      <c r="M143" s="288" t="s">
        <v>46</v>
      </c>
      <c r="N143" s="284"/>
      <c r="O143" s="284"/>
      <c r="P143" s="284"/>
      <c r="Q143" s="284"/>
      <c r="R143" s="284"/>
      <c r="S143" s="288">
        <v>1</v>
      </c>
      <c r="T143" s="288" t="s">
        <v>178</v>
      </c>
      <c r="U143" s="284">
        <v>0</v>
      </c>
      <c r="V143" s="288" t="s">
        <v>135</v>
      </c>
      <c r="W143" s="288" t="s">
        <v>57</v>
      </c>
      <c r="X143" s="288">
        <v>0</v>
      </c>
      <c r="Y143" s="284">
        <v>0.8</v>
      </c>
      <c r="Z143" s="288">
        <f>A143</f>
        <v>0</v>
      </c>
      <c r="AA143" s="79"/>
      <c r="AB143" s="81"/>
      <c r="AC143" s="91"/>
      <c r="AD143" s="81"/>
      <c r="AE143" s="79"/>
      <c r="AF143" s="79"/>
    </row>
    <row r="144" spans="1:32" ht="46.5" thickTop="1" thickBot="1">
      <c r="A144" s="284"/>
      <c r="B144" s="284" t="s">
        <v>850</v>
      </c>
      <c r="C144" s="288"/>
      <c r="D144" s="288">
        <v>1.3</v>
      </c>
      <c r="E144" s="288">
        <v>0.4</v>
      </c>
      <c r="F144" s="288">
        <v>3</v>
      </c>
      <c r="G144" s="288" t="s">
        <v>46</v>
      </c>
      <c r="H144" s="288" t="s">
        <v>399</v>
      </c>
      <c r="I144" s="288">
        <v>2.23</v>
      </c>
      <c r="J144" s="288">
        <v>0.15</v>
      </c>
      <c r="K144" s="288" t="s">
        <v>326</v>
      </c>
      <c r="L144" s="288" t="s">
        <v>173</v>
      </c>
      <c r="M144" s="288" t="s">
        <v>46</v>
      </c>
      <c r="N144" s="284"/>
      <c r="O144" s="284"/>
      <c r="P144" s="284"/>
      <c r="Q144" s="284"/>
      <c r="R144" s="284"/>
      <c r="S144" s="288">
        <v>1</v>
      </c>
      <c r="T144" s="288" t="s">
        <v>178</v>
      </c>
      <c r="U144" s="284">
        <v>0</v>
      </c>
      <c r="V144" s="288" t="s">
        <v>135</v>
      </c>
      <c r="W144" s="288" t="s">
        <v>57</v>
      </c>
      <c r="X144" s="288">
        <v>0</v>
      </c>
      <c r="Y144" s="284">
        <v>0.8</v>
      </c>
      <c r="Z144" s="288">
        <f>A144</f>
        <v>0</v>
      </c>
      <c r="AA144" s="79"/>
      <c r="AB144" s="81"/>
      <c r="AC144" s="79"/>
      <c r="AD144" s="79"/>
      <c r="AE144" s="91"/>
      <c r="AF144" s="81"/>
    </row>
    <row r="145" spans="1:32" ht="16.5" thickTop="1" thickBot="1">
      <c r="A145" s="284"/>
      <c r="B145" s="284" t="s">
        <v>885</v>
      </c>
      <c r="C145" s="288"/>
      <c r="D145" s="288"/>
      <c r="E145" s="288"/>
      <c r="F145" s="288"/>
      <c r="G145" s="288"/>
      <c r="H145" s="288"/>
      <c r="I145" s="288"/>
      <c r="J145" s="288"/>
      <c r="K145" s="288"/>
      <c r="L145" s="288"/>
      <c r="M145" s="288"/>
      <c r="N145" s="284"/>
      <c r="O145" s="284"/>
      <c r="P145" s="284"/>
      <c r="Q145" s="284"/>
      <c r="R145" s="284"/>
      <c r="S145" s="288"/>
      <c r="T145" s="288"/>
      <c r="U145" s="284"/>
      <c r="V145" s="288"/>
      <c r="W145" s="288"/>
      <c r="X145" s="288"/>
      <c r="Y145" s="284"/>
      <c r="Z145" s="288"/>
      <c r="AA145" s="79"/>
      <c r="AB145" s="81"/>
      <c r="AC145" s="79"/>
      <c r="AD145" s="79"/>
      <c r="AE145" s="91"/>
      <c r="AF145" s="81"/>
    </row>
    <row r="146" spans="1:32" ht="16.5" thickTop="1" thickBot="1">
      <c r="A146" s="284"/>
      <c r="B146" s="284" t="s">
        <v>851</v>
      </c>
      <c r="C146" s="288"/>
      <c r="D146" s="288">
        <v>1.4</v>
      </c>
      <c r="E146" s="288">
        <v>0.4</v>
      </c>
      <c r="F146" s="288">
        <v>3</v>
      </c>
      <c r="G146" s="288" t="s">
        <v>46</v>
      </c>
      <c r="H146" s="288"/>
      <c r="I146" s="288">
        <v>21.7</v>
      </c>
      <c r="J146" s="288">
        <v>0.2</v>
      </c>
      <c r="K146" s="288" t="s">
        <v>354</v>
      </c>
      <c r="L146" s="288" t="s">
        <v>173</v>
      </c>
      <c r="M146" s="288" t="s">
        <v>46</v>
      </c>
      <c r="N146" s="284"/>
      <c r="O146" s="284"/>
      <c r="P146" s="284"/>
      <c r="Q146" s="284"/>
      <c r="R146" s="284"/>
      <c r="S146" s="288">
        <v>1</v>
      </c>
      <c r="T146" s="288" t="s">
        <v>178</v>
      </c>
      <c r="U146" s="284">
        <v>0</v>
      </c>
      <c r="V146" s="288" t="s">
        <v>135</v>
      </c>
      <c r="W146" s="288" t="s">
        <v>57</v>
      </c>
      <c r="X146" s="288">
        <v>0</v>
      </c>
      <c r="Y146" s="284">
        <v>0.8</v>
      </c>
      <c r="Z146" s="288">
        <f>A146</f>
        <v>0</v>
      </c>
      <c r="AA146" s="79"/>
      <c r="AB146" s="81"/>
      <c r="AC146" s="79"/>
      <c r="AD146" s="79"/>
      <c r="AE146" s="91"/>
      <c r="AF146" s="81"/>
    </row>
    <row r="147" spans="1:32" ht="16.5" thickTop="1" thickBot="1">
      <c r="A147" s="284"/>
      <c r="B147" s="284"/>
      <c r="C147" s="288"/>
      <c r="D147" s="288"/>
      <c r="E147" s="288"/>
      <c r="F147" s="288"/>
      <c r="G147" s="288"/>
      <c r="H147" s="288"/>
      <c r="I147" s="288"/>
      <c r="J147" s="288"/>
      <c r="K147" s="288"/>
      <c r="L147" s="288"/>
      <c r="M147" s="288"/>
      <c r="N147" s="284"/>
      <c r="O147" s="284"/>
      <c r="P147" s="284"/>
      <c r="Q147" s="284"/>
      <c r="R147" s="284"/>
      <c r="S147" s="288"/>
      <c r="T147" s="288"/>
      <c r="U147" s="284"/>
      <c r="V147" s="288"/>
      <c r="W147" s="288"/>
      <c r="X147" s="288"/>
      <c r="Y147" s="284"/>
      <c r="Z147" s="288"/>
      <c r="AA147" s="79"/>
      <c r="AB147" s="81"/>
      <c r="AC147" s="79"/>
      <c r="AD147" s="79"/>
      <c r="AE147" s="91"/>
      <c r="AF147" s="81"/>
    </row>
    <row r="148" spans="1:32" ht="16.5" thickTop="1" thickBot="1">
      <c r="A148" s="284"/>
      <c r="B148" s="284"/>
      <c r="C148" s="288"/>
      <c r="D148" s="288"/>
      <c r="E148" s="288"/>
      <c r="F148" s="288"/>
      <c r="G148" s="288"/>
      <c r="H148" s="288"/>
      <c r="I148" s="288"/>
      <c r="J148" s="288"/>
      <c r="K148" s="288"/>
      <c r="L148" s="288"/>
      <c r="M148" s="288"/>
      <c r="N148" s="284"/>
      <c r="O148" s="284"/>
      <c r="P148" s="284"/>
      <c r="Q148" s="284"/>
      <c r="R148" s="284"/>
      <c r="S148" s="288"/>
      <c r="T148" s="288"/>
      <c r="U148" s="284"/>
      <c r="V148" s="288"/>
      <c r="W148" s="288"/>
      <c r="X148" s="288"/>
      <c r="Y148" s="284"/>
      <c r="Z148" s="288"/>
      <c r="AA148" s="79"/>
      <c r="AB148" s="81"/>
      <c r="AC148" s="79"/>
      <c r="AD148" s="79"/>
      <c r="AE148" s="91"/>
      <c r="AF148" s="81"/>
    </row>
    <row r="149" spans="1:32" ht="16.5" thickTop="1" thickBot="1">
      <c r="A149" s="341" t="s">
        <v>555</v>
      </c>
      <c r="B149" s="284"/>
      <c r="C149" s="288"/>
      <c r="D149" s="288"/>
      <c r="E149" s="288"/>
      <c r="F149" s="288"/>
      <c r="G149" s="288"/>
      <c r="H149" s="288"/>
      <c r="I149" s="288"/>
      <c r="J149" s="288"/>
      <c r="K149" s="288"/>
      <c r="L149" s="288"/>
      <c r="M149" s="288"/>
      <c r="N149" s="284"/>
      <c r="O149" s="284"/>
      <c r="P149" s="284"/>
      <c r="Q149" s="284"/>
      <c r="R149" s="284"/>
      <c r="S149" s="288"/>
      <c r="T149" s="288"/>
      <c r="U149" s="284"/>
      <c r="V149" s="288"/>
      <c r="W149" s="288"/>
      <c r="X149" s="288"/>
      <c r="Y149" s="284"/>
      <c r="Z149" s="288"/>
      <c r="AA149" s="79"/>
      <c r="AB149" s="81"/>
      <c r="AC149" s="79"/>
      <c r="AD149" s="79"/>
      <c r="AE149" s="91"/>
      <c r="AF149" s="81"/>
    </row>
    <row r="150" spans="1:32" s="83" customFormat="1" ht="31.5" thickTop="1" thickBot="1">
      <c r="A150" s="284"/>
      <c r="B150" s="284" t="s">
        <v>898</v>
      </c>
      <c r="C150" s="288">
        <v>39</v>
      </c>
      <c r="D150" s="288">
        <v>39</v>
      </c>
      <c r="E150" s="288"/>
      <c r="F150" s="288"/>
      <c r="G150" s="288" t="s">
        <v>425</v>
      </c>
      <c r="H150" s="288" t="s">
        <v>461</v>
      </c>
      <c r="I150" s="288"/>
      <c r="J150" s="288">
        <v>1</v>
      </c>
      <c r="K150" s="288" t="str">
        <f>B150</f>
        <v>COVER_CROP_LEGUMES_100</v>
      </c>
      <c r="L150" s="288" t="s">
        <v>172</v>
      </c>
      <c r="M150" s="288" t="s">
        <v>425</v>
      </c>
      <c r="N150" s="284">
        <v>0.28999999999999998</v>
      </c>
      <c r="O150" s="284">
        <v>0</v>
      </c>
      <c r="P150" s="284">
        <v>0.4</v>
      </c>
      <c r="Q150" s="284">
        <v>2.7E-2</v>
      </c>
      <c r="R150" s="284">
        <v>1.9E-2</v>
      </c>
      <c r="S150" s="288">
        <v>1</v>
      </c>
      <c r="T150" s="288" t="s">
        <v>180</v>
      </c>
      <c r="U150" s="284">
        <v>0</v>
      </c>
      <c r="V150" s="288" t="s">
        <v>86</v>
      </c>
      <c r="W150" s="288" t="s">
        <v>60</v>
      </c>
      <c r="X150" s="288">
        <v>1</v>
      </c>
      <c r="Y150" s="284">
        <v>0.8</v>
      </c>
      <c r="Z150" s="288">
        <v>156</v>
      </c>
      <c r="AB150" s="100"/>
      <c r="AE150" s="91"/>
      <c r="AF150" s="100"/>
    </row>
    <row r="151" spans="1:32" s="83" customFormat="1" ht="31.5" thickTop="1" thickBot="1">
      <c r="A151" s="284"/>
      <c r="B151" s="284" t="s">
        <v>899</v>
      </c>
      <c r="C151" s="288">
        <v>8.19</v>
      </c>
      <c r="D151" s="288">
        <v>29.2</v>
      </c>
      <c r="E151" s="288"/>
      <c r="F151" s="288"/>
      <c r="G151" s="288" t="s">
        <v>425</v>
      </c>
      <c r="H151" s="288" t="s">
        <v>461</v>
      </c>
      <c r="I151" s="288"/>
      <c r="J151" s="288">
        <v>1</v>
      </c>
      <c r="K151" s="288" t="str">
        <f t="shared" ref="K151:K152" si="0">B151</f>
        <v>COVER_CROP_LEGUMES_30</v>
      </c>
      <c r="L151" s="288" t="s">
        <v>172</v>
      </c>
      <c r="M151" s="288" t="s">
        <v>425</v>
      </c>
      <c r="N151" s="284">
        <v>0.3</v>
      </c>
      <c r="O151" s="284">
        <v>0</v>
      </c>
      <c r="P151" s="284">
        <v>0.8</v>
      </c>
      <c r="Q151" s="284">
        <v>1.8333333333333333E-2</v>
      </c>
      <c r="R151" s="284">
        <v>1.4333333333333332E-2</v>
      </c>
      <c r="S151" s="288">
        <v>1</v>
      </c>
      <c r="T151" s="288" t="s">
        <v>180</v>
      </c>
      <c r="U151" s="284">
        <v>0</v>
      </c>
      <c r="V151" s="288" t="s">
        <v>86</v>
      </c>
      <c r="W151" s="288" t="s">
        <v>60</v>
      </c>
      <c r="X151" s="288">
        <v>0.3</v>
      </c>
      <c r="Y151" s="284">
        <v>0.8</v>
      </c>
      <c r="Z151" s="288">
        <f>A151</f>
        <v>0</v>
      </c>
      <c r="AB151" s="100"/>
      <c r="AE151" s="91"/>
      <c r="AF151" s="100"/>
    </row>
    <row r="152" spans="1:32" s="83" customFormat="1" ht="31.5" thickTop="1" thickBot="1">
      <c r="A152" s="284"/>
      <c r="B152" s="284" t="s">
        <v>900</v>
      </c>
      <c r="C152" s="288">
        <v>0</v>
      </c>
      <c r="D152" s="288">
        <v>25</v>
      </c>
      <c r="E152" s="288"/>
      <c r="F152" s="288"/>
      <c r="G152" s="288" t="s">
        <v>425</v>
      </c>
      <c r="H152" s="288" t="s">
        <v>461</v>
      </c>
      <c r="I152" s="288"/>
      <c r="J152" s="288">
        <v>1</v>
      </c>
      <c r="K152" s="288" t="str">
        <f t="shared" si="0"/>
        <v>COVER_CROP_GRASS</v>
      </c>
      <c r="L152" s="288" t="s">
        <v>172</v>
      </c>
      <c r="M152" s="288" t="s">
        <v>425</v>
      </c>
      <c r="N152" s="284">
        <v>0.3</v>
      </c>
      <c r="O152" s="284">
        <v>0</v>
      </c>
      <c r="P152" s="284">
        <v>0.54</v>
      </c>
      <c r="Q152" s="284">
        <v>1.4999999999999999E-2</v>
      </c>
      <c r="R152" s="284">
        <v>1.2E-2</v>
      </c>
      <c r="S152" s="288">
        <v>1</v>
      </c>
      <c r="T152" s="288" t="s">
        <v>180</v>
      </c>
      <c r="U152" s="284">
        <v>0</v>
      </c>
      <c r="V152" s="288" t="s">
        <v>86</v>
      </c>
      <c r="W152" s="288" t="s">
        <v>60</v>
      </c>
      <c r="X152" s="288">
        <v>0</v>
      </c>
      <c r="Y152" s="284">
        <v>0.8</v>
      </c>
      <c r="Z152" s="288">
        <f>A152</f>
        <v>0</v>
      </c>
      <c r="AB152" s="100"/>
      <c r="AE152" s="91"/>
      <c r="AF152" s="100"/>
    </row>
    <row r="153" spans="1:32" ht="31.5" thickTop="1" thickBot="1">
      <c r="A153" s="284"/>
      <c r="B153" s="284" t="s">
        <v>901</v>
      </c>
      <c r="C153" s="288">
        <v>39</v>
      </c>
      <c r="D153" s="288">
        <v>39</v>
      </c>
      <c r="E153" s="288">
        <v>8</v>
      </c>
      <c r="F153" s="288">
        <v>31</v>
      </c>
      <c r="G153" s="288" t="s">
        <v>424</v>
      </c>
      <c r="H153" s="288"/>
      <c r="I153" s="288">
        <v>18.399999999999999</v>
      </c>
      <c r="J153" s="288">
        <v>1</v>
      </c>
      <c r="K153" s="288" t="s">
        <v>303</v>
      </c>
      <c r="L153" s="288" t="s">
        <v>174</v>
      </c>
      <c r="M153" s="288" t="s">
        <v>425</v>
      </c>
      <c r="N153" s="284">
        <v>0.28999999999999998</v>
      </c>
      <c r="O153" s="284">
        <v>0</v>
      </c>
      <c r="P153" s="284">
        <v>0.4</v>
      </c>
      <c r="Q153" s="284">
        <v>2.7E-2</v>
      </c>
      <c r="R153" s="284">
        <v>1.9E-2</v>
      </c>
      <c r="S153" s="288">
        <v>1</v>
      </c>
      <c r="T153" s="288" t="s">
        <v>180</v>
      </c>
      <c r="U153" s="284">
        <v>0</v>
      </c>
      <c r="V153" s="288" t="s">
        <v>86</v>
      </c>
      <c r="W153" s="288" t="s">
        <v>60</v>
      </c>
      <c r="X153" s="288">
        <v>1</v>
      </c>
      <c r="Y153" s="284">
        <v>0.8</v>
      </c>
      <c r="Z153" s="288">
        <f t="shared" ref="Z153:Z155" si="1">A153</f>
        <v>0</v>
      </c>
      <c r="AA153" s="79"/>
      <c r="AB153" s="81"/>
      <c r="AC153" s="79"/>
      <c r="AD153" s="79"/>
      <c r="AE153" s="91"/>
      <c r="AF153" s="81"/>
    </row>
    <row r="154" spans="1:32" ht="31.5" thickTop="1" thickBot="1">
      <c r="A154" s="284"/>
      <c r="B154" s="284" t="s">
        <v>902</v>
      </c>
      <c r="C154" s="288">
        <v>8.19</v>
      </c>
      <c r="D154" s="288">
        <v>29.2</v>
      </c>
      <c r="E154" s="288">
        <v>8</v>
      </c>
      <c r="F154" s="288">
        <v>31</v>
      </c>
      <c r="G154" s="288" t="s">
        <v>424</v>
      </c>
      <c r="H154" s="288"/>
      <c r="I154" s="288">
        <v>18.399999999999999</v>
      </c>
      <c r="J154" s="288">
        <v>1</v>
      </c>
      <c r="K154" s="288" t="s">
        <v>310</v>
      </c>
      <c r="L154" s="288" t="s">
        <v>174</v>
      </c>
      <c r="M154" s="288" t="s">
        <v>425</v>
      </c>
      <c r="N154" s="284">
        <v>0.3</v>
      </c>
      <c r="O154" s="284">
        <v>0</v>
      </c>
      <c r="P154" s="284">
        <v>0.8</v>
      </c>
      <c r="Q154" s="284">
        <v>1.8333333333333333E-2</v>
      </c>
      <c r="R154" s="284">
        <v>1.4333333333333332E-2</v>
      </c>
      <c r="S154" s="288">
        <v>1</v>
      </c>
      <c r="T154" s="288" t="s">
        <v>180</v>
      </c>
      <c r="U154" s="284">
        <v>0</v>
      </c>
      <c r="V154" s="288" t="s">
        <v>86</v>
      </c>
      <c r="W154" s="288" t="s">
        <v>60</v>
      </c>
      <c r="X154" s="288">
        <v>0.3</v>
      </c>
      <c r="Y154" s="284">
        <v>0.8</v>
      </c>
      <c r="Z154" s="288">
        <f t="shared" si="1"/>
        <v>0</v>
      </c>
      <c r="AA154" s="79"/>
      <c r="AB154" s="81"/>
      <c r="AC154" s="79"/>
      <c r="AD154" s="79"/>
      <c r="AE154" s="91"/>
      <c r="AF154" s="81"/>
    </row>
    <row r="155" spans="1:32" ht="46.5" thickTop="1" thickBot="1">
      <c r="A155" s="284"/>
      <c r="B155" s="284" t="s">
        <v>903</v>
      </c>
      <c r="C155" s="288"/>
      <c r="D155" s="288">
        <v>25</v>
      </c>
      <c r="E155" s="288">
        <v>8</v>
      </c>
      <c r="F155" s="288">
        <v>31</v>
      </c>
      <c r="G155" s="288" t="s">
        <v>424</v>
      </c>
      <c r="H155" s="288" t="s">
        <v>432</v>
      </c>
      <c r="I155" s="288">
        <v>18.399999999999999</v>
      </c>
      <c r="J155" s="288">
        <v>1</v>
      </c>
      <c r="K155" s="288" t="s">
        <v>317</v>
      </c>
      <c r="L155" s="288" t="s">
        <v>174</v>
      </c>
      <c r="M155" s="288" t="s">
        <v>425</v>
      </c>
      <c r="N155" s="284">
        <v>0.3</v>
      </c>
      <c r="O155" s="284">
        <v>0</v>
      </c>
      <c r="P155" s="284">
        <v>0.54</v>
      </c>
      <c r="Q155" s="284">
        <v>1.4999999999999999E-2</v>
      </c>
      <c r="R155" s="284">
        <v>1.2E-2</v>
      </c>
      <c r="S155" s="288">
        <v>1</v>
      </c>
      <c r="T155" s="288" t="s">
        <v>180</v>
      </c>
      <c r="U155" s="284">
        <v>0</v>
      </c>
      <c r="V155" s="288" t="s">
        <v>86</v>
      </c>
      <c r="W155" s="288" t="s">
        <v>60</v>
      </c>
      <c r="X155" s="288">
        <v>0</v>
      </c>
      <c r="Y155" s="284">
        <v>0.8</v>
      </c>
      <c r="Z155" s="288">
        <f t="shared" si="1"/>
        <v>0</v>
      </c>
      <c r="AA155" s="79"/>
      <c r="AB155" s="81"/>
      <c r="AC155" s="79"/>
      <c r="AD155" s="79"/>
      <c r="AE155" s="91"/>
      <c r="AF155" s="81"/>
    </row>
    <row r="156" spans="1:32" s="82" customFormat="1" ht="31.5" thickTop="1" thickBot="1">
      <c r="A156" s="284"/>
      <c r="B156" s="284" t="s">
        <v>904</v>
      </c>
      <c r="C156" s="288"/>
      <c r="D156" s="288"/>
      <c r="E156" s="288"/>
      <c r="F156" s="288"/>
      <c r="G156" s="288" t="s">
        <v>226</v>
      </c>
      <c r="H156" s="288"/>
      <c r="I156" s="288">
        <v>18.399999999999999</v>
      </c>
      <c r="J156" s="288">
        <v>1</v>
      </c>
      <c r="K156" s="288" t="s">
        <v>288</v>
      </c>
      <c r="L156" s="288" t="s">
        <v>174</v>
      </c>
      <c r="M156" s="288" t="s">
        <v>226</v>
      </c>
      <c r="N156" s="284"/>
      <c r="O156" s="284"/>
      <c r="P156" s="284"/>
      <c r="Q156" s="284"/>
      <c r="R156" s="284"/>
      <c r="S156" s="288"/>
      <c r="T156" s="288" t="s">
        <v>181</v>
      </c>
      <c r="U156" s="284">
        <v>0</v>
      </c>
      <c r="V156" s="288" t="s">
        <v>86</v>
      </c>
      <c r="W156" s="288" t="s">
        <v>57</v>
      </c>
      <c r="X156" s="288">
        <v>0</v>
      </c>
      <c r="Y156" s="284">
        <v>0.8</v>
      </c>
      <c r="Z156" s="288">
        <f>A156</f>
        <v>0</v>
      </c>
      <c r="AB156" s="92"/>
      <c r="AC156" s="93"/>
      <c r="AD156" s="92"/>
    </row>
    <row r="157" spans="1:32" ht="31.5" thickTop="1" thickBot="1">
      <c r="A157" s="284"/>
      <c r="B157" s="284" t="s">
        <v>906</v>
      </c>
      <c r="C157" s="288">
        <v>4.0999999999999996</v>
      </c>
      <c r="D157" s="288">
        <v>27.1</v>
      </c>
      <c r="E157" s="288">
        <v>8</v>
      </c>
      <c r="F157" s="288">
        <v>31</v>
      </c>
      <c r="G157" s="288" t="s">
        <v>424</v>
      </c>
      <c r="H157" s="288" t="s">
        <v>432</v>
      </c>
      <c r="I157" s="288">
        <v>18.399999999999999</v>
      </c>
      <c r="J157" s="288">
        <v>1</v>
      </c>
      <c r="K157" s="288" t="s">
        <v>306</v>
      </c>
      <c r="L157" s="288" t="s">
        <v>175</v>
      </c>
      <c r="M157" s="288" t="s">
        <v>425</v>
      </c>
      <c r="N157" s="284">
        <v>0.3</v>
      </c>
      <c r="O157" s="284">
        <v>0</v>
      </c>
      <c r="P157" s="284">
        <v>0.8</v>
      </c>
      <c r="Q157" s="284">
        <v>1.4999999999999999E-2</v>
      </c>
      <c r="R157" s="284">
        <v>1.2E-2</v>
      </c>
      <c r="S157" s="288">
        <v>1</v>
      </c>
      <c r="T157" s="288" t="s">
        <v>180</v>
      </c>
      <c r="U157" s="284">
        <v>0</v>
      </c>
      <c r="V157" s="288" t="s">
        <v>433</v>
      </c>
      <c r="W157" s="288" t="s">
        <v>60</v>
      </c>
      <c r="X157" s="288">
        <v>0.21</v>
      </c>
      <c r="Y157" s="284">
        <v>0.8</v>
      </c>
      <c r="Z157" s="288">
        <f>A157</f>
        <v>0</v>
      </c>
      <c r="AA157" s="79"/>
      <c r="AB157" s="81"/>
      <c r="AC157" s="91"/>
      <c r="AD157" s="81"/>
      <c r="AE157" s="79"/>
      <c r="AF157" s="79"/>
    </row>
    <row r="158" spans="1:32" ht="31.5" thickTop="1" thickBot="1">
      <c r="A158" s="284"/>
      <c r="B158" s="284" t="s">
        <v>905</v>
      </c>
      <c r="C158" s="288">
        <v>4.0999999999999996</v>
      </c>
      <c r="D158" s="288">
        <v>27.1</v>
      </c>
      <c r="E158" s="288">
        <v>8</v>
      </c>
      <c r="F158" s="288">
        <v>31</v>
      </c>
      <c r="G158" s="288" t="s">
        <v>424</v>
      </c>
      <c r="H158" s="288" t="s">
        <v>432</v>
      </c>
      <c r="I158" s="288">
        <v>18.399999999999999</v>
      </c>
      <c r="J158" s="288">
        <v>1</v>
      </c>
      <c r="K158" s="288" t="s">
        <v>311</v>
      </c>
      <c r="L158" s="288" t="s">
        <v>175</v>
      </c>
      <c r="M158" s="288" t="s">
        <v>425</v>
      </c>
      <c r="N158" s="284">
        <v>0.3</v>
      </c>
      <c r="O158" s="284">
        <v>0</v>
      </c>
      <c r="P158" s="284">
        <v>0.8</v>
      </c>
      <c r="Q158" s="284">
        <v>1.4999999999999999E-2</v>
      </c>
      <c r="R158" s="284">
        <v>1.2E-2</v>
      </c>
      <c r="S158" s="288">
        <v>1</v>
      </c>
      <c r="T158" s="288" t="s">
        <v>180</v>
      </c>
      <c r="U158" s="284">
        <v>0</v>
      </c>
      <c r="V158" s="288" t="s">
        <v>433</v>
      </c>
      <c r="W158" s="288" t="s">
        <v>57</v>
      </c>
      <c r="X158" s="288">
        <v>0.21</v>
      </c>
      <c r="Y158" s="284">
        <v>0.8</v>
      </c>
      <c r="Z158" s="288">
        <f>A158</f>
        <v>0</v>
      </c>
      <c r="AA158" s="79"/>
      <c r="AB158" s="81"/>
      <c r="AC158" s="91"/>
      <c r="AD158" s="81"/>
      <c r="AE158" s="79"/>
      <c r="AF158" s="79"/>
    </row>
    <row r="159" spans="1:32" s="94" customFormat="1" ht="31.5" thickTop="1" thickBot="1">
      <c r="A159" s="284"/>
      <c r="B159" s="284" t="s">
        <v>907</v>
      </c>
      <c r="C159" s="288"/>
      <c r="D159" s="288">
        <v>27.1</v>
      </c>
      <c r="E159" s="288">
        <v>8</v>
      </c>
      <c r="F159" s="288">
        <v>31</v>
      </c>
      <c r="G159" s="288" t="s">
        <v>424</v>
      </c>
      <c r="H159" s="288"/>
      <c r="I159" s="288">
        <v>18.399999999999999</v>
      </c>
      <c r="J159" s="288">
        <v>1</v>
      </c>
      <c r="K159" s="288" t="s">
        <v>313</v>
      </c>
      <c r="L159" s="288" t="s">
        <v>175</v>
      </c>
      <c r="M159" s="288" t="s">
        <v>425</v>
      </c>
      <c r="N159" s="284">
        <v>0.3</v>
      </c>
      <c r="O159" s="284">
        <v>0</v>
      </c>
      <c r="P159" s="284">
        <v>0.8</v>
      </c>
      <c r="Q159" s="284">
        <v>1.4999999999999999E-2</v>
      </c>
      <c r="R159" s="284">
        <v>1.2E-2</v>
      </c>
      <c r="S159" s="288">
        <v>1</v>
      </c>
      <c r="T159" s="288" t="s">
        <v>180</v>
      </c>
      <c r="U159" s="284">
        <v>0</v>
      </c>
      <c r="V159" s="288" t="s">
        <v>433</v>
      </c>
      <c r="W159" s="288" t="s">
        <v>60</v>
      </c>
      <c r="X159" s="288">
        <v>0.21</v>
      </c>
      <c r="Y159" s="284">
        <v>0.8</v>
      </c>
      <c r="Z159" s="288">
        <f>A159</f>
        <v>0</v>
      </c>
      <c r="AB159" s="95"/>
      <c r="AC159" s="93"/>
      <c r="AD159" s="95"/>
    </row>
    <row r="160" spans="1:32" ht="15.75" thickTop="1">
      <c r="A160" s="76"/>
      <c r="B160" s="98"/>
      <c r="C160" s="101"/>
      <c r="D160" s="101"/>
      <c r="E160" s="101"/>
      <c r="F160" s="101"/>
      <c r="G160" s="101"/>
      <c r="H160" s="101"/>
      <c r="I160" s="96"/>
      <c r="J160" s="99"/>
      <c r="K160" s="99"/>
      <c r="L160" s="96"/>
      <c r="M160" s="101"/>
      <c r="N160" s="101"/>
      <c r="O160" s="101"/>
      <c r="P160" s="101"/>
      <c r="Q160" s="101"/>
      <c r="R160" s="101"/>
      <c r="S160" s="97"/>
      <c r="T160" s="101"/>
      <c r="U160" s="90"/>
      <c r="V160" s="79"/>
      <c r="W160" s="79"/>
      <c r="X160" s="31"/>
      <c r="Y160" s="79"/>
      <c r="Z160" s="79">
        <f t="shared" ref="Z160:Z193" si="2">A160</f>
        <v>0</v>
      </c>
      <c r="AA160" s="79"/>
      <c r="AB160" s="81"/>
      <c r="AC160" s="79"/>
      <c r="AD160" s="79"/>
      <c r="AE160" s="91"/>
      <c r="AF160" s="81"/>
    </row>
    <row r="161" spans="1:32">
      <c r="A161" s="76"/>
      <c r="B161" s="98"/>
      <c r="C161" s="101"/>
      <c r="D161" s="101"/>
      <c r="E161" s="101"/>
      <c r="F161" s="101"/>
      <c r="G161" s="101"/>
      <c r="H161" s="101"/>
      <c r="I161" s="96"/>
      <c r="J161" s="99"/>
      <c r="K161" s="99"/>
      <c r="L161" s="96"/>
      <c r="M161" s="101"/>
      <c r="N161" s="101"/>
      <c r="O161" s="101"/>
      <c r="P161" s="101"/>
      <c r="Q161" s="101"/>
      <c r="R161" s="101"/>
      <c r="S161" s="97"/>
      <c r="T161" s="101"/>
      <c r="U161" s="80"/>
      <c r="V161" s="79"/>
      <c r="W161" s="79"/>
      <c r="X161" s="31"/>
      <c r="Y161" s="79"/>
      <c r="Z161" s="79">
        <f t="shared" si="2"/>
        <v>0</v>
      </c>
      <c r="AA161" s="79"/>
      <c r="AB161" s="81"/>
      <c r="AC161" s="79"/>
      <c r="AD161" s="79"/>
      <c r="AE161" s="91"/>
      <c r="AF161" s="81"/>
    </row>
    <row r="162" spans="1:32">
      <c r="A162" s="76"/>
      <c r="B162" s="98"/>
      <c r="C162" s="101"/>
      <c r="D162" s="101"/>
      <c r="E162" s="101"/>
      <c r="F162" s="101"/>
      <c r="G162" s="101"/>
      <c r="H162" s="101"/>
      <c r="I162" s="96"/>
      <c r="J162" s="99"/>
      <c r="K162" s="99"/>
      <c r="L162" s="96"/>
      <c r="M162" s="101"/>
      <c r="N162" s="101"/>
      <c r="O162" s="101"/>
      <c r="P162" s="101"/>
      <c r="Q162" s="101"/>
      <c r="R162" s="101"/>
      <c r="S162" s="97"/>
      <c r="T162" s="101"/>
      <c r="U162" s="80"/>
      <c r="V162" s="79"/>
      <c r="W162" s="79"/>
      <c r="X162" s="31"/>
      <c r="Y162" s="79"/>
      <c r="Z162" s="79">
        <f t="shared" si="2"/>
        <v>0</v>
      </c>
      <c r="AA162" s="79"/>
      <c r="AB162" s="81"/>
      <c r="AC162" s="79"/>
      <c r="AD162" s="79"/>
      <c r="AE162" s="91"/>
      <c r="AF162" s="81"/>
    </row>
    <row r="163" spans="1:32">
      <c r="A163" s="76"/>
      <c r="B163" s="98"/>
      <c r="C163" s="101"/>
      <c r="D163" s="101"/>
      <c r="E163" s="101"/>
      <c r="F163" s="101"/>
      <c r="G163" s="101"/>
      <c r="H163" s="101"/>
      <c r="I163" s="96"/>
      <c r="J163" s="99"/>
      <c r="K163" s="99"/>
      <c r="L163" s="96"/>
      <c r="M163" s="101"/>
      <c r="N163" s="101"/>
      <c r="O163" s="101"/>
      <c r="P163" s="101"/>
      <c r="Q163" s="101"/>
      <c r="R163" s="101"/>
      <c r="S163" s="97"/>
      <c r="T163" s="101"/>
      <c r="U163" s="80"/>
      <c r="V163" s="79"/>
      <c r="W163" s="79"/>
      <c r="X163" s="31"/>
      <c r="Y163" s="79"/>
      <c r="Z163" s="79">
        <f t="shared" si="2"/>
        <v>0</v>
      </c>
      <c r="AA163" s="79"/>
      <c r="AB163" s="81"/>
      <c r="AC163" s="79"/>
      <c r="AD163" s="79"/>
      <c r="AE163" s="91"/>
      <c r="AF163" s="81"/>
    </row>
    <row r="164" spans="1:32">
      <c r="A164" s="76"/>
      <c r="B164" s="101"/>
      <c r="C164" s="101"/>
      <c r="D164" s="101"/>
      <c r="E164" s="101"/>
      <c r="F164" s="101"/>
      <c r="G164" s="101"/>
      <c r="H164" s="101"/>
      <c r="I164" s="96"/>
      <c r="J164" s="99"/>
      <c r="K164" s="99"/>
      <c r="L164" s="96"/>
      <c r="M164" s="101"/>
      <c r="N164" s="101"/>
      <c r="O164" s="101"/>
      <c r="P164" s="101"/>
      <c r="Q164" s="101"/>
      <c r="R164" s="101"/>
      <c r="S164" s="97"/>
      <c r="T164" s="101"/>
      <c r="U164" s="80"/>
      <c r="V164" s="79"/>
      <c r="W164" s="79"/>
      <c r="X164" s="31"/>
      <c r="Y164" s="79"/>
      <c r="Z164" s="79">
        <f t="shared" si="2"/>
        <v>0</v>
      </c>
      <c r="AA164" s="79"/>
      <c r="AB164" s="81"/>
      <c r="AC164" s="79"/>
      <c r="AD164" s="79"/>
      <c r="AE164" s="91"/>
      <c r="AF164" s="81"/>
    </row>
    <row r="165" spans="1:32">
      <c r="A165" s="76"/>
      <c r="B165" s="101"/>
      <c r="C165" s="101"/>
      <c r="D165" s="101"/>
      <c r="E165" s="101"/>
      <c r="F165" s="101"/>
      <c r="G165" s="101"/>
      <c r="H165" s="101"/>
      <c r="I165" s="96"/>
      <c r="J165" s="99"/>
      <c r="K165" s="99"/>
      <c r="L165" s="96"/>
      <c r="M165" s="101"/>
      <c r="N165" s="101"/>
      <c r="O165" s="101"/>
      <c r="P165" s="101"/>
      <c r="Q165" s="101"/>
      <c r="R165" s="101"/>
      <c r="S165" s="97"/>
      <c r="T165" s="101"/>
      <c r="U165" s="80"/>
      <c r="V165" s="79"/>
      <c r="W165" s="79"/>
      <c r="X165" s="31"/>
      <c r="Y165" s="79"/>
      <c r="Z165" s="79">
        <f t="shared" si="2"/>
        <v>0</v>
      </c>
      <c r="AA165" s="79"/>
      <c r="AB165" s="81"/>
      <c r="AC165" s="79"/>
      <c r="AD165" s="79"/>
      <c r="AE165" s="91"/>
      <c r="AF165" s="81"/>
    </row>
    <row r="166" spans="1:32">
      <c r="A166" s="76">
        <v>166</v>
      </c>
      <c r="B166" s="101"/>
      <c r="C166" s="101"/>
      <c r="D166" s="101"/>
      <c r="E166" s="101"/>
      <c r="F166" s="101"/>
      <c r="G166" s="101"/>
      <c r="H166" s="101"/>
      <c r="I166" s="96"/>
      <c r="J166" s="99"/>
      <c r="K166" s="99"/>
      <c r="L166" s="96"/>
      <c r="M166" s="101"/>
      <c r="N166" s="101"/>
      <c r="O166" s="101"/>
      <c r="P166" s="101"/>
      <c r="Q166" s="101"/>
      <c r="R166" s="101"/>
      <c r="S166" s="97"/>
      <c r="T166" s="101"/>
      <c r="U166" s="80"/>
      <c r="V166" s="79"/>
      <c r="W166" s="79"/>
      <c r="X166" s="31"/>
      <c r="Y166" s="79"/>
      <c r="Z166" s="79">
        <f t="shared" si="2"/>
        <v>166</v>
      </c>
      <c r="AA166" s="79"/>
      <c r="AB166" s="81"/>
      <c r="AC166" s="79"/>
      <c r="AD166" s="79"/>
      <c r="AE166" s="91"/>
      <c r="AF166" s="81"/>
    </row>
    <row r="167" spans="1:32">
      <c r="A167" s="76">
        <v>167</v>
      </c>
      <c r="B167" s="101"/>
      <c r="C167" s="101"/>
      <c r="D167" s="101"/>
      <c r="E167" s="101"/>
      <c r="F167" s="101"/>
      <c r="G167" s="101"/>
      <c r="H167" s="101"/>
      <c r="I167" s="96"/>
      <c r="J167" s="99"/>
      <c r="K167" s="99"/>
      <c r="L167" s="96"/>
      <c r="M167" s="101"/>
      <c r="N167" s="101"/>
      <c r="O167" s="101"/>
      <c r="P167" s="101"/>
      <c r="Q167" s="101"/>
      <c r="R167" s="101"/>
      <c r="S167" s="97"/>
      <c r="T167" s="101"/>
      <c r="U167" s="80"/>
      <c r="V167" s="79"/>
      <c r="W167" s="79"/>
      <c r="X167" s="31"/>
      <c r="Y167" s="79"/>
      <c r="Z167" s="79">
        <f t="shared" si="2"/>
        <v>167</v>
      </c>
      <c r="AA167" s="79"/>
      <c r="AB167" s="81"/>
      <c r="AC167" s="79"/>
      <c r="AD167" s="79"/>
      <c r="AE167" s="91"/>
      <c r="AF167" s="81"/>
    </row>
    <row r="168" spans="1:32">
      <c r="A168" s="76">
        <v>168</v>
      </c>
      <c r="B168" s="101"/>
      <c r="C168" s="101"/>
      <c r="D168" s="101"/>
      <c r="E168" s="101"/>
      <c r="F168" s="101"/>
      <c r="G168" s="101"/>
      <c r="H168" s="101"/>
      <c r="I168" s="96"/>
      <c r="J168" s="99"/>
      <c r="K168" s="99"/>
      <c r="L168" s="96"/>
      <c r="M168" s="101"/>
      <c r="N168" s="101"/>
      <c r="O168" s="101"/>
      <c r="P168" s="101"/>
      <c r="Q168" s="101"/>
      <c r="R168" s="101"/>
      <c r="S168" s="97"/>
      <c r="T168" s="101"/>
      <c r="U168" s="80"/>
      <c r="V168" s="79"/>
      <c r="W168" s="79"/>
      <c r="X168" s="31"/>
      <c r="Y168" s="79"/>
      <c r="Z168" s="79">
        <f t="shared" si="2"/>
        <v>168</v>
      </c>
      <c r="AA168" s="79"/>
      <c r="AB168" s="81"/>
      <c r="AC168" s="79"/>
      <c r="AD168" s="79"/>
      <c r="AE168" s="91"/>
      <c r="AF168" s="81"/>
    </row>
    <row r="169" spans="1:32">
      <c r="A169" s="76">
        <v>169</v>
      </c>
      <c r="B169" s="101"/>
      <c r="C169" s="101"/>
      <c r="D169" s="101"/>
      <c r="E169" s="101"/>
      <c r="F169" s="101"/>
      <c r="G169" s="101"/>
      <c r="H169" s="101"/>
      <c r="I169" s="96"/>
      <c r="J169" s="99"/>
      <c r="K169" s="99"/>
      <c r="L169" s="96"/>
      <c r="M169" s="101"/>
      <c r="N169" s="101"/>
      <c r="O169" s="101"/>
      <c r="P169" s="101"/>
      <c r="Q169" s="101"/>
      <c r="R169" s="101"/>
      <c r="S169" s="97"/>
      <c r="T169" s="101"/>
      <c r="U169" s="80"/>
      <c r="V169" s="79"/>
      <c r="W169" s="79"/>
      <c r="X169" s="79"/>
      <c r="Y169" s="79"/>
      <c r="Z169" s="79">
        <f t="shared" si="2"/>
        <v>169</v>
      </c>
      <c r="AA169" s="79"/>
      <c r="AB169" s="81"/>
      <c r="AC169" s="79"/>
      <c r="AD169" s="79"/>
      <c r="AE169" s="91"/>
      <c r="AF169" s="81"/>
    </row>
    <row r="170" spans="1:32">
      <c r="A170" s="76">
        <v>170</v>
      </c>
      <c r="B170" s="101"/>
      <c r="C170" s="101"/>
      <c r="D170" s="101"/>
      <c r="E170" s="101"/>
      <c r="F170" s="101"/>
      <c r="G170" s="101"/>
      <c r="H170" s="101"/>
      <c r="I170" s="96"/>
      <c r="J170" s="99"/>
      <c r="K170" s="99"/>
      <c r="L170" s="96"/>
      <c r="M170" s="101"/>
      <c r="N170" s="101"/>
      <c r="O170" s="101"/>
      <c r="P170" s="101"/>
      <c r="Q170" s="101"/>
      <c r="R170" s="101"/>
      <c r="S170" s="97"/>
      <c r="T170" s="101"/>
      <c r="U170" s="80"/>
      <c r="V170" s="79"/>
      <c r="W170" s="79"/>
      <c r="X170" s="79"/>
      <c r="Y170" s="79"/>
      <c r="Z170" s="79">
        <f t="shared" si="2"/>
        <v>170</v>
      </c>
      <c r="AA170" s="79"/>
      <c r="AB170" s="81"/>
      <c r="AC170" s="79"/>
      <c r="AD170" s="79"/>
      <c r="AE170" s="91"/>
      <c r="AF170" s="81"/>
    </row>
    <row r="171" spans="1:32">
      <c r="A171" s="76">
        <v>171</v>
      </c>
      <c r="B171" s="101"/>
      <c r="C171" s="101"/>
      <c r="D171" s="101"/>
      <c r="E171" s="101"/>
      <c r="F171" s="101"/>
      <c r="G171" s="101"/>
      <c r="H171" s="101"/>
      <c r="I171" s="96"/>
      <c r="J171" s="99"/>
      <c r="K171" s="99"/>
      <c r="L171" s="96"/>
      <c r="M171" s="101"/>
      <c r="N171" s="101"/>
      <c r="O171" s="101"/>
      <c r="P171" s="101"/>
      <c r="Q171" s="101"/>
      <c r="R171" s="101"/>
      <c r="S171" s="97"/>
      <c r="T171" s="101"/>
      <c r="U171" s="80"/>
      <c r="V171" s="79"/>
      <c r="W171" s="79"/>
      <c r="X171" s="79"/>
      <c r="Y171" s="79"/>
      <c r="Z171" s="79">
        <f t="shared" si="2"/>
        <v>171</v>
      </c>
      <c r="AA171" s="79"/>
      <c r="AB171" s="81"/>
      <c r="AC171" s="79"/>
      <c r="AD171" s="79"/>
      <c r="AE171" s="91"/>
      <c r="AF171" s="81"/>
    </row>
    <row r="172" spans="1:32">
      <c r="A172" s="76">
        <v>172</v>
      </c>
      <c r="B172" s="101"/>
      <c r="C172" s="101"/>
      <c r="D172" s="101"/>
      <c r="E172" s="101"/>
      <c r="F172" s="101"/>
      <c r="G172" s="101"/>
      <c r="H172" s="101"/>
      <c r="I172" s="96"/>
      <c r="J172" s="99"/>
      <c r="K172" s="99"/>
      <c r="L172" s="96"/>
      <c r="M172" s="101"/>
      <c r="N172" s="101"/>
      <c r="O172" s="101"/>
      <c r="P172" s="101"/>
      <c r="Q172" s="101"/>
      <c r="R172" s="101"/>
      <c r="S172" s="97"/>
      <c r="T172" s="101"/>
      <c r="U172" s="80"/>
      <c r="V172" s="79"/>
      <c r="W172" s="79"/>
      <c r="X172" s="79"/>
      <c r="Y172" s="79"/>
      <c r="Z172" s="79">
        <f t="shared" si="2"/>
        <v>172</v>
      </c>
      <c r="AA172" s="79"/>
      <c r="AB172" s="81"/>
      <c r="AC172" s="79"/>
      <c r="AD172" s="79"/>
      <c r="AE172" s="91"/>
      <c r="AF172" s="81"/>
    </row>
    <row r="173" spans="1:32">
      <c r="A173" s="76">
        <v>173</v>
      </c>
      <c r="B173" s="101"/>
      <c r="C173" s="101"/>
      <c r="D173" s="101"/>
      <c r="E173" s="101"/>
      <c r="F173" s="101"/>
      <c r="G173" s="101"/>
      <c r="H173" s="101"/>
      <c r="I173" s="96"/>
      <c r="J173" s="99"/>
      <c r="K173" s="99"/>
      <c r="L173" s="96"/>
      <c r="M173" s="101"/>
      <c r="N173" s="101"/>
      <c r="O173" s="101"/>
      <c r="P173" s="101"/>
      <c r="Q173" s="101"/>
      <c r="R173" s="101"/>
      <c r="S173" s="97"/>
      <c r="T173" s="101"/>
      <c r="U173" s="80"/>
      <c r="V173" s="79"/>
      <c r="W173" s="79"/>
      <c r="X173" s="79"/>
      <c r="Y173" s="79"/>
      <c r="Z173" s="79">
        <f t="shared" si="2"/>
        <v>173</v>
      </c>
      <c r="AA173" s="79"/>
      <c r="AB173" s="81"/>
      <c r="AC173" s="79"/>
      <c r="AD173" s="79"/>
      <c r="AE173" s="91"/>
    </row>
    <row r="174" spans="1:32">
      <c r="A174" s="76">
        <v>174</v>
      </c>
      <c r="B174" s="101"/>
      <c r="C174" s="101"/>
      <c r="D174" s="101"/>
      <c r="E174" s="101"/>
      <c r="F174" s="101"/>
      <c r="G174" s="101"/>
      <c r="H174" s="101"/>
      <c r="I174" s="96"/>
      <c r="J174" s="99"/>
      <c r="K174" s="99"/>
      <c r="L174" s="96"/>
      <c r="M174" s="101"/>
      <c r="N174" s="101"/>
      <c r="O174" s="101"/>
      <c r="P174" s="101"/>
      <c r="Q174" s="101"/>
      <c r="R174" s="101"/>
      <c r="S174" s="97"/>
      <c r="T174" s="101"/>
      <c r="U174" s="80"/>
      <c r="V174" s="79"/>
      <c r="W174" s="79"/>
      <c r="X174" s="79"/>
      <c r="Y174" s="79"/>
      <c r="Z174" s="79">
        <f t="shared" si="2"/>
        <v>174</v>
      </c>
      <c r="AA174" s="79"/>
      <c r="AB174" s="81"/>
      <c r="AC174" s="79"/>
      <c r="AD174" s="79"/>
      <c r="AE174" s="91"/>
    </row>
    <row r="175" spans="1:32">
      <c r="A175" s="76">
        <v>175</v>
      </c>
      <c r="B175" s="101"/>
      <c r="C175" s="101"/>
      <c r="D175" s="101"/>
      <c r="E175" s="101"/>
      <c r="F175" s="101"/>
      <c r="G175" s="101"/>
      <c r="H175" s="101"/>
      <c r="I175" s="96"/>
      <c r="J175" s="99"/>
      <c r="K175" s="99"/>
      <c r="L175" s="96"/>
      <c r="M175" s="101"/>
      <c r="N175" s="101"/>
      <c r="O175" s="101"/>
      <c r="P175" s="101"/>
      <c r="Q175" s="101"/>
      <c r="R175" s="101"/>
      <c r="S175" s="97"/>
      <c r="T175" s="101"/>
      <c r="U175" s="80"/>
      <c r="V175" s="79"/>
      <c r="W175" s="79"/>
      <c r="X175" s="79"/>
      <c r="Y175" s="79"/>
      <c r="Z175" s="79">
        <f t="shared" si="2"/>
        <v>175</v>
      </c>
      <c r="AA175" s="79"/>
      <c r="AB175" s="81"/>
      <c r="AC175" s="79"/>
      <c r="AD175" s="79"/>
      <c r="AE175" s="91"/>
    </row>
    <row r="176" spans="1:32">
      <c r="A176" s="76">
        <v>176</v>
      </c>
      <c r="B176" s="101"/>
      <c r="C176" s="101"/>
      <c r="D176" s="101"/>
      <c r="E176" s="101"/>
      <c r="F176" s="101"/>
      <c r="G176" s="101"/>
      <c r="H176" s="101"/>
      <c r="I176" s="96"/>
      <c r="J176" s="99"/>
      <c r="K176" s="99"/>
      <c r="L176" s="96"/>
      <c r="M176" s="101"/>
      <c r="N176" s="101"/>
      <c r="O176" s="101"/>
      <c r="P176" s="101"/>
      <c r="Q176" s="101"/>
      <c r="R176" s="101"/>
      <c r="S176" s="97"/>
      <c r="T176" s="101"/>
      <c r="U176" s="80"/>
      <c r="V176" s="79"/>
      <c r="W176" s="79"/>
      <c r="X176" s="79"/>
      <c r="Y176" s="79"/>
      <c r="Z176" s="79">
        <f t="shared" si="2"/>
        <v>176</v>
      </c>
      <c r="AA176" s="79"/>
      <c r="AB176" s="81"/>
      <c r="AC176" s="79"/>
      <c r="AD176" s="79"/>
      <c r="AE176" s="91"/>
    </row>
    <row r="177" spans="1:31">
      <c r="A177" s="76">
        <v>177</v>
      </c>
      <c r="B177" s="101"/>
      <c r="C177" s="101"/>
      <c r="D177" s="101"/>
      <c r="E177" s="101"/>
      <c r="F177" s="101"/>
      <c r="G177" s="101"/>
      <c r="H177" s="101"/>
      <c r="I177" s="96"/>
      <c r="J177" s="99"/>
      <c r="K177" s="99"/>
      <c r="L177" s="96"/>
      <c r="M177" s="101"/>
      <c r="N177" s="101"/>
      <c r="O177" s="101"/>
      <c r="P177" s="101"/>
      <c r="Q177" s="101"/>
      <c r="R177" s="101"/>
      <c r="S177" s="97"/>
      <c r="T177" s="101"/>
      <c r="U177" s="80"/>
      <c r="V177" s="79"/>
      <c r="W177" s="79"/>
      <c r="X177" s="79"/>
      <c r="Y177" s="79"/>
      <c r="Z177" s="79">
        <f t="shared" si="2"/>
        <v>177</v>
      </c>
      <c r="AA177" s="79"/>
      <c r="AB177" s="81"/>
      <c r="AC177" s="79"/>
      <c r="AD177" s="79"/>
      <c r="AE177" s="91"/>
    </row>
    <row r="178" spans="1:31">
      <c r="A178" s="76">
        <v>178</v>
      </c>
      <c r="B178" s="101"/>
      <c r="C178" s="101"/>
      <c r="D178" s="101"/>
      <c r="E178" s="101"/>
      <c r="F178" s="101"/>
      <c r="G178" s="101"/>
      <c r="H178" s="101"/>
      <c r="I178" s="96"/>
      <c r="J178" s="99"/>
      <c r="K178" s="99"/>
      <c r="L178" s="96"/>
      <c r="M178" s="101"/>
      <c r="N178" s="101"/>
      <c r="O178" s="101"/>
      <c r="P178" s="101"/>
      <c r="Q178" s="101"/>
      <c r="R178" s="101"/>
      <c r="S178" s="97"/>
      <c r="T178" s="101"/>
      <c r="U178" s="80"/>
      <c r="V178" s="79"/>
      <c r="W178" s="79"/>
      <c r="X178" s="79"/>
      <c r="Y178" s="79"/>
      <c r="Z178" s="79">
        <f t="shared" si="2"/>
        <v>178</v>
      </c>
      <c r="AA178" s="79"/>
      <c r="AB178" s="81"/>
      <c r="AC178" s="79"/>
      <c r="AD178" s="79"/>
      <c r="AE178" s="91"/>
    </row>
    <row r="179" spans="1:31">
      <c r="A179" s="76">
        <v>179</v>
      </c>
      <c r="B179" s="101"/>
      <c r="C179" s="101"/>
      <c r="D179" s="101"/>
      <c r="E179" s="101"/>
      <c r="F179" s="101"/>
      <c r="G179" s="101"/>
      <c r="H179" s="101"/>
      <c r="I179" s="96"/>
      <c r="J179" s="99"/>
      <c r="K179" s="99"/>
      <c r="L179" s="96"/>
      <c r="M179" s="101"/>
      <c r="N179" s="101"/>
      <c r="O179" s="101"/>
      <c r="P179" s="101"/>
      <c r="Q179" s="101"/>
      <c r="R179" s="101"/>
      <c r="S179" s="97"/>
      <c r="T179" s="101"/>
      <c r="U179" s="80"/>
      <c r="V179" s="79"/>
      <c r="W179" s="79"/>
      <c r="X179" s="79"/>
      <c r="Y179" s="79"/>
      <c r="Z179" s="79">
        <f t="shared" si="2"/>
        <v>179</v>
      </c>
      <c r="AA179" s="79"/>
      <c r="AB179" s="81"/>
      <c r="AC179" s="79"/>
      <c r="AD179" s="79"/>
      <c r="AE179" s="91"/>
    </row>
    <row r="180" spans="1:31">
      <c r="A180" s="76">
        <v>180</v>
      </c>
      <c r="B180" s="101"/>
      <c r="C180" s="101"/>
      <c r="D180" s="101"/>
      <c r="E180" s="101"/>
      <c r="F180" s="101"/>
      <c r="G180" s="101"/>
      <c r="H180" s="101"/>
      <c r="I180" s="96"/>
      <c r="J180" s="99"/>
      <c r="K180" s="99"/>
      <c r="L180" s="96"/>
      <c r="M180" s="101"/>
      <c r="N180" s="101"/>
      <c r="O180" s="101"/>
      <c r="P180" s="101"/>
      <c r="Q180" s="101"/>
      <c r="R180" s="101"/>
      <c r="S180" s="97"/>
      <c r="T180" s="101"/>
      <c r="U180" s="80"/>
      <c r="V180" s="79"/>
      <c r="W180" s="79"/>
      <c r="X180" s="79"/>
      <c r="Y180" s="79"/>
      <c r="Z180" s="79">
        <f t="shared" si="2"/>
        <v>180</v>
      </c>
      <c r="AA180" s="79"/>
      <c r="AB180" s="81"/>
      <c r="AC180" s="79"/>
      <c r="AD180" s="79"/>
      <c r="AE180" s="91"/>
    </row>
    <row r="181" spans="1:31">
      <c r="A181" s="76">
        <v>181</v>
      </c>
      <c r="B181" s="101"/>
      <c r="C181" s="101"/>
      <c r="D181" s="101"/>
      <c r="E181" s="101"/>
      <c r="F181" s="101"/>
      <c r="G181" s="101"/>
      <c r="H181" s="101"/>
      <c r="I181" s="96"/>
      <c r="J181" s="99"/>
      <c r="K181" s="99"/>
      <c r="L181" s="96"/>
      <c r="M181" s="101"/>
      <c r="N181" s="101"/>
      <c r="O181" s="101"/>
      <c r="P181" s="101"/>
      <c r="Q181" s="101"/>
      <c r="R181" s="101"/>
      <c r="S181" s="97"/>
      <c r="T181" s="101"/>
      <c r="U181" s="80"/>
      <c r="V181" s="79"/>
      <c r="W181" s="79"/>
      <c r="X181" s="79"/>
      <c r="Y181" s="79"/>
      <c r="Z181" s="79">
        <f t="shared" si="2"/>
        <v>181</v>
      </c>
      <c r="AA181" s="79"/>
      <c r="AB181" s="81"/>
      <c r="AC181" s="79"/>
      <c r="AD181" s="79"/>
      <c r="AE181" s="91"/>
    </row>
    <row r="182" spans="1:31">
      <c r="A182" s="76">
        <v>182</v>
      </c>
      <c r="B182" s="101"/>
      <c r="C182" s="101"/>
      <c r="D182" s="101"/>
      <c r="E182" s="101"/>
      <c r="F182" s="101"/>
      <c r="G182" s="101"/>
      <c r="H182" s="101"/>
      <c r="I182" s="96"/>
      <c r="J182" s="99"/>
      <c r="K182" s="99"/>
      <c r="L182" s="96"/>
      <c r="M182" s="101"/>
      <c r="N182" s="101"/>
      <c r="O182" s="101"/>
      <c r="P182" s="101"/>
      <c r="Q182" s="101"/>
      <c r="R182" s="101"/>
      <c r="S182" s="97"/>
      <c r="T182" s="101"/>
      <c r="U182" s="80"/>
      <c r="V182" s="79"/>
      <c r="W182" s="79"/>
      <c r="X182" s="79"/>
      <c r="Y182" s="79"/>
      <c r="Z182" s="79">
        <f t="shared" si="2"/>
        <v>182</v>
      </c>
      <c r="AA182" s="79"/>
      <c r="AB182" s="81"/>
      <c r="AC182" s="79"/>
      <c r="AD182" s="79"/>
      <c r="AE182" s="91"/>
    </row>
    <row r="183" spans="1:31">
      <c r="A183" s="76">
        <v>183</v>
      </c>
      <c r="B183" s="101"/>
      <c r="C183" s="101"/>
      <c r="D183" s="101"/>
      <c r="E183" s="101"/>
      <c r="F183" s="101"/>
      <c r="G183" s="101"/>
      <c r="H183" s="101"/>
      <c r="I183" s="96"/>
      <c r="J183" s="99"/>
      <c r="K183" s="99"/>
      <c r="L183" s="96"/>
      <c r="M183" s="101"/>
      <c r="N183" s="101"/>
      <c r="O183" s="101"/>
      <c r="P183" s="101"/>
      <c r="Q183" s="101"/>
      <c r="R183" s="101"/>
      <c r="S183" s="97"/>
      <c r="T183" s="101"/>
      <c r="U183" s="80"/>
      <c r="V183" s="79"/>
      <c r="W183" s="79"/>
      <c r="X183" s="79"/>
      <c r="Y183" s="79"/>
      <c r="Z183" s="79">
        <f t="shared" si="2"/>
        <v>183</v>
      </c>
      <c r="AA183" s="79"/>
      <c r="AB183" s="81"/>
      <c r="AC183" s="79"/>
      <c r="AD183" s="79"/>
      <c r="AE183" s="91"/>
    </row>
    <row r="184" spans="1:31">
      <c r="A184" s="76">
        <v>184</v>
      </c>
      <c r="B184" s="101"/>
      <c r="C184" s="101"/>
      <c r="D184" s="101"/>
      <c r="E184" s="101"/>
      <c r="F184" s="101"/>
      <c r="G184" s="101"/>
      <c r="H184" s="101"/>
      <c r="I184" s="96"/>
      <c r="J184" s="99"/>
      <c r="K184" s="99"/>
      <c r="L184" s="96"/>
      <c r="M184" s="101"/>
      <c r="N184" s="101"/>
      <c r="O184" s="101"/>
      <c r="P184" s="101"/>
      <c r="Q184" s="101"/>
      <c r="R184" s="101"/>
      <c r="S184" s="97"/>
      <c r="T184" s="101"/>
      <c r="U184" s="80"/>
      <c r="V184" s="79"/>
      <c r="W184" s="79"/>
      <c r="X184" s="79"/>
      <c r="Y184" s="79"/>
      <c r="Z184" s="79">
        <f t="shared" si="2"/>
        <v>184</v>
      </c>
      <c r="AA184" s="79"/>
      <c r="AB184" s="81"/>
      <c r="AC184" s="79"/>
      <c r="AD184" s="79"/>
      <c r="AE184" s="91"/>
    </row>
    <row r="185" spans="1:31">
      <c r="A185" s="76">
        <v>185</v>
      </c>
      <c r="B185" s="101"/>
      <c r="C185" s="101"/>
      <c r="D185" s="101"/>
      <c r="E185" s="101"/>
      <c r="F185" s="101"/>
      <c r="G185" s="101"/>
      <c r="H185" s="101"/>
      <c r="I185" s="96"/>
      <c r="J185" s="99"/>
      <c r="K185" s="99"/>
      <c r="L185" s="96"/>
      <c r="M185" s="101"/>
      <c r="N185" s="101"/>
      <c r="O185" s="101"/>
      <c r="P185" s="101"/>
      <c r="Q185" s="101"/>
      <c r="R185" s="101"/>
      <c r="S185" s="97"/>
      <c r="T185" s="101"/>
      <c r="U185" s="80"/>
      <c r="V185" s="79"/>
      <c r="W185" s="79"/>
      <c r="X185" s="79"/>
      <c r="Y185" s="79"/>
      <c r="Z185" s="79">
        <f t="shared" si="2"/>
        <v>185</v>
      </c>
      <c r="AA185" s="79"/>
      <c r="AB185" s="81"/>
      <c r="AC185" s="79"/>
      <c r="AD185" s="79"/>
      <c r="AE185" s="91"/>
    </row>
    <row r="186" spans="1:31">
      <c r="A186" s="76">
        <v>186</v>
      </c>
      <c r="B186" s="101"/>
      <c r="C186" s="101"/>
      <c r="D186" s="101"/>
      <c r="E186" s="101"/>
      <c r="F186" s="101"/>
      <c r="G186" s="101"/>
      <c r="H186" s="101"/>
      <c r="I186" s="96"/>
      <c r="J186" s="99"/>
      <c r="K186" s="99"/>
      <c r="L186" s="96"/>
      <c r="M186" s="101"/>
      <c r="N186" s="101"/>
      <c r="O186" s="101"/>
      <c r="P186" s="101"/>
      <c r="Q186" s="101"/>
      <c r="R186" s="101"/>
      <c r="S186" s="97"/>
      <c r="T186" s="101"/>
      <c r="U186" s="80"/>
      <c r="V186" s="79"/>
      <c r="W186" s="79"/>
      <c r="X186" s="79"/>
      <c r="Y186" s="79"/>
      <c r="Z186" s="79">
        <f t="shared" si="2"/>
        <v>186</v>
      </c>
      <c r="AA186" s="79"/>
      <c r="AB186" s="81"/>
      <c r="AC186" s="79"/>
      <c r="AD186" s="79"/>
      <c r="AE186" s="91"/>
    </row>
    <row r="187" spans="1:31">
      <c r="A187" s="76">
        <v>187</v>
      </c>
      <c r="B187" s="101"/>
      <c r="C187" s="101"/>
      <c r="D187" s="101"/>
      <c r="E187" s="101"/>
      <c r="F187" s="101"/>
      <c r="G187" s="101"/>
      <c r="H187" s="101"/>
      <c r="I187" s="96"/>
      <c r="J187" s="99"/>
      <c r="K187" s="99"/>
      <c r="L187" s="96"/>
      <c r="M187" s="101"/>
      <c r="N187" s="101"/>
      <c r="O187" s="101"/>
      <c r="P187" s="101"/>
      <c r="Q187" s="101"/>
      <c r="R187" s="101"/>
      <c r="S187" s="97"/>
      <c r="T187" s="101"/>
      <c r="U187" s="80"/>
      <c r="V187" s="79"/>
      <c r="W187" s="79"/>
      <c r="X187" s="79"/>
      <c r="Y187" s="79"/>
      <c r="Z187" s="79">
        <f t="shared" si="2"/>
        <v>187</v>
      </c>
      <c r="AA187" s="79"/>
      <c r="AB187" s="81"/>
      <c r="AC187" s="79"/>
      <c r="AD187" s="79"/>
      <c r="AE187" s="91"/>
    </row>
    <row r="188" spans="1:31">
      <c r="A188" s="76">
        <v>188</v>
      </c>
      <c r="B188" s="101"/>
      <c r="C188" s="101"/>
      <c r="D188" s="101"/>
      <c r="E188" s="101"/>
      <c r="F188" s="101"/>
      <c r="G188" s="101"/>
      <c r="H188" s="101"/>
      <c r="I188" s="96"/>
      <c r="J188" s="99"/>
      <c r="K188" s="99"/>
      <c r="L188" s="96"/>
      <c r="M188" s="101"/>
      <c r="N188" s="101"/>
      <c r="O188" s="101"/>
      <c r="P188" s="101"/>
      <c r="Q188" s="101"/>
      <c r="R188" s="101"/>
      <c r="S188" s="97"/>
      <c r="T188" s="101"/>
      <c r="U188" s="80"/>
      <c r="V188" s="79"/>
      <c r="W188" s="79"/>
      <c r="X188" s="79"/>
      <c r="Y188" s="79"/>
      <c r="Z188" s="79">
        <f t="shared" si="2"/>
        <v>188</v>
      </c>
      <c r="AA188" s="79"/>
      <c r="AB188" s="81"/>
      <c r="AC188" s="79"/>
      <c r="AD188" s="79"/>
      <c r="AE188" s="91"/>
    </row>
    <row r="189" spans="1:31">
      <c r="A189" s="76">
        <v>189</v>
      </c>
      <c r="B189" s="101"/>
      <c r="C189" s="101"/>
      <c r="D189" s="101"/>
      <c r="E189" s="101"/>
      <c r="F189" s="101"/>
      <c r="G189" s="101"/>
      <c r="H189" s="101"/>
      <c r="I189" s="96"/>
      <c r="J189" s="99"/>
      <c r="K189" s="99"/>
      <c r="L189" s="96"/>
      <c r="M189" s="101"/>
      <c r="N189" s="101"/>
      <c r="O189" s="101"/>
      <c r="P189" s="101"/>
      <c r="Q189" s="101"/>
      <c r="R189" s="101"/>
      <c r="S189" s="97"/>
      <c r="T189" s="101"/>
      <c r="U189" s="80"/>
      <c r="V189" s="79"/>
      <c r="W189" s="79"/>
      <c r="X189" s="79"/>
      <c r="Y189" s="79"/>
      <c r="Z189" s="79">
        <f t="shared" si="2"/>
        <v>189</v>
      </c>
      <c r="AA189" s="79"/>
      <c r="AB189" s="81"/>
      <c r="AC189" s="79"/>
      <c r="AD189" s="79"/>
      <c r="AE189" s="91"/>
    </row>
    <row r="190" spans="1:31">
      <c r="A190" s="76">
        <v>190</v>
      </c>
      <c r="B190" s="101"/>
      <c r="C190" s="101"/>
      <c r="D190" s="101"/>
      <c r="E190" s="101"/>
      <c r="F190" s="101"/>
      <c r="G190" s="101"/>
      <c r="H190" s="101"/>
      <c r="I190" s="96"/>
      <c r="J190" s="99"/>
      <c r="K190" s="99"/>
      <c r="L190" s="96"/>
      <c r="M190" s="101"/>
      <c r="N190" s="101"/>
      <c r="O190" s="101"/>
      <c r="P190" s="101"/>
      <c r="Q190" s="101"/>
      <c r="R190" s="101"/>
      <c r="S190" s="97"/>
      <c r="T190" s="101"/>
      <c r="U190" s="80"/>
      <c r="V190" s="79"/>
      <c r="W190" s="79"/>
      <c r="X190" s="79"/>
      <c r="Y190" s="79"/>
      <c r="Z190" s="79">
        <f t="shared" si="2"/>
        <v>190</v>
      </c>
      <c r="AA190" s="79"/>
      <c r="AB190" s="81"/>
      <c r="AC190" s="79"/>
      <c r="AD190" s="79"/>
      <c r="AE190" s="91"/>
    </row>
    <row r="191" spans="1:31">
      <c r="A191" s="76">
        <v>191</v>
      </c>
      <c r="B191" s="101"/>
      <c r="C191" s="101"/>
      <c r="D191" s="101"/>
      <c r="E191" s="101"/>
      <c r="F191" s="101"/>
      <c r="G191" s="101"/>
      <c r="H191" s="101"/>
      <c r="I191" s="96"/>
      <c r="J191" s="99"/>
      <c r="K191" s="99"/>
      <c r="L191" s="96"/>
      <c r="M191" s="101"/>
      <c r="N191" s="101"/>
      <c r="O191" s="101"/>
      <c r="P191" s="101"/>
      <c r="Q191" s="101"/>
      <c r="R191" s="101"/>
      <c r="S191" s="97"/>
      <c r="T191" s="101"/>
      <c r="U191" s="80"/>
      <c r="V191" s="79"/>
      <c r="W191" s="79"/>
      <c r="X191" s="79"/>
      <c r="Y191" s="79"/>
      <c r="Z191" s="79">
        <f t="shared" si="2"/>
        <v>191</v>
      </c>
      <c r="AA191" s="79"/>
      <c r="AB191" s="81"/>
      <c r="AC191" s="79"/>
      <c r="AD191" s="79"/>
      <c r="AE191" s="91"/>
    </row>
    <row r="192" spans="1:31">
      <c r="A192" s="76">
        <v>192</v>
      </c>
      <c r="B192" s="101"/>
      <c r="C192" s="101"/>
      <c r="D192" s="101"/>
      <c r="E192" s="101"/>
      <c r="F192" s="101"/>
      <c r="G192" s="101"/>
      <c r="H192" s="101"/>
      <c r="I192" s="96"/>
      <c r="J192" s="99"/>
      <c r="K192" s="99"/>
      <c r="L192" s="96"/>
      <c r="M192" s="101"/>
      <c r="N192" s="101"/>
      <c r="O192" s="101"/>
      <c r="P192" s="101"/>
      <c r="Q192" s="101"/>
      <c r="R192" s="101"/>
      <c r="S192" s="97"/>
      <c r="T192" s="101"/>
      <c r="U192" s="80"/>
      <c r="V192" s="79"/>
      <c r="W192" s="79"/>
      <c r="X192" s="79"/>
      <c r="Y192" s="79"/>
      <c r="Z192" s="79">
        <f t="shared" si="2"/>
        <v>192</v>
      </c>
      <c r="AA192" s="79"/>
      <c r="AB192" s="81"/>
      <c r="AC192" s="79"/>
      <c r="AD192" s="79"/>
      <c r="AE192" s="91"/>
    </row>
    <row r="193" spans="1:31">
      <c r="A193" s="76">
        <v>193</v>
      </c>
      <c r="B193" s="101"/>
      <c r="C193" s="101"/>
      <c r="D193" s="101"/>
      <c r="E193" s="101"/>
      <c r="F193" s="101"/>
      <c r="G193" s="101"/>
      <c r="H193" s="101"/>
      <c r="I193" s="96"/>
      <c r="J193" s="99"/>
      <c r="K193" s="99"/>
      <c r="L193" s="96"/>
      <c r="M193" s="101"/>
      <c r="N193" s="101"/>
      <c r="O193" s="101"/>
      <c r="P193" s="101"/>
      <c r="Q193" s="101"/>
      <c r="R193" s="101"/>
      <c r="S193" s="97"/>
      <c r="T193" s="101"/>
      <c r="U193" s="80"/>
      <c r="V193" s="79"/>
      <c r="W193" s="79"/>
      <c r="X193" s="79"/>
      <c r="Y193" s="79"/>
      <c r="Z193" s="79">
        <f t="shared" si="2"/>
        <v>193</v>
      </c>
      <c r="AA193" s="79"/>
      <c r="AB193" s="81"/>
      <c r="AC193" s="79"/>
      <c r="AD193" s="79"/>
      <c r="AE193" s="91"/>
    </row>
    <row r="194" spans="1:31">
      <c r="A194" s="76">
        <v>194</v>
      </c>
      <c r="B194" s="101"/>
      <c r="C194" s="101"/>
      <c r="D194" s="101"/>
      <c r="E194" s="101"/>
      <c r="F194" s="101"/>
      <c r="G194" s="101"/>
      <c r="H194" s="101"/>
      <c r="I194" s="96"/>
      <c r="J194" s="99"/>
      <c r="K194" s="99"/>
      <c r="L194" s="96"/>
      <c r="M194" s="101"/>
      <c r="N194" s="101"/>
      <c r="O194" s="101"/>
      <c r="P194" s="101"/>
      <c r="Q194" s="101"/>
      <c r="R194" s="101"/>
      <c r="S194" s="97"/>
      <c r="T194" s="101"/>
      <c r="U194" s="80"/>
      <c r="V194" s="79"/>
      <c r="W194" s="79"/>
      <c r="X194" s="79"/>
      <c r="Y194" s="79"/>
      <c r="Z194" s="79">
        <f t="shared" ref="Z194:Z223" si="3">A194</f>
        <v>194</v>
      </c>
      <c r="AA194" s="79"/>
      <c r="AB194" s="81"/>
      <c r="AC194" s="79"/>
      <c r="AD194" s="79"/>
      <c r="AE194" s="91"/>
    </row>
    <row r="195" spans="1:31">
      <c r="A195" s="76">
        <v>195</v>
      </c>
      <c r="B195" s="101"/>
      <c r="C195" s="101"/>
      <c r="D195" s="101"/>
      <c r="E195" s="101"/>
      <c r="F195" s="101"/>
      <c r="G195" s="101"/>
      <c r="H195" s="101"/>
      <c r="I195" s="96"/>
      <c r="J195" s="99"/>
      <c r="K195" s="99"/>
      <c r="L195" s="96"/>
      <c r="M195" s="101"/>
      <c r="N195" s="101"/>
      <c r="O195" s="101"/>
      <c r="P195" s="101"/>
      <c r="Q195" s="101"/>
      <c r="R195" s="101"/>
      <c r="S195" s="97"/>
      <c r="T195" s="101"/>
      <c r="U195" s="80"/>
      <c r="V195" s="79"/>
      <c r="W195" s="79"/>
      <c r="X195" s="79"/>
      <c r="Y195" s="79"/>
      <c r="Z195" s="79">
        <f t="shared" si="3"/>
        <v>195</v>
      </c>
      <c r="AA195" s="79"/>
      <c r="AB195" s="81"/>
      <c r="AC195" s="79"/>
      <c r="AD195" s="79"/>
      <c r="AE195" s="91"/>
    </row>
    <row r="196" spans="1:31">
      <c r="A196" s="76">
        <v>196</v>
      </c>
      <c r="B196" s="101"/>
      <c r="C196" s="101"/>
      <c r="D196" s="101"/>
      <c r="E196" s="101"/>
      <c r="F196" s="101"/>
      <c r="G196" s="101"/>
      <c r="H196" s="101"/>
      <c r="I196" s="96"/>
      <c r="J196" s="99"/>
      <c r="K196" s="99"/>
      <c r="L196" s="96"/>
      <c r="M196" s="101"/>
      <c r="N196" s="101"/>
      <c r="O196" s="101"/>
      <c r="P196" s="101"/>
      <c r="Q196" s="101"/>
      <c r="R196" s="101"/>
      <c r="S196" s="97"/>
      <c r="T196" s="101"/>
      <c r="U196" s="80"/>
      <c r="V196" s="79"/>
      <c r="W196" s="79"/>
      <c r="X196" s="79"/>
      <c r="Y196" s="79"/>
      <c r="Z196" s="79">
        <f t="shared" si="3"/>
        <v>196</v>
      </c>
      <c r="AA196" s="79"/>
      <c r="AB196" s="81"/>
      <c r="AC196" s="79"/>
      <c r="AD196" s="79"/>
      <c r="AE196" s="91"/>
    </row>
    <row r="197" spans="1:31" hidden="1">
      <c r="A197" s="76">
        <v>197</v>
      </c>
      <c r="B197" s="101"/>
      <c r="C197" s="101"/>
      <c r="D197" s="101"/>
      <c r="E197" s="101"/>
      <c r="F197" s="101"/>
      <c r="G197" s="101"/>
      <c r="H197" s="101"/>
      <c r="I197" s="96"/>
      <c r="J197" s="99"/>
      <c r="K197" s="99"/>
      <c r="L197" s="96"/>
      <c r="M197" s="101"/>
      <c r="N197" s="101"/>
      <c r="O197" s="101"/>
      <c r="P197" s="101"/>
      <c r="Q197" s="101"/>
      <c r="R197" s="101"/>
      <c r="S197" s="97"/>
      <c r="T197" s="101"/>
      <c r="U197" s="80"/>
      <c r="V197" s="79"/>
      <c r="W197" s="79"/>
      <c r="X197" s="79"/>
      <c r="Y197" s="79"/>
      <c r="Z197" s="79">
        <f t="shared" si="3"/>
        <v>197</v>
      </c>
      <c r="AA197" s="79"/>
      <c r="AB197" s="81"/>
      <c r="AC197" s="79"/>
      <c r="AD197" s="79"/>
      <c r="AE197" s="91"/>
    </row>
    <row r="198" spans="1:31" hidden="1">
      <c r="A198" s="76">
        <v>198</v>
      </c>
      <c r="B198" s="101"/>
      <c r="C198" s="101"/>
      <c r="D198" s="101"/>
      <c r="E198" s="101"/>
      <c r="F198" s="101"/>
      <c r="G198" s="101"/>
      <c r="H198" s="101"/>
      <c r="I198" s="96"/>
      <c r="J198" s="99"/>
      <c r="K198" s="99"/>
      <c r="L198" s="96"/>
      <c r="M198" s="101"/>
      <c r="N198" s="101"/>
      <c r="O198" s="101"/>
      <c r="P198" s="101"/>
      <c r="Q198" s="101"/>
      <c r="R198" s="101"/>
      <c r="S198" s="97"/>
      <c r="T198" s="101"/>
      <c r="U198" s="80"/>
      <c r="V198" s="79"/>
      <c r="W198" s="79"/>
      <c r="X198" s="79"/>
      <c r="Y198" s="79"/>
      <c r="Z198" s="79">
        <f t="shared" si="3"/>
        <v>198</v>
      </c>
      <c r="AA198" s="79"/>
      <c r="AB198" s="81"/>
      <c r="AC198" s="79"/>
      <c r="AD198" s="79"/>
      <c r="AE198" s="91"/>
    </row>
    <row r="199" spans="1:31" hidden="1">
      <c r="A199" s="76">
        <v>199</v>
      </c>
      <c r="B199" s="101"/>
      <c r="C199" s="101"/>
      <c r="D199" s="101"/>
      <c r="E199" s="101"/>
      <c r="F199" s="101"/>
      <c r="G199" s="101"/>
      <c r="H199" s="101"/>
      <c r="I199" s="96"/>
      <c r="J199" s="99"/>
      <c r="K199" s="99"/>
      <c r="L199" s="96"/>
      <c r="M199" s="101"/>
      <c r="N199" s="101"/>
      <c r="O199" s="101"/>
      <c r="P199" s="101"/>
      <c r="Q199" s="101"/>
      <c r="R199" s="101"/>
      <c r="S199" s="97"/>
      <c r="T199" s="101"/>
      <c r="U199" s="80"/>
      <c r="V199" s="79"/>
      <c r="W199" s="79"/>
      <c r="X199" s="79"/>
      <c r="Y199" s="79"/>
      <c r="Z199" s="79">
        <f t="shared" si="3"/>
        <v>199</v>
      </c>
      <c r="AA199" s="79"/>
      <c r="AB199" s="81"/>
      <c r="AC199" s="79"/>
      <c r="AD199" s="79"/>
      <c r="AE199" s="91"/>
    </row>
    <row r="200" spans="1:31" hidden="1">
      <c r="A200" s="76">
        <v>200</v>
      </c>
      <c r="B200" s="101"/>
      <c r="C200" s="101"/>
      <c r="D200" s="101"/>
      <c r="E200" s="101"/>
      <c r="F200" s="101"/>
      <c r="G200" s="101"/>
      <c r="H200" s="101"/>
      <c r="I200" s="96"/>
      <c r="J200" s="99"/>
      <c r="K200" s="99"/>
      <c r="L200" s="96"/>
      <c r="M200" s="101"/>
      <c r="N200" s="101"/>
      <c r="O200" s="101"/>
      <c r="P200" s="101"/>
      <c r="Q200" s="101"/>
      <c r="R200" s="101"/>
      <c r="S200" s="97"/>
      <c r="T200" s="101"/>
      <c r="U200" s="80"/>
      <c r="V200" s="79"/>
      <c r="W200" s="79"/>
      <c r="X200" s="79"/>
      <c r="Y200" s="79"/>
      <c r="Z200" s="79">
        <f t="shared" si="3"/>
        <v>200</v>
      </c>
      <c r="AA200" s="79"/>
      <c r="AB200" s="81"/>
      <c r="AC200" s="79"/>
      <c r="AD200" s="79"/>
      <c r="AE200" s="91"/>
    </row>
    <row r="201" spans="1:31" hidden="1">
      <c r="A201" s="76">
        <v>201</v>
      </c>
      <c r="B201" s="101"/>
      <c r="C201" s="101"/>
      <c r="D201" s="101"/>
      <c r="E201" s="101"/>
      <c r="F201" s="101"/>
      <c r="G201" s="101"/>
      <c r="H201" s="101"/>
      <c r="I201" s="96"/>
      <c r="J201" s="99"/>
      <c r="K201" s="99"/>
      <c r="L201" s="96"/>
      <c r="M201" s="101"/>
      <c r="N201" s="101"/>
      <c r="O201" s="101"/>
      <c r="P201" s="101"/>
      <c r="Q201" s="101"/>
      <c r="R201" s="101"/>
      <c r="S201" s="97"/>
      <c r="T201" s="101"/>
      <c r="U201" s="80"/>
      <c r="V201" s="79"/>
      <c r="W201" s="79"/>
      <c r="X201" s="79"/>
      <c r="Y201" s="79"/>
      <c r="Z201" s="79">
        <f t="shared" si="3"/>
        <v>201</v>
      </c>
      <c r="AA201" s="79"/>
      <c r="AB201" s="81"/>
      <c r="AC201" s="79"/>
      <c r="AD201" s="79"/>
      <c r="AE201" s="91"/>
    </row>
    <row r="202" spans="1:31" hidden="1">
      <c r="A202" s="76">
        <v>202</v>
      </c>
      <c r="B202" s="101"/>
      <c r="C202" s="101"/>
      <c r="D202" s="101"/>
      <c r="E202" s="101"/>
      <c r="F202" s="101"/>
      <c r="G202" s="101"/>
      <c r="H202" s="101"/>
      <c r="I202" s="96"/>
      <c r="J202" s="99"/>
      <c r="K202" s="99"/>
      <c r="L202" s="96"/>
      <c r="M202" s="101"/>
      <c r="N202" s="101"/>
      <c r="O202" s="101"/>
      <c r="P202" s="101"/>
      <c r="Q202" s="101"/>
      <c r="R202" s="101"/>
      <c r="S202" s="97"/>
      <c r="T202" s="101"/>
      <c r="U202" s="80"/>
      <c r="V202" s="79"/>
      <c r="W202" s="79"/>
      <c r="X202" s="79"/>
      <c r="Y202" s="79"/>
      <c r="Z202" s="79">
        <f t="shared" si="3"/>
        <v>202</v>
      </c>
      <c r="AA202" s="79"/>
      <c r="AB202" s="81"/>
      <c r="AC202" s="79"/>
      <c r="AD202" s="79"/>
      <c r="AE202" s="91"/>
    </row>
    <row r="203" spans="1:31" hidden="1">
      <c r="A203" s="76">
        <v>203</v>
      </c>
      <c r="B203" s="101"/>
      <c r="C203" s="101"/>
      <c r="D203" s="101"/>
      <c r="E203" s="101"/>
      <c r="F203" s="101"/>
      <c r="G203" s="101"/>
      <c r="H203" s="101"/>
      <c r="I203" s="96"/>
      <c r="J203" s="99"/>
      <c r="K203" s="99"/>
      <c r="L203" s="96"/>
      <c r="M203" s="101"/>
      <c r="N203" s="101"/>
      <c r="O203" s="101"/>
      <c r="P203" s="101"/>
      <c r="Q203" s="101"/>
      <c r="R203" s="101"/>
      <c r="S203" s="97"/>
      <c r="T203" s="101"/>
      <c r="U203" s="80"/>
      <c r="V203" s="79"/>
      <c r="W203" s="79"/>
      <c r="X203" s="79"/>
      <c r="Y203" s="79"/>
      <c r="Z203" s="79">
        <f t="shared" si="3"/>
        <v>203</v>
      </c>
      <c r="AA203" s="79"/>
      <c r="AB203" s="81"/>
      <c r="AC203" s="79"/>
      <c r="AD203" s="79"/>
      <c r="AE203" s="91"/>
    </row>
    <row r="204" spans="1:31" hidden="1">
      <c r="A204" s="76">
        <v>204</v>
      </c>
      <c r="B204" s="101"/>
      <c r="C204" s="101"/>
      <c r="D204" s="101"/>
      <c r="E204" s="101"/>
      <c r="F204" s="101"/>
      <c r="G204" s="101"/>
      <c r="H204" s="101"/>
      <c r="I204" s="96"/>
      <c r="J204" s="99"/>
      <c r="K204" s="99"/>
      <c r="L204" s="96"/>
      <c r="M204" s="101"/>
      <c r="N204" s="101"/>
      <c r="O204" s="101"/>
      <c r="P204" s="101"/>
      <c r="Q204" s="101"/>
      <c r="R204" s="101"/>
      <c r="S204" s="97"/>
      <c r="T204" s="101"/>
      <c r="U204" s="80"/>
      <c r="V204" s="79"/>
      <c r="W204" s="79"/>
      <c r="X204" s="79"/>
      <c r="Y204" s="79"/>
      <c r="Z204" s="79">
        <f t="shared" si="3"/>
        <v>204</v>
      </c>
      <c r="AA204" s="79"/>
      <c r="AB204" s="81"/>
      <c r="AC204" s="79"/>
      <c r="AD204" s="79"/>
      <c r="AE204" s="91"/>
    </row>
    <row r="205" spans="1:31" hidden="1">
      <c r="A205" s="76">
        <v>205</v>
      </c>
      <c r="B205" s="101"/>
      <c r="C205" s="101"/>
      <c r="D205" s="101"/>
      <c r="E205" s="101"/>
      <c r="F205" s="101"/>
      <c r="G205" s="101"/>
      <c r="H205" s="101"/>
      <c r="I205" s="96"/>
      <c r="J205" s="99"/>
      <c r="K205" s="99"/>
      <c r="L205" s="96"/>
      <c r="M205" s="101"/>
      <c r="N205" s="101"/>
      <c r="O205" s="101"/>
      <c r="P205" s="101"/>
      <c r="Q205" s="101"/>
      <c r="R205" s="101"/>
      <c r="S205" s="97"/>
      <c r="T205" s="101"/>
      <c r="U205" s="80"/>
      <c r="V205" s="79"/>
      <c r="W205" s="79"/>
      <c r="X205" s="79"/>
      <c r="Y205" s="79"/>
      <c r="Z205" s="79">
        <f t="shared" si="3"/>
        <v>205</v>
      </c>
      <c r="AA205" s="79"/>
      <c r="AB205" s="81"/>
      <c r="AC205" s="79"/>
      <c r="AD205" s="79"/>
      <c r="AE205" s="91"/>
    </row>
    <row r="206" spans="1:31" hidden="1">
      <c r="A206" s="76">
        <v>206</v>
      </c>
      <c r="B206" s="101"/>
      <c r="C206" s="101"/>
      <c r="D206" s="101"/>
      <c r="E206" s="101"/>
      <c r="F206" s="101"/>
      <c r="G206" s="101"/>
      <c r="H206" s="101"/>
      <c r="I206" s="96"/>
      <c r="J206" s="99"/>
      <c r="K206" s="99"/>
      <c r="L206" s="96"/>
      <c r="M206" s="101"/>
      <c r="N206" s="101"/>
      <c r="O206" s="101"/>
      <c r="P206" s="101"/>
      <c r="Q206" s="101"/>
      <c r="R206" s="101"/>
      <c r="S206" s="97"/>
      <c r="T206" s="101"/>
      <c r="U206" s="80"/>
      <c r="V206" s="79"/>
      <c r="W206" s="79"/>
      <c r="X206" s="79"/>
      <c r="Y206" s="79"/>
      <c r="Z206" s="79">
        <f t="shared" si="3"/>
        <v>206</v>
      </c>
      <c r="AA206" s="79"/>
      <c r="AB206" s="81"/>
      <c r="AC206" s="79"/>
      <c r="AD206" s="79"/>
      <c r="AE206" s="91"/>
    </row>
    <row r="207" spans="1:31" hidden="1">
      <c r="A207" s="76">
        <v>207</v>
      </c>
      <c r="B207" s="101"/>
      <c r="C207" s="101"/>
      <c r="D207" s="101"/>
      <c r="E207" s="101"/>
      <c r="F207" s="101"/>
      <c r="G207" s="101"/>
      <c r="H207" s="101"/>
      <c r="I207" s="96"/>
      <c r="J207" s="99"/>
      <c r="K207" s="99"/>
      <c r="L207" s="96"/>
      <c r="M207" s="101"/>
      <c r="N207" s="101"/>
      <c r="O207" s="101"/>
      <c r="P207" s="101"/>
      <c r="Q207" s="101"/>
      <c r="R207" s="101"/>
      <c r="S207" s="97"/>
      <c r="T207" s="101"/>
      <c r="U207" s="80"/>
      <c r="V207" s="79"/>
      <c r="W207" s="79"/>
      <c r="X207" s="79"/>
      <c r="Y207" s="79"/>
      <c r="Z207" s="79">
        <f t="shared" si="3"/>
        <v>207</v>
      </c>
      <c r="AA207" s="79"/>
      <c r="AB207" s="81"/>
      <c r="AC207" s="79"/>
      <c r="AD207" s="79"/>
      <c r="AE207" s="91"/>
    </row>
    <row r="208" spans="1:31" hidden="1">
      <c r="A208" s="76">
        <v>208</v>
      </c>
      <c r="B208" s="101"/>
      <c r="C208" s="101"/>
      <c r="D208" s="101"/>
      <c r="E208" s="101"/>
      <c r="F208" s="101"/>
      <c r="G208" s="101"/>
      <c r="H208" s="101"/>
      <c r="I208" s="96"/>
      <c r="J208" s="99"/>
      <c r="K208" s="99"/>
      <c r="L208" s="96"/>
      <c r="M208" s="101"/>
      <c r="N208" s="101"/>
      <c r="O208" s="101"/>
      <c r="P208" s="101"/>
      <c r="Q208" s="101"/>
      <c r="R208" s="101"/>
      <c r="S208" s="97"/>
      <c r="T208" s="101"/>
      <c r="U208" s="80"/>
      <c r="V208" s="79"/>
      <c r="W208" s="79"/>
      <c r="X208" s="79"/>
      <c r="Y208" s="79"/>
      <c r="Z208" s="79">
        <f t="shared" si="3"/>
        <v>208</v>
      </c>
      <c r="AA208" s="79"/>
      <c r="AB208" s="81"/>
      <c r="AC208" s="79"/>
      <c r="AD208" s="79"/>
      <c r="AE208" s="91"/>
    </row>
    <row r="209" spans="1:31" hidden="1">
      <c r="A209" s="76">
        <v>209</v>
      </c>
      <c r="B209" s="101"/>
      <c r="C209" s="101"/>
      <c r="D209" s="101"/>
      <c r="E209" s="101"/>
      <c r="F209" s="101"/>
      <c r="G209" s="101"/>
      <c r="H209" s="101"/>
      <c r="I209" s="96"/>
      <c r="J209" s="99"/>
      <c r="K209" s="99"/>
      <c r="L209" s="96"/>
      <c r="M209" s="101"/>
      <c r="N209" s="101"/>
      <c r="O209" s="101"/>
      <c r="P209" s="101"/>
      <c r="Q209" s="101"/>
      <c r="R209" s="101"/>
      <c r="S209" s="97"/>
      <c r="T209" s="101"/>
      <c r="U209" s="80"/>
      <c r="V209" s="79"/>
      <c r="W209" s="79"/>
      <c r="X209" s="79"/>
      <c r="Y209" s="79"/>
      <c r="Z209" s="79">
        <f t="shared" si="3"/>
        <v>209</v>
      </c>
      <c r="AA209" s="79"/>
      <c r="AB209" s="81"/>
      <c r="AC209" s="79"/>
      <c r="AD209" s="79"/>
      <c r="AE209" s="91"/>
    </row>
    <row r="210" spans="1:31" hidden="1">
      <c r="A210" s="76">
        <v>210</v>
      </c>
      <c r="B210" s="101"/>
      <c r="C210" s="101"/>
      <c r="D210" s="101"/>
      <c r="E210" s="101"/>
      <c r="F210" s="101"/>
      <c r="G210" s="101"/>
      <c r="H210" s="101"/>
      <c r="I210" s="96"/>
      <c r="J210" s="99"/>
      <c r="K210" s="99"/>
      <c r="L210" s="96"/>
      <c r="M210" s="101"/>
      <c r="N210" s="101"/>
      <c r="O210" s="101"/>
      <c r="P210" s="101"/>
      <c r="Q210" s="101"/>
      <c r="R210" s="101"/>
      <c r="S210" s="97"/>
      <c r="T210" s="101"/>
      <c r="U210" s="80"/>
      <c r="V210" s="79"/>
      <c r="W210" s="79"/>
      <c r="X210" s="79"/>
      <c r="Y210" s="79"/>
      <c r="Z210" s="79">
        <f t="shared" si="3"/>
        <v>210</v>
      </c>
      <c r="AA210" s="79"/>
      <c r="AB210" s="81"/>
      <c r="AC210" s="79"/>
      <c r="AD210" s="79"/>
      <c r="AE210" s="91"/>
    </row>
    <row r="211" spans="1:31" hidden="1">
      <c r="A211" s="76">
        <v>211</v>
      </c>
      <c r="B211" s="101"/>
      <c r="C211" s="101"/>
      <c r="D211" s="101"/>
      <c r="E211" s="101"/>
      <c r="F211" s="101"/>
      <c r="G211" s="101"/>
      <c r="H211" s="101"/>
      <c r="I211" s="96"/>
      <c r="J211" s="99"/>
      <c r="K211" s="99"/>
      <c r="L211" s="96"/>
      <c r="M211" s="101"/>
      <c r="N211" s="101"/>
      <c r="O211" s="101"/>
      <c r="P211" s="101"/>
      <c r="Q211" s="101"/>
      <c r="R211" s="101"/>
      <c r="S211" s="97"/>
      <c r="T211" s="101"/>
      <c r="U211" s="80"/>
      <c r="V211" s="79"/>
      <c r="W211" s="79"/>
      <c r="X211" s="79"/>
      <c r="Y211" s="79"/>
      <c r="Z211" s="79">
        <f t="shared" si="3"/>
        <v>211</v>
      </c>
      <c r="AA211" s="79"/>
      <c r="AB211" s="81"/>
      <c r="AC211" s="79"/>
      <c r="AD211" s="79"/>
      <c r="AE211" s="91"/>
    </row>
    <row r="212" spans="1:31" hidden="1">
      <c r="A212" s="76">
        <v>212</v>
      </c>
      <c r="B212" s="101"/>
      <c r="C212" s="101"/>
      <c r="D212" s="101"/>
      <c r="E212" s="101"/>
      <c r="F212" s="101"/>
      <c r="G212" s="101"/>
      <c r="H212" s="101"/>
      <c r="I212" s="96"/>
      <c r="J212" s="99"/>
      <c r="K212" s="99"/>
      <c r="L212" s="96"/>
      <c r="M212" s="101"/>
      <c r="N212" s="101"/>
      <c r="O212" s="101"/>
      <c r="P212" s="101"/>
      <c r="Q212" s="101"/>
      <c r="R212" s="101"/>
      <c r="S212" s="97"/>
      <c r="T212" s="101"/>
      <c r="U212" s="80"/>
      <c r="V212" s="79"/>
      <c r="W212" s="79"/>
      <c r="X212" s="79"/>
      <c r="Y212" s="79"/>
      <c r="Z212" s="79">
        <f t="shared" si="3"/>
        <v>212</v>
      </c>
      <c r="AA212" s="79"/>
      <c r="AB212" s="81"/>
      <c r="AC212" s="79"/>
      <c r="AD212" s="79"/>
      <c r="AE212" s="91"/>
    </row>
    <row r="213" spans="1:31" hidden="1">
      <c r="A213" s="76">
        <v>213</v>
      </c>
      <c r="B213" s="101"/>
      <c r="C213" s="101"/>
      <c r="D213" s="101"/>
      <c r="E213" s="101"/>
      <c r="F213" s="101"/>
      <c r="G213" s="101"/>
      <c r="H213" s="101"/>
      <c r="I213" s="96"/>
      <c r="J213" s="99"/>
      <c r="K213" s="99"/>
      <c r="L213" s="96"/>
      <c r="M213" s="101"/>
      <c r="N213" s="101"/>
      <c r="O213" s="101"/>
      <c r="P213" s="101"/>
      <c r="Q213" s="101"/>
      <c r="R213" s="101"/>
      <c r="S213" s="97"/>
      <c r="T213" s="101"/>
      <c r="U213" s="80"/>
      <c r="V213" s="79"/>
      <c r="W213" s="79"/>
      <c r="X213" s="79"/>
      <c r="Y213" s="79"/>
      <c r="Z213" s="79">
        <f t="shared" si="3"/>
        <v>213</v>
      </c>
      <c r="AA213" s="79"/>
      <c r="AB213" s="81"/>
      <c r="AC213" s="79"/>
      <c r="AD213" s="79"/>
      <c r="AE213" s="91"/>
    </row>
    <row r="214" spans="1:31" hidden="1">
      <c r="A214" s="76">
        <v>214</v>
      </c>
      <c r="B214" s="101"/>
      <c r="C214" s="101"/>
      <c r="D214" s="101"/>
      <c r="E214" s="101"/>
      <c r="F214" s="101"/>
      <c r="G214" s="101"/>
      <c r="H214" s="101"/>
      <c r="I214" s="96"/>
      <c r="J214" s="99"/>
      <c r="K214" s="99"/>
      <c r="L214" s="96"/>
      <c r="M214" s="101"/>
      <c r="N214" s="101"/>
      <c r="O214" s="101"/>
      <c r="P214" s="101"/>
      <c r="Q214" s="101"/>
      <c r="R214" s="101"/>
      <c r="S214" s="97"/>
      <c r="T214" s="101"/>
      <c r="U214" s="80"/>
      <c r="V214" s="79"/>
      <c r="W214" s="79"/>
      <c r="X214" s="79"/>
      <c r="Y214" s="79"/>
      <c r="Z214" s="79">
        <f t="shared" si="3"/>
        <v>214</v>
      </c>
      <c r="AA214" s="79"/>
      <c r="AB214" s="81"/>
      <c r="AC214" s="79"/>
      <c r="AD214" s="79"/>
      <c r="AE214" s="91"/>
    </row>
    <row r="215" spans="1:31" hidden="1">
      <c r="A215" s="76">
        <v>215</v>
      </c>
      <c r="B215" s="101"/>
      <c r="C215" s="101"/>
      <c r="D215" s="101"/>
      <c r="E215" s="101"/>
      <c r="F215" s="101"/>
      <c r="G215" s="101"/>
      <c r="H215" s="101"/>
      <c r="I215" s="96"/>
      <c r="J215" s="99"/>
      <c r="K215" s="99"/>
      <c r="L215" s="96"/>
      <c r="M215" s="101"/>
      <c r="N215" s="101"/>
      <c r="O215" s="101"/>
      <c r="P215" s="101"/>
      <c r="Q215" s="101"/>
      <c r="R215" s="101"/>
      <c r="S215" s="97"/>
      <c r="T215" s="101"/>
      <c r="U215" s="80"/>
      <c r="V215" s="79"/>
      <c r="W215" s="79"/>
      <c r="X215" s="79"/>
      <c r="Y215" s="79"/>
      <c r="Z215" s="79">
        <f t="shared" si="3"/>
        <v>215</v>
      </c>
      <c r="AA215" s="79"/>
      <c r="AB215" s="81"/>
      <c r="AC215" s="79"/>
      <c r="AD215" s="79"/>
      <c r="AE215" s="91"/>
    </row>
    <row r="216" spans="1:31" hidden="1">
      <c r="A216" s="76">
        <v>216</v>
      </c>
      <c r="B216" s="101"/>
      <c r="C216" s="101"/>
      <c r="D216" s="101"/>
      <c r="E216" s="101"/>
      <c r="F216" s="101"/>
      <c r="G216" s="101"/>
      <c r="H216" s="101"/>
      <c r="I216" s="96"/>
      <c r="J216" s="99"/>
      <c r="K216" s="99"/>
      <c r="L216" s="96"/>
      <c r="M216" s="101"/>
      <c r="N216" s="101"/>
      <c r="O216" s="101"/>
      <c r="P216" s="101"/>
      <c r="Q216" s="101"/>
      <c r="R216" s="101"/>
      <c r="S216" s="97"/>
      <c r="T216" s="101"/>
      <c r="U216" s="80"/>
      <c r="V216" s="79"/>
      <c r="W216" s="79"/>
      <c r="X216" s="79"/>
      <c r="Y216" s="79"/>
      <c r="Z216" s="79">
        <f t="shared" si="3"/>
        <v>216</v>
      </c>
      <c r="AA216" s="79"/>
      <c r="AB216" s="81"/>
      <c r="AC216" s="79"/>
      <c r="AD216" s="79"/>
      <c r="AE216" s="91"/>
    </row>
    <row r="217" spans="1:31" hidden="1">
      <c r="A217" s="76">
        <v>217</v>
      </c>
      <c r="B217" s="101"/>
      <c r="C217" s="101"/>
      <c r="D217" s="101"/>
      <c r="E217" s="101"/>
      <c r="F217" s="101"/>
      <c r="G217" s="101"/>
      <c r="H217" s="101"/>
      <c r="I217" s="96"/>
      <c r="J217" s="99"/>
      <c r="K217" s="99"/>
      <c r="L217" s="96"/>
      <c r="M217" s="101"/>
      <c r="N217" s="101"/>
      <c r="O217" s="101"/>
      <c r="P217" s="101"/>
      <c r="Q217" s="101"/>
      <c r="R217" s="101"/>
      <c r="S217" s="97"/>
      <c r="T217" s="101"/>
      <c r="U217" s="80"/>
      <c r="V217" s="79"/>
      <c r="W217" s="79"/>
      <c r="X217" s="79"/>
      <c r="Y217" s="79"/>
      <c r="Z217" s="79">
        <f t="shared" si="3"/>
        <v>217</v>
      </c>
      <c r="AA217" s="79"/>
      <c r="AB217" s="81"/>
      <c r="AC217" s="79"/>
      <c r="AD217" s="79"/>
      <c r="AE217" s="91"/>
    </row>
    <row r="218" spans="1:31" hidden="1">
      <c r="A218" s="76">
        <v>218</v>
      </c>
      <c r="B218" s="101"/>
      <c r="C218" s="101"/>
      <c r="D218" s="101"/>
      <c r="E218" s="101"/>
      <c r="F218" s="101"/>
      <c r="G218" s="101"/>
      <c r="H218" s="101"/>
      <c r="I218" s="96"/>
      <c r="J218" s="99"/>
      <c r="K218" s="99"/>
      <c r="L218" s="96"/>
      <c r="M218" s="101"/>
      <c r="N218" s="101"/>
      <c r="O218" s="101"/>
      <c r="P218" s="101"/>
      <c r="Q218" s="101"/>
      <c r="R218" s="101"/>
      <c r="S218" s="97"/>
      <c r="T218" s="101"/>
      <c r="U218" s="80"/>
      <c r="V218" s="79"/>
      <c r="W218" s="79"/>
      <c r="X218" s="79"/>
      <c r="Y218" s="79"/>
      <c r="Z218" s="79">
        <f t="shared" si="3"/>
        <v>218</v>
      </c>
      <c r="AA218" s="79"/>
      <c r="AB218" s="81"/>
      <c r="AC218" s="79"/>
      <c r="AD218" s="79"/>
      <c r="AE218" s="91"/>
    </row>
    <row r="219" spans="1:31" hidden="1">
      <c r="A219" s="76">
        <v>219</v>
      </c>
      <c r="B219" s="101"/>
      <c r="C219" s="101"/>
      <c r="D219" s="101"/>
      <c r="E219" s="101"/>
      <c r="F219" s="101"/>
      <c r="G219" s="101"/>
      <c r="H219" s="101"/>
      <c r="I219" s="96"/>
      <c r="J219" s="99"/>
      <c r="K219" s="99"/>
      <c r="L219" s="96"/>
      <c r="M219" s="101"/>
      <c r="N219" s="101"/>
      <c r="O219" s="101"/>
      <c r="P219" s="101"/>
      <c r="Q219" s="101"/>
      <c r="R219" s="101"/>
      <c r="S219" s="97"/>
      <c r="T219" s="101"/>
      <c r="U219" s="80"/>
      <c r="V219" s="79"/>
      <c r="W219" s="79"/>
      <c r="X219" s="79"/>
      <c r="Y219" s="79"/>
      <c r="Z219" s="79">
        <f t="shared" si="3"/>
        <v>219</v>
      </c>
      <c r="AA219" s="79"/>
      <c r="AB219" s="81"/>
      <c r="AC219" s="79"/>
      <c r="AD219" s="79"/>
      <c r="AE219" s="91"/>
    </row>
    <row r="220" spans="1:31" hidden="1">
      <c r="A220" s="76">
        <v>220</v>
      </c>
      <c r="B220" s="101"/>
      <c r="C220" s="101"/>
      <c r="D220" s="101"/>
      <c r="E220" s="101"/>
      <c r="F220" s="101"/>
      <c r="G220" s="101"/>
      <c r="H220" s="101"/>
      <c r="I220" s="96"/>
      <c r="J220" s="99"/>
      <c r="K220" s="99"/>
      <c r="L220" s="96"/>
      <c r="M220" s="101"/>
      <c r="N220" s="101"/>
      <c r="O220" s="101"/>
      <c r="P220" s="101"/>
      <c r="Q220" s="101"/>
      <c r="R220" s="101"/>
      <c r="S220" s="97"/>
      <c r="T220" s="101"/>
      <c r="U220" s="80"/>
      <c r="V220" s="79"/>
      <c r="W220" s="79"/>
      <c r="X220" s="79"/>
      <c r="Y220" s="79"/>
      <c r="Z220" s="79">
        <f t="shared" si="3"/>
        <v>220</v>
      </c>
      <c r="AA220" s="79"/>
      <c r="AB220" s="81"/>
      <c r="AC220" s="79"/>
      <c r="AD220" s="79"/>
      <c r="AE220" s="91"/>
    </row>
    <row r="221" spans="1:31" hidden="1">
      <c r="A221" s="76">
        <v>221</v>
      </c>
      <c r="B221" s="101"/>
      <c r="C221" s="101"/>
      <c r="D221" s="101"/>
      <c r="E221" s="101"/>
      <c r="F221" s="101"/>
      <c r="G221" s="101"/>
      <c r="H221" s="101"/>
      <c r="I221" s="96"/>
      <c r="J221" s="99"/>
      <c r="K221" s="99"/>
      <c r="L221" s="96"/>
      <c r="M221" s="101"/>
      <c r="N221" s="101"/>
      <c r="O221" s="101"/>
      <c r="P221" s="101"/>
      <c r="Q221" s="101"/>
      <c r="R221" s="101"/>
      <c r="S221" s="97"/>
      <c r="T221" s="101"/>
      <c r="U221" s="80"/>
      <c r="V221" s="79"/>
      <c r="W221" s="79"/>
      <c r="X221" s="79"/>
      <c r="Y221" s="79"/>
      <c r="Z221" s="79">
        <f t="shared" si="3"/>
        <v>221</v>
      </c>
      <c r="AA221" s="79"/>
      <c r="AB221" s="81"/>
      <c r="AC221" s="79"/>
      <c r="AD221" s="79"/>
      <c r="AE221" s="91"/>
    </row>
    <row r="222" spans="1:31" hidden="1">
      <c r="A222" s="76">
        <v>222</v>
      </c>
      <c r="B222" s="101"/>
      <c r="C222" s="101"/>
      <c r="D222" s="101"/>
      <c r="E222" s="101"/>
      <c r="F222" s="101"/>
      <c r="G222" s="101"/>
      <c r="H222" s="101"/>
      <c r="I222" s="96"/>
      <c r="J222" s="99"/>
      <c r="K222" s="99"/>
      <c r="L222" s="96"/>
      <c r="M222" s="101"/>
      <c r="N222" s="101"/>
      <c r="O222" s="101"/>
      <c r="P222" s="101"/>
      <c r="Q222" s="101"/>
      <c r="R222" s="101"/>
      <c r="S222" s="97"/>
      <c r="T222" s="101"/>
      <c r="U222" s="80"/>
      <c r="V222" s="79"/>
      <c r="W222" s="79"/>
      <c r="X222" s="79"/>
      <c r="Y222" s="79"/>
      <c r="Z222" s="79">
        <f t="shared" si="3"/>
        <v>222</v>
      </c>
      <c r="AA222" s="79"/>
      <c r="AB222" s="81"/>
      <c r="AC222" s="79"/>
      <c r="AD222" s="79"/>
      <c r="AE222" s="91"/>
    </row>
    <row r="223" spans="1:31" hidden="1">
      <c r="A223" s="76">
        <v>223</v>
      </c>
      <c r="B223" s="79"/>
      <c r="C223" s="79"/>
      <c r="D223" s="79"/>
      <c r="E223" s="79"/>
      <c r="F223" s="79"/>
      <c r="G223" s="79"/>
      <c r="H223" s="79"/>
      <c r="I223" s="76"/>
      <c r="J223" s="77"/>
      <c r="K223" s="78"/>
      <c r="L223" s="76"/>
      <c r="M223" s="79"/>
      <c r="N223" s="79"/>
      <c r="O223" s="79"/>
      <c r="P223" s="79"/>
      <c r="Q223" s="79"/>
      <c r="R223" s="79"/>
      <c r="S223" s="79"/>
      <c r="T223" s="79"/>
      <c r="U223" s="80"/>
      <c r="V223" s="79"/>
      <c r="W223" s="79"/>
      <c r="X223" s="79"/>
      <c r="Y223" s="79"/>
      <c r="Z223" s="79">
        <f t="shared" si="3"/>
        <v>223</v>
      </c>
      <c r="AA223" s="79"/>
      <c r="AB223" s="81"/>
      <c r="AC223" s="79"/>
      <c r="AD223" s="79"/>
      <c r="AE223" s="91"/>
    </row>
    <row r="224" spans="1:31" hidden="1">
      <c r="A224" s="79"/>
      <c r="B224" s="79"/>
      <c r="C224" s="83"/>
      <c r="D224" s="79"/>
      <c r="E224" s="79"/>
      <c r="F224" s="79"/>
      <c r="G224" s="79"/>
      <c r="H224" s="79"/>
      <c r="I224" s="79"/>
      <c r="J224" s="79"/>
      <c r="K224" s="76"/>
      <c r="L224" s="77"/>
      <c r="M224" s="78"/>
      <c r="N224" s="76"/>
      <c r="O224" s="79"/>
      <c r="P224" s="79"/>
      <c r="Q224" s="79"/>
      <c r="R224" s="79"/>
      <c r="S224" s="79"/>
      <c r="T224" s="79"/>
      <c r="U224" s="80"/>
      <c r="V224" s="79"/>
      <c r="W224" s="79"/>
      <c r="X224" s="79"/>
      <c r="Y224" s="79"/>
      <c r="Z224" s="79"/>
      <c r="AA224" s="79"/>
      <c r="AB224" s="81"/>
      <c r="AC224" s="79"/>
      <c r="AD224" s="79"/>
      <c r="AE224" s="81"/>
    </row>
    <row r="225" spans="1:31" hidden="1">
      <c r="A225" s="79"/>
      <c r="B225" s="79"/>
      <c r="C225" s="83"/>
      <c r="D225" s="79"/>
      <c r="E225" s="79"/>
      <c r="F225" s="79"/>
      <c r="G225" s="79"/>
      <c r="H225" s="79"/>
      <c r="I225" s="79"/>
      <c r="J225" s="79"/>
      <c r="K225" s="76"/>
      <c r="L225" s="77"/>
      <c r="M225" s="78"/>
      <c r="N225" s="76"/>
      <c r="O225" s="79"/>
      <c r="P225" s="79"/>
      <c r="Q225" s="79"/>
      <c r="R225" s="79"/>
      <c r="S225" s="79"/>
      <c r="T225" s="79"/>
      <c r="U225" s="80"/>
      <c r="V225" s="79"/>
      <c r="W225" s="79"/>
      <c r="X225" s="79"/>
      <c r="Y225" s="79"/>
      <c r="Z225" s="79"/>
      <c r="AA225" s="79"/>
      <c r="AB225" s="81"/>
      <c r="AC225" s="79"/>
      <c r="AD225" s="79"/>
      <c r="AE225" s="81"/>
    </row>
    <row r="226" spans="1:31" hidden="1">
      <c r="A226" s="79"/>
      <c r="B226" s="79"/>
      <c r="C226" s="83"/>
      <c r="D226" s="79"/>
      <c r="E226" s="79"/>
      <c r="F226" s="79"/>
      <c r="G226" s="79"/>
      <c r="H226" s="79"/>
      <c r="I226" s="79"/>
      <c r="J226" s="79"/>
      <c r="K226" s="76"/>
      <c r="L226" s="77"/>
      <c r="M226" s="78"/>
      <c r="N226" s="76"/>
      <c r="O226" s="79"/>
      <c r="P226" s="79"/>
      <c r="Q226" s="79"/>
      <c r="R226" s="79"/>
      <c r="S226" s="79"/>
      <c r="T226" s="79"/>
      <c r="U226" s="80"/>
      <c r="V226" s="79"/>
      <c r="W226" s="79"/>
      <c r="X226" s="79"/>
      <c r="Y226" s="79"/>
      <c r="Z226" s="79"/>
      <c r="AA226" s="79"/>
      <c r="AB226" s="81"/>
      <c r="AC226" s="79"/>
      <c r="AD226" s="79"/>
      <c r="AE226" s="81"/>
    </row>
    <row r="227" spans="1:31" hidden="1">
      <c r="A227" s="79"/>
      <c r="B227" s="79"/>
      <c r="C227" s="83"/>
      <c r="D227" s="79"/>
      <c r="E227" s="79"/>
      <c r="F227" s="79"/>
      <c r="G227" s="79"/>
      <c r="H227" s="79"/>
      <c r="I227" s="79"/>
      <c r="J227" s="79"/>
      <c r="K227" s="76"/>
      <c r="L227" s="77"/>
      <c r="M227" s="78"/>
      <c r="N227" s="76"/>
      <c r="O227" s="79"/>
      <c r="P227" s="79"/>
      <c r="Q227" s="79"/>
      <c r="R227" s="79"/>
      <c r="S227" s="79"/>
      <c r="T227" s="79"/>
      <c r="U227" s="80"/>
      <c r="V227" s="79"/>
      <c r="W227" s="79"/>
      <c r="X227" s="79"/>
      <c r="Y227" s="79"/>
      <c r="Z227" s="79"/>
      <c r="AA227" s="79"/>
      <c r="AB227" s="81"/>
      <c r="AC227" s="79"/>
      <c r="AD227" s="79"/>
      <c r="AE227" s="81"/>
    </row>
    <row r="228" spans="1:31" hidden="1">
      <c r="A228" s="79"/>
      <c r="B228" s="79"/>
      <c r="C228" s="83"/>
      <c r="D228" s="79"/>
      <c r="E228" s="79"/>
      <c r="F228" s="79"/>
      <c r="G228" s="79"/>
      <c r="H228" s="79"/>
      <c r="I228" s="79"/>
      <c r="J228" s="79"/>
      <c r="K228" s="76"/>
      <c r="L228" s="77"/>
      <c r="M228" s="78"/>
      <c r="N228" s="76"/>
      <c r="O228" s="79"/>
      <c r="P228" s="79"/>
      <c r="Q228" s="79"/>
      <c r="R228" s="79"/>
      <c r="S228" s="79"/>
      <c r="T228" s="79"/>
      <c r="U228" s="80"/>
      <c r="V228" s="79"/>
      <c r="W228" s="79"/>
      <c r="X228" s="79"/>
      <c r="Y228" s="79"/>
      <c r="Z228" s="79"/>
      <c r="AA228" s="79"/>
      <c r="AB228" s="81"/>
      <c r="AC228" s="79"/>
      <c r="AD228" s="79"/>
      <c r="AE228" s="81"/>
    </row>
    <row r="229" spans="1:31" hidden="1">
      <c r="A229" s="79"/>
      <c r="B229" s="79"/>
      <c r="C229" s="83"/>
      <c r="D229" s="79"/>
      <c r="E229" s="79"/>
      <c r="F229" s="79"/>
      <c r="G229" s="79"/>
      <c r="H229" s="79"/>
      <c r="I229" s="79"/>
      <c r="J229" s="79"/>
      <c r="K229" s="76"/>
      <c r="L229" s="77"/>
      <c r="M229" s="78"/>
      <c r="N229" s="76"/>
      <c r="O229" s="79"/>
      <c r="P229" s="79"/>
      <c r="Q229" s="79"/>
      <c r="R229" s="79"/>
      <c r="S229" s="79"/>
      <c r="T229" s="79"/>
      <c r="U229" s="80"/>
      <c r="V229" s="79"/>
      <c r="W229" s="79"/>
      <c r="X229" s="79"/>
      <c r="Y229" s="79"/>
      <c r="Z229" s="79"/>
      <c r="AA229" s="79"/>
      <c r="AB229" s="81"/>
      <c r="AC229" s="79"/>
      <c r="AD229" s="79"/>
      <c r="AE229" s="81"/>
    </row>
    <row r="230" spans="1:31" hidden="1">
      <c r="A230" s="79"/>
      <c r="B230" s="79"/>
      <c r="C230" s="83"/>
      <c r="D230" s="79"/>
      <c r="E230" s="79"/>
      <c r="F230" s="79"/>
      <c r="G230" s="79"/>
      <c r="H230" s="79"/>
      <c r="I230" s="79"/>
      <c r="J230" s="79"/>
      <c r="K230" s="76"/>
      <c r="L230" s="77"/>
      <c r="M230" s="78"/>
      <c r="N230" s="76"/>
      <c r="O230" s="79"/>
      <c r="P230" s="79"/>
      <c r="Q230" s="79"/>
      <c r="R230" s="79"/>
      <c r="S230" s="79"/>
      <c r="T230" s="79"/>
      <c r="U230" s="80"/>
      <c r="V230" s="79"/>
      <c r="W230" s="79"/>
      <c r="X230" s="79"/>
      <c r="Y230" s="79"/>
      <c r="Z230" s="79"/>
      <c r="AA230" s="79"/>
      <c r="AB230" s="81"/>
      <c r="AC230" s="79"/>
      <c r="AD230" s="79"/>
      <c r="AE230" s="81"/>
    </row>
    <row r="231" spans="1:31" hidden="1">
      <c r="A231" s="79"/>
      <c r="B231" s="79"/>
      <c r="C231" s="83"/>
      <c r="D231" s="79"/>
      <c r="E231" s="79"/>
      <c r="F231" s="79"/>
      <c r="G231" s="79"/>
      <c r="H231" s="79"/>
      <c r="I231" s="79"/>
      <c r="J231" s="79"/>
      <c r="K231" s="76"/>
      <c r="L231" s="77"/>
      <c r="M231" s="78"/>
      <c r="N231" s="76"/>
      <c r="O231" s="79"/>
      <c r="P231" s="79"/>
      <c r="Q231" s="79"/>
      <c r="R231" s="79"/>
      <c r="S231" s="79"/>
      <c r="T231" s="79"/>
      <c r="U231" s="80"/>
      <c r="V231" s="79"/>
      <c r="W231" s="79"/>
      <c r="X231" s="79"/>
      <c r="Y231" s="79"/>
      <c r="Z231" s="79"/>
      <c r="AA231" s="79"/>
      <c r="AB231" s="81"/>
      <c r="AC231" s="79"/>
      <c r="AD231" s="79"/>
      <c r="AE231" s="81"/>
    </row>
    <row r="232" spans="1:31" hidden="1">
      <c r="A232" s="79"/>
      <c r="B232" s="79"/>
      <c r="C232" s="83"/>
      <c r="D232" s="79"/>
      <c r="E232" s="79"/>
      <c r="F232" s="79"/>
      <c r="G232" s="79"/>
      <c r="H232" s="79"/>
      <c r="I232" s="79"/>
      <c r="J232" s="79"/>
      <c r="K232" s="76"/>
      <c r="L232" s="77"/>
      <c r="M232" s="78"/>
      <c r="N232" s="76"/>
      <c r="O232" s="79"/>
      <c r="P232" s="79"/>
      <c r="Q232" s="79"/>
      <c r="R232" s="79"/>
      <c r="S232" s="79"/>
      <c r="T232" s="79"/>
      <c r="U232" s="80"/>
      <c r="V232" s="79"/>
      <c r="W232" s="79"/>
      <c r="X232" s="79"/>
      <c r="Y232" s="79"/>
      <c r="Z232" s="79"/>
      <c r="AA232" s="79"/>
      <c r="AB232" s="81"/>
      <c r="AC232" s="79"/>
      <c r="AD232" s="79"/>
      <c r="AE232" s="81"/>
    </row>
    <row r="233" spans="1:31" hidden="1">
      <c r="A233" s="79"/>
      <c r="B233" s="79"/>
      <c r="C233" s="83"/>
      <c r="D233" s="79"/>
      <c r="E233" s="79"/>
      <c r="F233" s="79"/>
      <c r="G233" s="79"/>
      <c r="H233" s="79"/>
      <c r="I233" s="79"/>
      <c r="J233" s="79"/>
      <c r="K233" s="76"/>
      <c r="L233" s="77"/>
      <c r="M233" s="78"/>
      <c r="N233" s="76"/>
      <c r="O233" s="79"/>
      <c r="P233" s="79"/>
      <c r="Q233" s="79"/>
      <c r="R233" s="79"/>
      <c r="S233" s="79"/>
      <c r="T233" s="79"/>
      <c r="U233" s="80"/>
      <c r="V233" s="79"/>
      <c r="W233" s="79"/>
      <c r="X233" s="79"/>
      <c r="Y233" s="79"/>
      <c r="Z233" s="79"/>
      <c r="AA233" s="79"/>
      <c r="AB233" s="81"/>
      <c r="AC233" s="79"/>
      <c r="AD233" s="79"/>
      <c r="AE233" s="81"/>
    </row>
    <row r="234" spans="1:31" hidden="1">
      <c r="A234" s="79"/>
      <c r="B234" s="79"/>
      <c r="C234" s="83"/>
      <c r="D234" s="79"/>
      <c r="E234" s="79"/>
      <c r="F234" s="79"/>
      <c r="G234" s="79"/>
      <c r="H234" s="79"/>
      <c r="I234" s="79"/>
      <c r="J234" s="79"/>
      <c r="K234" s="76"/>
      <c r="L234" s="77"/>
      <c r="M234" s="78"/>
      <c r="N234" s="76"/>
      <c r="O234" s="79"/>
      <c r="P234" s="79"/>
      <c r="Q234" s="79"/>
      <c r="R234" s="79"/>
      <c r="S234" s="79"/>
      <c r="T234" s="79"/>
      <c r="U234" s="80"/>
      <c r="V234" s="79"/>
      <c r="W234" s="79"/>
      <c r="X234" s="79"/>
      <c r="Y234" s="79"/>
      <c r="Z234" s="79"/>
      <c r="AA234" s="79"/>
      <c r="AB234" s="81"/>
      <c r="AC234" s="79"/>
      <c r="AD234" s="79"/>
      <c r="AE234" s="81"/>
    </row>
    <row r="235" spans="1:31" hidden="1">
      <c r="A235" s="79"/>
      <c r="B235" s="79"/>
      <c r="C235" s="83"/>
      <c r="D235" s="79"/>
      <c r="E235" s="79"/>
      <c r="F235" s="79"/>
      <c r="G235" s="79"/>
      <c r="H235" s="79"/>
      <c r="I235" s="79"/>
      <c r="J235" s="79"/>
      <c r="K235" s="76"/>
      <c r="L235" s="77"/>
      <c r="M235" s="78"/>
      <c r="N235" s="76"/>
      <c r="O235" s="79"/>
      <c r="P235" s="79"/>
      <c r="Q235" s="79"/>
      <c r="R235" s="79"/>
      <c r="S235" s="79"/>
      <c r="T235" s="79"/>
      <c r="U235" s="80"/>
      <c r="V235" s="79"/>
      <c r="W235" s="79"/>
      <c r="X235" s="79"/>
      <c r="Y235" s="79"/>
      <c r="Z235" s="79"/>
      <c r="AA235" s="79"/>
      <c r="AB235" s="81"/>
      <c r="AC235" s="79"/>
      <c r="AD235" s="79"/>
      <c r="AE235" s="81"/>
    </row>
    <row r="236" spans="1:31" hidden="1">
      <c r="A236" s="79"/>
      <c r="B236" s="79"/>
      <c r="C236" s="83"/>
      <c r="D236" s="79"/>
      <c r="E236" s="79"/>
      <c r="F236" s="79"/>
      <c r="G236" s="79"/>
      <c r="H236" s="79"/>
      <c r="I236" s="79"/>
      <c r="J236" s="79"/>
      <c r="K236" s="76"/>
      <c r="L236" s="77"/>
      <c r="M236" s="78"/>
      <c r="N236" s="76"/>
      <c r="O236" s="79"/>
      <c r="P236" s="79"/>
      <c r="Q236" s="79"/>
      <c r="R236" s="79"/>
      <c r="S236" s="79"/>
      <c r="T236" s="79"/>
      <c r="U236" s="80"/>
      <c r="V236" s="79"/>
      <c r="W236" s="79"/>
      <c r="X236" s="79"/>
      <c r="Y236" s="79"/>
      <c r="Z236" s="79"/>
      <c r="AA236" s="79"/>
      <c r="AB236" s="81"/>
      <c r="AC236" s="79"/>
      <c r="AD236" s="79"/>
      <c r="AE236" s="81"/>
    </row>
    <row r="237" spans="1:31" hidden="1"/>
    <row r="238" spans="1:31" hidden="1"/>
    <row r="239" spans="1:31" hidden="1"/>
    <row r="240" spans="1:31"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spans="22:22" hidden="1"/>
    <row r="258" spans="22:22" hidden="1"/>
    <row r="259" spans="22:22" hidden="1"/>
    <row r="260" spans="22:22" hidden="1"/>
    <row r="261" spans="22:22" hidden="1"/>
    <row r="262" spans="22:22" hidden="1"/>
    <row r="263" spans="22:22" hidden="1"/>
    <row r="264" spans="22:22" hidden="1"/>
    <row r="265" spans="22:22" hidden="1"/>
    <row r="266" spans="22:22" hidden="1"/>
    <row r="267" spans="22:22" hidden="1"/>
    <row r="268" spans="22:22" hidden="1"/>
    <row r="269" spans="22:22" hidden="1">
      <c r="V269" s="79"/>
    </row>
    <row r="270" spans="22:22" hidden="1">
      <c r="V270" s="79"/>
    </row>
    <row r="271" spans="22:22" hidden="1">
      <c r="V271" s="79"/>
    </row>
    <row r="272" spans="22:22" ht="15.75" hidden="1" thickBot="1">
      <c r="V272" s="102"/>
    </row>
    <row r="273" spans="1:32">
      <c r="V273" s="79"/>
    </row>
    <row r="285" spans="1:32">
      <c r="A285" s="348" t="s">
        <v>893</v>
      </c>
    </row>
    <row r="287" spans="1:32" s="347" customFormat="1" ht="90.75" thickBot="1">
      <c r="A287" s="343"/>
      <c r="B287" s="343" t="s">
        <v>417</v>
      </c>
      <c r="C287" s="343"/>
      <c r="D287" s="343">
        <v>9.1999999999999993</v>
      </c>
      <c r="E287" s="343">
        <v>2.7</v>
      </c>
      <c r="F287" s="343">
        <v>17.3</v>
      </c>
      <c r="G287" s="343" t="s">
        <v>46</v>
      </c>
      <c r="H287" s="343" t="s">
        <v>403</v>
      </c>
      <c r="I287" s="343">
        <v>0.7</v>
      </c>
      <c r="J287" s="343">
        <v>7.0000000000000007E-2</v>
      </c>
      <c r="K287" s="343" t="s">
        <v>281</v>
      </c>
      <c r="L287" s="343" t="s">
        <v>172</v>
      </c>
      <c r="M287" s="343" t="s">
        <v>46</v>
      </c>
      <c r="N287" s="343">
        <v>7.4700000000000003E-2</v>
      </c>
      <c r="O287" s="343">
        <v>0</v>
      </c>
      <c r="P287" s="343">
        <v>0.1</v>
      </c>
      <c r="Q287" s="343">
        <v>4.1500000000000002E-2</v>
      </c>
      <c r="R287" s="343">
        <f>Q287</f>
        <v>4.1500000000000002E-2</v>
      </c>
      <c r="S287" s="343">
        <v>1</v>
      </c>
      <c r="T287" s="343" t="s">
        <v>179</v>
      </c>
      <c r="U287" s="343">
        <v>0</v>
      </c>
      <c r="V287" s="343" t="s">
        <v>77</v>
      </c>
      <c r="W287" s="343" t="s">
        <v>57</v>
      </c>
      <c r="X287" s="343">
        <v>0</v>
      </c>
      <c r="Y287" s="343">
        <v>0.8</v>
      </c>
      <c r="Z287" s="343">
        <f>A287</f>
        <v>0</v>
      </c>
      <c r="AA287" s="344"/>
      <c r="AB287" s="345"/>
      <c r="AC287" s="346"/>
      <c r="AD287" s="345"/>
      <c r="AE287" s="344"/>
      <c r="AF287" s="344"/>
    </row>
    <row r="288" spans="1:32" s="347" customFormat="1" ht="106.5" thickTop="1" thickBot="1">
      <c r="A288" s="343"/>
      <c r="B288" s="343" t="s">
        <v>418</v>
      </c>
      <c r="C288" s="343"/>
      <c r="D288" s="343">
        <v>5.2</v>
      </c>
      <c r="E288" s="343">
        <v>1.3</v>
      </c>
      <c r="F288" s="343">
        <v>3.6</v>
      </c>
      <c r="G288" s="343" t="s">
        <v>46</v>
      </c>
      <c r="H288" s="343" t="s">
        <v>404</v>
      </c>
      <c r="I288" s="343">
        <v>1.3</v>
      </c>
      <c r="J288" s="343">
        <v>0.1</v>
      </c>
      <c r="K288" s="343" t="s">
        <v>282</v>
      </c>
      <c r="L288" s="343" t="s">
        <v>172</v>
      </c>
      <c r="M288" s="343" t="s">
        <v>46</v>
      </c>
      <c r="N288" s="343"/>
      <c r="O288" s="343"/>
      <c r="P288" s="343"/>
      <c r="Q288" s="343"/>
      <c r="R288" s="343"/>
      <c r="S288" s="343">
        <v>1</v>
      </c>
      <c r="T288" s="343" t="s">
        <v>179</v>
      </c>
      <c r="U288" s="343">
        <v>0</v>
      </c>
      <c r="V288" s="343" t="s">
        <v>77</v>
      </c>
      <c r="W288" s="343" t="s">
        <v>57</v>
      </c>
      <c r="X288" s="343">
        <v>0</v>
      </c>
      <c r="Y288" s="343">
        <v>0.8</v>
      </c>
      <c r="Z288" s="343">
        <f>A288</f>
        <v>0</v>
      </c>
      <c r="AA288" s="344"/>
      <c r="AB288" s="345"/>
      <c r="AC288" s="346"/>
      <c r="AD288" s="345"/>
      <c r="AE288" s="344"/>
      <c r="AF288" s="344"/>
    </row>
    <row r="289" spans="1:32" s="347" customFormat="1" ht="61.5" thickTop="1" thickBot="1">
      <c r="A289" s="343"/>
      <c r="B289" s="343" t="s">
        <v>419</v>
      </c>
      <c r="C289" s="343"/>
      <c r="D289" s="343">
        <v>1.5</v>
      </c>
      <c r="E289" s="343">
        <v>0.6</v>
      </c>
      <c r="F289" s="343">
        <v>2.1</v>
      </c>
      <c r="G289" s="343" t="s">
        <v>46</v>
      </c>
      <c r="H289" s="343" t="s">
        <v>411</v>
      </c>
      <c r="I289" s="343">
        <v>1</v>
      </c>
      <c r="J289" s="343">
        <v>0.08</v>
      </c>
      <c r="K289" s="343" t="s">
        <v>283</v>
      </c>
      <c r="L289" s="343" t="s">
        <v>172</v>
      </c>
      <c r="M289" s="343" t="s">
        <v>46</v>
      </c>
      <c r="N289" s="343"/>
      <c r="O289" s="343"/>
      <c r="P289" s="343"/>
      <c r="Q289" s="343"/>
      <c r="R289" s="343"/>
      <c r="S289" s="343">
        <v>1</v>
      </c>
      <c r="T289" s="343" t="s">
        <v>179</v>
      </c>
      <c r="U289" s="343">
        <v>0</v>
      </c>
      <c r="V289" s="343" t="s">
        <v>77</v>
      </c>
      <c r="W289" s="343" t="s">
        <v>57</v>
      </c>
      <c r="X289" s="343">
        <v>0</v>
      </c>
      <c r="Y289" s="343">
        <v>0.8</v>
      </c>
      <c r="Z289" s="343">
        <f>A289</f>
        <v>0</v>
      </c>
      <c r="AA289" s="344"/>
      <c r="AB289" s="345"/>
      <c r="AC289" s="346"/>
      <c r="AD289" s="345"/>
      <c r="AE289" s="344"/>
      <c r="AF289" s="344"/>
    </row>
    <row r="290" spans="1:32" s="347" customFormat="1" ht="46.5" thickTop="1" thickBot="1">
      <c r="A290" s="343"/>
      <c r="B290" s="343" t="s">
        <v>428</v>
      </c>
      <c r="C290" s="343"/>
      <c r="D290" s="343">
        <v>10</v>
      </c>
      <c r="E290" s="343">
        <v>3</v>
      </c>
      <c r="F290" s="343">
        <v>7</v>
      </c>
      <c r="G290" s="343" t="s">
        <v>46</v>
      </c>
      <c r="H290" s="343" t="s">
        <v>429</v>
      </c>
      <c r="I290" s="343">
        <v>4.2</v>
      </c>
      <c r="J290" s="343">
        <v>0.35</v>
      </c>
      <c r="K290" s="343" t="s">
        <v>298</v>
      </c>
      <c r="L290" s="343" t="s">
        <v>173</v>
      </c>
      <c r="M290" s="343" t="s">
        <v>46</v>
      </c>
      <c r="N290" s="343"/>
      <c r="O290" s="343"/>
      <c r="P290" s="343"/>
      <c r="Q290" s="343"/>
      <c r="R290" s="343"/>
      <c r="S290" s="343">
        <v>1</v>
      </c>
      <c r="T290" s="343" t="s">
        <v>430</v>
      </c>
      <c r="U290" s="343">
        <v>0</v>
      </c>
      <c r="V290" s="343" t="s">
        <v>135</v>
      </c>
      <c r="W290" s="343" t="s">
        <v>57</v>
      </c>
      <c r="X290" s="343">
        <v>0</v>
      </c>
      <c r="Y290" s="343">
        <v>0.8</v>
      </c>
      <c r="Z290" s="343">
        <f>A290</f>
        <v>0</v>
      </c>
      <c r="AA290" s="344"/>
      <c r="AB290" s="345"/>
      <c r="AC290" s="346"/>
      <c r="AD290" s="345"/>
      <c r="AE290" s="344"/>
      <c r="AF290" s="344"/>
    </row>
    <row r="291" spans="1:32" s="347" customFormat="1" ht="106.5" thickTop="1" thickBot="1">
      <c r="A291" s="343"/>
      <c r="B291" s="343" t="s">
        <v>444</v>
      </c>
      <c r="C291" s="343"/>
      <c r="D291" s="343">
        <v>1.3</v>
      </c>
      <c r="E291" s="343">
        <v>0</v>
      </c>
      <c r="F291" s="343">
        <v>1.8</v>
      </c>
      <c r="G291" s="343" t="s">
        <v>46</v>
      </c>
      <c r="H291" s="343" t="s">
        <v>404</v>
      </c>
      <c r="I291" s="343">
        <v>2.2000000000000002</v>
      </c>
      <c r="J291" s="343">
        <v>0.14000000000000001</v>
      </c>
      <c r="K291" s="343" t="s">
        <v>332</v>
      </c>
      <c r="L291" s="343" t="s">
        <v>173</v>
      </c>
      <c r="M291" s="343" t="s">
        <v>46</v>
      </c>
      <c r="N291" s="343"/>
      <c r="O291" s="343"/>
      <c r="P291" s="343"/>
      <c r="Q291" s="343"/>
      <c r="R291" s="343"/>
      <c r="S291" s="343">
        <v>1</v>
      </c>
      <c r="T291" s="343" t="s">
        <v>178</v>
      </c>
      <c r="U291" s="343">
        <v>0</v>
      </c>
      <c r="V291" s="343" t="s">
        <v>135</v>
      </c>
      <c r="W291" s="343" t="s">
        <v>57</v>
      </c>
      <c r="X291" s="343">
        <v>0</v>
      </c>
      <c r="Y291" s="343">
        <v>0.8</v>
      </c>
      <c r="Z291" s="343">
        <f>A291</f>
        <v>0</v>
      </c>
      <c r="AA291" s="344"/>
      <c r="AB291" s="345"/>
      <c r="AC291" s="344"/>
      <c r="AD291" s="344"/>
      <c r="AE291" s="346"/>
    </row>
    <row r="292" spans="1:32" s="347" customFormat="1" ht="106.5" thickTop="1" thickBot="1">
      <c r="A292" s="343"/>
      <c r="B292" s="343" t="s">
        <v>445</v>
      </c>
      <c r="C292" s="343"/>
      <c r="D292" s="343">
        <v>1.6</v>
      </c>
      <c r="E292" s="343">
        <v>0.6</v>
      </c>
      <c r="F292" s="343">
        <v>3.4</v>
      </c>
      <c r="G292" s="343" t="s">
        <v>46</v>
      </c>
      <c r="H292" s="343" t="s">
        <v>404</v>
      </c>
      <c r="I292" s="343">
        <v>1.3</v>
      </c>
      <c r="J292" s="343">
        <v>0.12</v>
      </c>
      <c r="K292" s="343" t="s">
        <v>333</v>
      </c>
      <c r="L292" s="343" t="s">
        <v>173</v>
      </c>
      <c r="M292" s="343" t="s">
        <v>46</v>
      </c>
      <c r="N292" s="343"/>
      <c r="O292" s="343"/>
      <c r="P292" s="343"/>
      <c r="Q292" s="343"/>
      <c r="R292" s="343"/>
      <c r="S292" s="343">
        <v>1</v>
      </c>
      <c r="T292" s="343" t="s">
        <v>178</v>
      </c>
      <c r="U292" s="343">
        <v>0</v>
      </c>
      <c r="V292" s="343" t="s">
        <v>135</v>
      </c>
      <c r="W292" s="343" t="s">
        <v>57</v>
      </c>
      <c r="X292" s="343">
        <v>0</v>
      </c>
      <c r="Y292" s="343">
        <v>0.8</v>
      </c>
      <c r="Z292" s="343">
        <f>A292</f>
        <v>0</v>
      </c>
      <c r="AA292" s="344"/>
      <c r="AB292" s="345"/>
      <c r="AC292" s="344"/>
      <c r="AD292" s="344"/>
      <c r="AE292" s="346"/>
    </row>
    <row r="293" spans="1:32" s="347" customFormat="1" ht="106.5" thickTop="1" thickBot="1">
      <c r="A293" s="343"/>
      <c r="B293" s="343" t="s">
        <v>447</v>
      </c>
      <c r="C293" s="343"/>
      <c r="D293" s="343">
        <v>5.3</v>
      </c>
      <c r="E293" s="343">
        <v>1.5</v>
      </c>
      <c r="F293" s="343">
        <v>8</v>
      </c>
      <c r="G293" s="343" t="s">
        <v>46</v>
      </c>
      <c r="H293" s="343" t="s">
        <v>404</v>
      </c>
      <c r="I293" s="343">
        <v>5.5</v>
      </c>
      <c r="J293" s="343">
        <v>0.32</v>
      </c>
      <c r="K293" s="343" t="s">
        <v>335</v>
      </c>
      <c r="L293" s="343" t="s">
        <v>173</v>
      </c>
      <c r="M293" s="343" t="s">
        <v>46</v>
      </c>
      <c r="N293" s="343"/>
      <c r="O293" s="343"/>
      <c r="P293" s="343"/>
      <c r="Q293" s="343"/>
      <c r="R293" s="343"/>
      <c r="S293" s="343">
        <v>1</v>
      </c>
      <c r="T293" s="343" t="s">
        <v>179</v>
      </c>
      <c r="U293" s="343">
        <v>0</v>
      </c>
      <c r="V293" s="343" t="s">
        <v>135</v>
      </c>
      <c r="W293" s="343" t="s">
        <v>57</v>
      </c>
      <c r="X293" s="343">
        <v>0</v>
      </c>
      <c r="Y293" s="343">
        <v>0.8</v>
      </c>
      <c r="Z293" s="343">
        <f>A293</f>
        <v>0</v>
      </c>
      <c r="AA293" s="344"/>
      <c r="AB293" s="345"/>
      <c r="AC293" s="344"/>
      <c r="AD293" s="344"/>
      <c r="AE293" s="346"/>
    </row>
    <row r="294" spans="1:32" s="347" customFormat="1" ht="16.5" thickTop="1" thickBot="1">
      <c r="A294" s="343"/>
      <c r="B294" s="343" t="s">
        <v>454</v>
      </c>
      <c r="C294" s="343"/>
      <c r="D294" s="343">
        <v>6.3</v>
      </c>
      <c r="E294" s="343">
        <v>0.63</v>
      </c>
      <c r="F294" s="343">
        <v>2.1</v>
      </c>
      <c r="G294" s="343" t="s">
        <v>424</v>
      </c>
      <c r="H294" s="343" t="s">
        <v>426</v>
      </c>
      <c r="I294" s="343"/>
      <c r="J294" s="343">
        <v>1</v>
      </c>
      <c r="K294" s="343" t="s">
        <v>347</v>
      </c>
      <c r="L294" s="343" t="s">
        <v>173</v>
      </c>
      <c r="M294" s="343" t="s">
        <v>424</v>
      </c>
      <c r="N294" s="343">
        <v>0.3</v>
      </c>
      <c r="O294" s="343">
        <v>0</v>
      </c>
      <c r="P294" s="343">
        <v>0.22</v>
      </c>
      <c r="Q294" s="343">
        <v>6.0000000000000001E-3</v>
      </c>
      <c r="R294" s="343">
        <v>1.2E-2</v>
      </c>
      <c r="S294" s="343">
        <v>1</v>
      </c>
      <c r="T294" s="343" t="s">
        <v>177</v>
      </c>
      <c r="U294" s="343">
        <v>0</v>
      </c>
      <c r="V294" s="343" t="s">
        <v>135</v>
      </c>
      <c r="W294" s="343" t="s">
        <v>57</v>
      </c>
      <c r="X294" s="343">
        <v>0</v>
      </c>
      <c r="Y294" s="343">
        <v>0.8</v>
      </c>
      <c r="Z294" s="343">
        <f>A294</f>
        <v>0</v>
      </c>
      <c r="AA294" s="344"/>
      <c r="AB294" s="345"/>
      <c r="AC294" s="344"/>
      <c r="AD294" s="344"/>
      <c r="AE294" s="346"/>
      <c r="AF294" s="345"/>
    </row>
    <row r="295" spans="1:32" s="347" customFormat="1" ht="76.5" thickTop="1" thickBot="1">
      <c r="A295" s="343"/>
      <c r="B295" s="343" t="s">
        <v>455</v>
      </c>
      <c r="C295" s="343"/>
      <c r="D295" s="343">
        <v>1</v>
      </c>
      <c r="E295" s="343">
        <v>0.3</v>
      </c>
      <c r="F295" s="343">
        <v>0.7</v>
      </c>
      <c r="G295" s="343" t="s">
        <v>46</v>
      </c>
      <c r="H295" s="343" t="s">
        <v>456</v>
      </c>
      <c r="I295" s="343">
        <v>4.2</v>
      </c>
      <c r="J295" s="343">
        <v>0.35</v>
      </c>
      <c r="K295" s="343" t="s">
        <v>348</v>
      </c>
      <c r="L295" s="343" t="s">
        <v>173</v>
      </c>
      <c r="M295" s="343" t="s">
        <v>46</v>
      </c>
      <c r="N295" s="343"/>
      <c r="O295" s="343"/>
      <c r="P295" s="343"/>
      <c r="Q295" s="343"/>
      <c r="R295" s="343"/>
      <c r="S295" s="343">
        <v>1</v>
      </c>
      <c r="T295" s="343" t="s">
        <v>179</v>
      </c>
      <c r="U295" s="343">
        <v>0</v>
      </c>
      <c r="V295" s="343" t="s">
        <v>135</v>
      </c>
      <c r="W295" s="343" t="s">
        <v>57</v>
      </c>
      <c r="X295" s="343">
        <v>0</v>
      </c>
      <c r="Y295" s="343">
        <v>0.8</v>
      </c>
      <c r="Z295" s="343">
        <f>A295</f>
        <v>0</v>
      </c>
      <c r="AA295" s="344"/>
      <c r="AB295" s="345"/>
      <c r="AC295" s="344"/>
      <c r="AD295" s="344"/>
      <c r="AE295" s="346"/>
      <c r="AF295" s="345"/>
    </row>
    <row r="296" spans="1:32" s="347" customFormat="1" ht="46.5" thickTop="1" thickBot="1">
      <c r="A296" s="343"/>
      <c r="B296" s="343" t="s">
        <v>414</v>
      </c>
      <c r="C296" s="343"/>
      <c r="D296" s="343">
        <v>1.3</v>
      </c>
      <c r="E296" s="343">
        <v>0.4</v>
      </c>
      <c r="F296" s="343">
        <v>3</v>
      </c>
      <c r="G296" s="343" t="s">
        <v>46</v>
      </c>
      <c r="H296" s="343" t="s">
        <v>415</v>
      </c>
      <c r="I296" s="343">
        <v>7.3</v>
      </c>
      <c r="J296" s="343">
        <v>0.48</v>
      </c>
      <c r="K296" s="343" t="s">
        <v>279</v>
      </c>
      <c r="L296" s="343" t="s">
        <v>173</v>
      </c>
      <c r="M296" s="343" t="s">
        <v>46</v>
      </c>
      <c r="N296" s="343"/>
      <c r="O296" s="343"/>
      <c r="P296" s="343"/>
      <c r="Q296" s="343"/>
      <c r="R296" s="343"/>
      <c r="S296" s="343">
        <v>1</v>
      </c>
      <c r="T296" s="343" t="s">
        <v>178</v>
      </c>
      <c r="U296" s="343">
        <v>0</v>
      </c>
      <c r="V296" s="343" t="s">
        <v>135</v>
      </c>
      <c r="W296" s="343" t="s">
        <v>57</v>
      </c>
      <c r="X296" s="343">
        <v>0</v>
      </c>
      <c r="Y296" s="343">
        <v>0.8</v>
      </c>
      <c r="Z296" s="343">
        <f>A296</f>
        <v>0</v>
      </c>
      <c r="AA296" s="344"/>
      <c r="AB296" s="345"/>
      <c r="AC296" s="346"/>
      <c r="AD296" s="345"/>
      <c r="AE296" s="344"/>
      <c r="AF296" s="344"/>
    </row>
    <row r="297" spans="1:32" s="347" customFormat="1" ht="106.5" thickTop="1" thickBot="1">
      <c r="A297" s="343"/>
      <c r="B297" s="343" t="s">
        <v>407</v>
      </c>
      <c r="C297" s="343"/>
      <c r="D297" s="343">
        <v>1.9</v>
      </c>
      <c r="E297" s="343">
        <v>8</v>
      </c>
      <c r="F297" s="343">
        <v>0.5</v>
      </c>
      <c r="G297" s="343" t="s">
        <v>46</v>
      </c>
      <c r="H297" s="343" t="s">
        <v>404</v>
      </c>
      <c r="I297" s="343">
        <v>2.5</v>
      </c>
      <c r="J297" s="343">
        <v>0.13</v>
      </c>
      <c r="K297" s="343" t="s">
        <v>271</v>
      </c>
      <c r="L297" s="343" t="s">
        <v>173</v>
      </c>
      <c r="M297" s="343" t="s">
        <v>46</v>
      </c>
      <c r="N297" s="343"/>
      <c r="O297" s="343"/>
      <c r="P297" s="343"/>
      <c r="Q297" s="343"/>
      <c r="R297" s="343"/>
      <c r="S297" s="343">
        <v>1</v>
      </c>
      <c r="T297" s="343" t="s">
        <v>178</v>
      </c>
      <c r="U297" s="343">
        <v>0</v>
      </c>
      <c r="V297" s="343" t="s">
        <v>135</v>
      </c>
      <c r="W297" s="343" t="s">
        <v>57</v>
      </c>
      <c r="X297" s="343">
        <v>0</v>
      </c>
      <c r="Y297" s="343">
        <v>0.8</v>
      </c>
      <c r="Z297" s="343">
        <f>A297</f>
        <v>0</v>
      </c>
      <c r="AA297" s="344"/>
      <c r="AB297" s="345"/>
      <c r="AC297" s="346"/>
      <c r="AD297" s="345"/>
      <c r="AE297" s="344"/>
      <c r="AF297" s="344"/>
    </row>
    <row r="298" spans="1:32" s="347" customFormat="1" ht="16.5" thickTop="1" thickBot="1">
      <c r="A298" s="343"/>
      <c r="B298" s="343" t="s">
        <v>435</v>
      </c>
      <c r="C298" s="343"/>
      <c r="D298" s="343">
        <v>6</v>
      </c>
      <c r="E298" s="343">
        <v>1</v>
      </c>
      <c r="F298" s="343">
        <v>8.5</v>
      </c>
      <c r="G298" s="343" t="s">
        <v>424</v>
      </c>
      <c r="H298" s="343" t="s">
        <v>436</v>
      </c>
      <c r="I298" s="343">
        <v>18.5</v>
      </c>
      <c r="J298" s="343">
        <v>1</v>
      </c>
      <c r="K298" s="343" t="s">
        <v>309</v>
      </c>
      <c r="L298" s="343" t="s">
        <v>173</v>
      </c>
      <c r="M298" s="343" t="s">
        <v>424</v>
      </c>
      <c r="N298" s="343">
        <v>0.3</v>
      </c>
      <c r="O298" s="343">
        <v>0</v>
      </c>
      <c r="P298" s="343">
        <v>0.22</v>
      </c>
      <c r="Q298" s="343">
        <v>6.0000000000000001E-3</v>
      </c>
      <c r="R298" s="343">
        <v>1.2E-2</v>
      </c>
      <c r="S298" s="343">
        <v>1</v>
      </c>
      <c r="T298" s="343" t="s">
        <v>177</v>
      </c>
      <c r="U298" s="343">
        <v>0</v>
      </c>
      <c r="V298" s="343" t="s">
        <v>135</v>
      </c>
      <c r="W298" s="343" t="s">
        <v>60</v>
      </c>
      <c r="X298" s="343">
        <v>0</v>
      </c>
      <c r="Y298" s="343">
        <v>0.8</v>
      </c>
      <c r="Z298" s="343">
        <f>A298</f>
        <v>0</v>
      </c>
      <c r="AA298" s="344"/>
      <c r="AB298" s="345"/>
      <c r="AC298" s="346"/>
      <c r="AD298" s="345"/>
      <c r="AE298" s="344"/>
      <c r="AF298" s="344"/>
    </row>
    <row r="299" spans="1:32" s="347" customFormat="1" ht="16.5" thickTop="1" thickBot="1">
      <c r="A299" s="343"/>
      <c r="B299" s="343" t="s">
        <v>452</v>
      </c>
      <c r="C299" s="343"/>
      <c r="D299" s="343">
        <v>19</v>
      </c>
      <c r="E299" s="343">
        <v>9</v>
      </c>
      <c r="F299" s="343">
        <v>70</v>
      </c>
      <c r="G299" s="343" t="s">
        <v>405</v>
      </c>
      <c r="H299" s="343" t="s">
        <v>453</v>
      </c>
      <c r="I299" s="343">
        <v>14.6</v>
      </c>
      <c r="J299" s="343">
        <v>0.85</v>
      </c>
      <c r="K299" s="343" t="s">
        <v>343</v>
      </c>
      <c r="L299" s="343" t="s">
        <v>172</v>
      </c>
      <c r="M299" s="343" t="s">
        <v>46</v>
      </c>
      <c r="N299" s="343">
        <v>1.51</v>
      </c>
      <c r="O299" s="343">
        <v>0.52</v>
      </c>
      <c r="P299" s="343">
        <v>0.24</v>
      </c>
      <c r="Q299" s="343">
        <v>5.4400000000000004E-3</v>
      </c>
      <c r="R299" s="343">
        <v>9.9000000000000008E-3</v>
      </c>
      <c r="S299" s="343">
        <v>1</v>
      </c>
      <c r="T299" s="343" t="s">
        <v>176</v>
      </c>
      <c r="U299" s="343">
        <v>0</v>
      </c>
      <c r="V299" s="343" t="s">
        <v>77</v>
      </c>
      <c r="W299" s="343" t="s">
        <v>60</v>
      </c>
      <c r="X299" s="343">
        <v>0</v>
      </c>
      <c r="Y299" s="343">
        <v>0.8</v>
      </c>
      <c r="Z299" s="343">
        <f>A299</f>
        <v>0</v>
      </c>
      <c r="AA299" s="344"/>
      <c r="AB299" s="345"/>
      <c r="AC299" s="344"/>
      <c r="AD299" s="344"/>
      <c r="AE299" s="346"/>
    </row>
    <row r="300" spans="1:32" s="347" customFormat="1" ht="61.5" thickTop="1" thickBot="1">
      <c r="A300" s="343"/>
      <c r="B300" s="343" t="s">
        <v>449</v>
      </c>
      <c r="C300" s="343"/>
      <c r="D300" s="343">
        <v>3</v>
      </c>
      <c r="E300" s="343">
        <v>1</v>
      </c>
      <c r="F300" s="343">
        <v>3</v>
      </c>
      <c r="G300" s="343" t="s">
        <v>46</v>
      </c>
      <c r="H300" s="343" t="s">
        <v>450</v>
      </c>
      <c r="I300" s="343">
        <v>3.4</v>
      </c>
      <c r="J300" s="343">
        <v>0.23</v>
      </c>
      <c r="K300" s="343" t="s">
        <v>339</v>
      </c>
      <c r="L300" s="343" t="s">
        <v>172</v>
      </c>
      <c r="M300" s="343" t="s">
        <v>46</v>
      </c>
      <c r="N300" s="343"/>
      <c r="O300" s="343"/>
      <c r="P300" s="343"/>
      <c r="Q300" s="343"/>
      <c r="R300" s="343"/>
      <c r="S300" s="343">
        <v>1</v>
      </c>
      <c r="T300" s="343" t="s">
        <v>179</v>
      </c>
      <c r="U300" s="343">
        <v>0</v>
      </c>
      <c r="V300" s="343" t="s">
        <v>77</v>
      </c>
      <c r="W300" s="343" t="s">
        <v>57</v>
      </c>
      <c r="X300" s="343">
        <v>0</v>
      </c>
      <c r="Y300" s="343">
        <v>0.8</v>
      </c>
      <c r="Z300" s="343">
        <f>A300</f>
        <v>0</v>
      </c>
      <c r="AA300" s="344"/>
      <c r="AB300" s="345"/>
      <c r="AC300" s="344"/>
      <c r="AD300" s="344"/>
      <c r="AE300" s="346"/>
    </row>
    <row r="301" spans="1:32" s="347" customFormat="1" ht="106.5" thickTop="1" thickBot="1">
      <c r="A301" s="343"/>
      <c r="B301" s="343" t="s">
        <v>439</v>
      </c>
      <c r="C301" s="343"/>
      <c r="D301" s="343">
        <v>1.9</v>
      </c>
      <c r="E301" s="343">
        <v>1.6</v>
      </c>
      <c r="F301" s="343">
        <v>4.5</v>
      </c>
      <c r="G301" s="343" t="s">
        <v>46</v>
      </c>
      <c r="H301" s="343" t="s">
        <v>404</v>
      </c>
      <c r="I301" s="343">
        <v>3.1</v>
      </c>
      <c r="J301" s="343">
        <v>0.2</v>
      </c>
      <c r="K301" s="343" t="s">
        <v>319</v>
      </c>
      <c r="L301" s="343" t="s">
        <v>172</v>
      </c>
      <c r="M301" s="343" t="s">
        <v>46</v>
      </c>
      <c r="N301" s="343">
        <v>0.1</v>
      </c>
      <c r="O301" s="343">
        <v>1.06</v>
      </c>
      <c r="P301" s="343">
        <v>0.2</v>
      </c>
      <c r="Q301" s="343">
        <v>1.9E-2</v>
      </c>
      <c r="R301" s="343">
        <v>1.4E-2</v>
      </c>
      <c r="S301" s="343">
        <v>1</v>
      </c>
      <c r="T301" s="343" t="s">
        <v>179</v>
      </c>
      <c r="U301" s="343">
        <v>0</v>
      </c>
      <c r="V301" s="343" t="s">
        <v>77</v>
      </c>
      <c r="W301" s="343" t="s">
        <v>57</v>
      </c>
      <c r="X301" s="343">
        <v>0</v>
      </c>
      <c r="Y301" s="343">
        <v>0.8</v>
      </c>
      <c r="Z301" s="343">
        <f>A301</f>
        <v>0</v>
      </c>
      <c r="AA301" s="344"/>
      <c r="AB301" s="345"/>
      <c r="AC301" s="346"/>
      <c r="AD301" s="345"/>
      <c r="AE301" s="344"/>
      <c r="AF301" s="344"/>
    </row>
    <row r="302" spans="1:32" s="347" customFormat="1" ht="106.5" thickTop="1" thickBot="1">
      <c r="A302" s="343"/>
      <c r="B302" s="343" t="s">
        <v>434</v>
      </c>
      <c r="C302" s="343"/>
      <c r="D302" s="343">
        <v>6</v>
      </c>
      <c r="E302" s="343">
        <v>1.7</v>
      </c>
      <c r="F302" s="343">
        <v>6.8</v>
      </c>
      <c r="G302" s="343" t="s">
        <v>46</v>
      </c>
      <c r="H302" s="343" t="s">
        <v>404</v>
      </c>
      <c r="I302" s="343">
        <v>2.9</v>
      </c>
      <c r="J302" s="343">
        <v>0.21</v>
      </c>
      <c r="K302" s="343" t="s">
        <v>308</v>
      </c>
      <c r="L302" s="343" t="s">
        <v>172</v>
      </c>
      <c r="M302" s="343" t="s">
        <v>46</v>
      </c>
      <c r="N302" s="343"/>
      <c r="O302" s="343"/>
      <c r="P302" s="343"/>
      <c r="Q302" s="343"/>
      <c r="R302" s="343"/>
      <c r="S302" s="343">
        <v>1</v>
      </c>
      <c r="T302" s="343" t="s">
        <v>179</v>
      </c>
      <c r="U302" s="343">
        <v>0</v>
      </c>
      <c r="V302" s="343" t="s">
        <v>77</v>
      </c>
      <c r="W302" s="343" t="s">
        <v>57</v>
      </c>
      <c r="X302" s="343">
        <v>0</v>
      </c>
      <c r="Y302" s="343">
        <v>0.8</v>
      </c>
      <c r="Z302" s="343">
        <f>A302</f>
        <v>0</v>
      </c>
      <c r="AA302" s="344"/>
      <c r="AB302" s="345"/>
      <c r="AC302" s="346"/>
      <c r="AD302" s="345"/>
      <c r="AE302" s="344"/>
      <c r="AF302" s="344"/>
    </row>
    <row r="303" spans="1:32" s="347" customFormat="1" ht="106.5" thickTop="1" thickBot="1">
      <c r="A303" s="343"/>
      <c r="B303" s="343" t="s">
        <v>421</v>
      </c>
      <c r="C303" s="343"/>
      <c r="D303" s="343">
        <v>5.5</v>
      </c>
      <c r="E303" s="343">
        <v>1.5</v>
      </c>
      <c r="F303" s="343">
        <v>8.9</v>
      </c>
      <c r="G303" s="343" t="s">
        <v>46</v>
      </c>
      <c r="H303" s="343" t="s">
        <v>404</v>
      </c>
      <c r="I303" s="343">
        <v>1.8</v>
      </c>
      <c r="J303" s="343">
        <v>0.14000000000000001</v>
      </c>
      <c r="K303" s="343" t="s">
        <v>285</v>
      </c>
      <c r="L303" s="343" t="s">
        <v>172</v>
      </c>
      <c r="M303" s="343" t="s">
        <v>46</v>
      </c>
      <c r="N303" s="343"/>
      <c r="O303" s="343"/>
      <c r="P303" s="343"/>
      <c r="Q303" s="343"/>
      <c r="R303" s="343"/>
      <c r="S303" s="343">
        <v>1</v>
      </c>
      <c r="T303" s="343" t="s">
        <v>179</v>
      </c>
      <c r="U303" s="343">
        <v>0</v>
      </c>
      <c r="V303" s="343" t="s">
        <v>77</v>
      </c>
      <c r="W303" s="343" t="s">
        <v>57</v>
      </c>
      <c r="X303" s="343">
        <v>0</v>
      </c>
      <c r="Y303" s="343">
        <v>0.8</v>
      </c>
      <c r="Z303" s="343">
        <f>A303</f>
        <v>0</v>
      </c>
      <c r="AA303" s="344"/>
      <c r="AB303" s="345"/>
      <c r="AC303" s="346"/>
      <c r="AD303" s="345"/>
      <c r="AE303" s="344"/>
      <c r="AF303" s="344"/>
    </row>
    <row r="304" spans="1:32" s="347" customFormat="1" ht="91.5" thickTop="1" thickBot="1">
      <c r="A304" s="343"/>
      <c r="B304" s="343" t="s">
        <v>422</v>
      </c>
      <c r="C304" s="343"/>
      <c r="D304" s="343">
        <v>4.5</v>
      </c>
      <c r="E304" s="343">
        <v>1.7</v>
      </c>
      <c r="F304" s="343">
        <v>8.4</v>
      </c>
      <c r="G304" s="343" t="s">
        <v>46</v>
      </c>
      <c r="H304" s="343" t="s">
        <v>423</v>
      </c>
      <c r="I304" s="343">
        <v>0.7</v>
      </c>
      <c r="J304" s="343">
        <v>0.1</v>
      </c>
      <c r="K304" s="343" t="s">
        <v>289</v>
      </c>
      <c r="L304" s="343" t="s">
        <v>172</v>
      </c>
      <c r="M304" s="343" t="s">
        <v>46</v>
      </c>
      <c r="N304" s="343">
        <v>0.1067</v>
      </c>
      <c r="O304" s="343">
        <v>0</v>
      </c>
      <c r="P304" s="343">
        <v>0.2</v>
      </c>
      <c r="Q304" s="343">
        <v>2.0799999999999999E-2</v>
      </c>
      <c r="R304" s="343">
        <f>Q304</f>
        <v>2.0799999999999999E-2</v>
      </c>
      <c r="S304" s="343">
        <v>1</v>
      </c>
      <c r="T304" s="343" t="s">
        <v>179</v>
      </c>
      <c r="U304" s="343">
        <v>0</v>
      </c>
      <c r="V304" s="343" t="s">
        <v>77</v>
      </c>
      <c r="W304" s="343" t="s">
        <v>57</v>
      </c>
      <c r="X304" s="343">
        <v>0</v>
      </c>
      <c r="Y304" s="343">
        <v>0.8</v>
      </c>
      <c r="Z304" s="343">
        <f>A304</f>
        <v>0</v>
      </c>
      <c r="AA304" s="344"/>
      <c r="AB304" s="345"/>
      <c r="AC304" s="346"/>
      <c r="AD304" s="345"/>
      <c r="AE304" s="344"/>
      <c r="AF304" s="344"/>
    </row>
    <row r="305" ht="15.75" thickTop="1"/>
  </sheetData>
  <sheetProtection insertColumns="0" insertRows="0" sort="0"/>
  <sortState ref="A7:AF164">
    <sortCondition ref="B7:B164"/>
  </sortState>
  <dataConsolidate/>
  <conditionalFormatting sqref="AF2:IV7 AF1:IX1 AB1:AE7 J150:L150 N10:T10 N17:T17 N33:T33 N35:T35 L295:T295 N150:R150 L59:M59 L294:M294 L74:M74 S9:T9 S11:T11 S18:T18 S20:T20 S287:T287 S36:T37 S44:T45 S50:T50 S59:T59 S294:T294 S74:T74 K151:K152 N151:P152 C2 E2 G2 I2 K2 M2 O2 Q2 S2 U2 W2 Y2 C156:T156 H150:I152 C153:M155 S153:T155 C3:Z7 A2:A7 B5:B7 N8:T8 A142:M142 A84:W86 N19:T19 N288:T288 A294:K295 A150:F152 U153:Z156 A153:B156 AA36:IS37 C224:IX286 AA156:IR156 S150:Z152 A160:IV223 S157:IT159 A30:IT30 AA150:IV155 Y84:AA86 U294:IV295 A83:AA83 A1:AA1 A130 S14:IT14 S41:IT41 A52:IT53 A57:IV57 S78:IV79 A144:IV144 A81:IV82 S34:T34 A41 C41:M41 N43:T43 U43:IT45 A43:M45 A38:IT39 N51:T51 S47:IT48 A42:IS42 U33:IR34 S142:IV142 A71:IV71 S73:IV73 A73:M73 U35:Z37 AA35:IR35 L75:T75 U74:IV75 A74:K75 A78:M79 B126 C130:IT130 X305:IX1048576 C305:C1048576 D305:W65423 N289:IR289 U287:IR288 A22:IS22 A287:M289 A290:IT290 A106:IV106 A291:IV293 AB83:IT86 A99:IT102 A296:IT298 A299:M299 A65:IV65 S299:IV299 L60:T60 U59:IV60 A59:K60 A63:IV63 A300:IV300 S301:IT301 A135:IT135 A301:M301 U50:IT51 A47:M48 A50:M51 A302:IT302 S27:IQ27 A27:M27 A303:IR303 S32:IR32 S304:IR304 A32:M37 A304:M304 Y8:Z11 AA2:AA11 U8:W11 A8:M11 A128:W128 AB8:IT11 Y128:IT128 S15:T16 A14:M20 A131:M131 U15:IT20 S131:IT131 A49:IT49 A133:IT133 A54:M54 A138:M138 S54:IV54 S138:IV138 A31:IS31 A132:IS132 A55:IV55 A69:IV69 A139:IV141 A110:IV125 A157:M159 A146:IV149">
    <cfRule type="expression" dxfId="84" priority="120" stopIfTrue="1">
      <formula>"DAE 1?"</formula>
    </cfRule>
  </conditionalFormatting>
  <conditionalFormatting sqref="M150">
    <cfRule type="expression" dxfId="83" priority="118" stopIfTrue="1">
      <formula>"DAE 1?"</formula>
    </cfRule>
  </conditionalFormatting>
  <conditionalFormatting sqref="N9:R9">
    <cfRule type="expression" dxfId="82" priority="116" stopIfTrue="1">
      <formula>"DAE 1?"</formula>
    </cfRule>
  </conditionalFormatting>
  <conditionalFormatting sqref="N11:R11">
    <cfRule type="expression" dxfId="81" priority="115" stopIfTrue="1">
      <formula>"DAE 1?"</formula>
    </cfRule>
  </conditionalFormatting>
  <conditionalFormatting sqref="N14:R14">
    <cfRule type="expression" dxfId="80" priority="114" stopIfTrue="1">
      <formula>"DAE 1?"</formula>
    </cfRule>
  </conditionalFormatting>
  <conditionalFormatting sqref="N131:R131">
    <cfRule type="expression" dxfId="79" priority="113" stopIfTrue="1">
      <formula>"DAE 1?"</formula>
    </cfRule>
  </conditionalFormatting>
  <conditionalFormatting sqref="N15:R15">
    <cfRule type="expression" dxfId="78" priority="112" stopIfTrue="1">
      <formula>"DAE 1?"</formula>
    </cfRule>
  </conditionalFormatting>
  <conditionalFormatting sqref="N16:R16">
    <cfRule type="expression" dxfId="77" priority="111" stopIfTrue="1">
      <formula>"DAE 1?"</formula>
    </cfRule>
  </conditionalFormatting>
  <conditionalFormatting sqref="N18:R18">
    <cfRule type="expression" dxfId="76" priority="109" stopIfTrue="1">
      <formula>"DAE 1?"</formula>
    </cfRule>
  </conditionalFormatting>
  <conditionalFormatting sqref="N20:R20">
    <cfRule type="expression" dxfId="75" priority="108" stopIfTrue="1">
      <formula>"DAE 1?"</formula>
    </cfRule>
  </conditionalFormatting>
  <conditionalFormatting sqref="N287:R287">
    <cfRule type="expression" dxfId="74" priority="107" stopIfTrue="1">
      <formula>"DAE 1?"</formula>
    </cfRule>
  </conditionalFormatting>
  <conditionalFormatting sqref="N27:R27">
    <cfRule type="expression" dxfId="73" priority="106" stopIfTrue="1">
      <formula>"DAE 1?"</formula>
    </cfRule>
  </conditionalFormatting>
  <conditionalFormatting sqref="N304:R304">
    <cfRule type="expression" dxfId="72" priority="105" stopIfTrue="1">
      <formula>"DAE 1?"</formula>
    </cfRule>
  </conditionalFormatting>
  <conditionalFormatting sqref="N36:R36">
    <cfRule type="expression" dxfId="71" priority="101" stopIfTrue="1">
      <formula>"DAE 1?"</formula>
    </cfRule>
  </conditionalFormatting>
  <conditionalFormatting sqref="N34:R34">
    <cfRule type="expression" dxfId="70" priority="102" stopIfTrue="1">
      <formula>"DAE 1?"</formula>
    </cfRule>
  </conditionalFormatting>
  <conditionalFormatting sqref="N47:R47">
    <cfRule type="expression" dxfId="69" priority="99" stopIfTrue="1">
      <formula>"DAE 1?"</formula>
    </cfRule>
  </conditionalFormatting>
  <conditionalFormatting sqref="N48:R48">
    <cfRule type="expression" dxfId="68" priority="98" stopIfTrue="1">
      <formula>"DAE 1?"</formula>
    </cfRule>
  </conditionalFormatting>
  <conditionalFormatting sqref="N50:R50">
    <cfRule type="expression" dxfId="67" priority="96" stopIfTrue="1">
      <formula>"DAE 1?"</formula>
    </cfRule>
  </conditionalFormatting>
  <conditionalFormatting sqref="N301:R301">
    <cfRule type="expression" dxfId="66" priority="93" stopIfTrue="1">
      <formula>"DAE 1?"</formula>
    </cfRule>
  </conditionalFormatting>
  <conditionalFormatting sqref="N138:R138">
    <cfRule type="expression" dxfId="65" priority="91" stopIfTrue="1">
      <formula>"DAE 1?"</formula>
    </cfRule>
  </conditionalFormatting>
  <conditionalFormatting sqref="N299:R299">
    <cfRule type="expression" dxfId="64" priority="87" stopIfTrue="1">
      <formula>"DAE 1?"</formula>
    </cfRule>
  </conditionalFormatting>
  <conditionalFormatting sqref="N294:R294">
    <cfRule type="expression" dxfId="63" priority="84" stopIfTrue="1">
      <formula>"DAE 1?"</formula>
    </cfRule>
  </conditionalFormatting>
  <conditionalFormatting sqref="N74:R74">
    <cfRule type="expression" dxfId="62" priority="83" stopIfTrue="1">
      <formula>"DAE 1?"</formula>
    </cfRule>
  </conditionalFormatting>
  <conditionalFormatting sqref="N142:R142">
    <cfRule type="expression" dxfId="61" priority="82" stopIfTrue="1">
      <formula>"DAE 1?"</formula>
    </cfRule>
  </conditionalFormatting>
  <conditionalFormatting sqref="N78:R78">
    <cfRule type="expression" dxfId="60" priority="81" stopIfTrue="1">
      <formula>"DAE 1?"</formula>
    </cfRule>
  </conditionalFormatting>
  <conditionalFormatting sqref="N79:R79">
    <cfRule type="expression" dxfId="59" priority="80" stopIfTrue="1">
      <formula>"DAE 1?"</formula>
    </cfRule>
  </conditionalFormatting>
  <conditionalFormatting sqref="N32:R32">
    <cfRule type="expression" dxfId="58" priority="78" stopIfTrue="1">
      <formula>"DAE 1?"</formula>
    </cfRule>
  </conditionalFormatting>
  <conditionalFormatting sqref="N41:R41">
    <cfRule type="expression" dxfId="57" priority="77" stopIfTrue="1">
      <formula>"DAE 1?"</formula>
    </cfRule>
  </conditionalFormatting>
  <conditionalFormatting sqref="N157:R157">
    <cfRule type="expression" dxfId="56" priority="76" stopIfTrue="1">
      <formula>"DAE 1?"</formula>
    </cfRule>
  </conditionalFormatting>
  <conditionalFormatting sqref="N158:R158">
    <cfRule type="expression" dxfId="55" priority="75" stopIfTrue="1">
      <formula>"DAE 1?"</formula>
    </cfRule>
  </conditionalFormatting>
  <conditionalFormatting sqref="N159:R159">
    <cfRule type="expression" dxfId="54" priority="74" stopIfTrue="1">
      <formula>"DAE 1?"</formula>
    </cfRule>
  </conditionalFormatting>
  <conditionalFormatting sqref="N54:R54">
    <cfRule type="expression" dxfId="53" priority="73" stopIfTrue="1">
      <formula>"DAE 1?"</formula>
    </cfRule>
  </conditionalFormatting>
  <conditionalFormatting sqref="N154:R154">
    <cfRule type="expression" dxfId="52" priority="69" stopIfTrue="1">
      <formula>"DAE 1?"</formula>
    </cfRule>
  </conditionalFormatting>
  <conditionalFormatting sqref="N155:R155">
    <cfRule type="expression" dxfId="51" priority="68" stopIfTrue="1">
      <formula>"DAE 1?"</formula>
    </cfRule>
  </conditionalFormatting>
  <conditionalFormatting sqref="N153:R153">
    <cfRule type="expression" dxfId="50" priority="63" stopIfTrue="1">
      <formula>"DAE 1?"</formula>
    </cfRule>
  </conditionalFormatting>
  <conditionalFormatting sqref="N59:R59">
    <cfRule type="expression" dxfId="49" priority="62" stopIfTrue="1">
      <formula>"DAE 1?"</formula>
    </cfRule>
  </conditionalFormatting>
  <conditionalFormatting sqref="N44:R44">
    <cfRule type="expression" dxfId="48" priority="59" stopIfTrue="1">
      <formula>"DAE 1?"</formula>
    </cfRule>
  </conditionalFormatting>
  <conditionalFormatting sqref="N73:R73">
    <cfRule type="expression" dxfId="47" priority="60" stopIfTrue="1">
      <formula>"DAE 1?"</formula>
    </cfRule>
  </conditionalFormatting>
  <conditionalFormatting sqref="N45:R45">
    <cfRule type="expression" dxfId="46" priority="58" stopIfTrue="1">
      <formula>"DAE 1?"</formula>
    </cfRule>
  </conditionalFormatting>
  <conditionalFormatting sqref="N37:R37">
    <cfRule type="expression" dxfId="45" priority="57" stopIfTrue="1">
      <formula>"DAE 1?"</formula>
    </cfRule>
  </conditionalFormatting>
  <conditionalFormatting sqref="J151:J152 L151:L152">
    <cfRule type="expression" dxfId="44" priority="56" stopIfTrue="1">
      <formula>"DAE 1?"</formula>
    </cfRule>
  </conditionalFormatting>
  <conditionalFormatting sqref="M151:M152">
    <cfRule type="expression" dxfId="43" priority="55" stopIfTrue="1">
      <formula>"DAE 1?"</formula>
    </cfRule>
  </conditionalFormatting>
  <conditionalFormatting sqref="G150">
    <cfRule type="expression" dxfId="42" priority="54" stopIfTrue="1">
      <formula>"DAE 1?"</formula>
    </cfRule>
  </conditionalFormatting>
  <conditionalFormatting sqref="G151">
    <cfRule type="expression" dxfId="41" priority="53" stopIfTrue="1">
      <formula>"DAE 1?"</formula>
    </cfRule>
  </conditionalFormatting>
  <conditionalFormatting sqref="G152">
    <cfRule type="expression" dxfId="40" priority="52" stopIfTrue="1">
      <formula>"DAE 1?"</formula>
    </cfRule>
  </conditionalFormatting>
  <conditionalFormatting sqref="Q151:R151">
    <cfRule type="expression" dxfId="39" priority="50" stopIfTrue="1">
      <formula>"DAE 1?"</formula>
    </cfRule>
  </conditionalFormatting>
  <conditionalFormatting sqref="Q152:R152">
    <cfRule type="expression" dxfId="38" priority="49" stopIfTrue="1">
      <formula>"DAE 1?"</formula>
    </cfRule>
  </conditionalFormatting>
  <conditionalFormatting sqref="A129:W129 Y129:IT129">
    <cfRule type="expression" dxfId="37" priority="46" stopIfTrue="1">
      <formula>"DAE 1?"</formula>
    </cfRule>
  </conditionalFormatting>
  <conditionalFormatting sqref="A13:IT13">
    <cfRule type="expression" dxfId="36" priority="45" stopIfTrue="1">
      <formula>"DAE 1?"</formula>
    </cfRule>
  </conditionalFormatting>
  <conditionalFormatting sqref="A12:IT12">
    <cfRule type="expression" dxfId="35" priority="42" stopIfTrue="1">
      <formula>"DAE 1?"</formula>
    </cfRule>
  </conditionalFormatting>
  <conditionalFormatting sqref="A21:M21 S21:IT21">
    <cfRule type="expression" dxfId="34" priority="41" stopIfTrue="1">
      <formula>"DAE 1?"</formula>
    </cfRule>
  </conditionalFormatting>
  <conditionalFormatting sqref="N21:R21">
    <cfRule type="expression" dxfId="33" priority="40" stopIfTrue="1">
      <formula>"DAE 1?"</formula>
    </cfRule>
  </conditionalFormatting>
  <conditionalFormatting sqref="A40:IT40">
    <cfRule type="expression" dxfId="32" priority="39" stopIfTrue="1">
      <formula>"DAE 1?"</formula>
    </cfRule>
  </conditionalFormatting>
  <conditionalFormatting sqref="A46:M46 S46:IT46">
    <cfRule type="expression" dxfId="31" priority="38" stopIfTrue="1">
      <formula>"DAE 1?"</formula>
    </cfRule>
  </conditionalFormatting>
  <conditionalFormatting sqref="N46:R46">
    <cfRule type="expression" dxfId="30" priority="37" stopIfTrue="1">
      <formula>"DAE 1?"</formula>
    </cfRule>
  </conditionalFormatting>
  <conditionalFormatting sqref="A136:IT136">
    <cfRule type="expression" dxfId="29" priority="36" stopIfTrue="1">
      <formula>"DAE 1?"</formula>
    </cfRule>
  </conditionalFormatting>
  <conditionalFormatting sqref="A137:IT137">
    <cfRule type="expression" dxfId="28" priority="35" stopIfTrue="1">
      <formula>"DAE 1?"</formula>
    </cfRule>
  </conditionalFormatting>
  <conditionalFormatting sqref="A56:IV56">
    <cfRule type="expression" dxfId="27" priority="34" stopIfTrue="1">
      <formula>"DAE 1?"</formula>
    </cfRule>
  </conditionalFormatting>
  <conditionalFormatting sqref="A58:IV58">
    <cfRule type="expression" dxfId="26" priority="33" stopIfTrue="1">
      <formula>"DAE 1?"</formula>
    </cfRule>
  </conditionalFormatting>
  <conditionalFormatting sqref="A68:IV68">
    <cfRule type="expression" dxfId="25" priority="32" stopIfTrue="1">
      <formula>"DAE 1?"</formula>
    </cfRule>
  </conditionalFormatting>
  <conditionalFormatting sqref="A70:IV70">
    <cfRule type="expression" dxfId="24" priority="31" stopIfTrue="1">
      <formula>"DAE 1?"</formula>
    </cfRule>
  </conditionalFormatting>
  <conditionalFormatting sqref="A143:M143 S143:IV143">
    <cfRule type="expression" dxfId="23" priority="30" stopIfTrue="1">
      <formula>"DAE 1?"</formula>
    </cfRule>
  </conditionalFormatting>
  <conditionalFormatting sqref="N143:R143">
    <cfRule type="expression" dxfId="22" priority="29" stopIfTrue="1">
      <formula>"DAE 1?"</formula>
    </cfRule>
  </conditionalFormatting>
  <conditionalFormatting sqref="A76:M76 S76:IV76">
    <cfRule type="expression" dxfId="21" priority="28" stopIfTrue="1">
      <formula>"DAE 1?"</formula>
    </cfRule>
  </conditionalFormatting>
  <conditionalFormatting sqref="N76:R76">
    <cfRule type="expression" dxfId="20" priority="27" stopIfTrue="1">
      <formula>"DAE 1?"</formula>
    </cfRule>
  </conditionalFormatting>
  <conditionalFormatting sqref="A77:M77 S77:IV77">
    <cfRule type="expression" dxfId="19" priority="26" stopIfTrue="1">
      <formula>"DAE 1?"</formula>
    </cfRule>
  </conditionalFormatting>
  <conditionalFormatting sqref="N77:R77">
    <cfRule type="expression" dxfId="18" priority="25" stopIfTrue="1">
      <formula>"DAE 1?"</formula>
    </cfRule>
  </conditionalFormatting>
  <conditionalFormatting sqref="A80:M80 S80:IV80">
    <cfRule type="expression" dxfId="17" priority="24" stopIfTrue="1">
      <formula>"DAE 1?"</formula>
    </cfRule>
  </conditionalFormatting>
  <conditionalFormatting sqref="N80:R80">
    <cfRule type="expression" dxfId="16" priority="23" stopIfTrue="1">
      <formula>"DAE 1?"</formula>
    </cfRule>
  </conditionalFormatting>
  <conditionalFormatting sqref="A145:IV145">
    <cfRule type="expression" dxfId="15" priority="22" stopIfTrue="1">
      <formula>"DAE 1?"</formula>
    </cfRule>
  </conditionalFormatting>
  <conditionalFormatting sqref="A127:IV127 A126 C126:IV126">
    <cfRule type="expression" dxfId="14" priority="21" stopIfTrue="1">
      <formula>"DAE 1?"</formula>
    </cfRule>
  </conditionalFormatting>
  <conditionalFormatting sqref="B41">
    <cfRule type="expression" dxfId="13" priority="19" stopIfTrue="1">
      <formula>"DAE 1?"</formula>
    </cfRule>
  </conditionalFormatting>
  <conditionalFormatting sqref="A72:IV72">
    <cfRule type="expression" dxfId="12" priority="18" stopIfTrue="1">
      <formula>"DAE 1?"</formula>
    </cfRule>
  </conditionalFormatting>
  <conditionalFormatting sqref="A64:IV64">
    <cfRule type="expression" dxfId="11" priority="16" stopIfTrue="1">
      <formula>"DAE 1?"</formula>
    </cfRule>
  </conditionalFormatting>
  <conditionalFormatting sqref="B130">
    <cfRule type="expression" dxfId="10" priority="15" stopIfTrue="1">
      <formula>"DAE 1?"</formula>
    </cfRule>
  </conditionalFormatting>
  <conditionalFormatting sqref="A23:IS26">
    <cfRule type="expression" dxfId="9" priority="13" stopIfTrue="1">
      <formula>"DAE 1?"</formula>
    </cfRule>
  </conditionalFormatting>
  <conditionalFormatting sqref="A28:IS29">
    <cfRule type="expression" dxfId="8" priority="12" stopIfTrue="1">
      <formula>"DAE 1?"</formula>
    </cfRule>
  </conditionalFormatting>
  <conditionalFormatting sqref="A134:IT134">
    <cfRule type="expression" dxfId="7" priority="8" stopIfTrue="1">
      <formula>"DAE 1?"</formula>
    </cfRule>
  </conditionalFormatting>
  <conditionalFormatting sqref="A61:IV62">
    <cfRule type="expression" dxfId="6" priority="7" stopIfTrue="1">
      <formula>"DAE 1?"</formula>
    </cfRule>
  </conditionalFormatting>
  <conditionalFormatting sqref="A66:IV67">
    <cfRule type="expression" dxfId="5" priority="6" stopIfTrue="1">
      <formula>"DAE 1?"</formula>
    </cfRule>
  </conditionalFormatting>
  <conditionalFormatting sqref="A87:W91 Y87:IT91">
    <cfRule type="expression" dxfId="4" priority="5" stopIfTrue="1">
      <formula>"DAE 1?"</formula>
    </cfRule>
  </conditionalFormatting>
  <conditionalFormatting sqref="A92:W94 Y92:IT94">
    <cfRule type="expression" dxfId="3" priority="4" stopIfTrue="1">
      <formula>"DAE 1?"</formula>
    </cfRule>
  </conditionalFormatting>
  <conditionalFormatting sqref="A95:W96 Y95:IT96">
    <cfRule type="expression" dxfId="2" priority="3" stopIfTrue="1">
      <formula>"DAE 1?"</formula>
    </cfRule>
  </conditionalFormatting>
  <conditionalFormatting sqref="A97:W98 Y97:IT98">
    <cfRule type="expression" dxfId="1" priority="2" stopIfTrue="1">
      <formula>"DAE 1?"</formula>
    </cfRule>
  </conditionalFormatting>
  <conditionalFormatting sqref="A103:IV105 A107:IV109">
    <cfRule type="expression" dxfId="0" priority="1" stopIfTrue="1">
      <formula>"DAE 1?"</formula>
    </cfRule>
  </conditionalFormatting>
  <hyperlinks>
    <hyperlink ref="H137" r:id="rId1"/>
  </hyperlinks>
  <pageMargins left="0.78740157499999996" right="0.78740157499999996" top="0.984251969" bottom="0.984251969" header="0.4921259845" footer="0.4921259845"/>
  <pageSetup paperSize="9" scale="74" orientation="portrait" horizontalDpi="300" verticalDpi="300" r:id="rId2"/>
  <headerFooter>
    <oddHeader>&amp;L&amp;"Arial,Gras italique"SOLAGRO - Février 2000&amp;R&amp;A - page &amp;P</oddHeader>
  </headerFooter>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11</vt:i4>
      </vt:variant>
    </vt:vector>
  </HeadingPairs>
  <TitlesOfParts>
    <vt:vector size="20" baseType="lpstr">
      <vt:lpstr>Colour code</vt:lpstr>
      <vt:lpstr>Standard data</vt:lpstr>
      <vt:lpstr>Crops</vt:lpstr>
      <vt:lpstr>Grassland</vt:lpstr>
      <vt:lpstr>Carbon cycle_grassland</vt:lpstr>
      <vt:lpstr>Carbon cycle_crops</vt:lpstr>
      <vt:lpstr>Carbon cycle_trees</vt:lpstr>
      <vt:lpstr>Results</vt:lpstr>
      <vt:lpstr>CropsRef</vt:lpstr>
      <vt:lpstr>climate</vt:lpstr>
      <vt:lpstr>crop_ID_annual</vt:lpstr>
      <vt:lpstr>crop_ID_grassland</vt:lpstr>
      <vt:lpstr>crop_ID_trees</vt:lpstr>
      <vt:lpstr>fertilizer_ID_lime</vt:lpstr>
      <vt:lpstr>fertilizer_ID_N</vt:lpstr>
      <vt:lpstr>fertilizer_ID_other</vt:lpstr>
      <vt:lpstr>fuel_mach</vt:lpstr>
      <vt:lpstr>grassland</vt:lpstr>
      <vt:lpstr>soil</vt:lpstr>
      <vt:lpstr>trees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2021-06-09T11:28:32Z</dcterms:modified>
</cp:coreProperties>
</file>