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anneKoeppen\Documents\IFEU\Projekte\1292 FAST\Modelle\Carbon module\Line 3\"/>
    </mc:Choice>
  </mc:AlternateContent>
  <bookViews>
    <workbookView xWindow="0" yWindow="0" windowWidth="9240" windowHeight="10290"/>
  </bookViews>
  <sheets>
    <sheet name="Natural infrastructure" sheetId="2" r:id="rId1"/>
    <sheet name="Forests" sheetId="6" r:id="rId2"/>
    <sheet name="Land-use change" sheetId="1" r:id="rId3"/>
    <sheet name="Results" sheetId="5" r:id="rId4"/>
    <sheet name="Standard data" sheetId="4" r:id="rId5"/>
    <sheet name="Colour code" sheetId="3" r:id="rId6"/>
  </sheets>
  <definedNames>
    <definedName name="for_age">'Standard data'!$J$206:$J$207</definedName>
    <definedName name="for_clim">'Standard data'!$I$206:$I$211</definedName>
    <definedName name="for_type">'Standard data'!$K$206:$K$207</definedName>
    <definedName name="stoc_bor">'Standard data'!$F$250:$F$254</definedName>
    <definedName name="stoc_temp">'Standard data'!$E$250:$E$255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6" l="1"/>
  <c r="P8" i="6"/>
  <c r="P9" i="6"/>
  <c r="P10" i="6"/>
  <c r="P11" i="6"/>
  <c r="P12" i="6"/>
  <c r="P13" i="6"/>
  <c r="P14" i="6"/>
  <c r="P15" i="6"/>
  <c r="P16" i="6"/>
  <c r="M7" i="6"/>
  <c r="M8" i="6"/>
  <c r="M9" i="6"/>
  <c r="M10" i="6"/>
  <c r="M11" i="6"/>
  <c r="M12" i="6"/>
  <c r="M13" i="6"/>
  <c r="M14" i="6"/>
  <c r="M15" i="6"/>
  <c r="M16" i="6"/>
  <c r="M6" i="6"/>
  <c r="P6" i="6"/>
  <c r="N7" i="6"/>
  <c r="O7" i="6" s="1"/>
  <c r="Q7" i="6" s="1"/>
  <c r="N8" i="6"/>
  <c r="O8" i="6" s="1"/>
  <c r="Q8" i="6" s="1"/>
  <c r="N9" i="6"/>
  <c r="O9" i="6" s="1"/>
  <c r="Q9" i="6" s="1"/>
  <c r="N10" i="6"/>
  <c r="O10" i="6" s="1"/>
  <c r="N11" i="6"/>
  <c r="O11" i="6" s="1"/>
  <c r="N12" i="6"/>
  <c r="O12" i="6" s="1"/>
  <c r="N13" i="6"/>
  <c r="O13" i="6" s="1"/>
  <c r="N14" i="6"/>
  <c r="O14" i="6" s="1"/>
  <c r="N15" i="6"/>
  <c r="O15" i="6" s="1"/>
  <c r="Q15" i="6" s="1"/>
  <c r="N16" i="6"/>
  <c r="O16" i="6" s="1"/>
  <c r="Q16" i="6" s="1"/>
  <c r="C256" i="4"/>
  <c r="N6" i="6"/>
  <c r="O6" i="6" s="1"/>
  <c r="C258" i="4"/>
  <c r="C257" i="4"/>
  <c r="C255" i="4"/>
  <c r="C263" i="4"/>
  <c r="C262" i="4"/>
  <c r="C261" i="4"/>
  <c r="C260" i="4"/>
  <c r="C209" i="4"/>
  <c r="C207" i="4"/>
  <c r="K6" i="6"/>
  <c r="A7" i="6"/>
  <c r="K7" i="6" s="1"/>
  <c r="L7" i="6" s="1"/>
  <c r="A8" i="6"/>
  <c r="K8" i="6" s="1"/>
  <c r="L8" i="6" s="1"/>
  <c r="A9" i="6"/>
  <c r="K9" i="6" s="1"/>
  <c r="L9" i="6" s="1"/>
  <c r="A10" i="6"/>
  <c r="A11" i="6"/>
  <c r="K11" i="6" s="1"/>
  <c r="L11" i="6" s="1"/>
  <c r="A12" i="6"/>
  <c r="K12" i="6" s="1"/>
  <c r="L12" i="6" s="1"/>
  <c r="A13" i="6"/>
  <c r="K13" i="6" s="1"/>
  <c r="L13" i="6" s="1"/>
  <c r="A14" i="6"/>
  <c r="K14" i="6" s="1"/>
  <c r="L14" i="6" s="1"/>
  <c r="A15" i="6"/>
  <c r="K15" i="6" s="1"/>
  <c r="L15" i="6" s="1"/>
  <c r="A16" i="6"/>
  <c r="K16" i="6" s="1"/>
  <c r="L16" i="6" s="1"/>
  <c r="D229" i="4"/>
  <c r="D227" i="4"/>
  <c r="C227" i="4"/>
  <c r="D219" i="4"/>
  <c r="D220" i="4"/>
  <c r="D221" i="4"/>
  <c r="C219" i="4"/>
  <c r="C220" i="4"/>
  <c r="C221" i="4"/>
  <c r="K10" i="6"/>
  <c r="L10" i="6" s="1"/>
  <c r="C208" i="4"/>
  <c r="Q13" i="6" l="1"/>
  <c r="Q12" i="6"/>
  <c r="Q11" i="6"/>
  <c r="Q14" i="6"/>
  <c r="Q10" i="6"/>
  <c r="Q6" i="6"/>
  <c r="L6" i="6"/>
  <c r="D228" i="4" l="1"/>
  <c r="D226" i="4"/>
  <c r="D218" i="4"/>
  <c r="C240" i="4"/>
  <c r="C236" i="4"/>
  <c r="C226" i="4"/>
  <c r="C218" i="4"/>
  <c r="C206" i="4"/>
  <c r="A8" i="2" l="1"/>
  <c r="A9" i="2"/>
  <c r="A10" i="2"/>
  <c r="A11" i="2"/>
  <c r="A12" i="2"/>
  <c r="A13" i="2"/>
  <c r="A14" i="2"/>
  <c r="A15" i="2"/>
  <c r="A16" i="2"/>
  <c r="A7" i="2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G138" i="4"/>
  <c r="C138" i="4"/>
  <c r="G137" i="4"/>
  <c r="C137" i="4"/>
  <c r="G136" i="4"/>
  <c r="C136" i="4"/>
  <c r="G135" i="4"/>
  <c r="C135" i="4"/>
  <c r="G134" i="4"/>
  <c r="C134" i="4"/>
  <c r="G133" i="4"/>
  <c r="C133" i="4"/>
  <c r="G132" i="4"/>
  <c r="C132" i="4"/>
  <c r="G131" i="4"/>
  <c r="C131" i="4"/>
  <c r="G130" i="4"/>
  <c r="C130" i="4"/>
  <c r="G129" i="4"/>
  <c r="C129" i="4"/>
  <c r="G128" i="4"/>
  <c r="C128" i="4"/>
  <c r="G127" i="4"/>
  <c r="C127" i="4"/>
  <c r="G126" i="4"/>
  <c r="C126" i="4"/>
  <c r="G125" i="4"/>
  <c r="C125" i="4"/>
  <c r="G124" i="4"/>
  <c r="C124" i="4"/>
  <c r="G123" i="4"/>
  <c r="C123" i="4"/>
  <c r="G122" i="4"/>
  <c r="C122" i="4"/>
  <c r="G121" i="4"/>
  <c r="C121" i="4"/>
  <c r="G120" i="4"/>
  <c r="C120" i="4"/>
  <c r="G119" i="4"/>
  <c r="C119" i="4"/>
  <c r="G118" i="4"/>
  <c r="C118" i="4"/>
  <c r="G117" i="4"/>
  <c r="C117" i="4"/>
  <c r="G116" i="4"/>
  <c r="C116" i="4"/>
  <c r="G115" i="4"/>
  <c r="C115" i="4"/>
  <c r="G114" i="4"/>
  <c r="C114" i="4"/>
  <c r="G113" i="4"/>
  <c r="C113" i="4"/>
  <c r="G112" i="4"/>
  <c r="C112" i="4"/>
  <c r="G111" i="4"/>
  <c r="C111" i="4"/>
  <c r="G110" i="4"/>
  <c r="C110" i="4"/>
  <c r="G109" i="4"/>
  <c r="C109" i="4"/>
  <c r="G108" i="4"/>
  <c r="C108" i="4"/>
  <c r="G107" i="4"/>
  <c r="C107" i="4"/>
  <c r="G106" i="4"/>
  <c r="C106" i="4"/>
  <c r="G105" i="4"/>
  <c r="C105" i="4"/>
  <c r="G104" i="4"/>
  <c r="C104" i="4"/>
  <c r="G103" i="4"/>
  <c r="C103" i="4"/>
  <c r="G102" i="4"/>
  <c r="C102" i="4"/>
  <c r="G101" i="4"/>
  <c r="C101" i="4"/>
  <c r="G100" i="4"/>
  <c r="C100" i="4"/>
  <c r="G99" i="4"/>
  <c r="C99" i="4"/>
  <c r="G98" i="4"/>
  <c r="C98" i="4"/>
  <c r="G97" i="4"/>
  <c r="C97" i="4"/>
  <c r="G96" i="4"/>
  <c r="C96" i="4"/>
  <c r="G95" i="4"/>
  <c r="C95" i="4"/>
  <c r="G94" i="4"/>
  <c r="C94" i="4"/>
  <c r="G93" i="4"/>
  <c r="C93" i="4"/>
  <c r="G92" i="4"/>
  <c r="C92" i="4"/>
  <c r="G91" i="4"/>
  <c r="C91" i="4"/>
  <c r="G90" i="4"/>
  <c r="C90" i="4"/>
  <c r="G89" i="4"/>
  <c r="C89" i="4"/>
  <c r="G88" i="4"/>
  <c r="C88" i="4"/>
  <c r="G87" i="4"/>
  <c r="C87" i="4"/>
  <c r="G86" i="4"/>
  <c r="C86" i="4"/>
  <c r="G85" i="4"/>
  <c r="C85" i="4"/>
  <c r="G84" i="4"/>
  <c r="C84" i="4"/>
  <c r="G83" i="4"/>
  <c r="C83" i="4"/>
  <c r="G82" i="4"/>
  <c r="C82" i="4"/>
  <c r="G81" i="4"/>
  <c r="C81" i="4"/>
  <c r="G80" i="4"/>
  <c r="C80" i="4"/>
  <c r="G79" i="4"/>
  <c r="C79" i="4"/>
  <c r="G78" i="4"/>
  <c r="C78" i="4"/>
  <c r="G77" i="4"/>
  <c r="C77" i="4"/>
  <c r="G76" i="4"/>
  <c r="C76" i="4"/>
  <c r="G75" i="4"/>
  <c r="C75" i="4"/>
  <c r="G74" i="4"/>
  <c r="C74" i="4"/>
  <c r="G73" i="4"/>
  <c r="C73" i="4"/>
  <c r="G72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C45" i="4"/>
  <c r="C42" i="4"/>
  <c r="C41" i="4"/>
  <c r="C40" i="4"/>
  <c r="C39" i="4"/>
  <c r="C33" i="4"/>
  <c r="C32" i="4"/>
  <c r="C31" i="4"/>
  <c r="B30" i="4"/>
  <c r="B18" i="4" s="1"/>
  <c r="C24" i="4"/>
  <c r="C23" i="4"/>
  <c r="C22" i="4"/>
  <c r="C21" i="4"/>
  <c r="C20" i="4"/>
  <c r="C19" i="4"/>
  <c r="C18" i="4"/>
  <c r="Q17" i="6" l="1"/>
  <c r="B5" i="5" s="1"/>
  <c r="B11" i="4"/>
  <c r="B10" i="4"/>
  <c r="B9" i="4"/>
  <c r="B8" i="4"/>
  <c r="B7" i="4"/>
  <c r="B6" i="4"/>
  <c r="I6" i="2" l="1"/>
  <c r="J52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K20" i="2"/>
  <c r="K41" i="2" s="1"/>
  <c r="J20" i="2"/>
  <c r="J41" i="2" s="1"/>
  <c r="E20" i="2"/>
  <c r="E41" i="2" s="1"/>
  <c r="D20" i="2"/>
  <c r="D41" i="2" s="1"/>
  <c r="C20" i="2"/>
  <c r="C41" i="2" s="1"/>
  <c r="B41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E6" i="2"/>
  <c r="A51" i="2"/>
  <c r="G51" i="2" s="1"/>
  <c r="D6" i="1"/>
  <c r="E6" i="1" s="1"/>
  <c r="D7" i="1"/>
  <c r="E7" i="1" s="1"/>
  <c r="D8" i="1"/>
  <c r="E8" i="1" s="1"/>
  <c r="D9" i="1"/>
  <c r="E9" i="1" s="1"/>
  <c r="D10" i="1"/>
  <c r="E10" i="1" s="1"/>
  <c r="D5" i="1"/>
  <c r="E5" i="1" s="1"/>
  <c r="J27" i="2" l="1"/>
  <c r="J31" i="2"/>
  <c r="J45" i="2"/>
  <c r="J49" i="2"/>
  <c r="J11" i="2"/>
  <c r="J15" i="2"/>
  <c r="J24" i="2"/>
  <c r="J28" i="2"/>
  <c r="J42" i="2"/>
  <c r="J46" i="2"/>
  <c r="J50" i="2"/>
  <c r="J10" i="2"/>
  <c r="J14" i="2"/>
  <c r="J23" i="2"/>
  <c r="J16" i="2"/>
  <c r="J8" i="2"/>
  <c r="J7" i="2"/>
  <c r="J12" i="2"/>
  <c r="J25" i="2"/>
  <c r="J29" i="2"/>
  <c r="J43" i="2"/>
  <c r="J47" i="2"/>
  <c r="J51" i="2"/>
  <c r="J9" i="2"/>
  <c r="J13" i="2"/>
  <c r="J22" i="2"/>
  <c r="J30" i="2"/>
  <c r="J44" i="2"/>
  <c r="J48" i="2"/>
  <c r="J26" i="2"/>
  <c r="J21" i="2"/>
  <c r="J6" i="2"/>
  <c r="H51" i="2"/>
  <c r="K51" i="2" s="1"/>
  <c r="A25" i="2"/>
  <c r="G25" i="2" s="1"/>
  <c r="H25" i="2" s="1"/>
  <c r="K25" i="2" s="1"/>
  <c r="A45" i="2"/>
  <c r="G45" i="2" s="1"/>
  <c r="H45" i="2" s="1"/>
  <c r="K45" i="2" s="1"/>
  <c r="A42" i="2"/>
  <c r="G42" i="2" s="1"/>
  <c r="H42" i="2" s="1"/>
  <c r="K42" i="2" s="1"/>
  <c r="A50" i="2"/>
  <c r="G50" i="2" s="1"/>
  <c r="H50" i="2" s="1"/>
  <c r="K50" i="2" s="1"/>
  <c r="G8" i="2"/>
  <c r="H8" i="2" s="1"/>
  <c r="K8" i="2" s="1"/>
  <c r="G16" i="2"/>
  <c r="H16" i="2" s="1"/>
  <c r="K16" i="2" s="1"/>
  <c r="G12" i="2"/>
  <c r="H12" i="2" s="1"/>
  <c r="K12" i="2" s="1"/>
  <c r="A24" i="2"/>
  <c r="G24" i="2" s="1"/>
  <c r="H24" i="2" s="1"/>
  <c r="K24" i="2" s="1"/>
  <c r="G13" i="2"/>
  <c r="H13" i="2" s="1"/>
  <c r="K13" i="2" s="1"/>
  <c r="G6" i="2"/>
  <c r="H6" i="2" s="1"/>
  <c r="K6" i="2" s="1"/>
  <c r="A28" i="2"/>
  <c r="G28" i="2" s="1"/>
  <c r="H28" i="2" s="1"/>
  <c r="K28" i="2" s="1"/>
  <c r="A46" i="2"/>
  <c r="G46" i="2" s="1"/>
  <c r="H46" i="2" s="1"/>
  <c r="K46" i="2" s="1"/>
  <c r="G9" i="2"/>
  <c r="H9" i="2" s="1"/>
  <c r="K9" i="2" s="1"/>
  <c r="A21" i="2"/>
  <c r="G21" i="2" s="1"/>
  <c r="H21" i="2" s="1"/>
  <c r="K21" i="2" s="1"/>
  <c r="A29" i="2"/>
  <c r="G29" i="2" s="1"/>
  <c r="H29" i="2" s="1"/>
  <c r="K29" i="2" s="1"/>
  <c r="A49" i="2"/>
  <c r="G49" i="2" s="1"/>
  <c r="H49" i="2" s="1"/>
  <c r="K49" i="2" s="1"/>
  <c r="G7" i="2"/>
  <c r="H7" i="2" s="1"/>
  <c r="K7" i="2" s="1"/>
  <c r="G11" i="2"/>
  <c r="H11" i="2" s="1"/>
  <c r="K11" i="2" s="1"/>
  <c r="G15" i="2"/>
  <c r="H15" i="2" s="1"/>
  <c r="K15" i="2" s="1"/>
  <c r="A23" i="2"/>
  <c r="G23" i="2" s="1"/>
  <c r="H23" i="2" s="1"/>
  <c r="K23" i="2" s="1"/>
  <c r="A27" i="2"/>
  <c r="G27" i="2" s="1"/>
  <c r="H27" i="2" s="1"/>
  <c r="K27" i="2" s="1"/>
  <c r="A31" i="2"/>
  <c r="G31" i="2" s="1"/>
  <c r="H31" i="2" s="1"/>
  <c r="K31" i="2" s="1"/>
  <c r="A36" i="2"/>
  <c r="D36" i="2" s="1"/>
  <c r="A37" i="2"/>
  <c r="D37" i="2" s="1"/>
  <c r="E37" i="2" s="1"/>
  <c r="F37" i="2" s="1"/>
  <c r="A44" i="2"/>
  <c r="G44" i="2" s="1"/>
  <c r="H44" i="2" s="1"/>
  <c r="K44" i="2" s="1"/>
  <c r="A48" i="2"/>
  <c r="G48" i="2" s="1"/>
  <c r="H48" i="2" s="1"/>
  <c r="K48" i="2" s="1"/>
  <c r="A52" i="2"/>
  <c r="G52" i="2" s="1"/>
  <c r="H52" i="2" s="1"/>
  <c r="K52" i="2" s="1"/>
  <c r="G10" i="2"/>
  <c r="H10" i="2" s="1"/>
  <c r="K10" i="2" s="1"/>
  <c r="G14" i="2"/>
  <c r="H14" i="2" s="1"/>
  <c r="K14" i="2" s="1"/>
  <c r="A22" i="2"/>
  <c r="G22" i="2" s="1"/>
  <c r="H22" i="2" s="1"/>
  <c r="K22" i="2" s="1"/>
  <c r="A26" i="2"/>
  <c r="G26" i="2" s="1"/>
  <c r="H26" i="2" s="1"/>
  <c r="K26" i="2" s="1"/>
  <c r="A30" i="2"/>
  <c r="G30" i="2" s="1"/>
  <c r="H30" i="2" s="1"/>
  <c r="K30" i="2" s="1"/>
  <c r="A43" i="2"/>
  <c r="G43" i="2" s="1"/>
  <c r="H43" i="2" s="1"/>
  <c r="K43" i="2" s="1"/>
  <c r="A47" i="2"/>
  <c r="G47" i="2" s="1"/>
  <c r="H47" i="2" s="1"/>
  <c r="K47" i="2" s="1"/>
  <c r="K17" i="2" l="1"/>
  <c r="K53" i="2"/>
  <c r="K32" i="2"/>
  <c r="E36" i="2"/>
  <c r="F36" i="2" l="1"/>
  <c r="F38" i="2" s="1"/>
  <c r="B3" i="5" s="1"/>
  <c r="B4" i="5" l="1"/>
  <c r="E11" i="1"/>
</calcChain>
</file>

<file path=xl/sharedStrings.xml><?xml version="1.0" encoding="utf-8"?>
<sst xmlns="http://schemas.openxmlformats.org/spreadsheetml/2006/main" count="668" uniqueCount="248">
  <si>
    <t>Land-use change in the last 20 years at the farm scale</t>
  </si>
  <si>
    <t>Land-use changes</t>
  </si>
  <si>
    <t>Conversion of forest to cropland</t>
  </si>
  <si>
    <t>Conversion of forest to grassland</t>
  </si>
  <si>
    <t>Conversion of grassland to cropland</t>
  </si>
  <si>
    <t>Conversion of grassland to forest</t>
  </si>
  <si>
    <t>Conversion of cropland to grassland</t>
  </si>
  <si>
    <t>Conversion of cropland to forest</t>
  </si>
  <si>
    <t>Change in soils carbon stock (t C/ha/year, moy sur 20 ans)</t>
  </si>
  <si>
    <t>Type</t>
  </si>
  <si>
    <t>Country</t>
  </si>
  <si>
    <t>Width (m)</t>
  </si>
  <si>
    <t>Lenght (m)</t>
  </si>
  <si>
    <t>Surface (m2)</t>
  </si>
  <si>
    <t xml:space="preserve">Quality of forestry station </t>
  </si>
  <si>
    <t>full name</t>
  </si>
  <si>
    <t>Station forestry type / wood and carbon storage</t>
  </si>
  <si>
    <t xml:space="preserve">Current C storage (soil + wood) </t>
  </si>
  <si>
    <t>Current C storage</t>
  </si>
  <si>
    <t>average</t>
  </si>
  <si>
    <t>Shrubby natural elements (1 to 5 m high)</t>
  </si>
  <si>
    <t>Vineyards and orchards</t>
  </si>
  <si>
    <t>Surface (ha)</t>
  </si>
  <si>
    <r>
      <t>Increase of Carbon (t  C / ha / year)</t>
    </r>
    <r>
      <rPr>
        <b/>
        <sz val="10"/>
        <color indexed="10"/>
        <rFont val="Arial"/>
        <family val="2"/>
      </rPr>
      <t xml:space="preserve"> </t>
    </r>
  </si>
  <si>
    <t>Vineyard (vine stock)</t>
  </si>
  <si>
    <t>Orchard (apple tree, pear tree...)</t>
  </si>
  <si>
    <t>Low natural elements (&lt; 1 m high)</t>
  </si>
  <si>
    <t>Tree natural elements (&gt; 5 m high)</t>
  </si>
  <si>
    <t>Shrubby natural element (1 to 5 m high)</t>
  </si>
  <si>
    <t>Characteristics</t>
  </si>
  <si>
    <t>Grove &lt; 0,5 ha</t>
  </si>
  <si>
    <t>Shrubby hedgerow</t>
  </si>
  <si>
    <t>Less than 3 trees for 25ml</t>
  </si>
  <si>
    <t>Grass strips</t>
  </si>
  <si>
    <t>Maintained hedgerow 3 stratum</t>
  </si>
  <si>
    <t>More than 3 trees for 25 m linear</t>
  </si>
  <si>
    <t>Bank with shrub</t>
  </si>
  <si>
    <t>Green cover bank</t>
  </si>
  <si>
    <t>Damaged hedgerow (L basis &lt;1,5 m)</t>
  </si>
  <si>
    <t>Wildland, health</t>
  </si>
  <si>
    <t>Less than 3 trees for 0,5 ha</t>
  </si>
  <si>
    <t xml:space="preserve">Dry lawn </t>
  </si>
  <si>
    <t>Non used by agriculture</t>
  </si>
  <si>
    <t xml:space="preserve">Tree line </t>
  </si>
  <si>
    <t>Road side. Standard width = 5 m</t>
  </si>
  <si>
    <t>Wet natural meadow</t>
  </si>
  <si>
    <t>Scattered tree (adult)</t>
  </si>
  <si>
    <t>100 m2/ tree</t>
  </si>
  <si>
    <t>Young hedgerow (0-3 years)</t>
  </si>
  <si>
    <t>Hedgerow recenlty planted</t>
  </si>
  <si>
    <t>Riverine</t>
  </si>
  <si>
    <t>Along the stream</t>
  </si>
  <si>
    <t>Young hedgerow (4-7 years)</t>
  </si>
  <si>
    <t>Wood edges</t>
  </si>
  <si>
    <t>Wood&gt; 0,5ha, take 10m width and count the wood edges lenght</t>
  </si>
  <si>
    <t>Stone low wall</t>
  </si>
  <si>
    <t>Ponds &lt; 1000 m2</t>
  </si>
  <si>
    <t>COUNTRY</t>
  </si>
  <si>
    <t>Forestry increase in volume</t>
  </si>
  <si>
    <t>Taux de carbone du bois sec (tC/tMSbois)</t>
  </si>
  <si>
    <t>Conversion M3 bois rond en tC</t>
  </si>
  <si>
    <t>Forestry increase in tC</t>
  </si>
  <si>
    <t>Belgium</t>
  </si>
  <si>
    <t>favorable</t>
  </si>
  <si>
    <t>unfavorable</t>
  </si>
  <si>
    <t>Bulgaria</t>
  </si>
  <si>
    <t>Czech Republic</t>
  </si>
  <si>
    <t>Denmark</t>
  </si>
  <si>
    <t>Estonia</t>
  </si>
  <si>
    <t>Ireland</t>
  </si>
  <si>
    <t>Germany</t>
  </si>
  <si>
    <t>Spain</t>
  </si>
  <si>
    <t>France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</si>
  <si>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</si>
  <si>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</si>
  <si>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</si>
  <si>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</si>
  <si>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</si>
  <si>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</si>
  <si>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</si>
  <si>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</si>
  <si>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</si>
  <si>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</si>
  <si>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</si>
  <si>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</si>
  <si>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</si>
  <si>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</si>
  <si>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</si>
  <si>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</si>
  <si>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</si>
  <si>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germany</t>
  </si>
  <si>
    <t>Legend</t>
  </si>
  <si>
    <t>User input</t>
  </si>
  <si>
    <t>Associated or linked data</t>
  </si>
  <si>
    <t>Output</t>
  </si>
  <si>
    <t>Notes</t>
  </si>
  <si>
    <t>Estimate/calculation</t>
  </si>
  <si>
    <t>Check</t>
  </si>
  <si>
    <t>Surface changes (ha)</t>
  </si>
  <si>
    <t>Carbon stock changes (tC/ha/year)</t>
  </si>
  <si>
    <t>Land use change</t>
  </si>
  <si>
    <t>Source: IPCC Tier 1</t>
  </si>
  <si>
    <t>GHG emissions for LUC : Results from DLUC calculation tool (t CO2/ha/year, 20 yrs average)</t>
  </si>
  <si>
    <t>Trees (&gt; 5 m  high)</t>
  </si>
  <si>
    <t>Natural elements</t>
  </si>
  <si>
    <t>Quality</t>
  </si>
  <si>
    <t>List of countries (for dropdowns)</t>
  </si>
  <si>
    <t>Natural infrastructures</t>
  </si>
  <si>
    <t>Annual increase (t CO2 / year)</t>
  </si>
  <si>
    <t>Results: GHG Emissions / Removals from Natural elements and land use changes</t>
  </si>
  <si>
    <t>CO2 emissions / removals from natural elements</t>
  </si>
  <si>
    <t>t CO2equ / year</t>
  </si>
  <si>
    <t>CO2 emissions / removals from land use changes</t>
  </si>
  <si>
    <t>Carbon stock changes (tCO2/year)</t>
  </si>
  <si>
    <t>Carbon storage in soils land use change</t>
  </si>
  <si>
    <t xml:space="preserve"> tree natural elements storage</t>
  </si>
  <si>
    <t>low natural elements storage</t>
  </si>
  <si>
    <t>shrubby natural elements storage</t>
  </si>
  <si>
    <t xml:space="preserve">Forestry increase </t>
  </si>
  <si>
    <t>Increase of C for vineyard and orchards</t>
  </si>
  <si>
    <t>country</t>
  </si>
  <si>
    <t>type</t>
  </si>
  <si>
    <t>width</t>
  </si>
  <si>
    <t>length</t>
  </si>
  <si>
    <t>LUC</t>
  </si>
  <si>
    <t>surface</t>
  </si>
  <si>
    <t>luc</t>
  </si>
  <si>
    <t>soc</t>
  </si>
  <si>
    <t>luc_em</t>
  </si>
  <si>
    <t>cstor_tree</t>
  </si>
  <si>
    <t>cstor_shrub</t>
  </si>
  <si>
    <t>cstor_low</t>
  </si>
  <si>
    <t>quality</t>
  </si>
  <si>
    <t>cstock</t>
  </si>
  <si>
    <t>increase_vol</t>
  </si>
  <si>
    <t>conversion</t>
  </si>
  <si>
    <t>increase_ton</t>
  </si>
  <si>
    <t>Forests</t>
  </si>
  <si>
    <t xml:space="preserve">Temperate oceanic </t>
  </si>
  <si>
    <t>Boreal tundra (&lt;20y)</t>
  </si>
  <si>
    <t>Boreal tundra (&gt;20y)</t>
  </si>
  <si>
    <t xml:space="preserve">Current C storage (above ground biomass) </t>
  </si>
  <si>
    <t>Forest plantations</t>
  </si>
  <si>
    <t>Temperate oceanic broadleaf(&lt;20y)</t>
  </si>
  <si>
    <t>Temperate oceanic broadleaf(&gt;20y)</t>
  </si>
  <si>
    <t>Temperate oceanic coniferous (&lt;20y)</t>
  </si>
  <si>
    <t>Temperate oceanic coniferous (&gt;20y)</t>
  </si>
  <si>
    <t>Temperate continental broadleaf (&lt;20y)</t>
  </si>
  <si>
    <t>Temperate continental broadleaf (&gt;20y)</t>
  </si>
  <si>
    <t>Temperate continental coniferous (&lt;20y)</t>
  </si>
  <si>
    <t>Temperate continental coniferous (&gt;20y)</t>
  </si>
  <si>
    <t>Boreal coniferous (&lt;20y)</t>
  </si>
  <si>
    <t>Boreal coniferous (&gt;20y)</t>
  </si>
  <si>
    <t>IPCC 2006 Tab. 4.8</t>
  </si>
  <si>
    <t>Above ground net biomass growth [tdm/ha/yr]</t>
  </si>
  <si>
    <t xml:space="preserve">Ecozone </t>
  </si>
  <si>
    <t>Current C storage (above ground biomass) 
[t dm / ha]</t>
  </si>
  <si>
    <t>Ratio below ground biomass to above ground biomass ®</t>
  </si>
  <si>
    <t>coniferous</t>
  </si>
  <si>
    <t>broadleaf</t>
  </si>
  <si>
    <t>Carbon fraction above ground biomass 
[t C / t dm]</t>
  </si>
  <si>
    <t>Tab. 4.9</t>
  </si>
  <si>
    <t>Tab. 4.4</t>
  </si>
  <si>
    <t>Tab. 4.3</t>
  </si>
  <si>
    <t>Tab. 4.7</t>
  </si>
  <si>
    <t>Forest Climate zone</t>
  </si>
  <si>
    <t>Age</t>
  </si>
  <si>
    <t>Temperate continental &lt;20y coniferous</t>
  </si>
  <si>
    <t>Temperate continental &lt;20y broadleaf</t>
  </si>
  <si>
    <t>Temperate continental &gt;20y coniferous</t>
  </si>
  <si>
    <t>Temperate continental &gt;20y broadleaf</t>
  </si>
  <si>
    <t>Boreal tundra &lt;20y coniferous</t>
  </si>
  <si>
    <t>Boreal tundra &lt;20y broadleaf</t>
  </si>
  <si>
    <t>Boreal tundra &gt;20y coniferous</t>
  </si>
  <si>
    <t>Boreal tundra &gt;20y broadleaf</t>
  </si>
  <si>
    <t>Boreal mountain &lt;20y coniferous</t>
  </si>
  <si>
    <t>Boreal mountain &lt;20y broadleaf</t>
  </si>
  <si>
    <t>Boreal mountain &gt;20y coniferous</t>
  </si>
  <si>
    <t>Boreal mountain &gt;20y broadleaf</t>
  </si>
  <si>
    <t>climate zone</t>
  </si>
  <si>
    <t xml:space="preserve">Temperate continental </t>
  </si>
  <si>
    <t xml:space="preserve">Temperate mountain system </t>
  </si>
  <si>
    <t xml:space="preserve">Boreal tundra </t>
  </si>
  <si>
    <t xml:space="preserve">Boreal mountain </t>
  </si>
  <si>
    <t xml:space="preserve">Boreal </t>
  </si>
  <si>
    <t xml:space="preserve">&lt;20y </t>
  </si>
  <si>
    <t xml:space="preserve">&gt;20y </t>
  </si>
  <si>
    <t>Boreal &gt;20y coniferous</t>
  </si>
  <si>
    <t>Boreal &lt;20y broadleaf</t>
  </si>
  <si>
    <t>Boreal &gt;20y broadleaf</t>
  </si>
  <si>
    <t>Boreal &lt;20y coniferous</t>
  </si>
  <si>
    <t>Temperate oceanic &lt;20y coniferous</t>
  </si>
  <si>
    <t>Temperate oceanic &gt;20y coniferous</t>
  </si>
  <si>
    <t>Temperate oceanic &lt;20y broadleaf</t>
  </si>
  <si>
    <t>Temperate oceanic &gt;20y broadleaf</t>
  </si>
  <si>
    <t>Temperate mountain system &lt;20y coniferous</t>
  </si>
  <si>
    <t>Temperate mountain system &lt;20y broadleaf</t>
  </si>
  <si>
    <t>Annual biomass gain (t C / year)</t>
  </si>
  <si>
    <r>
      <t>Current C storage (</t>
    </r>
    <r>
      <rPr>
        <b/>
        <sz val="11"/>
        <color rgb="FFFF0000"/>
        <rFont val="Arial"/>
        <family val="2"/>
      </rPr>
      <t xml:space="preserve">soil + </t>
    </r>
    <r>
      <rPr>
        <b/>
        <sz val="11"/>
        <rFont val="Arial"/>
        <family val="2"/>
      </rPr>
      <t>wood) [t C]</t>
    </r>
  </si>
  <si>
    <t>Merchantable round wood harvest over bark (m³ / y)</t>
  </si>
  <si>
    <t>Tab 4.5</t>
  </si>
  <si>
    <r>
      <t>Conversion of wood and fuelwood removal volume to above-ground biomass removal (BCEF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</si>
  <si>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Temperate broadleaf &lt;20</t>
  </si>
  <si>
    <t>Temperate broadleaf 21-40</t>
  </si>
  <si>
    <t>Temperate broadleaf 41-100</t>
  </si>
  <si>
    <t>Temperate broadleaf &gt; 200</t>
  </si>
  <si>
    <t>Boreal coniferous &lt;20</t>
  </si>
  <si>
    <t>Boreal coniferous 21-50</t>
  </si>
  <si>
    <t>Boreal coniferous 51-100</t>
  </si>
  <si>
    <t>Boreal coniferous &gt;100</t>
  </si>
  <si>
    <t>Boreal braodleaf &lt;20</t>
  </si>
  <si>
    <t>Boreal broadleaf 21-50</t>
  </si>
  <si>
    <t>Boreal broadleaf 51-100</t>
  </si>
  <si>
    <t>Boreal boradleaf &gt;100</t>
  </si>
  <si>
    <t>Temperate coniferous &lt;20</t>
  </si>
  <si>
    <t>Temperate coniferous 21-40</t>
  </si>
  <si>
    <t>Temperate coniferous 41-100</t>
  </si>
  <si>
    <t>Temperate coniferous &gt; 200</t>
  </si>
  <si>
    <t>full name (biomass gain)</t>
  </si>
  <si>
    <t>full name (biomass loss</t>
  </si>
  <si>
    <t>growing stock volume (temperate)</t>
  </si>
  <si>
    <t>growing stock volume (boreal)</t>
  </si>
  <si>
    <t>Temperate broadleaf 101-200</t>
  </si>
  <si>
    <t>Temperate coniferous 101-200</t>
  </si>
  <si>
    <t>Growing stock volume (m³ / y) - temperate</t>
  </si>
  <si>
    <t>Growing stock volume (m³ / y) - boreal</t>
  </si>
  <si>
    <t xml:space="preserve"> &lt;20</t>
  </si>
  <si>
    <t xml:space="preserve"> 21-40</t>
  </si>
  <si>
    <t xml:space="preserve"> 41-100</t>
  </si>
  <si>
    <t xml:space="preserve"> 101-200</t>
  </si>
  <si>
    <t xml:space="preserve"> &gt;200</t>
  </si>
  <si>
    <t xml:space="preserve"> 21-50</t>
  </si>
  <si>
    <t xml:space="preserve"> 51-100</t>
  </si>
  <si>
    <t xml:space="preserve"> &gt;100</t>
  </si>
  <si>
    <t>Bark fraction in harvested wood (t dm / t dm)</t>
  </si>
  <si>
    <t>Annual biomass loss - wood removal (t C / year)</t>
  </si>
  <si>
    <t>Annual biomass loss - fuelwood removal (t C / year)</t>
  </si>
  <si>
    <t>Area of disturbances (e.g. insects, fire) (ha / yr)</t>
  </si>
  <si>
    <t>LOSS (DISTURBANCE)</t>
  </si>
  <si>
    <t>LOSS (HARVEST)</t>
  </si>
  <si>
    <t>Fractio of biomass lost in disturbance (%)</t>
  </si>
  <si>
    <t>CO2 emissions / removals from forests</t>
  </si>
  <si>
    <t>C_stor</t>
  </si>
  <si>
    <t>bm_growth</t>
  </si>
  <si>
    <t>ratio_ab_bel</t>
  </si>
  <si>
    <t>C_cont_above</t>
  </si>
  <si>
    <t>C_cont_plant</t>
  </si>
  <si>
    <t>BCEF_for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</si>
</sst>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&quot; ha&quot;"/>
    <numFmt numFmtId="165" formatCode="0.0&quot; ha&quot;"/>
    <numFmt numFmtId="166" formatCode="0.0"/>
    <numFmt numFmtId="167" formatCode="#,##0.0&quot; tC&quot;"/>
    <numFmt numFmtId="168" formatCode="#,##0&quot; tC/an&quot;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0">
    <xf numFmtId="0" fontId="0" fillId="0" borderId="0"/>
    <xf numFmtId="0" fontId="2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3" fillId="5" borderId="5" applyNumberFormat="0" applyAlignment="0" applyProtection="0"/>
    <xf numFmtId="0" fontId="14" fillId="6" borderId="8" applyNumberFormat="0" applyAlignment="0" applyProtection="0"/>
  </cellStyleXfs>
  <cellXfs count="79">
    <xf numFmtId="0" fontId="0" fillId="0" borderId="0" xfId="0"/>
    <xf numFmtId="0" fontId="3" fillId="2" borderId="0" xfId="1" applyFont="1" applyFill="1" applyBorder="1"/>
    <xf numFmtId="0" fontId="4" fillId="2" borderId="0" xfId="1" applyFont="1" applyFill="1" applyBorder="1"/>
    <xf numFmtId="164" fontId="4" fillId="2" borderId="0" xfId="1" applyNumberFormat="1" applyFont="1" applyFill="1" applyBorder="1" applyAlignment="1">
      <alignment horizontal="center"/>
    </xf>
    <xf numFmtId="0" fontId="5" fillId="0" borderId="0" xfId="3"/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3" fillId="0" borderId="0" xfId="4" applyFont="1" applyAlignment="1">
      <alignment horizontal="left"/>
    </xf>
    <xf numFmtId="0" fontId="5" fillId="0" borderId="0" xfId="1" applyFont="1" applyBorder="1"/>
    <xf numFmtId="0" fontId="4" fillId="4" borderId="1" xfId="4" applyFont="1" applyFill="1" applyBorder="1" applyAlignment="1">
      <alignment horizontal="center" vertical="center" wrapText="1"/>
    </xf>
    <xf numFmtId="0" fontId="5" fillId="0" borderId="0" xfId="3" applyFill="1"/>
    <xf numFmtId="0" fontId="5" fillId="0" borderId="0" xfId="2"/>
    <xf numFmtId="0" fontId="5" fillId="0" borderId="0" xfId="3" applyFont="1"/>
    <xf numFmtId="0" fontId="8" fillId="0" borderId="0" xfId="3" applyFont="1"/>
    <xf numFmtId="9" fontId="8" fillId="0" borderId="0" xfId="5" applyFont="1"/>
    <xf numFmtId="0" fontId="8" fillId="0" borderId="0" xfId="3" quotePrefix="1" applyFont="1"/>
    <xf numFmtId="4" fontId="8" fillId="0" borderId="0" xfId="5" applyNumberFormat="1" applyFont="1"/>
    <xf numFmtId="0" fontId="6" fillId="0" borderId="1" xfId="3" applyFont="1" applyBorder="1" applyAlignment="1">
      <alignment horizontal="center" vertical="center"/>
    </xf>
    <xf numFmtId="0" fontId="5" fillId="0" borderId="0" xfId="3" applyAlignment="1">
      <alignment horizontal="center"/>
    </xf>
    <xf numFmtId="0" fontId="11" fillId="3" borderId="0" xfId="3" applyFont="1" applyFill="1"/>
    <xf numFmtId="0" fontId="5" fillId="0" borderId="0" xfId="3" applyAlignment="1"/>
    <xf numFmtId="0" fontId="5" fillId="0" borderId="0" xfId="3" applyBorder="1"/>
    <xf numFmtId="166" fontId="5" fillId="0" borderId="0" xfId="3" applyNumberFormat="1" applyBorder="1" applyAlignment="1">
      <alignment horizontal="center"/>
    </xf>
    <xf numFmtId="0" fontId="4" fillId="0" borderId="0" xfId="3" applyFont="1"/>
    <xf numFmtId="0" fontId="8" fillId="0" borderId="0" xfId="4" applyFont="1" applyFill="1"/>
    <xf numFmtId="0" fontId="5" fillId="3" borderId="0" xfId="1" applyFont="1" applyFill="1" applyBorder="1" applyAlignment="1">
      <alignment wrapText="1"/>
    </xf>
    <xf numFmtId="165" fontId="5" fillId="3" borderId="0" xfId="1" applyNumberFormat="1" applyFont="1" applyFill="1" applyBorder="1" applyAlignment="1">
      <alignment horizontal="center"/>
    </xf>
    <xf numFmtId="0" fontId="5" fillId="0" borderId="0" xfId="3" applyAlignment="1">
      <alignment vertical="center"/>
    </xf>
    <xf numFmtId="0" fontId="8" fillId="0" borderId="0" xfId="4" applyFont="1" applyFill="1" applyAlignment="1">
      <alignment vertical="center"/>
    </xf>
    <xf numFmtId="0" fontId="5" fillId="0" borderId="0" xfId="2" applyAlignment="1">
      <alignment vertical="center"/>
    </xf>
    <xf numFmtId="0" fontId="11" fillId="0" borderId="0" xfId="4" applyFont="1" applyFill="1" applyAlignment="1">
      <alignment vertical="center"/>
    </xf>
    <xf numFmtId="0" fontId="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167" fontId="8" fillId="3" borderId="0" xfId="3" applyNumberFormat="1" applyFont="1" applyFill="1" applyBorder="1" applyAlignment="1">
      <alignment horizontal="center" vertical="center"/>
    </xf>
    <xf numFmtId="168" fontId="3" fillId="3" borderId="0" xfId="3" applyNumberFormat="1" applyFont="1" applyFill="1" applyBorder="1" applyAlignment="1">
      <alignment vertical="center"/>
    </xf>
    <xf numFmtId="0" fontId="5" fillId="3" borderId="0" xfId="2" applyFill="1" applyBorder="1" applyAlignment="1">
      <alignment horizontal="left" vertical="center"/>
    </xf>
    <xf numFmtId="0" fontId="16" fillId="8" borderId="10" xfId="0" applyFont="1" applyFill="1" applyBorder="1" applyAlignment="1">
      <alignment horizontal="center" wrapText="1"/>
    </xf>
    <xf numFmtId="0" fontId="16" fillId="8" borderId="10" xfId="0" applyFont="1" applyFill="1" applyBorder="1" applyAlignment="1">
      <alignment wrapText="1"/>
    </xf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wrapText="1"/>
    </xf>
    <xf numFmtId="0" fontId="18" fillId="9" borderId="6" xfId="0" applyFont="1" applyFill="1" applyBorder="1" applyAlignment="1">
      <alignment horizontal="center" wrapText="1"/>
    </xf>
    <xf numFmtId="0" fontId="18" fillId="9" borderId="6" xfId="0" applyFont="1" applyFill="1" applyBorder="1" applyAlignment="1">
      <alignment wrapText="1"/>
    </xf>
    <xf numFmtId="0" fontId="19" fillId="10" borderId="9" xfId="0" applyFont="1" applyFill="1" applyBorder="1"/>
    <xf numFmtId="0" fontId="20" fillId="10" borderId="9" xfId="0" applyFont="1" applyFill="1" applyBorder="1" applyAlignment="1">
      <alignment wrapText="1"/>
    </xf>
    <xf numFmtId="0" fontId="13" fillId="5" borderId="5" xfId="8"/>
    <xf numFmtId="0" fontId="14" fillId="6" borderId="8" xfId="9"/>
    <xf numFmtId="0" fontId="21" fillId="11" borderId="0" xfId="0" applyFont="1" applyFill="1"/>
    <xf numFmtId="0" fontId="22" fillId="11" borderId="0" xfId="0" applyFont="1" applyFill="1"/>
    <xf numFmtId="2" fontId="17" fillId="0" borderId="7" xfId="0" applyNumberFormat="1" applyFont="1" applyBorder="1" applyAlignment="1">
      <alignment wrapText="1"/>
    </xf>
    <xf numFmtId="0" fontId="0" fillId="0" borderId="0" xfId="0" applyBorder="1"/>
    <xf numFmtId="0" fontId="17" fillId="0" borderId="7" xfId="0" applyFont="1" applyBorder="1" applyAlignment="1">
      <alignment horizontal="left"/>
    </xf>
    <xf numFmtId="0" fontId="13" fillId="5" borderId="12" xfId="8" applyBorder="1"/>
    <xf numFmtId="0" fontId="11" fillId="0" borderId="0" xfId="3" applyFont="1" applyFill="1"/>
    <xf numFmtId="0" fontId="8" fillId="0" borderId="0" xfId="3" applyFont="1" applyFill="1"/>
    <xf numFmtId="0" fontId="5" fillId="0" borderId="0" xfId="2" applyFill="1"/>
    <xf numFmtId="0" fontId="10" fillId="0" borderId="0" xfId="3" applyFont="1" applyFill="1" applyBorder="1" applyAlignment="1">
      <alignment horizontal="left" vertical="top"/>
    </xf>
    <xf numFmtId="0" fontId="10" fillId="0" borderId="0" xfId="3" applyFont="1" applyFill="1" applyBorder="1" applyAlignment="1">
      <alignment horizontal="left" vertical="top" wrapText="1"/>
    </xf>
    <xf numFmtId="0" fontId="5" fillId="0" borderId="0" xfId="3" applyFill="1" applyAlignment="1"/>
    <xf numFmtId="0" fontId="4" fillId="0" borderId="0" xfId="3" applyFont="1" applyAlignment="1">
      <alignment vertical="center"/>
    </xf>
    <xf numFmtId="0" fontId="18" fillId="9" borderId="13" xfId="0" applyFont="1" applyFill="1" applyBorder="1" applyAlignment="1">
      <alignment wrapText="1"/>
    </xf>
    <xf numFmtId="0" fontId="18" fillId="9" borderId="11" xfId="0" applyFont="1" applyFill="1" applyBorder="1" applyAlignment="1">
      <alignment wrapText="1"/>
    </xf>
    <xf numFmtId="0" fontId="18" fillId="9" borderId="13" xfId="0" applyFont="1" applyFill="1" applyBorder="1" applyAlignment="1">
      <alignment horizontal="center" wrapText="1"/>
    </xf>
    <xf numFmtId="0" fontId="18" fillId="9" borderId="11" xfId="0" applyFont="1" applyFill="1" applyBorder="1" applyAlignment="1">
      <alignment horizontal="center" wrapText="1"/>
    </xf>
    <xf numFmtId="0" fontId="21" fillId="0" borderId="0" xfId="0" applyFont="1"/>
    <xf numFmtId="0" fontId="16" fillId="8" borderId="10" xfId="0" applyFont="1" applyFill="1" applyBorder="1" applyAlignment="1">
      <alignment horizontal="left" wrapText="1"/>
    </xf>
    <xf numFmtId="0" fontId="5" fillId="0" borderId="0" xfId="3" applyFont="1" applyFill="1"/>
    <xf numFmtId="0" fontId="5" fillId="0" borderId="0" xfId="2" applyFont="1" applyFill="1"/>
    <xf numFmtId="164" fontId="4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1" applyFont="1" applyFill="1" applyBorder="1"/>
    <xf numFmtId="0" fontId="17" fillId="0" borderId="0" xfId="0" applyFont="1" applyBorder="1" applyAlignment="1">
      <alignment horizontal="center" wrapText="1"/>
    </xf>
    <xf numFmtId="0" fontId="4" fillId="4" borderId="0" xfId="4" applyFont="1" applyFill="1" applyBorder="1" applyAlignment="1">
      <alignment horizontal="center" vertical="center" wrapText="1"/>
    </xf>
    <xf numFmtId="0" fontId="24" fillId="0" borderId="0" xfId="0" applyFont="1"/>
    <xf numFmtId="3" fontId="18" fillId="9" borderId="6" xfId="0" applyNumberFormat="1" applyFont="1" applyFill="1" applyBorder="1" applyAlignment="1">
      <alignment horizontal="center" wrapText="1"/>
    </xf>
    <xf numFmtId="0" fontId="4" fillId="0" borderId="0" xfId="3" applyFont="1" applyFill="1"/>
    <xf numFmtId="9" fontId="16" fillId="8" borderId="10" xfId="0" applyNumberFormat="1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</cellXfs>
  <cellStyles count="10">
    <cellStyle name="Berechnung" xfId="8" builtinId="22"/>
    <cellStyle name="Normal 2 2" xfId="6"/>
    <cellStyle name="Normal 3 2" xfId="4"/>
    <cellStyle name="Normal 5" xfId="2"/>
    <cellStyle name="Normal_DIALECTE2004utilJLB" xfId="1"/>
    <cellStyle name="Normal_VITIECP" xfId="3"/>
    <cellStyle name="Prozent 2" xfId="5"/>
    <cellStyle name="Standard" xfId="0" builtinId="0"/>
    <cellStyle name="Standard 2" xfId="7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T57"/>
  <sheetViews>
    <sheetView showGridLines="0" tabSelected="1" zoomScale="90" zoomScaleNormal="90" zoomScaleSheetLayoutView="75" zoomScalePageLayoutView="90" workbookViewId="0">
      <selection activeCell="B42" sqref="B42"/>
    </sheetView>
  </sheetViews>
  <sheetFormatPr baseColWidth="10" defaultColWidth="11.42578125" defaultRowHeight="12.75"/>
  <cols>
    <col min="1" max="1" width="37" style="4" customWidth="1"/>
    <col min="2" max="2" width="49.85546875" style="4" customWidth="1"/>
    <col min="3" max="3" width="23.140625" style="4" customWidth="1"/>
    <col min="4" max="4" width="24" style="4" customWidth="1"/>
    <col min="5" max="5" width="22.5703125" style="4" customWidth="1"/>
    <col min="6" max="6" width="26.5703125" style="4" customWidth="1"/>
    <col min="7" max="7" width="18.7109375" style="4" customWidth="1"/>
    <col min="8" max="8" width="19.85546875" style="4" customWidth="1"/>
    <col min="9" max="9" width="21.42578125" style="4" customWidth="1"/>
    <col min="10" max="10" width="22.42578125" style="4" customWidth="1"/>
    <col min="11" max="11" width="23.140625" style="4" customWidth="1"/>
    <col min="12" max="12" width="50.85546875" style="4" customWidth="1"/>
    <col min="13" max="14" width="20.7109375" style="4" customWidth="1"/>
    <col min="15" max="15" width="30.7109375" style="4" customWidth="1"/>
    <col min="16" max="16" width="34.42578125" style="4" customWidth="1"/>
    <col min="17" max="17" width="36.7109375" style="4" customWidth="1"/>
    <col min="18" max="21" width="10.7109375" style="4" customWidth="1"/>
    <col min="22" max="22" width="8.42578125" style="4" customWidth="1"/>
    <col min="23" max="16384" width="11.42578125" style="4"/>
  </cols>
  <sheetData>
    <row r="1" spans="1:20" s="11" customFormat="1" ht="24" customHeight="1">
      <c r="A1" s="56" t="s">
        <v>107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20" s="12" customFormat="1"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s="55" customFormat="1" ht="18">
      <c r="A3" s="53" t="s">
        <v>103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11"/>
      <c r="M3" s="11"/>
      <c r="N3" s="11"/>
      <c r="O3" s="11"/>
      <c r="P3" s="11"/>
      <c r="Q3" s="11"/>
      <c r="R3" s="11"/>
      <c r="S3" s="11"/>
    </row>
    <row r="4" spans="1:20" s="67" customFormat="1">
      <c r="A4" s="66" t="s">
        <v>120</v>
      </c>
      <c r="B4" s="66" t="s">
        <v>121</v>
      </c>
      <c r="C4" s="66" t="s">
        <v>122</v>
      </c>
      <c r="D4" s="66" t="s">
        <v>123</v>
      </c>
      <c r="E4" s="66"/>
      <c r="F4" s="66" t="s">
        <v>105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20" ht="63" customHeight="1">
      <c r="A5" s="5" t="s">
        <v>10</v>
      </c>
      <c r="B5" s="5" t="s">
        <v>9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108</v>
      </c>
      <c r="N5" s="13"/>
      <c r="O5" s="13"/>
    </row>
    <row r="6" spans="1:20" ht="15">
      <c r="A6" s="65" t="s">
        <v>62</v>
      </c>
      <c r="B6" s="37" t="s">
        <v>43</v>
      </c>
      <c r="C6" s="38">
        <v>0</v>
      </c>
      <c r="D6" s="37">
        <v>0</v>
      </c>
      <c r="E6" s="45">
        <f>D6*C6</f>
        <v>0</v>
      </c>
      <c r="F6" s="37" t="s">
        <v>19</v>
      </c>
      <c r="G6" s="45" t="str">
        <f t="shared" ref="G6:G16" si="0">CONCATENATE(A6,F6)</f>
        <v>Belgiumaverage</v>
      </c>
      <c r="H6" s="45">
        <f>IF(G6="",0,VLOOKUP($G6,'Standard data'!$C$61:$G$138,5,FALSE))</f>
        <v>1.4306999999999999</v>
      </c>
      <c r="I6" s="45">
        <f>IF(B6="","",VLOOKUP(B6,'Standard data'!$A$19:$C$25,3,FALSE))</f>
        <v>100</v>
      </c>
      <c r="J6" s="45">
        <f>IF(B6="",0,VLOOKUP(B6,'Standard data'!$A$19:$C$25,3,FALSE)*E6/10000)</f>
        <v>0</v>
      </c>
      <c r="K6" s="41">
        <f t="shared" ref="K6:K16" si="1">IF($B6="",0,E6*H6/10000*44/12)</f>
        <v>0</v>
      </c>
    </row>
    <row r="7" spans="1:20" ht="15">
      <c r="A7" s="45" t="str">
        <f>$A$6</f>
        <v>Belgium</v>
      </c>
      <c r="B7" s="37" t="s">
        <v>30</v>
      </c>
      <c r="C7" s="38">
        <v>0</v>
      </c>
      <c r="D7" s="37">
        <v>0</v>
      </c>
      <c r="E7" s="45">
        <f>D7*C7</f>
        <v>0</v>
      </c>
      <c r="F7" s="37" t="s">
        <v>19</v>
      </c>
      <c r="G7" s="45" t="str">
        <f t="shared" si="0"/>
        <v>Belgiumaverage</v>
      </c>
      <c r="H7" s="45">
        <f>IF(G7="",0,VLOOKUP($G7,'Standard data'!$C$61:$G$138,5,FALSE))</f>
        <v>1.4306999999999999</v>
      </c>
      <c r="I7" s="45">
        <f>IF(B7="","",VLOOKUP(B7,'Standard data'!$A$19:$C$25,3,FALSE))</f>
        <v>120</v>
      </c>
      <c r="J7" s="45">
        <f>IF(B7="",0,VLOOKUP(B7,'Standard data'!$A$19:$C$25,3,FALSE)*E7/10000)</f>
        <v>0</v>
      </c>
      <c r="K7" s="41">
        <f t="shared" si="1"/>
        <v>0</v>
      </c>
    </row>
    <row r="8" spans="1:20" ht="15" customHeight="1">
      <c r="A8" s="45" t="str">
        <f t="shared" ref="A8:A16" si="2">$A$6</f>
        <v>Belgium</v>
      </c>
      <c r="B8" s="37" t="s">
        <v>30</v>
      </c>
      <c r="C8" s="38">
        <v>0</v>
      </c>
      <c r="D8" s="37">
        <v>0</v>
      </c>
      <c r="E8" s="45">
        <f>D8*C8</f>
        <v>0</v>
      </c>
      <c r="F8" s="37" t="s">
        <v>19</v>
      </c>
      <c r="G8" s="45" t="str">
        <f t="shared" si="0"/>
        <v>Belgiumaverage</v>
      </c>
      <c r="H8" s="45">
        <f>IF(G8="",0,VLOOKUP($G8,'Standard data'!$C$61:$G$138,5,FALSE))</f>
        <v>1.4306999999999999</v>
      </c>
      <c r="I8" s="45">
        <f>IF(B8="","",VLOOKUP(B8,'Standard data'!$A$19:$C$25,3,FALSE))</f>
        <v>120</v>
      </c>
      <c r="J8" s="45">
        <f>IF(B8="",0,VLOOKUP(B8,'Standard data'!$A$19:$C$25,3,FALSE)*E8/10000)</f>
        <v>0</v>
      </c>
      <c r="K8" s="41">
        <f t="shared" si="1"/>
        <v>0</v>
      </c>
    </row>
    <row r="9" spans="1:20" ht="15" customHeight="1">
      <c r="A9" s="45" t="str">
        <f t="shared" si="2"/>
        <v>Belgium</v>
      </c>
      <c r="B9" s="37" t="s">
        <v>30</v>
      </c>
      <c r="C9" s="38">
        <v>0</v>
      </c>
      <c r="D9" s="37">
        <v>0</v>
      </c>
      <c r="E9" s="45">
        <f>D9*C9</f>
        <v>0</v>
      </c>
      <c r="F9" s="37" t="s">
        <v>19</v>
      </c>
      <c r="G9" s="45" t="str">
        <f t="shared" si="0"/>
        <v>Belgiumaverage</v>
      </c>
      <c r="H9" s="45">
        <f>IF(G9="",0,VLOOKUP($G9,'Standard data'!$C$61:$G$138,5,FALSE))</f>
        <v>1.4306999999999999</v>
      </c>
      <c r="I9" s="45">
        <f>IF(B9="","",VLOOKUP(B9,'Standard data'!$A$19:$C$25,3,FALSE))</f>
        <v>120</v>
      </c>
      <c r="J9" s="45">
        <f>IF(B9="",0,VLOOKUP(B9,'Standard data'!$A$19:$C$25,3,FALSE)*E9/10000)</f>
        <v>0</v>
      </c>
      <c r="K9" s="41">
        <f t="shared" si="1"/>
        <v>0</v>
      </c>
    </row>
    <row r="10" spans="1:20" ht="15" customHeight="1">
      <c r="A10" s="45" t="str">
        <f t="shared" si="2"/>
        <v>Belgium</v>
      </c>
      <c r="B10" s="37" t="s">
        <v>30</v>
      </c>
      <c r="C10" s="38">
        <v>0</v>
      </c>
      <c r="D10" s="37">
        <v>0</v>
      </c>
      <c r="E10" s="45">
        <f>D10*C10</f>
        <v>0</v>
      </c>
      <c r="F10" s="37" t="s">
        <v>19</v>
      </c>
      <c r="G10" s="45" t="str">
        <f t="shared" si="0"/>
        <v>Belgiumaverage</v>
      </c>
      <c r="H10" s="45">
        <f>IF(G10="",0,VLOOKUP($G10,'Standard data'!$C$61:$G$138,5,FALSE))</f>
        <v>1.4306999999999999</v>
      </c>
      <c r="I10" s="45">
        <f>IF(B10="","",VLOOKUP(B10,'Standard data'!$A$19:$C$25,3,FALSE))</f>
        <v>120</v>
      </c>
      <c r="J10" s="45">
        <f>IF(B10="",0,VLOOKUP(B10,'Standard data'!$A$19:$C$25,3,FALSE)*E10/10000)</f>
        <v>0</v>
      </c>
      <c r="K10" s="41">
        <f t="shared" si="1"/>
        <v>0</v>
      </c>
    </row>
    <row r="11" spans="1:20" ht="15" customHeight="1">
      <c r="A11" s="45" t="str">
        <f t="shared" si="2"/>
        <v>Belgium</v>
      </c>
      <c r="B11" s="37" t="s">
        <v>30</v>
      </c>
      <c r="C11" s="38">
        <v>0</v>
      </c>
      <c r="D11" s="37">
        <v>0</v>
      </c>
      <c r="E11" s="45">
        <f t="shared" ref="E11:E16" si="3">D11*C11</f>
        <v>0</v>
      </c>
      <c r="F11" s="37" t="s">
        <v>19</v>
      </c>
      <c r="G11" s="45" t="str">
        <f t="shared" si="0"/>
        <v>Belgiumaverage</v>
      </c>
      <c r="H11" s="45">
        <f>IF(G11="",0,VLOOKUP($G11,'Standard data'!$C$61:$G$138,5,FALSE))</f>
        <v>1.4306999999999999</v>
      </c>
      <c r="I11" s="45">
        <f>IF(B11="","",VLOOKUP(B11,'Standard data'!$A$19:$C$25,3,FALSE))</f>
        <v>120</v>
      </c>
      <c r="J11" s="45">
        <f>IF(B11="",0,VLOOKUP(B11,'Standard data'!$A$19:$C$25,3,FALSE)*E11/10000)</f>
        <v>0</v>
      </c>
      <c r="K11" s="41">
        <f t="shared" si="1"/>
        <v>0</v>
      </c>
    </row>
    <row r="12" spans="1:20" ht="15" customHeight="1">
      <c r="A12" s="45" t="str">
        <f t="shared" si="2"/>
        <v>Belgium</v>
      </c>
      <c r="B12" s="37" t="s">
        <v>30</v>
      </c>
      <c r="C12" s="38">
        <v>0</v>
      </c>
      <c r="D12" s="37">
        <v>0</v>
      </c>
      <c r="E12" s="45">
        <f t="shared" si="3"/>
        <v>0</v>
      </c>
      <c r="F12" s="37" t="s">
        <v>19</v>
      </c>
      <c r="G12" s="45" t="str">
        <f t="shared" si="0"/>
        <v>Belgiumaverage</v>
      </c>
      <c r="H12" s="45">
        <f>IF(G12="",0,VLOOKUP($G12,'Standard data'!$C$61:$G$138,5,FALSE))</f>
        <v>1.4306999999999999</v>
      </c>
      <c r="I12" s="45">
        <f>IF(B12="","",VLOOKUP(B12,'Standard data'!$A$19:$C$25,3,FALSE))</f>
        <v>120</v>
      </c>
      <c r="J12" s="45">
        <f>IF(B12="",0,VLOOKUP(B12,'Standard data'!$A$19:$C$25,3,FALSE)*E12/10000)</f>
        <v>0</v>
      </c>
      <c r="K12" s="41">
        <f t="shared" si="1"/>
        <v>0</v>
      </c>
    </row>
    <row r="13" spans="1:20" ht="15" customHeight="1">
      <c r="A13" s="45" t="str">
        <f t="shared" si="2"/>
        <v>Belgium</v>
      </c>
      <c r="B13" s="37" t="s">
        <v>30</v>
      </c>
      <c r="C13" s="38">
        <v>0</v>
      </c>
      <c r="D13" s="37">
        <v>0</v>
      </c>
      <c r="E13" s="45">
        <f t="shared" si="3"/>
        <v>0</v>
      </c>
      <c r="F13" s="37" t="s">
        <v>19</v>
      </c>
      <c r="G13" s="45" t="str">
        <f t="shared" si="0"/>
        <v>Belgiumaverage</v>
      </c>
      <c r="H13" s="45">
        <f>IF(G13="",0,VLOOKUP($G13,'Standard data'!$C$61:$G$138,5,FALSE))</f>
        <v>1.4306999999999999</v>
      </c>
      <c r="I13" s="45">
        <f>IF(B13="","",VLOOKUP(B13,'Standard data'!$A$19:$C$25,3,FALSE))</f>
        <v>120</v>
      </c>
      <c r="J13" s="45">
        <f>IF(B13="",0,VLOOKUP(B13,'Standard data'!$A$19:$C$25,3,FALSE)*E13/10000)</f>
        <v>0</v>
      </c>
      <c r="K13" s="41">
        <f t="shared" si="1"/>
        <v>0</v>
      </c>
    </row>
    <row r="14" spans="1:20" ht="15" customHeight="1">
      <c r="A14" s="45" t="str">
        <f t="shared" si="2"/>
        <v>Belgium</v>
      </c>
      <c r="B14" s="37" t="s">
        <v>30</v>
      </c>
      <c r="C14" s="38">
        <v>0</v>
      </c>
      <c r="D14" s="37">
        <v>0</v>
      </c>
      <c r="E14" s="45">
        <f t="shared" si="3"/>
        <v>0</v>
      </c>
      <c r="F14" s="37" t="s">
        <v>19</v>
      </c>
      <c r="G14" s="45" t="str">
        <f t="shared" si="0"/>
        <v>Belgiumaverage</v>
      </c>
      <c r="H14" s="45">
        <f>IF(G14="",0,VLOOKUP($G14,'Standard data'!$C$61:$G$138,5,FALSE))</f>
        <v>1.4306999999999999</v>
      </c>
      <c r="I14" s="45">
        <f>IF(B14="","",VLOOKUP(B14,'Standard data'!$A$19:$C$25,3,FALSE))</f>
        <v>120</v>
      </c>
      <c r="J14" s="45">
        <f>IF(B14="",0,VLOOKUP(B14,'Standard data'!$A$19:$C$25,3,FALSE)*E14/10000)</f>
        <v>0</v>
      </c>
      <c r="K14" s="41">
        <f t="shared" si="1"/>
        <v>0</v>
      </c>
    </row>
    <row r="15" spans="1:20" ht="15" customHeight="1">
      <c r="A15" s="45" t="str">
        <f t="shared" si="2"/>
        <v>Belgium</v>
      </c>
      <c r="B15" s="37" t="s">
        <v>30</v>
      </c>
      <c r="C15" s="38">
        <v>0</v>
      </c>
      <c r="D15" s="37">
        <v>0</v>
      </c>
      <c r="E15" s="45">
        <f t="shared" si="3"/>
        <v>0</v>
      </c>
      <c r="F15" s="37" t="s">
        <v>19</v>
      </c>
      <c r="G15" s="45" t="str">
        <f t="shared" si="0"/>
        <v>Belgiumaverage</v>
      </c>
      <c r="H15" s="45">
        <f>IF(G15="",0,VLOOKUP($G15,'Standard data'!$C$61:$G$138,5,FALSE))</f>
        <v>1.4306999999999999</v>
      </c>
      <c r="I15" s="45">
        <f>IF(B15="","",VLOOKUP(B15,'Standard data'!$A$19:$C$25,3,FALSE))</f>
        <v>120</v>
      </c>
      <c r="J15" s="45">
        <f>IF(B15="",0,VLOOKUP(B15,'Standard data'!$A$19:$C$25,3,FALSE)*E15/10000)</f>
        <v>0</v>
      </c>
      <c r="K15" s="41">
        <f t="shared" si="1"/>
        <v>0</v>
      </c>
    </row>
    <row r="16" spans="1:20" ht="15" customHeight="1" thickBot="1">
      <c r="A16" s="45" t="str">
        <f t="shared" si="2"/>
        <v>Belgium</v>
      </c>
      <c r="B16" s="37" t="s">
        <v>30</v>
      </c>
      <c r="C16" s="38">
        <v>0</v>
      </c>
      <c r="D16" s="37">
        <v>0</v>
      </c>
      <c r="E16" s="52">
        <f t="shared" si="3"/>
        <v>0</v>
      </c>
      <c r="F16" s="37" t="s">
        <v>19</v>
      </c>
      <c r="G16" s="45" t="str">
        <f t="shared" si="0"/>
        <v>Belgiumaverage</v>
      </c>
      <c r="H16" s="45">
        <f>IF(G16="",0,VLOOKUP($G16,'Standard data'!$C$61:$G$138,5,FALSE))</f>
        <v>1.4306999999999999</v>
      </c>
      <c r="I16" s="45">
        <f>IF(B16="","",VLOOKUP(B16,'Standard data'!$A$19:$C$25,3,FALSE))</f>
        <v>120</v>
      </c>
      <c r="J16" s="45">
        <f>IF(B16="",0,VLOOKUP(B16,'Standard data'!$A$19:$C$25,3,FALSE)*E16/10000)</f>
        <v>0</v>
      </c>
      <c r="K16" s="62">
        <f t="shared" si="1"/>
        <v>0</v>
      </c>
    </row>
    <row r="17" spans="1:15" ht="15" customHeight="1" thickBot="1">
      <c r="B17" s="14"/>
      <c r="C17" s="14"/>
      <c r="D17" s="14"/>
      <c r="E17" s="14"/>
      <c r="F17" s="14"/>
      <c r="G17" s="14"/>
      <c r="K17" s="63">
        <f>SUM(K6:K16)</f>
        <v>0</v>
      </c>
    </row>
    <row r="19" spans="1:15" s="11" customFormat="1" ht="18">
      <c r="A19" s="53" t="s">
        <v>20</v>
      </c>
      <c r="B19" s="54"/>
      <c r="C19" s="54"/>
      <c r="D19" s="54"/>
      <c r="E19" s="54"/>
      <c r="F19" s="54"/>
      <c r="G19" s="54"/>
      <c r="I19" s="54"/>
    </row>
    <row r="20" spans="1:15" ht="45">
      <c r="A20" s="5" t="s">
        <v>10</v>
      </c>
      <c r="B20" s="5" t="s">
        <v>9</v>
      </c>
      <c r="C20" s="6" t="str">
        <f>C5</f>
        <v>Width (m)</v>
      </c>
      <c r="D20" s="18" t="str">
        <f>D5</f>
        <v>Lenght (m)</v>
      </c>
      <c r="E20" s="6" t="str">
        <f>E5</f>
        <v>Surface (m2)</v>
      </c>
      <c r="F20" s="6" t="s">
        <v>14</v>
      </c>
      <c r="G20" s="6" t="s">
        <v>15</v>
      </c>
      <c r="H20" s="6" t="s">
        <v>16</v>
      </c>
      <c r="I20" s="6" t="s">
        <v>17</v>
      </c>
      <c r="J20" s="6" t="str">
        <f>J5</f>
        <v>Current C storage</v>
      </c>
      <c r="K20" s="6" t="str">
        <f>K5</f>
        <v>Annual increase (t CO2 / year)</v>
      </c>
      <c r="O20" s="19"/>
    </row>
    <row r="21" spans="1:15" ht="15">
      <c r="A21" s="45" t="str">
        <f t="shared" ref="A21:A31" si="4">$A$6</f>
        <v>Belgium</v>
      </c>
      <c r="B21" s="37" t="s">
        <v>31</v>
      </c>
      <c r="C21" s="37">
        <v>0</v>
      </c>
      <c r="D21" s="37">
        <v>0</v>
      </c>
      <c r="E21" s="45">
        <f t="shared" ref="E21:E31" si="5">D21*C21</f>
        <v>0</v>
      </c>
      <c r="F21" s="37" t="s">
        <v>19</v>
      </c>
      <c r="G21" s="45" t="str">
        <f>CONCATENATE(A21,F21)</f>
        <v>Belgiumaverage</v>
      </c>
      <c r="H21" s="45">
        <f>IF(G21="",0,VLOOKUP($G21,'Standard data'!$C$61:$G$138,5,FALSE))</f>
        <v>1.4306999999999999</v>
      </c>
      <c r="I21" s="45">
        <f>IF(B21="","",VLOOKUP(B21,'Standard data'!$A$31:$C$34,3,FALSE))</f>
        <v>94</v>
      </c>
      <c r="J21" s="45">
        <f>IF(B21="",0,VLOOKUP(B21,'Standard data'!$A$31:$C$34,3,FALSE)*E21/10000)</f>
        <v>0</v>
      </c>
      <c r="K21" s="42">
        <f t="shared" ref="K21:K31" si="6">IF($B21="",0,E21*H21/10000*44/12)</f>
        <v>0</v>
      </c>
    </row>
    <row r="22" spans="1:15" ht="15" customHeight="1">
      <c r="A22" s="45" t="str">
        <f t="shared" si="4"/>
        <v>Belgium</v>
      </c>
      <c r="B22" s="37" t="s">
        <v>31</v>
      </c>
      <c r="C22" s="37">
        <v>0</v>
      </c>
      <c r="D22" s="37">
        <v>0</v>
      </c>
      <c r="E22" s="45">
        <f>D22*C22</f>
        <v>0</v>
      </c>
      <c r="F22" s="37" t="s">
        <v>19</v>
      </c>
      <c r="G22" s="45" t="str">
        <f t="shared" ref="G22:G31" si="7">CONCATENATE(A22,F22)</f>
        <v>Belgiumaverage</v>
      </c>
      <c r="H22" s="45">
        <f>IF(G22="",0,VLOOKUP($G22,'Standard data'!$C$61:$G$138,5,FALSE))</f>
        <v>1.4306999999999999</v>
      </c>
      <c r="I22" s="45">
        <f>IF(B22="","",VLOOKUP(B22,'Standard data'!$A$31:$C$34,3,FALSE))</f>
        <v>94</v>
      </c>
      <c r="J22" s="45">
        <f>IF(B22="",0,VLOOKUP(B22,'Standard data'!$A$31:$C$34,3,FALSE)*E22/10000)</f>
        <v>0</v>
      </c>
      <c r="K22" s="42">
        <f t="shared" si="6"/>
        <v>0</v>
      </c>
    </row>
    <row r="23" spans="1:15" ht="15" customHeight="1">
      <c r="A23" s="45" t="str">
        <f t="shared" si="4"/>
        <v>Belgium</v>
      </c>
      <c r="B23" s="37" t="s">
        <v>31</v>
      </c>
      <c r="C23" s="37">
        <v>0</v>
      </c>
      <c r="D23" s="37">
        <v>0</v>
      </c>
      <c r="E23" s="45">
        <f t="shared" si="5"/>
        <v>0</v>
      </c>
      <c r="F23" s="37" t="s">
        <v>19</v>
      </c>
      <c r="G23" s="45" t="str">
        <f t="shared" si="7"/>
        <v>Belgiumaverage</v>
      </c>
      <c r="H23" s="45">
        <f>IF(G23="",0,VLOOKUP($G23,'Standard data'!$C$61:$G$138,5,FALSE))</f>
        <v>1.4306999999999999</v>
      </c>
      <c r="I23" s="45">
        <f>IF(B23="","",VLOOKUP(B23,'Standard data'!$A$31:$C$34,3,FALSE))</f>
        <v>94</v>
      </c>
      <c r="J23" s="45">
        <f>IF(B23="",0,VLOOKUP(B23,'Standard data'!$A$31:$C$34,3,FALSE)*E23/10000)</f>
        <v>0</v>
      </c>
      <c r="K23" s="42">
        <f t="shared" si="6"/>
        <v>0</v>
      </c>
    </row>
    <row r="24" spans="1:15" ht="15" customHeight="1">
      <c r="A24" s="45" t="str">
        <f t="shared" si="4"/>
        <v>Belgium</v>
      </c>
      <c r="B24" s="37" t="s">
        <v>31</v>
      </c>
      <c r="C24" s="37">
        <v>0</v>
      </c>
      <c r="D24" s="37">
        <v>0</v>
      </c>
      <c r="E24" s="45">
        <f t="shared" si="5"/>
        <v>0</v>
      </c>
      <c r="F24" s="37" t="s">
        <v>19</v>
      </c>
      <c r="G24" s="45" t="str">
        <f t="shared" si="7"/>
        <v>Belgiumaverage</v>
      </c>
      <c r="H24" s="45">
        <f>IF(G24="",0,VLOOKUP($G24,'Standard data'!$C$61:$G$138,5,FALSE))</f>
        <v>1.4306999999999999</v>
      </c>
      <c r="I24" s="45">
        <f>IF(B24="","",VLOOKUP(B24,'Standard data'!$A$31:$C$34,3,FALSE))</f>
        <v>94</v>
      </c>
      <c r="J24" s="45">
        <f>IF(B24="",0,VLOOKUP(B24,'Standard data'!$A$31:$C$34,3,FALSE)*E24/10000)</f>
        <v>0</v>
      </c>
      <c r="K24" s="42">
        <f t="shared" si="6"/>
        <v>0</v>
      </c>
    </row>
    <row r="25" spans="1:15" ht="15" customHeight="1">
      <c r="A25" s="45" t="str">
        <f t="shared" si="4"/>
        <v>Belgium</v>
      </c>
      <c r="B25" s="37" t="s">
        <v>31</v>
      </c>
      <c r="C25" s="37">
        <v>0</v>
      </c>
      <c r="D25" s="37">
        <v>0</v>
      </c>
      <c r="E25" s="45">
        <f t="shared" si="5"/>
        <v>0</v>
      </c>
      <c r="F25" s="37" t="s">
        <v>19</v>
      </c>
      <c r="G25" s="45" t="str">
        <f t="shared" si="7"/>
        <v>Belgiumaverage</v>
      </c>
      <c r="H25" s="45">
        <f>IF(G25="",0,VLOOKUP($G25,'Standard data'!$C$61:$G$138,5,FALSE))</f>
        <v>1.4306999999999999</v>
      </c>
      <c r="I25" s="45">
        <f>IF(B25="","",VLOOKUP(B25,'Standard data'!$A$31:$C$34,3,FALSE))</f>
        <v>94</v>
      </c>
      <c r="J25" s="45">
        <f>IF(B25="",0,VLOOKUP(B25,'Standard data'!$A$31:$C$34,3,FALSE)*E25/10000)</f>
        <v>0</v>
      </c>
      <c r="K25" s="42">
        <f t="shared" si="6"/>
        <v>0</v>
      </c>
    </row>
    <row r="26" spans="1:15" ht="15" customHeight="1">
      <c r="A26" s="45" t="str">
        <f t="shared" si="4"/>
        <v>Belgium</v>
      </c>
      <c r="B26" s="37" t="s">
        <v>31</v>
      </c>
      <c r="C26" s="37">
        <v>0</v>
      </c>
      <c r="D26" s="37">
        <v>0</v>
      </c>
      <c r="E26" s="45">
        <f t="shared" si="5"/>
        <v>0</v>
      </c>
      <c r="F26" s="37" t="s">
        <v>19</v>
      </c>
      <c r="G26" s="45" t="str">
        <f t="shared" si="7"/>
        <v>Belgiumaverage</v>
      </c>
      <c r="H26" s="45">
        <f>IF(G26="",0,VLOOKUP($G26,'Standard data'!$C$61:$G$138,5,FALSE))</f>
        <v>1.4306999999999999</v>
      </c>
      <c r="I26" s="45">
        <f>IF(B26="","",VLOOKUP(B26,'Standard data'!$A$31:$C$34,3,FALSE))</f>
        <v>94</v>
      </c>
      <c r="J26" s="45">
        <f>IF(B26="",0,VLOOKUP(B26,'Standard data'!$A$31:$C$34,3,FALSE)*E26/10000)</f>
        <v>0</v>
      </c>
      <c r="K26" s="42">
        <f t="shared" si="6"/>
        <v>0</v>
      </c>
    </row>
    <row r="27" spans="1:15" ht="15" customHeight="1">
      <c r="A27" s="45" t="str">
        <f t="shared" si="4"/>
        <v>Belgium</v>
      </c>
      <c r="B27" s="37" t="s">
        <v>31</v>
      </c>
      <c r="C27" s="37">
        <v>0</v>
      </c>
      <c r="D27" s="37">
        <v>0</v>
      </c>
      <c r="E27" s="45">
        <f t="shared" si="5"/>
        <v>0</v>
      </c>
      <c r="F27" s="37" t="s">
        <v>19</v>
      </c>
      <c r="G27" s="45" t="str">
        <f t="shared" si="7"/>
        <v>Belgiumaverage</v>
      </c>
      <c r="H27" s="45">
        <f>IF(G27="",0,VLOOKUP($G27,'Standard data'!$C$61:$G$138,5,FALSE))</f>
        <v>1.4306999999999999</v>
      </c>
      <c r="I27" s="45">
        <f>IF(B27="","",VLOOKUP(B27,'Standard data'!$A$31:$C$34,3,FALSE))</f>
        <v>94</v>
      </c>
      <c r="J27" s="45">
        <f>IF(B27="",0,VLOOKUP(B27,'Standard data'!$A$31:$C$34,3,FALSE)*E27/10000)</f>
        <v>0</v>
      </c>
      <c r="K27" s="42">
        <f t="shared" si="6"/>
        <v>0</v>
      </c>
    </row>
    <row r="28" spans="1:15" ht="15" customHeight="1">
      <c r="A28" s="45" t="str">
        <f t="shared" si="4"/>
        <v>Belgium</v>
      </c>
      <c r="B28" s="37" t="s">
        <v>31</v>
      </c>
      <c r="C28" s="37">
        <v>0</v>
      </c>
      <c r="D28" s="37">
        <v>0</v>
      </c>
      <c r="E28" s="45">
        <f t="shared" si="5"/>
        <v>0</v>
      </c>
      <c r="F28" s="37" t="s">
        <v>19</v>
      </c>
      <c r="G28" s="45" t="str">
        <f t="shared" si="7"/>
        <v>Belgiumaverage</v>
      </c>
      <c r="H28" s="45">
        <f>IF(G28="",0,VLOOKUP($G28,'Standard data'!$C$61:$G$138,5,FALSE))</f>
        <v>1.4306999999999999</v>
      </c>
      <c r="I28" s="45">
        <f>IF(B28="","",VLOOKUP(B28,'Standard data'!$A$31:$C$34,3,FALSE))</f>
        <v>94</v>
      </c>
      <c r="J28" s="45">
        <f>IF(B28="",0,VLOOKUP(B28,'Standard data'!$A$31:$C$34,3,FALSE)*E28/10000)</f>
        <v>0</v>
      </c>
      <c r="K28" s="42">
        <f t="shared" si="6"/>
        <v>0</v>
      </c>
    </row>
    <row r="29" spans="1:15" ht="15" customHeight="1">
      <c r="A29" s="45" t="str">
        <f t="shared" si="4"/>
        <v>Belgium</v>
      </c>
      <c r="B29" s="37" t="s">
        <v>31</v>
      </c>
      <c r="C29" s="37">
        <v>0</v>
      </c>
      <c r="D29" s="37">
        <v>0</v>
      </c>
      <c r="E29" s="45">
        <f t="shared" si="5"/>
        <v>0</v>
      </c>
      <c r="F29" s="37" t="s">
        <v>19</v>
      </c>
      <c r="G29" s="45" t="str">
        <f t="shared" si="7"/>
        <v>Belgiumaverage</v>
      </c>
      <c r="H29" s="45">
        <f>IF(G29="",0,VLOOKUP($G29,'Standard data'!$C$61:$G$138,5,FALSE))</f>
        <v>1.4306999999999999</v>
      </c>
      <c r="I29" s="45">
        <f>IF(B29="","",VLOOKUP(B29,'Standard data'!$A$31:$C$34,3,FALSE))</f>
        <v>94</v>
      </c>
      <c r="J29" s="45">
        <f>IF(B29="",0,VLOOKUP(B29,'Standard data'!$A$31:$C$34,3,FALSE)*E29/10000)</f>
        <v>0</v>
      </c>
      <c r="K29" s="42">
        <f t="shared" si="6"/>
        <v>0</v>
      </c>
    </row>
    <row r="30" spans="1:15" ht="15" customHeight="1">
      <c r="A30" s="45" t="str">
        <f t="shared" si="4"/>
        <v>Belgium</v>
      </c>
      <c r="B30" s="37" t="s">
        <v>31</v>
      </c>
      <c r="C30" s="37">
        <v>0</v>
      </c>
      <c r="D30" s="37">
        <v>0</v>
      </c>
      <c r="E30" s="45">
        <f t="shared" si="5"/>
        <v>0</v>
      </c>
      <c r="F30" s="37" t="s">
        <v>19</v>
      </c>
      <c r="G30" s="45" t="str">
        <f t="shared" si="7"/>
        <v>Belgiumaverage</v>
      </c>
      <c r="H30" s="45">
        <f>IF(G30="",0,VLOOKUP($G30,'Standard data'!$C$61:$G$138,5,FALSE))</f>
        <v>1.4306999999999999</v>
      </c>
      <c r="I30" s="45">
        <f>IF(B30="","",VLOOKUP(B30,'Standard data'!$A$31:$C$34,3,FALSE))</f>
        <v>94</v>
      </c>
      <c r="J30" s="45">
        <f>IF(B30="",0,VLOOKUP(B30,'Standard data'!$A$31:$C$34,3,FALSE)*E30/10000)</f>
        <v>0</v>
      </c>
      <c r="K30" s="42">
        <f t="shared" si="6"/>
        <v>0</v>
      </c>
    </row>
    <row r="31" spans="1:15" ht="15" customHeight="1" thickBot="1">
      <c r="A31" s="45" t="str">
        <f t="shared" si="4"/>
        <v>Belgium</v>
      </c>
      <c r="B31" s="37" t="s">
        <v>31</v>
      </c>
      <c r="C31" s="37">
        <v>0</v>
      </c>
      <c r="D31" s="37">
        <v>0</v>
      </c>
      <c r="E31" s="45">
        <f t="shared" si="5"/>
        <v>0</v>
      </c>
      <c r="F31" s="37" t="s">
        <v>19</v>
      </c>
      <c r="G31" s="45" t="str">
        <f t="shared" si="7"/>
        <v>Belgiumaverage</v>
      </c>
      <c r="H31" s="45">
        <f>IF(G31="",0,VLOOKUP($G31,'Standard data'!$C$61:$G$138,5,FALSE))</f>
        <v>1.4306999999999999</v>
      </c>
      <c r="I31" s="45">
        <f>IF(B31="","",VLOOKUP(B31,'Standard data'!$A$31:$C$34,3,FALSE))</f>
        <v>94</v>
      </c>
      <c r="J31" s="45">
        <f>IF(B31="",0,VLOOKUP(B31,'Standard data'!$A$31:$C$34,3,FALSE)*E31/10000)</f>
        <v>0</v>
      </c>
      <c r="K31" s="60">
        <f t="shared" si="6"/>
        <v>0</v>
      </c>
    </row>
    <row r="32" spans="1:15" ht="15" customHeight="1" thickBot="1">
      <c r="K32" s="61">
        <f>SUM(K21:K31)</f>
        <v>0</v>
      </c>
    </row>
    <row r="33" spans="1:17" ht="15" customHeight="1"/>
    <row r="34" spans="1:17" ht="15" customHeight="1">
      <c r="A34" s="20" t="s">
        <v>21</v>
      </c>
      <c r="F34" s="14"/>
      <c r="G34" s="14"/>
      <c r="H34" s="14"/>
      <c r="I34" s="14"/>
      <c r="J34" s="14"/>
    </row>
    <row r="35" spans="1:17" ht="30">
      <c r="A35" s="5" t="s">
        <v>10</v>
      </c>
      <c r="B35" s="5" t="s">
        <v>9</v>
      </c>
      <c r="C35" s="6" t="s">
        <v>22</v>
      </c>
      <c r="D35" s="6" t="s">
        <v>15</v>
      </c>
      <c r="E35" s="6" t="s">
        <v>23</v>
      </c>
      <c r="F35" s="6" t="s">
        <v>108</v>
      </c>
      <c r="G35" s="15"/>
      <c r="I35" s="17"/>
    </row>
    <row r="36" spans="1:17" ht="15.75">
      <c r="A36" s="45" t="str">
        <f>$A$6</f>
        <v>Belgium</v>
      </c>
      <c r="B36" s="37" t="s">
        <v>24</v>
      </c>
      <c r="C36" s="37">
        <v>0</v>
      </c>
      <c r="D36" s="45" t="str">
        <f>CONCATENATE(A36,B36)</f>
        <v>BelgiumVineyard (vine stock)</v>
      </c>
      <c r="E36" s="45">
        <f>IF(D36="",0,VLOOKUP(D36,'Standard data'!$C$143:$D$194,2,FALSE))</f>
        <v>0.1</v>
      </c>
      <c r="F36" s="42">
        <f>C36*E36*44/12</f>
        <v>0</v>
      </c>
      <c r="G36" s="15"/>
      <c r="I36" s="17"/>
    </row>
    <row r="37" spans="1:17" ht="16.5" thickBot="1">
      <c r="A37" s="45" t="str">
        <f>$A$6</f>
        <v>Belgium</v>
      </c>
      <c r="B37" s="37" t="s">
        <v>25</v>
      </c>
      <c r="C37" s="37">
        <v>0</v>
      </c>
      <c r="D37" s="45" t="str">
        <f>CONCATENATE(A37,B37)</f>
        <v>BelgiumOrchard (apple tree, pear tree...)</v>
      </c>
      <c r="E37" s="45">
        <f>IF(D37="",0,VLOOKUP(D37,'Standard data'!$C$143:$D$194,2,FALSE))</f>
        <v>0.1</v>
      </c>
      <c r="F37" s="42">
        <f>C37*E37*44/12</f>
        <v>0</v>
      </c>
      <c r="G37" s="15"/>
      <c r="I37" s="17"/>
    </row>
    <row r="38" spans="1:17" ht="16.5" thickBot="1">
      <c r="F38" s="61">
        <f>SUM(F36:F37)</f>
        <v>0</v>
      </c>
      <c r="G38" s="15"/>
      <c r="I38" s="17"/>
      <c r="L38" s="21"/>
      <c r="M38" s="21"/>
      <c r="N38" s="21"/>
      <c r="O38" s="21"/>
      <c r="P38" s="21"/>
    </row>
    <row r="39" spans="1:17">
      <c r="L39" s="21"/>
      <c r="M39" s="21"/>
      <c r="N39" s="21"/>
      <c r="O39" s="21"/>
      <c r="P39" s="21"/>
    </row>
    <row r="40" spans="1:17" s="11" customFormat="1" ht="18">
      <c r="A40" s="53" t="s">
        <v>26</v>
      </c>
      <c r="B40" s="54"/>
      <c r="C40" s="54"/>
      <c r="D40" s="54"/>
      <c r="E40" s="54"/>
      <c r="F40" s="54"/>
      <c r="G40" s="54"/>
      <c r="I40" s="54"/>
      <c r="L40" s="58"/>
      <c r="M40" s="58"/>
      <c r="N40" s="58"/>
      <c r="O40" s="58"/>
      <c r="P40" s="58"/>
    </row>
    <row r="41" spans="1:17" ht="45">
      <c r="A41" s="5" t="s">
        <v>10</v>
      </c>
      <c r="B41" s="5" t="str">
        <f>B20</f>
        <v>Type</v>
      </c>
      <c r="C41" s="6" t="str">
        <f>C20</f>
        <v>Width (m)</v>
      </c>
      <c r="D41" s="5" t="str">
        <f>D20</f>
        <v>Lenght (m)</v>
      </c>
      <c r="E41" s="6" t="str">
        <f>E20</f>
        <v>Surface (m2)</v>
      </c>
      <c r="F41" s="6" t="s">
        <v>14</v>
      </c>
      <c r="G41" s="6" t="s">
        <v>15</v>
      </c>
      <c r="H41" s="6" t="s">
        <v>16</v>
      </c>
      <c r="I41" s="6" t="s">
        <v>17</v>
      </c>
      <c r="J41" s="6" t="str">
        <f>J20</f>
        <v>Current C storage</v>
      </c>
      <c r="K41" s="6" t="str">
        <f>K20</f>
        <v>Annual increase (t CO2 / year)</v>
      </c>
      <c r="L41" s="21"/>
      <c r="M41" s="21"/>
      <c r="N41" s="21"/>
      <c r="O41" s="21"/>
      <c r="P41" s="21"/>
    </row>
    <row r="42" spans="1:17" ht="15">
      <c r="A42" s="45" t="str">
        <f t="shared" ref="A42:A52" si="8">$A$6</f>
        <v>Belgium</v>
      </c>
      <c r="B42" s="37" t="s">
        <v>33</v>
      </c>
      <c r="C42" s="37">
        <v>0</v>
      </c>
      <c r="D42" s="37">
        <v>0</v>
      </c>
      <c r="E42" s="45">
        <f>D42*C42</f>
        <v>0</v>
      </c>
      <c r="F42" s="37" t="s">
        <v>19</v>
      </c>
      <c r="G42" s="45" t="str">
        <f>CONCATENATE(A42,F42)</f>
        <v>Belgiumaverage</v>
      </c>
      <c r="H42" s="45">
        <f>IF(G42="",0,VLOOKUP($G42,'Standard data'!$C$61:$G$138,5,FALSE))</f>
        <v>1.4306999999999999</v>
      </c>
      <c r="I42" s="45">
        <f>IF(B42="","",VLOOKUP(B42,'Standard data'!$A$40:$C$47,3,FALSE))</f>
        <v>50</v>
      </c>
      <c r="J42" s="45">
        <f>IF(B42="",0,VLOOKUP(B42,'Standard data'!$A$40:$C$47,3,FALSE)*E42/10000)</f>
        <v>0</v>
      </c>
      <c r="K42" s="42">
        <f t="shared" ref="K42:K52" si="9">IF($B42="",0,E42*H42/10000*44/12)</f>
        <v>0</v>
      </c>
      <c r="L42" s="21"/>
      <c r="M42" s="21"/>
      <c r="N42" s="21"/>
      <c r="O42" s="21"/>
      <c r="P42" s="21"/>
    </row>
    <row r="43" spans="1:17" ht="15" customHeight="1">
      <c r="A43" s="45" t="str">
        <f t="shared" si="8"/>
        <v>Belgium</v>
      </c>
      <c r="B43" s="37" t="s">
        <v>33</v>
      </c>
      <c r="C43" s="37">
        <v>0</v>
      </c>
      <c r="D43" s="37">
        <v>0</v>
      </c>
      <c r="E43" s="45">
        <f t="shared" ref="E43:E52" si="10">D43*C43</f>
        <v>0</v>
      </c>
      <c r="F43" s="37" t="s">
        <v>19</v>
      </c>
      <c r="G43" s="45" t="str">
        <f t="shared" ref="G43:G52" si="11">CONCATENATE(A43,F43)</f>
        <v>Belgiumaverage</v>
      </c>
      <c r="H43" s="45">
        <f>IF(G43="",0,VLOOKUP($G43,'Standard data'!$C$61:$G$138,5,FALSE))</f>
        <v>1.4306999999999999</v>
      </c>
      <c r="I43" s="45">
        <f>IF(B43="","",VLOOKUP(B43,'Standard data'!$A$40:$C$47,3,FALSE))</f>
        <v>50</v>
      </c>
      <c r="J43" s="45">
        <f>IF(B43="",0,VLOOKUP(B43,'Standard data'!$A$40:$C$47,3,FALSE)*E43/10000)</f>
        <v>0</v>
      </c>
      <c r="K43" s="42">
        <f t="shared" si="9"/>
        <v>0</v>
      </c>
      <c r="L43" s="21"/>
      <c r="M43" s="21"/>
      <c r="N43" s="21"/>
      <c r="O43" s="21"/>
      <c r="P43" s="21"/>
    </row>
    <row r="44" spans="1:17" ht="15" customHeight="1">
      <c r="A44" s="45" t="str">
        <f t="shared" si="8"/>
        <v>Belgium</v>
      </c>
      <c r="B44" s="37" t="s">
        <v>33</v>
      </c>
      <c r="C44" s="37">
        <v>0</v>
      </c>
      <c r="D44" s="37">
        <v>0</v>
      </c>
      <c r="E44" s="45">
        <f t="shared" si="10"/>
        <v>0</v>
      </c>
      <c r="F44" s="37" t="s">
        <v>19</v>
      </c>
      <c r="G44" s="45" t="str">
        <f t="shared" si="11"/>
        <v>Belgiumaverage</v>
      </c>
      <c r="H44" s="45">
        <f>IF(G44="",0,VLOOKUP($G44,'Standard data'!$C$61:$G$138,5,FALSE))</f>
        <v>1.4306999999999999</v>
      </c>
      <c r="I44" s="45">
        <f>IF(B44="","",VLOOKUP(B44,'Standard data'!$A$40:$C$47,3,FALSE))</f>
        <v>50</v>
      </c>
      <c r="J44" s="45">
        <f>IF(B44="",0,VLOOKUP(B44,'Standard data'!$A$40:$C$47,3,FALSE)*E44/10000)</f>
        <v>0</v>
      </c>
      <c r="K44" s="42">
        <f t="shared" si="9"/>
        <v>0</v>
      </c>
      <c r="L44" s="21"/>
      <c r="M44" s="21"/>
      <c r="N44" s="21"/>
      <c r="O44" s="21"/>
      <c r="P44" s="21"/>
      <c r="Q44" s="22"/>
    </row>
    <row r="45" spans="1:17" ht="15" customHeight="1">
      <c r="A45" s="45" t="str">
        <f t="shared" si="8"/>
        <v>Belgium</v>
      </c>
      <c r="B45" s="37" t="s">
        <v>33</v>
      </c>
      <c r="C45" s="37">
        <v>0</v>
      </c>
      <c r="D45" s="37">
        <v>0</v>
      </c>
      <c r="E45" s="45">
        <f t="shared" si="10"/>
        <v>0</v>
      </c>
      <c r="F45" s="37" t="s">
        <v>19</v>
      </c>
      <c r="G45" s="45" t="str">
        <f t="shared" si="11"/>
        <v>Belgiumaverage</v>
      </c>
      <c r="H45" s="45">
        <f>IF(G45="",0,VLOOKUP($G45,'Standard data'!$C$61:$G$138,5,FALSE))</f>
        <v>1.4306999999999999</v>
      </c>
      <c r="I45" s="45">
        <f>IF(B45="","",VLOOKUP(B45,'Standard data'!$A$40:$C$47,3,FALSE))</f>
        <v>50</v>
      </c>
      <c r="J45" s="45">
        <f>IF(B45="",0,VLOOKUP(B45,'Standard data'!$A$40:$C$47,3,FALSE)*E45/10000)</f>
        <v>0</v>
      </c>
      <c r="K45" s="42">
        <f t="shared" si="9"/>
        <v>0</v>
      </c>
      <c r="L45" s="21"/>
      <c r="M45" s="21"/>
      <c r="N45" s="21"/>
      <c r="O45" s="21"/>
      <c r="P45" s="21"/>
      <c r="Q45" s="22"/>
    </row>
    <row r="46" spans="1:17" ht="15" customHeight="1">
      <c r="A46" s="45" t="str">
        <f t="shared" si="8"/>
        <v>Belgium</v>
      </c>
      <c r="B46" s="37" t="s">
        <v>33</v>
      </c>
      <c r="C46" s="37">
        <v>0</v>
      </c>
      <c r="D46" s="37">
        <v>0</v>
      </c>
      <c r="E46" s="45">
        <f t="shared" si="10"/>
        <v>0</v>
      </c>
      <c r="F46" s="37" t="s">
        <v>19</v>
      </c>
      <c r="G46" s="45" t="str">
        <f t="shared" si="11"/>
        <v>Belgiumaverage</v>
      </c>
      <c r="H46" s="45">
        <f>IF(G46="",0,VLOOKUP($G46,'Standard data'!$C$61:$G$138,5,FALSE))</f>
        <v>1.4306999999999999</v>
      </c>
      <c r="I46" s="45">
        <f>IF(B46="","",VLOOKUP(B46,'Standard data'!$A$40:$C$47,3,FALSE))</f>
        <v>50</v>
      </c>
      <c r="J46" s="45">
        <f>IF(B46="",0,VLOOKUP(B46,'Standard data'!$A$40:$C$47,3,FALSE)*E46/10000)</f>
        <v>0</v>
      </c>
      <c r="K46" s="42">
        <f t="shared" si="9"/>
        <v>0</v>
      </c>
      <c r="L46" s="21"/>
      <c r="M46" s="21"/>
      <c r="N46" s="21"/>
      <c r="O46" s="21"/>
      <c r="P46" s="21"/>
      <c r="Q46" s="22"/>
    </row>
    <row r="47" spans="1:17" ht="15" customHeight="1">
      <c r="A47" s="45" t="str">
        <f t="shared" si="8"/>
        <v>Belgium</v>
      </c>
      <c r="B47" s="37" t="s">
        <v>33</v>
      </c>
      <c r="C47" s="37">
        <v>0</v>
      </c>
      <c r="D47" s="37">
        <v>0</v>
      </c>
      <c r="E47" s="45">
        <f t="shared" si="10"/>
        <v>0</v>
      </c>
      <c r="F47" s="37" t="s">
        <v>19</v>
      </c>
      <c r="G47" s="45" t="str">
        <f t="shared" si="11"/>
        <v>Belgiumaverage</v>
      </c>
      <c r="H47" s="45">
        <f>IF(G47="",0,VLOOKUP($G47,'Standard data'!$C$61:$G$138,5,FALSE))</f>
        <v>1.4306999999999999</v>
      </c>
      <c r="I47" s="45">
        <f>IF(B47="","",VLOOKUP(B47,'Standard data'!$A$40:$C$47,3,FALSE))</f>
        <v>50</v>
      </c>
      <c r="J47" s="45">
        <f>IF(B47="",0,VLOOKUP(B47,'Standard data'!$A$40:$C$47,3,FALSE)*E47/10000)</f>
        <v>0</v>
      </c>
      <c r="K47" s="42">
        <f t="shared" si="9"/>
        <v>0</v>
      </c>
      <c r="L47" s="21"/>
      <c r="M47" s="21"/>
      <c r="N47" s="21"/>
      <c r="O47" s="21"/>
      <c r="P47" s="21"/>
      <c r="Q47" s="22"/>
    </row>
    <row r="48" spans="1:17" ht="15" customHeight="1">
      <c r="A48" s="45" t="str">
        <f t="shared" si="8"/>
        <v>Belgium</v>
      </c>
      <c r="B48" s="37" t="s">
        <v>33</v>
      </c>
      <c r="C48" s="37">
        <v>0</v>
      </c>
      <c r="D48" s="37">
        <v>0</v>
      </c>
      <c r="E48" s="45">
        <f t="shared" si="10"/>
        <v>0</v>
      </c>
      <c r="F48" s="37" t="s">
        <v>19</v>
      </c>
      <c r="G48" s="45" t="str">
        <f t="shared" si="11"/>
        <v>Belgiumaverage</v>
      </c>
      <c r="H48" s="45">
        <f>IF(G48="",0,VLOOKUP($G48,'Standard data'!$C$61:$G$138,5,FALSE))</f>
        <v>1.4306999999999999</v>
      </c>
      <c r="I48" s="45">
        <f>IF(B48="","",VLOOKUP(B48,'Standard data'!$A$40:$C$47,3,FALSE))</f>
        <v>50</v>
      </c>
      <c r="J48" s="45">
        <f>IF(B48="",0,VLOOKUP(B48,'Standard data'!$A$40:$C$47,3,FALSE)*E48/10000)</f>
        <v>0</v>
      </c>
      <c r="K48" s="42">
        <f t="shared" si="9"/>
        <v>0</v>
      </c>
      <c r="L48" s="21"/>
      <c r="M48" s="21"/>
      <c r="N48" s="21"/>
      <c r="O48" s="21"/>
      <c r="P48" s="21"/>
      <c r="Q48" s="22"/>
    </row>
    <row r="49" spans="1:17" ht="15" customHeight="1">
      <c r="A49" s="45" t="str">
        <f t="shared" si="8"/>
        <v>Belgium</v>
      </c>
      <c r="B49" s="37" t="s">
        <v>33</v>
      </c>
      <c r="C49" s="37">
        <v>0</v>
      </c>
      <c r="D49" s="37">
        <v>0</v>
      </c>
      <c r="E49" s="45">
        <f t="shared" si="10"/>
        <v>0</v>
      </c>
      <c r="F49" s="37" t="s">
        <v>19</v>
      </c>
      <c r="G49" s="45" t="str">
        <f t="shared" si="11"/>
        <v>Belgiumaverage</v>
      </c>
      <c r="H49" s="45">
        <f>IF(G49="",0,VLOOKUP($G49,'Standard data'!$C$61:$G$138,5,FALSE))</f>
        <v>1.4306999999999999</v>
      </c>
      <c r="I49" s="45">
        <f>IF(B49="","",VLOOKUP(B49,'Standard data'!$A$40:$C$47,3,FALSE))</f>
        <v>50</v>
      </c>
      <c r="J49" s="45">
        <f>IF(B49="",0,VLOOKUP(B49,'Standard data'!$A$40:$C$47,3,FALSE)*E49/10000)</f>
        <v>0</v>
      </c>
      <c r="K49" s="42">
        <f t="shared" si="9"/>
        <v>0</v>
      </c>
      <c r="L49" s="21"/>
      <c r="M49" s="21"/>
      <c r="N49" s="21"/>
      <c r="O49" s="21"/>
      <c r="P49" s="21"/>
      <c r="Q49" s="22"/>
    </row>
    <row r="50" spans="1:17" ht="15" customHeight="1">
      <c r="A50" s="45" t="str">
        <f t="shared" si="8"/>
        <v>Belgium</v>
      </c>
      <c r="B50" s="37" t="s">
        <v>33</v>
      </c>
      <c r="C50" s="37">
        <v>0</v>
      </c>
      <c r="D50" s="37">
        <v>0</v>
      </c>
      <c r="E50" s="45">
        <f t="shared" si="10"/>
        <v>0</v>
      </c>
      <c r="F50" s="37" t="s">
        <v>19</v>
      </c>
      <c r="G50" s="45" t="str">
        <f t="shared" si="11"/>
        <v>Belgiumaverage</v>
      </c>
      <c r="H50" s="45">
        <f>IF(G50="",0,VLOOKUP($G50,'Standard data'!$C$61:$G$138,5,FALSE))</f>
        <v>1.4306999999999999</v>
      </c>
      <c r="I50" s="45">
        <f>IF(B50="","",VLOOKUP(B50,'Standard data'!$A$40:$C$47,3,FALSE))</f>
        <v>50</v>
      </c>
      <c r="J50" s="45">
        <f>IF(B50="",0,VLOOKUP(B50,'Standard data'!$A$40:$C$47,3,FALSE)*E50/10000)</f>
        <v>0</v>
      </c>
      <c r="K50" s="42">
        <f t="shared" si="9"/>
        <v>0</v>
      </c>
      <c r="L50" s="21"/>
      <c r="M50" s="21"/>
      <c r="N50" s="21"/>
      <c r="O50" s="21"/>
      <c r="P50" s="21"/>
      <c r="Q50" s="22"/>
    </row>
    <row r="51" spans="1:17" ht="15" customHeight="1">
      <c r="A51" s="45" t="str">
        <f t="shared" si="8"/>
        <v>Belgium</v>
      </c>
      <c r="B51" s="37" t="s">
        <v>33</v>
      </c>
      <c r="C51" s="37">
        <v>0</v>
      </c>
      <c r="D51" s="37">
        <v>0</v>
      </c>
      <c r="E51" s="45">
        <f t="shared" si="10"/>
        <v>0</v>
      </c>
      <c r="F51" s="37" t="s">
        <v>19</v>
      </c>
      <c r="G51" s="45" t="str">
        <f t="shared" si="11"/>
        <v>Belgiumaverage</v>
      </c>
      <c r="H51" s="45">
        <f>IF(G51="",0,VLOOKUP($G51,'Standard data'!$C$61:$G$138,5,FALSE))</f>
        <v>1.4306999999999999</v>
      </c>
      <c r="I51" s="45">
        <f>IF(B51="","",VLOOKUP(B51,'Standard data'!$A$40:$C$47,3,FALSE))</f>
        <v>50</v>
      </c>
      <c r="J51" s="45">
        <f>IF(B51="",0,VLOOKUP(B51,'Standard data'!$A$40:$C$47,3,FALSE)*E51/10000)</f>
        <v>0</v>
      </c>
      <c r="K51" s="42">
        <f t="shared" si="9"/>
        <v>0</v>
      </c>
      <c r="L51" s="21"/>
      <c r="M51" s="21"/>
      <c r="N51" s="21"/>
      <c r="O51" s="21"/>
      <c r="P51" s="21"/>
      <c r="Q51" s="22"/>
    </row>
    <row r="52" spans="1:17" ht="15" customHeight="1" thickBot="1">
      <c r="A52" s="45" t="str">
        <f t="shared" si="8"/>
        <v>Belgium</v>
      </c>
      <c r="B52" s="37" t="s">
        <v>33</v>
      </c>
      <c r="C52" s="37">
        <v>0</v>
      </c>
      <c r="D52" s="37">
        <v>0</v>
      </c>
      <c r="E52" s="45">
        <f t="shared" si="10"/>
        <v>0</v>
      </c>
      <c r="F52" s="37" t="s">
        <v>19</v>
      </c>
      <c r="G52" s="45" t="str">
        <f t="shared" si="11"/>
        <v>Belgiumaverage</v>
      </c>
      <c r="H52" s="45">
        <f>IF(G52="",0,VLOOKUP($G52,'Standard data'!$C$61:$G$138,5,FALSE))</f>
        <v>1.4306999999999999</v>
      </c>
      <c r="I52" s="45">
        <f>IF(B52="","",VLOOKUP(B52,'Standard data'!$A$40:$C$47,3,FALSE))</f>
        <v>50</v>
      </c>
      <c r="J52" s="45">
        <f>IF(B52="",0,VLOOKUP(B52,'Standard data'!$A$40:$C$47,3,FALSE)*E52/10000)</f>
        <v>0</v>
      </c>
      <c r="K52" s="60">
        <f t="shared" si="9"/>
        <v>0</v>
      </c>
      <c r="L52" s="21"/>
      <c r="M52" s="21"/>
      <c r="N52" s="21"/>
      <c r="O52" s="21"/>
      <c r="P52" s="21"/>
      <c r="Q52" s="22"/>
    </row>
    <row r="53" spans="1:17" ht="15" customHeight="1" thickBot="1">
      <c r="K53" s="61">
        <f>SUM(K42:K52)</f>
        <v>0</v>
      </c>
      <c r="L53" s="21"/>
      <c r="M53" s="21"/>
      <c r="N53" s="21"/>
      <c r="O53" s="21"/>
      <c r="P53" s="21"/>
      <c r="Q53" s="22"/>
    </row>
    <row r="54" spans="1:17" ht="15">
      <c r="E54" s="15"/>
      <c r="F54" s="16"/>
      <c r="K54" s="17"/>
      <c r="L54" s="21"/>
      <c r="M54" s="21"/>
      <c r="N54" s="21"/>
      <c r="O54" s="21"/>
      <c r="P54" s="21"/>
      <c r="Q54" s="23"/>
    </row>
    <row r="55" spans="1:17" s="22" customFormat="1"/>
    <row r="56" spans="1:17" ht="15">
      <c r="O56" s="25"/>
    </row>
    <row r="57" spans="1:17" ht="15">
      <c r="O57" s="25"/>
    </row>
  </sheetData>
  <dataValidations count="5">
    <dataValidation type="list" allowBlank="1" showInputMessage="1" showErrorMessage="1" sqref="B6:B16">
      <formula1>trees</formula1>
    </dataValidation>
    <dataValidation type="list" allowBlank="1" showInputMessage="1" showErrorMessage="1" sqref="B21:B31">
      <formula1>shrubs</formula1>
    </dataValidation>
    <dataValidation type="list" allowBlank="1" showInputMessage="1" showErrorMessage="1" sqref="B42:B52">
      <formula1>lowelements</formula1>
    </dataValidation>
    <dataValidation type="list" allowBlank="1" showInputMessage="1" showErrorMessage="1" sqref="F42:F52 F6:F16 F21:F31">
      <formula1>quality</formula1>
    </dataValidation>
    <dataValidation type="list" allowBlank="1" showInputMessage="1" showErrorMessage="1" sqref="A6">
      <formula1>country</formula1>
    </dataValidation>
  </dataValidations>
  <printOptions horizontalCentered="1" verticalCentered="1"/>
  <pageMargins left="0.59055118110236227" right="0.59055118110236227" top="0.51181102362204722" bottom="0.51181102362204722" header="0.51181102362204722" footer="0.51181102362204722"/>
  <pageSetup paperSize="9" scale="44" orientation="landscape" horizontalDpi="300" verticalDpi="300" r:id="rId1"/>
  <headerFooter>
    <oddHeader>&amp;RDonnées Eléments naturels</oddHeader>
    <oddFooter>&amp;LSOLAGRO - bilan PLANETE+GES+N agriculture v1 juillet 2006&amp;R&amp;A - 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"/>
  <sheetViews>
    <sheetView showGridLines="0" topLeftCell="L1" zoomScale="90" zoomScaleNormal="90" zoomScaleSheetLayoutView="75" zoomScalePageLayoutView="90" workbookViewId="0">
      <selection activeCell="M17" sqref="M17"/>
    </sheetView>
  </sheetViews>
  <sheetFormatPr baseColWidth="10" defaultColWidth="11.42578125" defaultRowHeight="12.75"/>
  <cols>
    <col min="1" max="1" width="37" style="4" customWidth="1"/>
    <col min="2" max="2" width="49.85546875" style="4" customWidth="1"/>
    <col min="3" max="3" width="26.5703125" style="4" customWidth="1"/>
    <col min="4" max="10" width="22.5703125" style="4" customWidth="1"/>
    <col min="11" max="11" width="49.7109375" style="4" customWidth="1"/>
    <col min="12" max="12" width="19.85546875" style="4" customWidth="1"/>
    <col min="13" max="13" width="23.140625" style="4" customWidth="1"/>
    <col min="14" max="14" width="31.7109375" style="4" customWidth="1"/>
    <col min="15" max="15" width="22.42578125" style="4" customWidth="1"/>
    <col min="16" max="16" width="50.85546875" style="4" customWidth="1"/>
    <col min="17" max="18" width="20.7109375" style="4" customWidth="1"/>
    <col min="19" max="19" width="30.7109375" style="4" customWidth="1"/>
    <col min="20" max="20" width="34.42578125" style="4" customWidth="1"/>
    <col min="21" max="21" width="36.7109375" style="4" customWidth="1"/>
    <col min="22" max="25" width="10.7109375" style="4" customWidth="1"/>
    <col min="26" max="26" width="8.42578125" style="4" customWidth="1"/>
    <col min="27" max="16384" width="11.42578125" style="4"/>
  </cols>
  <sheetData>
    <row r="1" spans="1:24" s="11" customFormat="1" ht="24" customHeight="1">
      <c r="A1" s="56" t="s">
        <v>107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24" s="12" customFormat="1">
      <c r="M2" s="4"/>
      <c r="P2" s="4"/>
      <c r="Q2" s="4"/>
      <c r="R2" s="4"/>
      <c r="S2" s="4"/>
      <c r="T2" s="4"/>
      <c r="U2" s="4"/>
      <c r="V2" s="4"/>
      <c r="W2" s="4"/>
      <c r="X2" s="4"/>
    </row>
    <row r="3" spans="1:24" s="55" customFormat="1" ht="18">
      <c r="A3" s="53" t="s">
        <v>137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11"/>
      <c r="Q3" s="11"/>
      <c r="R3" s="11"/>
      <c r="S3" s="11"/>
      <c r="T3" s="11"/>
      <c r="U3" s="11"/>
      <c r="V3" s="11"/>
      <c r="W3" s="11"/>
    </row>
    <row r="4" spans="1:24" s="67" customFormat="1">
      <c r="A4" s="66"/>
      <c r="B4" s="66"/>
      <c r="C4" s="66" t="s">
        <v>105</v>
      </c>
      <c r="D4" s="66"/>
      <c r="E4" s="66"/>
      <c r="F4" s="66"/>
      <c r="G4" s="75" t="s">
        <v>239</v>
      </c>
      <c r="H4" s="66"/>
      <c r="I4" s="75" t="s">
        <v>238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spans="1:24" ht="63" customHeight="1">
      <c r="A5" s="5" t="s">
        <v>155</v>
      </c>
      <c r="B5" s="5" t="s">
        <v>166</v>
      </c>
      <c r="C5" s="6" t="s">
        <v>9</v>
      </c>
      <c r="D5" s="6" t="s">
        <v>22</v>
      </c>
      <c r="E5" s="6" t="s">
        <v>224</v>
      </c>
      <c r="F5" s="6" t="s">
        <v>225</v>
      </c>
      <c r="G5" s="6" t="s">
        <v>199</v>
      </c>
      <c r="H5" s="6" t="s">
        <v>234</v>
      </c>
      <c r="I5" s="6" t="s">
        <v>237</v>
      </c>
      <c r="J5" s="6" t="s">
        <v>240</v>
      </c>
      <c r="K5" s="6" t="s">
        <v>218</v>
      </c>
      <c r="L5" s="6" t="s">
        <v>198</v>
      </c>
      <c r="M5" s="6" t="s">
        <v>197</v>
      </c>
      <c r="N5" s="6" t="s">
        <v>219</v>
      </c>
      <c r="O5" s="6" t="s">
        <v>235</v>
      </c>
      <c r="P5" s="6" t="s">
        <v>236</v>
      </c>
      <c r="Q5" s="6" t="s">
        <v>113</v>
      </c>
      <c r="R5" s="13"/>
      <c r="S5" s="13"/>
    </row>
    <row r="6" spans="1:24" ht="15">
      <c r="A6" s="65" t="s">
        <v>180</v>
      </c>
      <c r="B6" s="37" t="s">
        <v>186</v>
      </c>
      <c r="C6" s="37" t="s">
        <v>158</v>
      </c>
      <c r="D6" s="37"/>
      <c r="E6" s="37" t="s">
        <v>226</v>
      </c>
      <c r="F6" s="37">
        <v>0</v>
      </c>
      <c r="G6" s="37"/>
      <c r="H6" s="37"/>
      <c r="I6" s="37"/>
      <c r="J6" s="76"/>
      <c r="K6" s="45" t="str">
        <f>CONCATENATE(A6, ,B6, ,C6)</f>
        <v>Temperate continental &gt;20y coniferous</v>
      </c>
      <c r="L6" s="45">
        <f>VLOOKUP($K6,'Standard data'!$B$206:$F$229,2,FALSE)*D6</f>
        <v>0</v>
      </c>
      <c r="M6" s="74">
        <f>VLOOKUP(K6,'Standard data'!$B$206:$F$229,3,FALSE)*(1+VLOOKUP(K6,'Standard data'!$B$206:$F$229,4,FALSE))*VLOOKUP(K6,'Standard data'!$B$206:$F$229,5,FALSE)*D6</f>
        <v>0</v>
      </c>
      <c r="N6" s="45" t="str">
        <f>IF(SUMPRODUCT(COUNTIF(A6,"Temperate "&amp;"*")),CONCATENATE("Temperate ",C6,E6),CONCATENATE("Boreal ",C6,F6))</f>
        <v>Temperate coniferous &lt;20</v>
      </c>
      <c r="O6" s="45">
        <f>G6*VLOOKUP(N6,'Standard data'!$B$250:$C$267,2,FALSE)*(1+H6+VLOOKUP(K6,'Standard data'!$B$206:$F$230,4,FALSE))*VLOOKUP(K6,'Standard data'!$B$206:$F$230,5,FALSE)</f>
        <v>0</v>
      </c>
      <c r="P6" s="41">
        <f>I6*VLOOKUP(K6,'Standard data'!$B$206:$F$229,3,FALSE)*(1+VLOOKUP(K6,'Standard data'!$B$206:$F$229,4,FALSE))*VLOOKUP(K6,'Standard data'!$B$206:$F$229,5,FALSE)*J6</f>
        <v>0</v>
      </c>
      <c r="Q6" s="41">
        <f>(M6-O6-P6)*44/12</f>
        <v>0</v>
      </c>
    </row>
    <row r="7" spans="1:24" ht="15">
      <c r="A7" s="45" t="str">
        <f>$A$6</f>
        <v xml:space="preserve">Temperate continental </v>
      </c>
      <c r="B7" s="37" t="s">
        <v>186</v>
      </c>
      <c r="C7" s="37" t="s">
        <v>158</v>
      </c>
      <c r="D7" s="37"/>
      <c r="E7" s="37" t="s">
        <v>227</v>
      </c>
      <c r="F7" s="37" t="s">
        <v>226</v>
      </c>
      <c r="G7" s="37"/>
      <c r="H7" s="37"/>
      <c r="I7" s="37"/>
      <c r="J7" s="76"/>
      <c r="K7" s="45" t="str">
        <f t="shared" ref="K7:K16" si="0">CONCATENATE(A7,B7,C7)</f>
        <v>Temperate continental &gt;20y coniferous</v>
      </c>
      <c r="L7" s="45">
        <f>VLOOKUP($K7,'Standard data'!$B$206:$F$229,2,FALSE)*D7</f>
        <v>0</v>
      </c>
      <c r="M7" s="74">
        <f>VLOOKUP(K7,'Standard data'!$B$206:$F$229,3,FALSE)*(1+VLOOKUP(K7,'Standard data'!$B$206:$F$229,4,FALSE))*VLOOKUP(K7,'Standard data'!$B$206:$F$229,5,FALSE)*D7</f>
        <v>0</v>
      </c>
      <c r="N7" s="45" t="str">
        <f t="shared" ref="N7:N16" si="1">IF(SUMPRODUCT(COUNTIF(A7,"Temperate "&amp;"*")),CONCATENATE("Temperate ",C7,E7),CONCATENATE("Boreal ",C7,F7))</f>
        <v>Temperate coniferous 21-40</v>
      </c>
      <c r="O7" s="45">
        <f>G7*VLOOKUP(N7,'Standard data'!$B$250:$C$267,2,FALSE)*(1+H7+VLOOKUP(K7,'Standard data'!$B$206:$F$230,4,FALSE))*VLOOKUP(K7,'Standard data'!$B$206:$F$230,5,FALSE)</f>
        <v>0</v>
      </c>
      <c r="P7" s="41">
        <f>I7*VLOOKUP(K7,'Standard data'!$B$206:$F$229,3,FALSE)*(1+VLOOKUP(K7,'Standard data'!$B$206:$F$229,4,FALSE))*VLOOKUP(K7,'Standard data'!$B$206:$F$229,5,FALSE)*J7</f>
        <v>0</v>
      </c>
      <c r="Q7" s="41">
        <f t="shared" ref="Q7:Q16" si="2">(M7-O7-P7)*44/12</f>
        <v>0</v>
      </c>
    </row>
    <row r="8" spans="1:24" ht="15" customHeight="1">
      <c r="A8" s="45" t="str">
        <f t="shared" ref="A8:A16" si="3">$A$6</f>
        <v xml:space="preserve">Temperate continental </v>
      </c>
      <c r="B8" s="37" t="s">
        <v>186</v>
      </c>
      <c r="C8" s="37" t="s">
        <v>158</v>
      </c>
      <c r="D8" s="37"/>
      <c r="E8" s="37" t="s">
        <v>227</v>
      </c>
      <c r="F8" s="37" t="s">
        <v>226</v>
      </c>
      <c r="G8" s="37"/>
      <c r="H8" s="37"/>
      <c r="I8" s="37"/>
      <c r="J8" s="76"/>
      <c r="K8" s="45" t="str">
        <f t="shared" si="0"/>
        <v>Temperate continental &gt;20y coniferous</v>
      </c>
      <c r="L8" s="45">
        <f>VLOOKUP($K8,'Standard data'!$B$206:$F$229,2,FALSE)*D8</f>
        <v>0</v>
      </c>
      <c r="M8" s="74">
        <f>VLOOKUP(K8,'Standard data'!$B$206:$F$229,3,FALSE)*(1+VLOOKUP(K8,'Standard data'!$B$206:$F$229,4,FALSE))*VLOOKUP(K8,'Standard data'!$B$206:$F$229,5,FALSE)*D8</f>
        <v>0</v>
      </c>
      <c r="N8" s="45" t="str">
        <f t="shared" si="1"/>
        <v>Temperate coniferous 21-40</v>
      </c>
      <c r="O8" s="45">
        <f>G8*VLOOKUP(N8,'Standard data'!$B$250:$C$267,2,FALSE)*(1+H8+VLOOKUP(K8,'Standard data'!$B$206:$F$230,4,FALSE))*VLOOKUP(K8,'Standard data'!$B$206:$F$230,5,FALSE)</f>
        <v>0</v>
      </c>
      <c r="P8" s="41">
        <f>I8*VLOOKUP(K8,'Standard data'!$B$206:$F$229,3,FALSE)*(1+VLOOKUP(K8,'Standard data'!$B$206:$F$229,4,FALSE))*VLOOKUP(K8,'Standard data'!$B$206:$F$229,5,FALSE)*J8</f>
        <v>0</v>
      </c>
      <c r="Q8" s="41">
        <f t="shared" si="2"/>
        <v>0</v>
      </c>
    </row>
    <row r="9" spans="1:24" ht="15" customHeight="1">
      <c r="A9" s="45" t="str">
        <f t="shared" si="3"/>
        <v xml:space="preserve">Temperate continental </v>
      </c>
      <c r="B9" s="37" t="s">
        <v>186</v>
      </c>
      <c r="C9" s="37" t="s">
        <v>158</v>
      </c>
      <c r="D9" s="37"/>
      <c r="E9" s="37" t="s">
        <v>227</v>
      </c>
      <c r="F9" s="37" t="s">
        <v>226</v>
      </c>
      <c r="G9" s="37"/>
      <c r="H9" s="37"/>
      <c r="I9" s="37"/>
      <c r="J9" s="76"/>
      <c r="K9" s="45" t="str">
        <f t="shared" si="0"/>
        <v>Temperate continental &gt;20y coniferous</v>
      </c>
      <c r="L9" s="45">
        <f>VLOOKUP($K9,'Standard data'!$B$206:$F$229,2,FALSE)*D9</f>
        <v>0</v>
      </c>
      <c r="M9" s="74">
        <f>VLOOKUP(K9,'Standard data'!$B$206:$F$229,3,FALSE)*(1+VLOOKUP(K9,'Standard data'!$B$206:$F$229,4,FALSE))*VLOOKUP(K9,'Standard data'!$B$206:$F$229,5,FALSE)*D9</f>
        <v>0</v>
      </c>
      <c r="N9" s="45" t="str">
        <f t="shared" si="1"/>
        <v>Temperate coniferous 21-40</v>
      </c>
      <c r="O9" s="45">
        <f>G9*VLOOKUP(N9,'Standard data'!$B$250:$C$267,2,FALSE)*(1+H9+VLOOKUP(K9,'Standard data'!$B$206:$F$230,4,FALSE))*VLOOKUP(K9,'Standard data'!$B$206:$F$230,5,FALSE)</f>
        <v>0</v>
      </c>
      <c r="P9" s="41">
        <f>I9*VLOOKUP(K9,'Standard data'!$B$206:$F$229,3,FALSE)*(1+VLOOKUP(K9,'Standard data'!$B$206:$F$229,4,FALSE))*VLOOKUP(K9,'Standard data'!$B$206:$F$229,5,FALSE)*J9</f>
        <v>0</v>
      </c>
      <c r="Q9" s="41">
        <f t="shared" si="2"/>
        <v>0</v>
      </c>
    </row>
    <row r="10" spans="1:24" ht="15" customHeight="1">
      <c r="A10" s="45" t="str">
        <f t="shared" si="3"/>
        <v xml:space="preserve">Temperate continental </v>
      </c>
      <c r="B10" s="37" t="s">
        <v>186</v>
      </c>
      <c r="C10" s="37" t="s">
        <v>158</v>
      </c>
      <c r="D10" s="37"/>
      <c r="E10" s="37" t="s">
        <v>227</v>
      </c>
      <c r="F10" s="37" t="s">
        <v>226</v>
      </c>
      <c r="G10" s="37"/>
      <c r="H10" s="37"/>
      <c r="I10" s="37"/>
      <c r="J10" s="76"/>
      <c r="K10" s="45" t="str">
        <f t="shared" si="0"/>
        <v>Temperate continental &gt;20y coniferous</v>
      </c>
      <c r="L10" s="45">
        <f>VLOOKUP($K10,'Standard data'!$B$206:$F$229,2,FALSE)*D10</f>
        <v>0</v>
      </c>
      <c r="M10" s="74">
        <f>VLOOKUP(K10,'Standard data'!$B$206:$F$229,3,FALSE)*(1+VLOOKUP(K10,'Standard data'!$B$206:$F$229,4,FALSE))*VLOOKUP(K10,'Standard data'!$B$206:$F$229,5,FALSE)*D10</f>
        <v>0</v>
      </c>
      <c r="N10" s="45" t="str">
        <f t="shared" si="1"/>
        <v>Temperate coniferous 21-40</v>
      </c>
      <c r="O10" s="45">
        <f>G10*VLOOKUP(N10,'Standard data'!$B$250:$C$267,2,FALSE)*(1+H10+VLOOKUP(K10,'Standard data'!$B$206:$F$230,4,FALSE))*VLOOKUP(K10,'Standard data'!$B$206:$F$230,5,FALSE)</f>
        <v>0</v>
      </c>
      <c r="P10" s="41">
        <f>I10*VLOOKUP(K10,'Standard data'!$B$206:$F$229,3,FALSE)*(1+VLOOKUP(K10,'Standard data'!$B$206:$F$229,4,FALSE))*VLOOKUP(K10,'Standard data'!$B$206:$F$229,5,FALSE)*J10</f>
        <v>0</v>
      </c>
      <c r="Q10" s="41">
        <f t="shared" si="2"/>
        <v>0</v>
      </c>
    </row>
    <row r="11" spans="1:24" ht="15" customHeight="1">
      <c r="A11" s="45" t="str">
        <f t="shared" si="3"/>
        <v xml:space="preserve">Temperate continental </v>
      </c>
      <c r="B11" s="37" t="s">
        <v>186</v>
      </c>
      <c r="C11" s="37" t="s">
        <v>158</v>
      </c>
      <c r="D11" s="37"/>
      <c r="E11" s="37" t="s">
        <v>227</v>
      </c>
      <c r="F11" s="37" t="s">
        <v>226</v>
      </c>
      <c r="G11" s="37"/>
      <c r="H11" s="37"/>
      <c r="I11" s="37"/>
      <c r="J11" s="76"/>
      <c r="K11" s="45" t="str">
        <f t="shared" si="0"/>
        <v>Temperate continental &gt;20y coniferous</v>
      </c>
      <c r="L11" s="45">
        <f>VLOOKUP($K11,'Standard data'!$B$206:$F$229,2,FALSE)*D11</f>
        <v>0</v>
      </c>
      <c r="M11" s="74">
        <f>VLOOKUP(K11,'Standard data'!$B$206:$F$229,3,FALSE)*(1+VLOOKUP(K11,'Standard data'!$B$206:$F$229,4,FALSE))*VLOOKUP(K11,'Standard data'!$B$206:$F$229,5,FALSE)*D11</f>
        <v>0</v>
      </c>
      <c r="N11" s="45" t="str">
        <f t="shared" si="1"/>
        <v>Temperate coniferous 21-40</v>
      </c>
      <c r="O11" s="45">
        <f>G11*VLOOKUP(N11,'Standard data'!$B$250:$C$267,2,FALSE)*(1+H11+VLOOKUP(K11,'Standard data'!$B$206:$F$230,4,FALSE))*VLOOKUP(K11,'Standard data'!$B$206:$F$230,5,FALSE)</f>
        <v>0</v>
      </c>
      <c r="P11" s="41">
        <f>I11*VLOOKUP(K11,'Standard data'!$B$206:$F$229,3,FALSE)*(1+VLOOKUP(K11,'Standard data'!$B$206:$F$229,4,FALSE))*VLOOKUP(K11,'Standard data'!$B$206:$F$229,5,FALSE)*J11</f>
        <v>0</v>
      </c>
      <c r="Q11" s="41">
        <f t="shared" si="2"/>
        <v>0</v>
      </c>
    </row>
    <row r="12" spans="1:24" ht="15" customHeight="1">
      <c r="A12" s="45" t="str">
        <f t="shared" si="3"/>
        <v xml:space="preserve">Temperate continental </v>
      </c>
      <c r="B12" s="37" t="s">
        <v>186</v>
      </c>
      <c r="C12" s="37" t="s">
        <v>158</v>
      </c>
      <c r="D12" s="37"/>
      <c r="E12" s="37" t="s">
        <v>227</v>
      </c>
      <c r="F12" s="37" t="s">
        <v>226</v>
      </c>
      <c r="G12" s="37"/>
      <c r="H12" s="37"/>
      <c r="I12" s="37"/>
      <c r="J12" s="76"/>
      <c r="K12" s="45" t="str">
        <f t="shared" si="0"/>
        <v>Temperate continental &gt;20y coniferous</v>
      </c>
      <c r="L12" s="45">
        <f>VLOOKUP($K12,'Standard data'!$B$206:$F$229,2,FALSE)*D12</f>
        <v>0</v>
      </c>
      <c r="M12" s="74">
        <f>VLOOKUP(K12,'Standard data'!$B$206:$F$229,3,FALSE)*(1+VLOOKUP(K12,'Standard data'!$B$206:$F$229,4,FALSE))*VLOOKUP(K12,'Standard data'!$B$206:$F$229,5,FALSE)*D12</f>
        <v>0</v>
      </c>
      <c r="N12" s="45" t="str">
        <f t="shared" si="1"/>
        <v>Temperate coniferous 21-40</v>
      </c>
      <c r="O12" s="45">
        <f>G12*VLOOKUP(N12,'Standard data'!$B$250:$C$267,2,FALSE)*(1+H12+VLOOKUP(K12,'Standard data'!$B$206:$F$230,4,FALSE))*VLOOKUP(K12,'Standard data'!$B$206:$F$230,5,FALSE)</f>
        <v>0</v>
      </c>
      <c r="P12" s="41">
        <f>I12*VLOOKUP(K12,'Standard data'!$B$206:$F$229,3,FALSE)*(1+VLOOKUP(K12,'Standard data'!$B$206:$F$229,4,FALSE))*VLOOKUP(K12,'Standard data'!$B$206:$F$229,5,FALSE)*J12</f>
        <v>0</v>
      </c>
      <c r="Q12" s="41">
        <f t="shared" si="2"/>
        <v>0</v>
      </c>
    </row>
    <row r="13" spans="1:24" ht="15" customHeight="1">
      <c r="A13" s="45" t="str">
        <f t="shared" si="3"/>
        <v xml:space="preserve">Temperate continental </v>
      </c>
      <c r="B13" s="37" t="s">
        <v>186</v>
      </c>
      <c r="C13" s="37" t="s">
        <v>158</v>
      </c>
      <c r="D13" s="37"/>
      <c r="E13" s="37" t="s">
        <v>227</v>
      </c>
      <c r="F13" s="37" t="s">
        <v>226</v>
      </c>
      <c r="G13" s="37"/>
      <c r="H13" s="37"/>
      <c r="I13" s="37"/>
      <c r="J13" s="76"/>
      <c r="K13" s="45" t="str">
        <f t="shared" si="0"/>
        <v>Temperate continental &gt;20y coniferous</v>
      </c>
      <c r="L13" s="45">
        <f>VLOOKUP($K13,'Standard data'!$B$206:$F$229,2,FALSE)*D13</f>
        <v>0</v>
      </c>
      <c r="M13" s="74">
        <f>VLOOKUP(K13,'Standard data'!$B$206:$F$229,3,FALSE)*(1+VLOOKUP(K13,'Standard data'!$B$206:$F$229,4,FALSE))*VLOOKUP(K13,'Standard data'!$B$206:$F$229,5,FALSE)*D13</f>
        <v>0</v>
      </c>
      <c r="N13" s="45" t="str">
        <f t="shared" si="1"/>
        <v>Temperate coniferous 21-40</v>
      </c>
      <c r="O13" s="45">
        <f>G13*VLOOKUP(N13,'Standard data'!$B$250:$C$267,2,FALSE)*(1+H13+VLOOKUP(K13,'Standard data'!$B$206:$F$230,4,FALSE))*VLOOKUP(K13,'Standard data'!$B$206:$F$230,5,FALSE)</f>
        <v>0</v>
      </c>
      <c r="P13" s="41">
        <f>I13*VLOOKUP(K13,'Standard data'!$B$206:$F$229,3,FALSE)*(1+VLOOKUP(K13,'Standard data'!$B$206:$F$229,4,FALSE))*VLOOKUP(K13,'Standard data'!$B$206:$F$229,5,FALSE)*J13</f>
        <v>0</v>
      </c>
      <c r="Q13" s="41">
        <f t="shared" si="2"/>
        <v>0</v>
      </c>
    </row>
    <row r="14" spans="1:24" ht="15" customHeight="1">
      <c r="A14" s="45" t="str">
        <f t="shared" si="3"/>
        <v xml:space="preserve">Temperate continental </v>
      </c>
      <c r="B14" s="37" t="s">
        <v>186</v>
      </c>
      <c r="C14" s="37" t="s">
        <v>158</v>
      </c>
      <c r="D14" s="37"/>
      <c r="E14" s="37" t="s">
        <v>227</v>
      </c>
      <c r="F14" s="37" t="s">
        <v>226</v>
      </c>
      <c r="G14" s="37"/>
      <c r="H14" s="37"/>
      <c r="I14" s="37"/>
      <c r="J14" s="76"/>
      <c r="K14" s="45" t="str">
        <f t="shared" si="0"/>
        <v>Temperate continental &gt;20y coniferous</v>
      </c>
      <c r="L14" s="45">
        <f>VLOOKUP($K14,'Standard data'!$B$206:$F$229,2,FALSE)*D14</f>
        <v>0</v>
      </c>
      <c r="M14" s="74">
        <f>VLOOKUP(K14,'Standard data'!$B$206:$F$229,3,FALSE)*(1+VLOOKUP(K14,'Standard data'!$B$206:$F$229,4,FALSE))*VLOOKUP(K14,'Standard data'!$B$206:$F$229,5,FALSE)*D14</f>
        <v>0</v>
      </c>
      <c r="N14" s="45" t="str">
        <f t="shared" si="1"/>
        <v>Temperate coniferous 21-40</v>
      </c>
      <c r="O14" s="45">
        <f>G14*VLOOKUP(N14,'Standard data'!$B$250:$C$267,2,FALSE)*(1+H14+VLOOKUP(K14,'Standard data'!$B$206:$F$230,4,FALSE))*VLOOKUP(K14,'Standard data'!$B$206:$F$230,5,FALSE)</f>
        <v>0</v>
      </c>
      <c r="P14" s="41">
        <f>I14*VLOOKUP(K14,'Standard data'!$B$206:$F$229,3,FALSE)*(1+VLOOKUP(K14,'Standard data'!$B$206:$F$229,4,FALSE))*VLOOKUP(K14,'Standard data'!$B$206:$F$229,5,FALSE)*J14</f>
        <v>0</v>
      </c>
      <c r="Q14" s="41">
        <f t="shared" si="2"/>
        <v>0</v>
      </c>
    </row>
    <row r="15" spans="1:24" ht="15" customHeight="1">
      <c r="A15" s="45" t="str">
        <f t="shared" si="3"/>
        <v xml:space="preserve">Temperate continental </v>
      </c>
      <c r="B15" s="37" t="s">
        <v>186</v>
      </c>
      <c r="C15" s="37" t="s">
        <v>158</v>
      </c>
      <c r="D15" s="37"/>
      <c r="E15" s="37" t="s">
        <v>227</v>
      </c>
      <c r="F15" s="37" t="s">
        <v>226</v>
      </c>
      <c r="G15" s="37"/>
      <c r="H15" s="37"/>
      <c r="I15" s="37"/>
      <c r="J15" s="76"/>
      <c r="K15" s="45" t="str">
        <f t="shared" si="0"/>
        <v>Temperate continental &gt;20y coniferous</v>
      </c>
      <c r="L15" s="45">
        <f>VLOOKUP($K15,'Standard data'!$B$206:$F$229,2,FALSE)*D15</f>
        <v>0</v>
      </c>
      <c r="M15" s="74">
        <f>VLOOKUP(K15,'Standard data'!$B$206:$F$229,3,FALSE)*(1+VLOOKUP(K15,'Standard data'!$B$206:$F$229,4,FALSE))*VLOOKUP(K15,'Standard data'!$B$206:$F$229,5,FALSE)*D15</f>
        <v>0</v>
      </c>
      <c r="N15" s="45" t="str">
        <f t="shared" si="1"/>
        <v>Temperate coniferous 21-40</v>
      </c>
      <c r="O15" s="45">
        <f>G15*VLOOKUP(N15,'Standard data'!$B$250:$C$267,2,FALSE)*(1+H15+VLOOKUP(K15,'Standard data'!$B$206:$F$230,4,FALSE))*VLOOKUP(K15,'Standard data'!$B$206:$F$230,5,FALSE)</f>
        <v>0</v>
      </c>
      <c r="P15" s="41">
        <f>I15*VLOOKUP(K15,'Standard data'!$B$206:$F$229,3,FALSE)*(1+VLOOKUP(K15,'Standard data'!$B$206:$F$229,4,FALSE))*VLOOKUP(K15,'Standard data'!$B$206:$F$229,5,FALSE)*J15</f>
        <v>0</v>
      </c>
      <c r="Q15" s="41">
        <f t="shared" si="2"/>
        <v>0</v>
      </c>
    </row>
    <row r="16" spans="1:24" ht="15" customHeight="1" thickBot="1">
      <c r="A16" s="45" t="str">
        <f t="shared" si="3"/>
        <v xml:space="preserve">Temperate continental </v>
      </c>
      <c r="B16" s="37" t="s">
        <v>186</v>
      </c>
      <c r="C16" s="37" t="s">
        <v>158</v>
      </c>
      <c r="D16" s="37"/>
      <c r="E16" s="37" t="s">
        <v>227</v>
      </c>
      <c r="F16" s="37" t="s">
        <v>226</v>
      </c>
      <c r="G16" s="37"/>
      <c r="H16" s="37"/>
      <c r="I16" s="37"/>
      <c r="J16" s="76"/>
      <c r="K16" s="45" t="str">
        <f t="shared" si="0"/>
        <v>Temperate continental &gt;20y coniferous</v>
      </c>
      <c r="L16" s="45">
        <f>VLOOKUP($K16,'Standard data'!$B$206:$F$229,2,FALSE)*D16</f>
        <v>0</v>
      </c>
      <c r="M16" s="74">
        <f>VLOOKUP(K16,'Standard data'!$B$206:$F$229,3,FALSE)*(1+VLOOKUP(K16,'Standard data'!$B$206:$F$229,4,FALSE))*VLOOKUP(K16,'Standard data'!$B$206:$F$229,5,FALSE)*D16</f>
        <v>0</v>
      </c>
      <c r="N16" s="45" t="str">
        <f t="shared" si="1"/>
        <v>Temperate coniferous 21-40</v>
      </c>
      <c r="O16" s="45">
        <f>G16*VLOOKUP(N16,'Standard data'!$B$250:$C$267,2,FALSE)*(1+H16+VLOOKUP(K16,'Standard data'!$B$206:$F$230,4,FALSE))*VLOOKUP(K16,'Standard data'!$B$206:$F$230,5,FALSE)</f>
        <v>0</v>
      </c>
      <c r="P16" s="41">
        <f>I16*VLOOKUP(K16,'Standard data'!$B$206:$F$229,3,FALSE)*(1+VLOOKUP(K16,'Standard data'!$B$206:$F$229,4,FALSE))*VLOOKUP(K16,'Standard data'!$B$206:$F$229,5,FALSE)*J16</f>
        <v>0</v>
      </c>
      <c r="Q16" s="41">
        <f t="shared" si="2"/>
        <v>0</v>
      </c>
    </row>
    <row r="17" spans="2:19" ht="15" customHeight="1" thickBot="1">
      <c r="B17" s="14"/>
      <c r="C17" s="14"/>
      <c r="D17" s="14"/>
      <c r="E17" s="14"/>
      <c r="F17" s="14"/>
      <c r="G17" s="14"/>
      <c r="H17" s="14"/>
      <c r="I17" s="14"/>
      <c r="J17" s="14"/>
      <c r="K17" s="14"/>
      <c r="Q17" s="63">
        <f>SUM(P6:P16)</f>
        <v>0</v>
      </c>
    </row>
    <row r="19" spans="2:19" s="22" customFormat="1"/>
    <row r="20" spans="2:19" ht="15">
      <c r="S20" s="25"/>
    </row>
    <row r="21" spans="2:19" ht="15">
      <c r="S21" s="25"/>
    </row>
  </sheetData>
  <dataValidations count="5">
    <dataValidation type="list" allowBlank="1" showInputMessage="1" showErrorMessage="1" sqref="A6">
      <formula1>for_clim</formula1>
    </dataValidation>
    <dataValidation type="list" allowBlank="1" showInputMessage="1" showErrorMessage="1" sqref="B6:B16">
      <formula1>for_age</formula1>
    </dataValidation>
    <dataValidation type="list" allowBlank="1" showInputMessage="1" showErrorMessage="1" sqref="C6:C16">
      <formula1>for_type</formula1>
    </dataValidation>
    <dataValidation type="list" allowBlank="1" showInputMessage="1" showErrorMessage="1" sqref="E6:E16">
      <formula1>stoc_temp</formula1>
    </dataValidation>
    <dataValidation type="list" allowBlank="1" showInputMessage="1" showErrorMessage="1" sqref="F6:F16">
      <formula1>stoc_bor</formula1>
    </dataValidation>
  </dataValidations>
  <printOptions horizontalCentered="1" verticalCentered="1"/>
  <pageMargins left="0.59055118110236227" right="0.59055118110236227" top="0.51181102362204722" bottom="0.51181102362204722" header="0.51181102362204722" footer="0.51181102362204722"/>
  <pageSetup paperSize="9" scale="27" orientation="landscape" horizontalDpi="300" verticalDpi="300" r:id="rId1"/>
  <headerFooter>
    <oddHeader>&amp;RDonnées Eléments naturels</oddHeader>
    <oddFooter>&amp;LSOLAGRO - bilan PLANETE+GES+N agriculture v1 juillet 2006&amp;R&amp;A - 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E4" sqref="E4"/>
    </sheetView>
  </sheetViews>
  <sheetFormatPr baseColWidth="10" defaultRowHeight="15"/>
  <cols>
    <col min="2" max="2" width="39.85546875" customWidth="1"/>
    <col min="4" max="4" width="18.42578125" customWidth="1"/>
    <col min="5" max="5" width="17.42578125" customWidth="1"/>
    <col min="7" max="7" width="15.140625" bestFit="1" customWidth="1"/>
    <col min="12" max="12" width="13.42578125" bestFit="1" customWidth="1"/>
  </cols>
  <sheetData>
    <row r="2" spans="2:12" ht="15.75">
      <c r="B2" s="1" t="s">
        <v>0</v>
      </c>
      <c r="C2" s="2"/>
      <c r="D2" s="3"/>
      <c r="H2" s="4"/>
      <c r="K2" s="4"/>
      <c r="L2" s="4"/>
    </row>
    <row r="3" spans="2:12" s="69" customFormat="1">
      <c r="B3" s="70" t="s">
        <v>124</v>
      </c>
      <c r="C3" s="70" t="s">
        <v>125</v>
      </c>
      <c r="D3" s="68"/>
      <c r="H3" s="11"/>
      <c r="K3" s="11"/>
      <c r="L3" s="11"/>
    </row>
    <row r="4" spans="2:12" ht="45">
      <c r="B4" s="5" t="s">
        <v>1</v>
      </c>
      <c r="C4" s="6" t="s">
        <v>98</v>
      </c>
      <c r="D4" s="6" t="s">
        <v>99</v>
      </c>
      <c r="E4" s="6" t="s">
        <v>113</v>
      </c>
      <c r="H4" s="4"/>
      <c r="K4" s="4"/>
    </row>
    <row r="5" spans="2:12">
      <c r="B5" s="7" t="s">
        <v>2</v>
      </c>
      <c r="C5" s="38">
        <v>0</v>
      </c>
      <c r="D5" s="45">
        <f>IF(C5&lt;&gt;0,VLOOKUP($B5,'Standard data'!$A$6:$D$11,2,FALSE),)</f>
        <v>0</v>
      </c>
      <c r="E5" s="41">
        <f t="shared" ref="E5:E10" si="0">IF($C5="",0,C5*D5*44/12)</f>
        <v>0</v>
      </c>
      <c r="H5" s="4"/>
      <c r="J5" s="4"/>
      <c r="K5" s="4"/>
    </row>
    <row r="6" spans="2:12">
      <c r="B6" s="7" t="s">
        <v>3</v>
      </c>
      <c r="C6" s="38">
        <v>0</v>
      </c>
      <c r="D6" s="45">
        <f>IF(C6&lt;&gt;0,VLOOKUP($B6,'Standard data'!$A$6:$D$11,2,FALSE),)</f>
        <v>0</v>
      </c>
      <c r="E6" s="41">
        <f t="shared" si="0"/>
        <v>0</v>
      </c>
      <c r="H6" s="4"/>
      <c r="I6" s="4"/>
      <c r="J6" s="4"/>
      <c r="K6" s="4"/>
    </row>
    <row r="7" spans="2:12">
      <c r="B7" s="7" t="s">
        <v>4</v>
      </c>
      <c r="C7" s="38">
        <v>0</v>
      </c>
      <c r="D7" s="45">
        <f>IF(C7&lt;&gt;0,VLOOKUP($B7,'Standard data'!$A$6:$D$11,2,FALSE),)</f>
        <v>0</v>
      </c>
      <c r="E7" s="41">
        <f t="shared" si="0"/>
        <v>0</v>
      </c>
      <c r="H7" s="4"/>
      <c r="I7" s="4"/>
      <c r="J7" s="4"/>
      <c r="K7" s="4"/>
    </row>
    <row r="8" spans="2:12">
      <c r="B8" s="7" t="s">
        <v>5</v>
      </c>
      <c r="C8" s="38">
        <v>0</v>
      </c>
      <c r="D8" s="45">
        <f>IF(C8&lt;&gt;0,VLOOKUP($B8,'Standard data'!$A$6:$D$11,2,FALSE),)</f>
        <v>0</v>
      </c>
      <c r="E8" s="41">
        <f t="shared" si="0"/>
        <v>0</v>
      </c>
      <c r="H8" s="4"/>
      <c r="I8" s="4"/>
      <c r="J8" s="4"/>
      <c r="K8" s="4"/>
    </row>
    <row r="9" spans="2:12">
      <c r="B9" s="7" t="s">
        <v>6</v>
      </c>
      <c r="C9" s="38">
        <v>0</v>
      </c>
      <c r="D9" s="45">
        <f>IF(C9&lt;&gt;0,VLOOKUP($B9,'Standard data'!$A$6:$D$11,2,FALSE),)</f>
        <v>0</v>
      </c>
      <c r="E9" s="41">
        <f t="shared" si="0"/>
        <v>0</v>
      </c>
      <c r="H9" s="4"/>
      <c r="I9" s="4"/>
      <c r="J9" s="4"/>
      <c r="K9" s="4"/>
    </row>
    <row r="10" spans="2:12" ht="15.75" thickBot="1">
      <c r="B10" s="7" t="s">
        <v>7</v>
      </c>
      <c r="C10" s="38">
        <v>0</v>
      </c>
      <c r="D10" s="45">
        <f>IF(C10&lt;&gt;0,VLOOKUP($B10,'Standard data'!$A$6:$D$11,2,FALSE),)</f>
        <v>0</v>
      </c>
      <c r="E10" s="62">
        <f t="shared" si="0"/>
        <v>0</v>
      </c>
      <c r="H10" s="4"/>
      <c r="I10" s="4"/>
      <c r="J10" s="4"/>
      <c r="K10" s="4"/>
    </row>
    <row r="11" spans="2:12" ht="15.75" thickBot="1">
      <c r="E11" s="63">
        <f ca="1">SUM(E5:E11)</f>
        <v>0</v>
      </c>
      <c r="H11" s="4"/>
      <c r="I11" s="4"/>
      <c r="J11" s="4"/>
      <c r="K11" s="4"/>
    </row>
    <row r="12" spans="2:12">
      <c r="H12" s="4"/>
      <c r="I12" s="4"/>
      <c r="J12" s="4"/>
      <c r="K12" s="4"/>
    </row>
    <row r="15" spans="2:12" s="50" customFormat="1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1" sqref="B11"/>
    </sheetView>
  </sheetViews>
  <sheetFormatPr baseColWidth="10" defaultRowHeight="15"/>
  <cols>
    <col min="1" max="1" width="94.28515625" bestFit="1" customWidth="1"/>
  </cols>
  <sheetData>
    <row r="1" spans="1:3" ht="18.75">
      <c r="A1" s="64" t="s">
        <v>109</v>
      </c>
    </row>
    <row r="3" spans="1:3" ht="30">
      <c r="A3" s="42" t="s">
        <v>110</v>
      </c>
      <c r="B3" s="42">
        <f>'Natural infrastructure'!K17+'Natural infrastructure'!K32+'Natural infrastructure'!F38+'Natural infrastructure'!K53</f>
        <v>0</v>
      </c>
      <c r="C3" s="42" t="s">
        <v>111</v>
      </c>
    </row>
    <row r="4" spans="1:3" ht="30">
      <c r="A4" s="42" t="s">
        <v>112</v>
      </c>
      <c r="B4" s="42">
        <f ca="1">'Land-use change'!E11</f>
        <v>0</v>
      </c>
      <c r="C4" s="42" t="s">
        <v>111</v>
      </c>
    </row>
    <row r="5" spans="1:3" ht="30">
      <c r="A5" s="42" t="s">
        <v>241</v>
      </c>
      <c r="B5" s="42">
        <f>Forests!Q17</f>
        <v>0</v>
      </c>
      <c r="C5" s="42" t="s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"/>
  <sheetViews>
    <sheetView topLeftCell="A195" workbookViewId="0">
      <selection activeCell="C249" sqref="C249"/>
    </sheetView>
  </sheetViews>
  <sheetFormatPr baseColWidth="10" defaultRowHeight="15"/>
  <cols>
    <col min="1" max="1" width="17.7109375" customWidth="1"/>
    <col min="2" max="2" width="18.28515625" customWidth="1"/>
    <col min="3" max="3" width="21.5703125" customWidth="1"/>
  </cols>
  <sheetData>
    <row r="1" spans="1:18" ht="18.75">
      <c r="A1" s="47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3" spans="1:18" ht="15.75">
      <c r="A3" s="8" t="s">
        <v>114</v>
      </c>
      <c r="B3" s="9"/>
      <c r="C3" s="4"/>
    </row>
    <row r="4" spans="1:18">
      <c r="A4" s="9" t="s">
        <v>126</v>
      </c>
      <c r="B4" s="9" t="s">
        <v>127</v>
      </c>
      <c r="C4" s="4" t="s">
        <v>128</v>
      </c>
    </row>
    <row r="5" spans="1:18" ht="75.75" thickBot="1">
      <c r="A5" s="39" t="s">
        <v>1</v>
      </c>
      <c r="B5" s="40" t="s">
        <v>8</v>
      </c>
      <c r="C5" s="39" t="s">
        <v>102</v>
      </c>
      <c r="D5" t="s">
        <v>101</v>
      </c>
    </row>
    <row r="6" spans="1:18" ht="31.5" thickTop="1" thickBot="1">
      <c r="A6" s="39" t="s">
        <v>2</v>
      </c>
      <c r="B6" s="49">
        <f t="shared" ref="B6:B11" si="0">C6/44*12</f>
        <v>1.3636363636363635</v>
      </c>
      <c r="C6" s="39">
        <v>5</v>
      </c>
    </row>
    <row r="7" spans="1:18" ht="31.5" thickTop="1" thickBot="1">
      <c r="A7" s="39" t="s">
        <v>3</v>
      </c>
      <c r="B7" s="49">
        <f t="shared" si="0"/>
        <v>0</v>
      </c>
      <c r="C7" s="39">
        <v>0</v>
      </c>
    </row>
    <row r="8" spans="1:18" ht="46.5" thickTop="1" thickBot="1">
      <c r="A8" s="39" t="s">
        <v>4</v>
      </c>
      <c r="B8" s="49">
        <f t="shared" si="0"/>
        <v>1.3636363636363635</v>
      </c>
      <c r="C8" s="39">
        <v>5</v>
      </c>
    </row>
    <row r="9" spans="1:18" ht="46.5" thickTop="1" thickBot="1">
      <c r="A9" s="39" t="s">
        <v>6</v>
      </c>
      <c r="B9" s="49">
        <f t="shared" si="0"/>
        <v>-1.3636363636363635</v>
      </c>
      <c r="C9" s="39">
        <v>-5</v>
      </c>
    </row>
    <row r="10" spans="1:18" ht="31.5" thickTop="1" thickBot="1">
      <c r="A10" s="39" t="s">
        <v>7</v>
      </c>
      <c r="B10" s="49">
        <f t="shared" si="0"/>
        <v>-1.3636363636363635</v>
      </c>
      <c r="C10" s="39">
        <v>-5</v>
      </c>
    </row>
    <row r="11" spans="1:18" ht="31.5" thickTop="1" thickBot="1">
      <c r="A11" s="39" t="s">
        <v>5</v>
      </c>
      <c r="B11" s="49">
        <f t="shared" si="0"/>
        <v>0</v>
      </c>
      <c r="C11" s="39">
        <v>0</v>
      </c>
    </row>
    <row r="12" spans="1:18" ht="15.75" thickTop="1"/>
    <row r="14" spans="1:18" ht="18.75">
      <c r="A14" s="47" t="s">
        <v>104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6" spans="1:18">
      <c r="A16" s="24" t="s">
        <v>115</v>
      </c>
      <c r="B16" s="4"/>
      <c r="C16" s="4"/>
    </row>
    <row r="17" spans="1:3">
      <c r="A17" s="24"/>
      <c r="B17" s="4"/>
      <c r="C17" s="4" t="s">
        <v>129</v>
      </c>
    </row>
    <row r="18" spans="1:3" ht="45.75" thickBot="1">
      <c r="A18" s="39" t="s">
        <v>27</v>
      </c>
      <c r="B18" s="39" t="str">
        <f>'Standard data'!B30</f>
        <v>Characteristics</v>
      </c>
      <c r="C18" s="39" t="str">
        <f>'Standard data'!C30</f>
        <v xml:space="preserve">Current C storage (soil + wood) </v>
      </c>
    </row>
    <row r="19" spans="1:3" ht="16.5" thickTop="1" thickBot="1">
      <c r="A19" s="39" t="s">
        <v>30</v>
      </c>
      <c r="B19" s="39"/>
      <c r="C19" s="39">
        <f>70+50</f>
        <v>120</v>
      </c>
    </row>
    <row r="20" spans="1:3" ht="46.5" thickTop="1" thickBot="1">
      <c r="A20" s="39" t="s">
        <v>34</v>
      </c>
      <c r="B20" s="39" t="s">
        <v>35</v>
      </c>
      <c r="C20" s="39">
        <f>70+50</f>
        <v>120</v>
      </c>
    </row>
    <row r="21" spans="1:3" ht="46.5" thickTop="1" thickBot="1">
      <c r="A21" s="39" t="s">
        <v>38</v>
      </c>
      <c r="B21" s="39"/>
      <c r="C21" s="39">
        <f>70+30</f>
        <v>100</v>
      </c>
    </row>
    <row r="22" spans="1:3" ht="46.5" thickTop="1" thickBot="1">
      <c r="A22" s="39" t="s">
        <v>43</v>
      </c>
      <c r="B22" s="39" t="s">
        <v>44</v>
      </c>
      <c r="C22" s="39">
        <f>70+30</f>
        <v>100</v>
      </c>
    </row>
    <row r="23" spans="1:3" ht="31.5" thickTop="1" thickBot="1">
      <c r="A23" s="39" t="s">
        <v>46</v>
      </c>
      <c r="B23" s="39" t="s">
        <v>47</v>
      </c>
      <c r="C23" s="39">
        <f>70+30</f>
        <v>100</v>
      </c>
    </row>
    <row r="24" spans="1:3" ht="16.5" thickTop="1" thickBot="1">
      <c r="A24" s="39" t="s">
        <v>50</v>
      </c>
      <c r="B24" s="39" t="s">
        <v>51</v>
      </c>
      <c r="C24" s="39">
        <f>70+50</f>
        <v>120</v>
      </c>
    </row>
    <row r="25" spans="1:3" ht="61.5" thickTop="1" thickBot="1">
      <c r="A25" s="39" t="s">
        <v>53</v>
      </c>
      <c r="B25" s="39" t="s">
        <v>54</v>
      </c>
      <c r="C25" s="39">
        <v>0</v>
      </c>
    </row>
    <row r="26" spans="1:3" ht="15.75" thickTop="1"/>
    <row r="28" spans="1:3">
      <c r="A28" s="24" t="s">
        <v>117</v>
      </c>
      <c r="B28" s="4"/>
      <c r="C28" s="4"/>
    </row>
    <row r="29" spans="1:3">
      <c r="A29" s="24"/>
      <c r="B29" s="4"/>
      <c r="C29" s="4" t="s">
        <v>130</v>
      </c>
    </row>
    <row r="30" spans="1:3" ht="45.75" thickBot="1">
      <c r="A30" s="39" t="s">
        <v>28</v>
      </c>
      <c r="B30" s="39" t="str">
        <f>'Standard data'!B39</f>
        <v>Characteristics</v>
      </c>
      <c r="C30" s="39" t="s">
        <v>17</v>
      </c>
    </row>
    <row r="31" spans="1:3" ht="31.5" thickTop="1" thickBot="1">
      <c r="A31" s="39" t="s">
        <v>31</v>
      </c>
      <c r="B31" s="39" t="s">
        <v>32</v>
      </c>
      <c r="C31" s="39">
        <f>70+24</f>
        <v>94</v>
      </c>
    </row>
    <row r="32" spans="1:3" ht="16.5" thickTop="1" thickBot="1">
      <c r="A32" s="39" t="s">
        <v>36</v>
      </c>
      <c r="B32" s="39"/>
      <c r="C32" s="39">
        <f>70+24</f>
        <v>94</v>
      </c>
    </row>
    <row r="33" spans="1:3" ht="31.5" thickTop="1" thickBot="1">
      <c r="A33" s="39" t="s">
        <v>39</v>
      </c>
      <c r="B33" s="39" t="s">
        <v>40</v>
      </c>
      <c r="C33" s="39">
        <f>70+24</f>
        <v>94</v>
      </c>
    </row>
    <row r="34" spans="1:3" ht="16.5" thickTop="1" thickBot="1">
      <c r="A34" s="39"/>
      <c r="B34" s="39"/>
      <c r="C34" s="39"/>
    </row>
    <row r="35" spans="1:3" ht="15.75" thickTop="1"/>
    <row r="37" spans="1:3">
      <c r="A37" s="24" t="s">
        <v>116</v>
      </c>
      <c r="B37" s="4"/>
      <c r="C37" s="4"/>
    </row>
    <row r="38" spans="1:3">
      <c r="A38" s="24"/>
      <c r="B38" s="4"/>
      <c r="C38" s="4" t="s">
        <v>131</v>
      </c>
    </row>
    <row r="39" spans="1:3" ht="45.75" thickBot="1">
      <c r="A39" s="39" t="s">
        <v>26</v>
      </c>
      <c r="B39" s="39" t="s">
        <v>29</v>
      </c>
      <c r="C39" s="39" t="str">
        <f>'Standard data'!C30</f>
        <v xml:space="preserve">Current C storage (soil + wood) </v>
      </c>
    </row>
    <row r="40" spans="1:3" ht="16.5" thickTop="1" thickBot="1">
      <c r="A40" s="39" t="s">
        <v>33</v>
      </c>
      <c r="B40" s="39"/>
      <c r="C40" s="39">
        <f>50</f>
        <v>50</v>
      </c>
    </row>
    <row r="41" spans="1:3" ht="16.5" thickTop="1" thickBot="1">
      <c r="A41" s="39" t="s">
        <v>37</v>
      </c>
      <c r="B41" s="39"/>
      <c r="C41" s="39">
        <f>70</f>
        <v>70</v>
      </c>
    </row>
    <row r="42" spans="1:3" ht="31.5" thickTop="1" thickBot="1">
      <c r="A42" s="39" t="s">
        <v>41</v>
      </c>
      <c r="B42" s="39" t="s">
        <v>42</v>
      </c>
      <c r="C42" s="39">
        <f>70</f>
        <v>70</v>
      </c>
    </row>
    <row r="43" spans="1:3" ht="31.5" thickTop="1" thickBot="1">
      <c r="A43" s="39" t="s">
        <v>45</v>
      </c>
      <c r="B43" s="39" t="s">
        <v>42</v>
      </c>
      <c r="C43" s="39">
        <v>90</v>
      </c>
    </row>
    <row r="44" spans="1:3" ht="31.5" thickTop="1" thickBot="1">
      <c r="A44" s="39" t="s">
        <v>48</v>
      </c>
      <c r="B44" s="39" t="s">
        <v>49</v>
      </c>
      <c r="C44" s="39">
        <v>50</v>
      </c>
    </row>
    <row r="45" spans="1:3" ht="31.5" thickTop="1" thickBot="1">
      <c r="A45" s="39" t="s">
        <v>52</v>
      </c>
      <c r="B45" s="39"/>
      <c r="C45" s="39">
        <f>50+9</f>
        <v>59</v>
      </c>
    </row>
    <row r="46" spans="1:3" ht="16.5" thickTop="1" thickBot="1">
      <c r="A46" s="39" t="s">
        <v>55</v>
      </c>
      <c r="B46" s="39"/>
      <c r="C46" s="39">
        <v>0</v>
      </c>
    </row>
    <row r="47" spans="1:3" ht="16.5" thickTop="1" thickBot="1">
      <c r="A47" s="39" t="s">
        <v>56</v>
      </c>
      <c r="B47" s="39"/>
      <c r="C47" s="39">
        <v>0</v>
      </c>
    </row>
    <row r="48" spans="1:3" ht="15.75" thickTop="1"/>
    <row r="51" spans="1:16">
      <c r="A51" s="24" t="s">
        <v>105</v>
      </c>
    </row>
    <row r="52" spans="1:16" ht="15.75" thickBot="1">
      <c r="A52" s="39" t="s">
        <v>63</v>
      </c>
    </row>
    <row r="53" spans="1:16" ht="16.5" thickTop="1" thickBot="1">
      <c r="A53" s="39" t="s">
        <v>19</v>
      </c>
    </row>
    <row r="54" spans="1:16" ht="16.5" thickTop="1" thickBot="1">
      <c r="A54" s="39" t="s">
        <v>64</v>
      </c>
    </row>
    <row r="55" spans="1:16" ht="15.75" thickTop="1"/>
    <row r="58" spans="1:16" s="4" customFormat="1">
      <c r="A58" s="24" t="s">
        <v>118</v>
      </c>
      <c r="B58" s="26"/>
      <c r="C58" s="27"/>
      <c r="P58" s="25"/>
    </row>
    <row r="59" spans="1:16" s="4" customFormat="1">
      <c r="A59" s="13" t="s">
        <v>120</v>
      </c>
      <c r="B59" s="26" t="s">
        <v>132</v>
      </c>
      <c r="C59" s="27"/>
      <c r="D59" s="4" t="s">
        <v>134</v>
      </c>
      <c r="E59" s="4" t="s">
        <v>133</v>
      </c>
      <c r="F59" s="4" t="s">
        <v>135</v>
      </c>
      <c r="G59" s="4" t="s">
        <v>136</v>
      </c>
      <c r="P59" s="25"/>
    </row>
    <row r="60" spans="1:16" s="28" customFormat="1" ht="35.25" customHeight="1">
      <c r="A60" s="10" t="s">
        <v>57</v>
      </c>
      <c r="B60" s="10" t="s">
        <v>16</v>
      </c>
      <c r="C60" s="10" t="s">
        <v>15</v>
      </c>
      <c r="D60" s="10" t="s">
        <v>58</v>
      </c>
      <c r="E60" s="10" t="s">
        <v>59</v>
      </c>
      <c r="F60" s="10" t="s">
        <v>60</v>
      </c>
      <c r="G60" s="10" t="s">
        <v>61</v>
      </c>
      <c r="H60" s="72"/>
      <c r="J60" s="59" t="s">
        <v>106</v>
      </c>
      <c r="P60" s="29"/>
    </row>
    <row r="61" spans="1:16" s="28" customFormat="1" ht="19.5" customHeight="1" thickBot="1">
      <c r="A61" s="39" t="s">
        <v>62</v>
      </c>
      <c r="B61" s="39" t="s">
        <v>63</v>
      </c>
      <c r="C61" s="39" t="str">
        <f t="shared" ref="C61:C92" si="1">CONCATENATE(A61,B61)</f>
        <v>Belgiumfavorable</v>
      </c>
      <c r="D61" s="39">
        <v>7.5</v>
      </c>
      <c r="E61" s="39">
        <v>0.47499999999999998</v>
      </c>
      <c r="F61" s="39">
        <v>0.502</v>
      </c>
      <c r="G61" s="39">
        <f t="shared" ref="G61:G92" si="2">D61*E61*F61</f>
        <v>1.788375</v>
      </c>
      <c r="H61" s="71"/>
      <c r="J61" s="51" t="s">
        <v>62</v>
      </c>
      <c r="P61" s="29"/>
    </row>
    <row r="62" spans="1:16" s="28" customFormat="1" ht="19.5" customHeight="1" thickTop="1" thickBot="1">
      <c r="A62" s="39" t="s">
        <v>62</v>
      </c>
      <c r="B62" s="39" t="s">
        <v>19</v>
      </c>
      <c r="C62" s="39" t="str">
        <f t="shared" si="1"/>
        <v>Belgiumaverage</v>
      </c>
      <c r="D62" s="39">
        <v>6</v>
      </c>
      <c r="E62" s="39">
        <v>0.47499999999999998</v>
      </c>
      <c r="F62" s="39">
        <v>0.502</v>
      </c>
      <c r="G62" s="39">
        <f t="shared" si="2"/>
        <v>1.4306999999999999</v>
      </c>
      <c r="H62" s="71"/>
      <c r="J62" s="51" t="s">
        <v>65</v>
      </c>
      <c r="P62" s="29"/>
    </row>
    <row r="63" spans="1:16" s="28" customFormat="1" ht="19.5" customHeight="1" thickTop="1" thickBot="1">
      <c r="A63" s="39" t="s">
        <v>62</v>
      </c>
      <c r="B63" s="39" t="s">
        <v>64</v>
      </c>
      <c r="C63" s="39" t="str">
        <f t="shared" si="1"/>
        <v>Belgiumunfavorable</v>
      </c>
      <c r="D63" s="39">
        <v>4.5</v>
      </c>
      <c r="E63" s="39">
        <v>0.47499999999999998</v>
      </c>
      <c r="F63" s="39">
        <v>0.502</v>
      </c>
      <c r="G63" s="39">
        <f t="shared" si="2"/>
        <v>1.0730249999999999</v>
      </c>
      <c r="H63" s="71"/>
      <c r="J63" s="51" t="s">
        <v>66</v>
      </c>
      <c r="P63" s="29"/>
    </row>
    <row r="64" spans="1:16" s="28" customFormat="1" ht="19.5" customHeight="1" thickTop="1" thickBot="1">
      <c r="A64" s="39" t="s">
        <v>65</v>
      </c>
      <c r="B64" s="39" t="s">
        <v>63</v>
      </c>
      <c r="C64" s="39" t="str">
        <f t="shared" si="1"/>
        <v>Bulgariafavorable</v>
      </c>
      <c r="D64" s="39">
        <v>7.5</v>
      </c>
      <c r="E64" s="39">
        <v>0.47499999999999998</v>
      </c>
      <c r="F64" s="39">
        <v>0.502</v>
      </c>
      <c r="G64" s="39">
        <f t="shared" si="2"/>
        <v>1.788375</v>
      </c>
      <c r="H64" s="71"/>
      <c r="J64" s="51" t="s">
        <v>67</v>
      </c>
      <c r="P64" s="29"/>
    </row>
    <row r="65" spans="1:16" s="28" customFormat="1" ht="19.5" customHeight="1" thickTop="1" thickBot="1">
      <c r="A65" s="39" t="s">
        <v>65</v>
      </c>
      <c r="B65" s="39" t="s">
        <v>19</v>
      </c>
      <c r="C65" s="39" t="str">
        <f t="shared" si="1"/>
        <v>Bulgariaaverage</v>
      </c>
      <c r="D65" s="39">
        <v>6</v>
      </c>
      <c r="E65" s="39">
        <v>0.47499999999999998</v>
      </c>
      <c r="F65" s="39">
        <v>0.502</v>
      </c>
      <c r="G65" s="39">
        <f t="shared" si="2"/>
        <v>1.4306999999999999</v>
      </c>
      <c r="H65" s="71"/>
      <c r="J65" s="51" t="s">
        <v>68</v>
      </c>
      <c r="P65" s="29"/>
    </row>
    <row r="66" spans="1:16" s="28" customFormat="1" ht="19.5" customHeight="1" thickTop="1" thickBot="1">
      <c r="A66" s="39" t="s">
        <v>65</v>
      </c>
      <c r="B66" s="39" t="s">
        <v>64</v>
      </c>
      <c r="C66" s="39" t="str">
        <f t="shared" si="1"/>
        <v>Bulgariaunfavorable</v>
      </c>
      <c r="D66" s="39">
        <v>4.5</v>
      </c>
      <c r="E66" s="39">
        <v>0.47499999999999998</v>
      </c>
      <c r="F66" s="39">
        <v>0.502</v>
      </c>
      <c r="G66" s="39">
        <f t="shared" si="2"/>
        <v>1.0730249999999999</v>
      </c>
      <c r="H66" s="71"/>
      <c r="J66" s="51" t="s">
        <v>69</v>
      </c>
      <c r="M66" s="30"/>
      <c r="N66" s="30"/>
      <c r="O66" s="30"/>
      <c r="P66" s="29"/>
    </row>
    <row r="67" spans="1:16" s="28" customFormat="1" ht="19.5" customHeight="1" thickTop="1" thickBot="1">
      <c r="A67" s="39" t="s">
        <v>66</v>
      </c>
      <c r="B67" s="39" t="s">
        <v>63</v>
      </c>
      <c r="C67" s="39" t="str">
        <f t="shared" si="1"/>
        <v>Czech Republicfavorable</v>
      </c>
      <c r="D67" s="39">
        <v>7.5</v>
      </c>
      <c r="E67" s="39">
        <v>0.47499999999999998</v>
      </c>
      <c r="F67" s="39">
        <v>0.502</v>
      </c>
      <c r="G67" s="39">
        <f t="shared" si="2"/>
        <v>1.788375</v>
      </c>
      <c r="H67" s="71"/>
      <c r="J67" s="51" t="s">
        <v>70</v>
      </c>
      <c r="M67" s="30"/>
      <c r="N67" s="30"/>
      <c r="O67" s="30"/>
      <c r="P67" s="29"/>
    </row>
    <row r="68" spans="1:16" s="28" customFormat="1" ht="19.5" customHeight="1" thickTop="1" thickBot="1">
      <c r="A68" s="39" t="s">
        <v>66</v>
      </c>
      <c r="B68" s="39" t="s">
        <v>19</v>
      </c>
      <c r="C68" s="39" t="str">
        <f t="shared" si="1"/>
        <v>Czech Republicaverage</v>
      </c>
      <c r="D68" s="39">
        <v>6</v>
      </c>
      <c r="E68" s="39">
        <v>0.47499999999999998</v>
      </c>
      <c r="F68" s="39">
        <v>0.502</v>
      </c>
      <c r="G68" s="39">
        <f t="shared" si="2"/>
        <v>1.4306999999999999</v>
      </c>
      <c r="H68" s="71"/>
      <c r="J68" s="51" t="s">
        <v>71</v>
      </c>
      <c r="M68" s="30"/>
      <c r="N68" s="30"/>
      <c r="O68" s="30"/>
    </row>
    <row r="69" spans="1:16" s="28" customFormat="1" ht="19.5" customHeight="1" thickTop="1" thickBot="1">
      <c r="A69" s="39" t="s">
        <v>66</v>
      </c>
      <c r="B69" s="39" t="s">
        <v>64</v>
      </c>
      <c r="C69" s="39" t="str">
        <f t="shared" si="1"/>
        <v>Czech Republicunfavorable</v>
      </c>
      <c r="D69" s="39">
        <v>4.5</v>
      </c>
      <c r="E69" s="39">
        <v>0.47499999999999998</v>
      </c>
      <c r="F69" s="39">
        <v>0.502</v>
      </c>
      <c r="G69" s="39">
        <f t="shared" si="2"/>
        <v>1.0730249999999999</v>
      </c>
      <c r="H69" s="71"/>
      <c r="J69" s="51" t="s">
        <v>72</v>
      </c>
      <c r="M69" s="30"/>
      <c r="N69" s="30"/>
      <c r="O69" s="30"/>
    </row>
    <row r="70" spans="1:16" s="28" customFormat="1" ht="19.5" customHeight="1" thickTop="1" thickBot="1">
      <c r="A70" s="39" t="s">
        <v>67</v>
      </c>
      <c r="B70" s="39" t="s">
        <v>63</v>
      </c>
      <c r="C70" s="39" t="str">
        <f t="shared" si="1"/>
        <v>Denmarkfavorable</v>
      </c>
      <c r="D70" s="39">
        <v>7.5</v>
      </c>
      <c r="E70" s="39">
        <v>0.47499999999999998</v>
      </c>
      <c r="F70" s="39">
        <v>0.502</v>
      </c>
      <c r="G70" s="39">
        <f t="shared" si="2"/>
        <v>1.788375</v>
      </c>
      <c r="H70" s="71"/>
      <c r="J70" s="51" t="s">
        <v>73</v>
      </c>
      <c r="M70" s="30"/>
      <c r="N70" s="30"/>
      <c r="O70" s="30"/>
    </row>
    <row r="71" spans="1:16" s="28" customFormat="1" ht="19.5" customHeight="1" thickTop="1" thickBot="1">
      <c r="A71" s="39" t="s">
        <v>67</v>
      </c>
      <c r="B71" s="39" t="s">
        <v>19</v>
      </c>
      <c r="C71" s="39" t="str">
        <f t="shared" si="1"/>
        <v>Denmarkaverage</v>
      </c>
      <c r="D71" s="39">
        <v>6</v>
      </c>
      <c r="E71" s="39">
        <v>0.47499999999999998</v>
      </c>
      <c r="F71" s="39">
        <v>0.502</v>
      </c>
      <c r="G71" s="39">
        <f t="shared" si="2"/>
        <v>1.4306999999999999</v>
      </c>
      <c r="H71" s="71"/>
      <c r="J71" s="51" t="s">
        <v>74</v>
      </c>
      <c r="M71" s="30"/>
      <c r="N71" s="30"/>
      <c r="O71" s="30"/>
    </row>
    <row r="72" spans="1:16" s="28" customFormat="1" ht="19.5" customHeight="1" thickTop="1" thickBot="1">
      <c r="A72" s="39" t="s">
        <v>67</v>
      </c>
      <c r="B72" s="39" t="s">
        <v>64</v>
      </c>
      <c r="C72" s="39" t="str">
        <f t="shared" si="1"/>
        <v>Denmarkunfavorable</v>
      </c>
      <c r="D72" s="39">
        <v>4.5</v>
      </c>
      <c r="E72" s="39">
        <v>0.47499999999999998</v>
      </c>
      <c r="F72" s="39">
        <v>0.502</v>
      </c>
      <c r="G72" s="39">
        <f t="shared" si="2"/>
        <v>1.0730249999999999</v>
      </c>
      <c r="H72" s="71"/>
      <c r="J72" s="51" t="s">
        <v>75</v>
      </c>
      <c r="M72" s="30"/>
      <c r="N72" s="30"/>
      <c r="O72" s="30"/>
    </row>
    <row r="73" spans="1:16" s="28" customFormat="1" ht="19.5" customHeight="1" thickTop="1" thickBot="1">
      <c r="A73" s="39" t="s">
        <v>68</v>
      </c>
      <c r="B73" s="39" t="s">
        <v>63</v>
      </c>
      <c r="C73" s="39" t="str">
        <f t="shared" si="1"/>
        <v>Estoniafavorable</v>
      </c>
      <c r="D73" s="39">
        <v>7.5</v>
      </c>
      <c r="E73" s="39">
        <v>0.47499999999999998</v>
      </c>
      <c r="F73" s="39">
        <v>0.502</v>
      </c>
      <c r="G73" s="39">
        <f t="shared" si="2"/>
        <v>1.788375</v>
      </c>
      <c r="H73" s="71"/>
      <c r="J73" s="51" t="s">
        <v>76</v>
      </c>
      <c r="M73" s="30"/>
      <c r="N73" s="30"/>
      <c r="O73" s="30"/>
    </row>
    <row r="74" spans="1:16" s="28" customFormat="1" ht="19.5" customHeight="1" thickTop="1" thickBot="1">
      <c r="A74" s="39" t="s">
        <v>68</v>
      </c>
      <c r="B74" s="39" t="s">
        <v>19</v>
      </c>
      <c r="C74" s="39" t="str">
        <f t="shared" si="1"/>
        <v>Estoniaaverage</v>
      </c>
      <c r="D74" s="39">
        <v>6</v>
      </c>
      <c r="E74" s="39">
        <v>0.47499999999999998</v>
      </c>
      <c r="F74" s="39">
        <v>0.502</v>
      </c>
      <c r="G74" s="39">
        <f t="shared" si="2"/>
        <v>1.4306999999999999</v>
      </c>
      <c r="H74" s="71"/>
      <c r="J74" s="51" t="s">
        <v>77</v>
      </c>
      <c r="M74" s="30"/>
      <c r="N74" s="30"/>
      <c r="O74" s="30"/>
    </row>
    <row r="75" spans="1:16" s="28" customFormat="1" ht="19.5" customHeight="1" thickTop="1" thickBot="1">
      <c r="A75" s="39" t="s">
        <v>68</v>
      </c>
      <c r="B75" s="39" t="s">
        <v>64</v>
      </c>
      <c r="C75" s="39" t="str">
        <f t="shared" si="1"/>
        <v>Estoniaunfavorable</v>
      </c>
      <c r="D75" s="39">
        <v>4.5</v>
      </c>
      <c r="E75" s="39">
        <v>0.47499999999999998</v>
      </c>
      <c r="F75" s="39">
        <v>0.502</v>
      </c>
      <c r="G75" s="39">
        <f t="shared" si="2"/>
        <v>1.0730249999999999</v>
      </c>
      <c r="H75" s="71"/>
      <c r="J75" s="51" t="s">
        <v>78</v>
      </c>
      <c r="M75" s="30"/>
      <c r="N75" s="30"/>
      <c r="O75" s="30"/>
    </row>
    <row r="76" spans="1:16" s="28" customFormat="1" ht="19.5" customHeight="1" thickTop="1" thickBot="1">
      <c r="A76" s="39" t="s">
        <v>69</v>
      </c>
      <c r="B76" s="39" t="s">
        <v>63</v>
      </c>
      <c r="C76" s="39" t="str">
        <f t="shared" si="1"/>
        <v>Irelandfavorable</v>
      </c>
      <c r="D76" s="39">
        <v>7.5</v>
      </c>
      <c r="E76" s="39">
        <v>0.47499999999999998</v>
      </c>
      <c r="F76" s="39">
        <v>0.502</v>
      </c>
      <c r="G76" s="39">
        <f t="shared" si="2"/>
        <v>1.788375</v>
      </c>
      <c r="H76" s="71"/>
      <c r="J76" s="51" t="s">
        <v>79</v>
      </c>
      <c r="M76" s="31"/>
      <c r="N76" s="32"/>
      <c r="O76" s="33"/>
    </row>
    <row r="77" spans="1:16" s="28" customFormat="1" ht="19.5" customHeight="1" thickTop="1" thickBot="1">
      <c r="A77" s="39" t="s">
        <v>69</v>
      </c>
      <c r="B77" s="39" t="s">
        <v>19</v>
      </c>
      <c r="C77" s="39" t="str">
        <f t="shared" si="1"/>
        <v>Irelandaverage</v>
      </c>
      <c r="D77" s="39">
        <v>6</v>
      </c>
      <c r="E77" s="39">
        <v>0.47499999999999998</v>
      </c>
      <c r="F77" s="39">
        <v>0.502</v>
      </c>
      <c r="G77" s="39">
        <f t="shared" si="2"/>
        <v>1.4306999999999999</v>
      </c>
      <c r="H77" s="71"/>
      <c r="J77" s="51" t="s">
        <v>80</v>
      </c>
    </row>
    <row r="78" spans="1:16" s="28" customFormat="1" ht="19.5" customHeight="1" thickTop="1" thickBot="1">
      <c r="A78" s="39" t="s">
        <v>69</v>
      </c>
      <c r="B78" s="39" t="s">
        <v>64</v>
      </c>
      <c r="C78" s="39" t="str">
        <f t="shared" si="1"/>
        <v>Irelandunfavorable</v>
      </c>
      <c r="D78" s="39">
        <v>4.5</v>
      </c>
      <c r="E78" s="39">
        <v>0.47499999999999998</v>
      </c>
      <c r="F78" s="39">
        <v>0.502</v>
      </c>
      <c r="G78" s="39">
        <f t="shared" si="2"/>
        <v>1.0730249999999999</v>
      </c>
      <c r="H78" s="71"/>
      <c r="J78" s="51" t="s">
        <v>81</v>
      </c>
    </row>
    <row r="79" spans="1:16" s="28" customFormat="1" ht="19.5" customHeight="1" thickTop="1" thickBot="1">
      <c r="A79" s="39" t="s">
        <v>70</v>
      </c>
      <c r="B79" s="39" t="s">
        <v>63</v>
      </c>
      <c r="C79" s="39" t="str">
        <f t="shared" si="1"/>
        <v>Germanyfavorable</v>
      </c>
      <c r="D79" s="39">
        <v>7.5</v>
      </c>
      <c r="E79" s="39">
        <v>0.47499999999999998</v>
      </c>
      <c r="F79" s="39">
        <v>0.502</v>
      </c>
      <c r="G79" s="39">
        <f t="shared" si="2"/>
        <v>1.788375</v>
      </c>
      <c r="H79" s="71"/>
      <c r="J79" s="51" t="s">
        <v>82</v>
      </c>
    </row>
    <row r="80" spans="1:16" s="28" customFormat="1" ht="19.5" customHeight="1" thickTop="1" thickBot="1">
      <c r="A80" s="39" t="s">
        <v>70</v>
      </c>
      <c r="B80" s="39" t="s">
        <v>19</v>
      </c>
      <c r="C80" s="39" t="str">
        <f t="shared" si="1"/>
        <v>Germanyaverage</v>
      </c>
      <c r="D80" s="39">
        <v>6</v>
      </c>
      <c r="E80" s="39">
        <v>0.47499999999999998</v>
      </c>
      <c r="F80" s="39">
        <v>0.502</v>
      </c>
      <c r="G80" s="39">
        <f t="shared" si="2"/>
        <v>1.4306999999999999</v>
      </c>
      <c r="H80" s="71"/>
      <c r="J80" s="51" t="s">
        <v>83</v>
      </c>
    </row>
    <row r="81" spans="1:16" s="28" customFormat="1" ht="19.5" customHeight="1" thickTop="1" thickBot="1">
      <c r="A81" s="39" t="s">
        <v>70</v>
      </c>
      <c r="B81" s="39" t="s">
        <v>64</v>
      </c>
      <c r="C81" s="39" t="str">
        <f t="shared" si="1"/>
        <v>Germanyunfavorable</v>
      </c>
      <c r="D81" s="39">
        <v>4.5</v>
      </c>
      <c r="E81" s="39">
        <v>0.47499999999999998</v>
      </c>
      <c r="F81" s="39">
        <v>0.502</v>
      </c>
      <c r="G81" s="39">
        <f t="shared" si="2"/>
        <v>1.0730249999999999</v>
      </c>
      <c r="H81" s="71"/>
      <c r="J81" s="51" t="s">
        <v>84</v>
      </c>
    </row>
    <row r="82" spans="1:16" s="28" customFormat="1" ht="19.5" customHeight="1" thickTop="1" thickBot="1">
      <c r="A82" s="39" t="s">
        <v>71</v>
      </c>
      <c r="B82" s="39" t="s">
        <v>63</v>
      </c>
      <c r="C82" s="39" t="str">
        <f t="shared" si="1"/>
        <v>Spainfavorable</v>
      </c>
      <c r="D82" s="39">
        <v>7.5</v>
      </c>
      <c r="E82" s="39">
        <v>0.47499999999999998</v>
      </c>
      <c r="F82" s="39">
        <v>0.502</v>
      </c>
      <c r="G82" s="39">
        <f t="shared" si="2"/>
        <v>1.788375</v>
      </c>
      <c r="H82" s="71"/>
      <c r="J82" s="51" t="s">
        <v>85</v>
      </c>
      <c r="K82" s="34"/>
    </row>
    <row r="83" spans="1:16" s="28" customFormat="1" ht="19.5" customHeight="1" thickTop="1" thickBot="1">
      <c r="A83" s="39" t="s">
        <v>71</v>
      </c>
      <c r="B83" s="39" t="s">
        <v>19</v>
      </c>
      <c r="C83" s="39" t="str">
        <f t="shared" si="1"/>
        <v>Spainaverage</v>
      </c>
      <c r="D83" s="39">
        <v>6</v>
      </c>
      <c r="E83" s="39">
        <v>0.47499999999999998</v>
      </c>
      <c r="F83" s="39">
        <v>0.502</v>
      </c>
      <c r="G83" s="39">
        <f t="shared" si="2"/>
        <v>1.4306999999999999</v>
      </c>
      <c r="H83" s="71"/>
      <c r="J83" s="51" t="s">
        <v>86</v>
      </c>
      <c r="K83" s="34"/>
    </row>
    <row r="84" spans="1:16" s="28" customFormat="1" ht="19.5" customHeight="1" thickTop="1" thickBot="1">
      <c r="A84" s="39" t="s">
        <v>71</v>
      </c>
      <c r="B84" s="39" t="s">
        <v>64</v>
      </c>
      <c r="C84" s="39" t="str">
        <f t="shared" si="1"/>
        <v>Spainunfavorable</v>
      </c>
      <c r="D84" s="39">
        <v>4.5</v>
      </c>
      <c r="E84" s="39">
        <v>0.47499999999999998</v>
      </c>
      <c r="F84" s="39">
        <v>0.502</v>
      </c>
      <c r="G84" s="39">
        <f t="shared" si="2"/>
        <v>1.0730249999999999</v>
      </c>
      <c r="H84" s="71"/>
      <c r="J84" s="51" t="s">
        <v>87</v>
      </c>
      <c r="K84" s="34"/>
    </row>
    <row r="85" spans="1:16" s="28" customFormat="1" ht="19.5" customHeight="1" thickTop="1" thickBot="1">
      <c r="A85" s="39" t="s">
        <v>72</v>
      </c>
      <c r="B85" s="39" t="s">
        <v>63</v>
      </c>
      <c r="C85" s="39" t="str">
        <f t="shared" si="1"/>
        <v>Francefavorable</v>
      </c>
      <c r="D85" s="39">
        <v>7.5</v>
      </c>
      <c r="E85" s="39">
        <v>0.47499999999999998</v>
      </c>
      <c r="F85" s="39">
        <v>0.502</v>
      </c>
      <c r="G85" s="39">
        <f t="shared" si="2"/>
        <v>1.788375</v>
      </c>
      <c r="H85" s="71"/>
      <c r="J85" s="51" t="s">
        <v>88</v>
      </c>
      <c r="K85" s="34"/>
    </row>
    <row r="86" spans="1:16" s="28" customFormat="1" ht="19.5" customHeight="1" thickTop="1" thickBot="1">
      <c r="A86" s="39" t="s">
        <v>72</v>
      </c>
      <c r="B86" s="39" t="s">
        <v>19</v>
      </c>
      <c r="C86" s="39" t="str">
        <f t="shared" si="1"/>
        <v>Franceaverage</v>
      </c>
      <c r="D86" s="39">
        <v>6</v>
      </c>
      <c r="E86" s="39">
        <v>0.47499999999999998</v>
      </c>
      <c r="F86" s="39">
        <v>0.502</v>
      </c>
      <c r="G86" s="39">
        <f t="shared" si="2"/>
        <v>1.4306999999999999</v>
      </c>
      <c r="H86" s="71"/>
      <c r="J86" s="51" t="s">
        <v>89</v>
      </c>
      <c r="K86" s="34"/>
      <c r="M86" s="30"/>
    </row>
    <row r="87" spans="1:16" s="28" customFormat="1" ht="19.5" customHeight="1" thickTop="1" thickBot="1">
      <c r="A87" s="39" t="s">
        <v>72</v>
      </c>
      <c r="B87" s="39" t="s">
        <v>64</v>
      </c>
      <c r="C87" s="39" t="str">
        <f t="shared" si="1"/>
        <v>Franceunfavorable</v>
      </c>
      <c r="D87" s="39">
        <v>4.5</v>
      </c>
      <c r="E87" s="39">
        <v>0.47499999999999998</v>
      </c>
      <c r="F87" s="39">
        <v>0.502</v>
      </c>
      <c r="G87" s="39">
        <f t="shared" si="2"/>
        <v>1.0730249999999999</v>
      </c>
      <c r="H87" s="71"/>
      <c r="J87" s="30"/>
      <c r="K87" s="35"/>
    </row>
    <row r="88" spans="1:16" s="28" customFormat="1" ht="19.5" customHeight="1" thickTop="1" thickBot="1">
      <c r="A88" s="39" t="s">
        <v>73</v>
      </c>
      <c r="B88" s="39" t="s">
        <v>63</v>
      </c>
      <c r="C88" s="39" t="str">
        <f t="shared" si="1"/>
        <v>Italyfavorable</v>
      </c>
      <c r="D88" s="39">
        <v>7.5</v>
      </c>
      <c r="E88" s="39">
        <v>0.47499999999999998</v>
      </c>
      <c r="F88" s="39">
        <v>0.502</v>
      </c>
      <c r="G88" s="39">
        <f t="shared" si="2"/>
        <v>1.788375</v>
      </c>
      <c r="H88" s="71"/>
      <c r="J88" s="4"/>
    </row>
    <row r="89" spans="1:16" s="28" customFormat="1" ht="19.5" customHeight="1" thickTop="1" thickBot="1">
      <c r="A89" s="39" t="s">
        <v>73</v>
      </c>
      <c r="B89" s="39" t="s">
        <v>19</v>
      </c>
      <c r="C89" s="39" t="str">
        <f t="shared" si="1"/>
        <v>Italyaverage</v>
      </c>
      <c r="D89" s="39">
        <v>6</v>
      </c>
      <c r="E89" s="39">
        <v>0.47499999999999998</v>
      </c>
      <c r="F89" s="39">
        <v>0.502</v>
      </c>
      <c r="G89" s="39">
        <f t="shared" si="2"/>
        <v>1.4306999999999999</v>
      </c>
      <c r="H89" s="71"/>
      <c r="J89" s="4"/>
    </row>
    <row r="90" spans="1:16" s="28" customFormat="1" ht="19.5" customHeight="1" thickTop="1" thickBot="1">
      <c r="A90" s="39" t="s">
        <v>73</v>
      </c>
      <c r="B90" s="39" t="s">
        <v>64</v>
      </c>
      <c r="C90" s="39" t="str">
        <f t="shared" si="1"/>
        <v>Italyunfavorable</v>
      </c>
      <c r="D90" s="39">
        <v>4.5</v>
      </c>
      <c r="E90" s="39">
        <v>0.47499999999999998</v>
      </c>
      <c r="F90" s="39">
        <v>0.502</v>
      </c>
      <c r="G90" s="39">
        <f t="shared" si="2"/>
        <v>1.0730249999999999</v>
      </c>
      <c r="H90" s="71"/>
    </row>
    <row r="91" spans="1:16" s="28" customFormat="1" ht="19.5" customHeight="1" thickTop="1" thickBot="1">
      <c r="A91" s="39" t="s">
        <v>74</v>
      </c>
      <c r="B91" s="39" t="s">
        <v>63</v>
      </c>
      <c r="C91" s="39" t="str">
        <f t="shared" si="1"/>
        <v>Cyprusfavorable</v>
      </c>
      <c r="D91" s="39">
        <v>7.5</v>
      </c>
      <c r="E91" s="39">
        <v>0.47499999999999998</v>
      </c>
      <c r="F91" s="39">
        <v>0.502</v>
      </c>
      <c r="G91" s="39">
        <f t="shared" si="2"/>
        <v>1.788375</v>
      </c>
      <c r="H91" s="71"/>
      <c r="L91" s="30"/>
    </row>
    <row r="92" spans="1:16" s="28" customFormat="1" ht="19.5" customHeight="1" thickTop="1" thickBot="1">
      <c r="A92" s="39" t="s">
        <v>74</v>
      </c>
      <c r="B92" s="39" t="s">
        <v>19</v>
      </c>
      <c r="C92" s="39" t="str">
        <f t="shared" si="1"/>
        <v>Cyprusaverage</v>
      </c>
      <c r="D92" s="39">
        <v>6</v>
      </c>
      <c r="E92" s="39">
        <v>0.47499999999999998</v>
      </c>
      <c r="F92" s="39">
        <v>0.502</v>
      </c>
      <c r="G92" s="39">
        <f t="shared" si="2"/>
        <v>1.4306999999999999</v>
      </c>
      <c r="H92" s="71"/>
      <c r="L92" s="30"/>
    </row>
    <row r="93" spans="1:16" s="28" customFormat="1" ht="19.5" customHeight="1" thickTop="1" thickBot="1">
      <c r="A93" s="39" t="s">
        <v>74</v>
      </c>
      <c r="B93" s="39" t="s">
        <v>64</v>
      </c>
      <c r="C93" s="39" t="str">
        <f t="shared" ref="C93:C124" si="3">CONCATENATE(A93,B93)</f>
        <v>Cyprusunfavorable</v>
      </c>
      <c r="D93" s="39">
        <v>4.5</v>
      </c>
      <c r="E93" s="39">
        <v>0.47499999999999998</v>
      </c>
      <c r="F93" s="39">
        <v>0.502</v>
      </c>
      <c r="G93" s="39">
        <f t="shared" ref="G93:G124" si="4">D93*E93*F93</f>
        <v>1.0730249999999999</v>
      </c>
      <c r="H93" s="71"/>
      <c r="L93" s="30"/>
      <c r="M93" s="30"/>
      <c r="N93" s="30"/>
      <c r="O93" s="30"/>
      <c r="P93" s="30"/>
    </row>
    <row r="94" spans="1:16" s="28" customFormat="1" ht="19.5" customHeight="1" thickTop="1" thickBot="1">
      <c r="A94" s="39" t="s">
        <v>75</v>
      </c>
      <c r="B94" s="39" t="s">
        <v>63</v>
      </c>
      <c r="C94" s="39" t="str">
        <f t="shared" si="3"/>
        <v>Latviafavorable</v>
      </c>
      <c r="D94" s="39">
        <v>7.5</v>
      </c>
      <c r="E94" s="39">
        <v>0.47499999999999998</v>
      </c>
      <c r="F94" s="39">
        <v>0.502</v>
      </c>
      <c r="G94" s="39">
        <f t="shared" si="4"/>
        <v>1.788375</v>
      </c>
      <c r="H94" s="71"/>
      <c r="L94" s="30"/>
      <c r="M94" s="30"/>
      <c r="N94" s="30"/>
      <c r="O94" s="30"/>
      <c r="P94" s="30"/>
    </row>
    <row r="95" spans="1:16" s="28" customFormat="1" ht="19.5" customHeight="1" thickTop="1" thickBot="1">
      <c r="A95" s="39" t="s">
        <v>75</v>
      </c>
      <c r="B95" s="39" t="s">
        <v>19</v>
      </c>
      <c r="C95" s="39" t="str">
        <f t="shared" si="3"/>
        <v>Latviaaverage</v>
      </c>
      <c r="D95" s="39">
        <v>6</v>
      </c>
      <c r="E95" s="39">
        <v>0.47499999999999998</v>
      </c>
      <c r="F95" s="39">
        <v>0.502</v>
      </c>
      <c r="G95" s="39">
        <f t="shared" si="4"/>
        <v>1.4306999999999999</v>
      </c>
      <c r="H95" s="71"/>
      <c r="L95" s="30"/>
      <c r="M95" s="30"/>
      <c r="N95" s="30"/>
      <c r="O95" s="30"/>
      <c r="P95" s="30"/>
    </row>
    <row r="96" spans="1:16" s="28" customFormat="1" ht="19.5" customHeight="1" thickTop="1" thickBot="1">
      <c r="A96" s="39" t="s">
        <v>75</v>
      </c>
      <c r="B96" s="39" t="s">
        <v>64</v>
      </c>
      <c r="C96" s="39" t="str">
        <f t="shared" si="3"/>
        <v>Latviaunfavorable</v>
      </c>
      <c r="D96" s="39">
        <v>4.5</v>
      </c>
      <c r="E96" s="39">
        <v>0.47499999999999998</v>
      </c>
      <c r="F96" s="39">
        <v>0.502</v>
      </c>
      <c r="G96" s="39">
        <f t="shared" si="4"/>
        <v>1.0730249999999999</v>
      </c>
      <c r="H96" s="71"/>
      <c r="L96" s="30"/>
      <c r="M96" s="30"/>
      <c r="N96" s="30"/>
      <c r="O96" s="30"/>
      <c r="P96" s="30"/>
    </row>
    <row r="97" spans="1:16" s="28" customFormat="1" ht="19.5" customHeight="1" thickTop="1" thickBot="1">
      <c r="A97" s="39" t="s">
        <v>76</v>
      </c>
      <c r="B97" s="39" t="s">
        <v>63</v>
      </c>
      <c r="C97" s="39" t="str">
        <f t="shared" si="3"/>
        <v>Lithuaniafavorable</v>
      </c>
      <c r="D97" s="39">
        <v>7.5</v>
      </c>
      <c r="E97" s="39">
        <v>0.47499999999999998</v>
      </c>
      <c r="F97" s="39">
        <v>0.502</v>
      </c>
      <c r="G97" s="39">
        <f t="shared" si="4"/>
        <v>1.788375</v>
      </c>
      <c r="H97" s="71"/>
      <c r="L97" s="30"/>
      <c r="M97" s="30"/>
      <c r="N97" s="30"/>
      <c r="O97" s="30"/>
      <c r="P97" s="30"/>
    </row>
    <row r="98" spans="1:16" s="28" customFormat="1" ht="19.5" customHeight="1" thickTop="1" thickBot="1">
      <c r="A98" s="39" t="s">
        <v>76</v>
      </c>
      <c r="B98" s="39" t="s">
        <v>19</v>
      </c>
      <c r="C98" s="39" t="str">
        <f t="shared" si="3"/>
        <v>Lithuaniaaverage</v>
      </c>
      <c r="D98" s="39">
        <v>6</v>
      </c>
      <c r="E98" s="39">
        <v>0.47499999999999998</v>
      </c>
      <c r="F98" s="39">
        <v>0.502</v>
      </c>
      <c r="G98" s="39">
        <f t="shared" si="4"/>
        <v>1.4306999999999999</v>
      </c>
      <c r="H98" s="71"/>
      <c r="K98" s="30"/>
      <c r="L98" s="30"/>
      <c r="M98" s="30"/>
      <c r="N98" s="30"/>
      <c r="O98" s="30"/>
      <c r="P98" s="30"/>
    </row>
    <row r="99" spans="1:16" s="28" customFormat="1" ht="19.5" customHeight="1" thickTop="1" thickBot="1">
      <c r="A99" s="39" t="s">
        <v>76</v>
      </c>
      <c r="B99" s="39" t="s">
        <v>64</v>
      </c>
      <c r="C99" s="39" t="str">
        <f t="shared" si="3"/>
        <v>Lithuaniaunfavorable</v>
      </c>
      <c r="D99" s="39">
        <v>4.5</v>
      </c>
      <c r="E99" s="39">
        <v>0.47499999999999998</v>
      </c>
      <c r="F99" s="39">
        <v>0.502</v>
      </c>
      <c r="G99" s="39">
        <f t="shared" si="4"/>
        <v>1.0730249999999999</v>
      </c>
      <c r="H99" s="71"/>
      <c r="K99" s="30"/>
      <c r="L99" s="30"/>
      <c r="M99" s="30"/>
      <c r="N99" s="30"/>
      <c r="O99" s="30"/>
      <c r="P99" s="30"/>
    </row>
    <row r="100" spans="1:16" s="28" customFormat="1" ht="19.5" customHeight="1" thickTop="1" thickBot="1">
      <c r="A100" s="39" t="s">
        <v>77</v>
      </c>
      <c r="B100" s="39" t="s">
        <v>63</v>
      </c>
      <c r="C100" s="39" t="str">
        <f t="shared" si="3"/>
        <v>Luxembourgfavorable</v>
      </c>
      <c r="D100" s="39">
        <v>7.5</v>
      </c>
      <c r="E100" s="39">
        <v>0.47499999999999998</v>
      </c>
      <c r="F100" s="39">
        <v>0.502</v>
      </c>
      <c r="G100" s="39">
        <f t="shared" si="4"/>
        <v>1.788375</v>
      </c>
      <c r="H100" s="71"/>
      <c r="K100" s="30"/>
      <c r="L100" s="30"/>
      <c r="M100" s="30"/>
      <c r="N100" s="30"/>
      <c r="O100" s="30"/>
      <c r="P100" s="30"/>
    </row>
    <row r="101" spans="1:16" s="28" customFormat="1" ht="19.5" customHeight="1" thickTop="1" thickBot="1">
      <c r="A101" s="39" t="s">
        <v>77</v>
      </c>
      <c r="B101" s="39" t="s">
        <v>19</v>
      </c>
      <c r="C101" s="39" t="str">
        <f t="shared" si="3"/>
        <v>Luxembourgaverage</v>
      </c>
      <c r="D101" s="39">
        <v>6</v>
      </c>
      <c r="E101" s="39">
        <v>0.47499999999999998</v>
      </c>
      <c r="F101" s="39">
        <v>0.502</v>
      </c>
      <c r="G101" s="39">
        <f t="shared" si="4"/>
        <v>1.4306999999999999</v>
      </c>
      <c r="H101" s="71"/>
      <c r="K101" s="30"/>
      <c r="L101" s="30"/>
      <c r="M101" s="30"/>
      <c r="N101" s="30"/>
      <c r="O101" s="30"/>
      <c r="P101" s="30"/>
    </row>
    <row r="102" spans="1:16" s="28" customFormat="1" ht="19.5" customHeight="1" thickTop="1" thickBot="1">
      <c r="A102" s="39" t="s">
        <v>77</v>
      </c>
      <c r="B102" s="39" t="s">
        <v>64</v>
      </c>
      <c r="C102" s="39" t="str">
        <f t="shared" si="3"/>
        <v>Luxembourgunfavorable</v>
      </c>
      <c r="D102" s="39">
        <v>4.5</v>
      </c>
      <c r="E102" s="39">
        <v>0.47499999999999998</v>
      </c>
      <c r="F102" s="39">
        <v>0.502</v>
      </c>
      <c r="G102" s="39">
        <f t="shared" si="4"/>
        <v>1.0730249999999999</v>
      </c>
      <c r="H102" s="71"/>
      <c r="K102" s="30"/>
      <c r="L102" s="30"/>
      <c r="M102" s="30"/>
      <c r="N102" s="30"/>
      <c r="O102" s="30"/>
      <c r="P102" s="30"/>
    </row>
    <row r="103" spans="1:16" s="28" customFormat="1" ht="19.5" customHeight="1" thickTop="1" thickBot="1">
      <c r="A103" s="39" t="s">
        <v>78</v>
      </c>
      <c r="B103" s="39" t="s">
        <v>63</v>
      </c>
      <c r="C103" s="39" t="str">
        <f t="shared" si="3"/>
        <v>Hungaryfavorable</v>
      </c>
      <c r="D103" s="39">
        <v>7.5</v>
      </c>
      <c r="E103" s="39">
        <v>0.47499999999999998</v>
      </c>
      <c r="F103" s="39">
        <v>0.502</v>
      </c>
      <c r="G103" s="39">
        <f t="shared" si="4"/>
        <v>1.788375</v>
      </c>
      <c r="H103" s="71"/>
      <c r="K103" s="30"/>
      <c r="L103" s="30"/>
      <c r="M103" s="30"/>
      <c r="N103" s="30"/>
      <c r="O103" s="30"/>
      <c r="P103" s="30"/>
    </row>
    <row r="104" spans="1:16" s="28" customFormat="1" ht="19.5" customHeight="1" thickTop="1" thickBot="1">
      <c r="A104" s="39" t="s">
        <v>78</v>
      </c>
      <c r="B104" s="39" t="s">
        <v>19</v>
      </c>
      <c r="C104" s="39" t="str">
        <f t="shared" si="3"/>
        <v>Hungaryaverage</v>
      </c>
      <c r="D104" s="39">
        <v>6</v>
      </c>
      <c r="E104" s="39">
        <v>0.47499999999999998</v>
      </c>
      <c r="F104" s="39">
        <v>0.502</v>
      </c>
      <c r="G104" s="39">
        <f t="shared" si="4"/>
        <v>1.4306999999999999</v>
      </c>
      <c r="H104" s="71"/>
      <c r="K104" s="30"/>
      <c r="L104" s="30"/>
      <c r="M104" s="30"/>
      <c r="N104" s="30"/>
      <c r="O104" s="30"/>
      <c r="P104" s="30"/>
    </row>
    <row r="105" spans="1:16" s="28" customFormat="1" ht="19.5" customHeight="1" thickTop="1" thickBot="1">
      <c r="A105" s="39" t="s">
        <v>78</v>
      </c>
      <c r="B105" s="39" t="s">
        <v>64</v>
      </c>
      <c r="C105" s="39" t="str">
        <f t="shared" si="3"/>
        <v>Hungaryunfavorable</v>
      </c>
      <c r="D105" s="39">
        <v>4.5</v>
      </c>
      <c r="E105" s="39">
        <v>0.47499999999999998</v>
      </c>
      <c r="F105" s="39">
        <v>0.502</v>
      </c>
      <c r="G105" s="39">
        <f t="shared" si="4"/>
        <v>1.0730249999999999</v>
      </c>
      <c r="H105" s="71"/>
      <c r="K105" s="30"/>
      <c r="L105" s="30"/>
      <c r="M105" s="30"/>
      <c r="N105" s="30"/>
      <c r="O105" s="30"/>
      <c r="P105" s="30"/>
    </row>
    <row r="106" spans="1:16" s="28" customFormat="1" ht="19.5" customHeight="1" thickTop="1" thickBot="1">
      <c r="A106" s="39" t="s">
        <v>79</v>
      </c>
      <c r="B106" s="39" t="s">
        <v>63</v>
      </c>
      <c r="C106" s="39" t="str">
        <f t="shared" si="3"/>
        <v>Maltafavorable</v>
      </c>
      <c r="D106" s="39">
        <v>7.5</v>
      </c>
      <c r="E106" s="39">
        <v>0.47499999999999998</v>
      </c>
      <c r="F106" s="39">
        <v>0.502</v>
      </c>
      <c r="G106" s="39">
        <f t="shared" si="4"/>
        <v>1.788375</v>
      </c>
      <c r="H106" s="71"/>
      <c r="K106" s="30"/>
      <c r="L106" s="30"/>
      <c r="M106" s="30"/>
      <c r="N106" s="30"/>
      <c r="O106" s="30"/>
      <c r="P106" s="30"/>
    </row>
    <row r="107" spans="1:16" s="28" customFormat="1" ht="19.5" customHeight="1" thickTop="1" thickBot="1">
      <c r="A107" s="39" t="s">
        <v>79</v>
      </c>
      <c r="B107" s="39" t="s">
        <v>19</v>
      </c>
      <c r="C107" s="39" t="str">
        <f t="shared" si="3"/>
        <v>Maltaaverage</v>
      </c>
      <c r="D107" s="39">
        <v>6</v>
      </c>
      <c r="E107" s="39">
        <v>0.47499999999999998</v>
      </c>
      <c r="F107" s="39">
        <v>0.502</v>
      </c>
      <c r="G107" s="39">
        <f t="shared" si="4"/>
        <v>1.4306999999999999</v>
      </c>
      <c r="H107" s="71"/>
      <c r="K107" s="30"/>
      <c r="L107" s="30"/>
      <c r="M107" s="30"/>
      <c r="N107" s="30"/>
      <c r="O107" s="30"/>
      <c r="P107" s="30"/>
    </row>
    <row r="108" spans="1:16" s="28" customFormat="1" ht="19.5" customHeight="1" thickTop="1" thickBot="1">
      <c r="A108" s="39" t="s">
        <v>79</v>
      </c>
      <c r="B108" s="39" t="s">
        <v>64</v>
      </c>
      <c r="C108" s="39" t="str">
        <f t="shared" si="3"/>
        <v>Maltaunfavorable</v>
      </c>
      <c r="D108" s="39">
        <v>4.5</v>
      </c>
      <c r="E108" s="39">
        <v>0.47499999999999998</v>
      </c>
      <c r="F108" s="39">
        <v>0.502</v>
      </c>
      <c r="G108" s="39">
        <f t="shared" si="4"/>
        <v>1.0730249999999999</v>
      </c>
      <c r="H108" s="71"/>
      <c r="K108" s="30"/>
      <c r="L108" s="30"/>
      <c r="M108" s="30"/>
      <c r="N108" s="30"/>
      <c r="O108" s="30"/>
      <c r="P108" s="30"/>
    </row>
    <row r="109" spans="1:16" s="28" customFormat="1" ht="19.5" customHeight="1" thickTop="1" thickBot="1">
      <c r="A109" s="39" t="s">
        <v>80</v>
      </c>
      <c r="B109" s="39" t="s">
        <v>63</v>
      </c>
      <c r="C109" s="39" t="str">
        <f t="shared" si="3"/>
        <v>Netherlandsfavorable</v>
      </c>
      <c r="D109" s="39">
        <v>7.5</v>
      </c>
      <c r="E109" s="39">
        <v>0.47499999999999998</v>
      </c>
      <c r="F109" s="39">
        <v>0.502</v>
      </c>
      <c r="G109" s="39">
        <f t="shared" si="4"/>
        <v>1.788375</v>
      </c>
      <c r="H109" s="71"/>
      <c r="I109" s="30"/>
      <c r="K109" s="30"/>
      <c r="L109" s="30"/>
      <c r="M109" s="30"/>
      <c r="N109" s="30"/>
      <c r="O109" s="30"/>
      <c r="P109" s="30"/>
    </row>
    <row r="110" spans="1:16" s="28" customFormat="1" ht="19.5" customHeight="1" thickTop="1" thickBot="1">
      <c r="A110" s="39" t="s">
        <v>80</v>
      </c>
      <c r="B110" s="39" t="s">
        <v>19</v>
      </c>
      <c r="C110" s="39" t="str">
        <f t="shared" si="3"/>
        <v>Netherlandsaverage</v>
      </c>
      <c r="D110" s="39">
        <v>6</v>
      </c>
      <c r="E110" s="39">
        <v>0.47499999999999998</v>
      </c>
      <c r="F110" s="39">
        <v>0.502</v>
      </c>
      <c r="G110" s="39">
        <f t="shared" si="4"/>
        <v>1.4306999999999999</v>
      </c>
      <c r="H110" s="71"/>
      <c r="I110" s="30"/>
      <c r="K110" s="30"/>
      <c r="L110" s="30"/>
      <c r="M110" s="30"/>
      <c r="N110" s="30"/>
      <c r="O110" s="30"/>
      <c r="P110" s="30"/>
    </row>
    <row r="111" spans="1:16" s="28" customFormat="1" ht="19.5" customHeight="1" thickTop="1" thickBot="1">
      <c r="A111" s="39" t="s">
        <v>80</v>
      </c>
      <c r="B111" s="39" t="s">
        <v>64</v>
      </c>
      <c r="C111" s="39" t="str">
        <f t="shared" si="3"/>
        <v>Netherlandsunfavorable</v>
      </c>
      <c r="D111" s="39">
        <v>4.5</v>
      </c>
      <c r="E111" s="39">
        <v>0.47499999999999998</v>
      </c>
      <c r="F111" s="39">
        <v>0.502</v>
      </c>
      <c r="G111" s="39">
        <f t="shared" si="4"/>
        <v>1.0730249999999999</v>
      </c>
      <c r="H111" s="71"/>
      <c r="I111" s="30"/>
    </row>
    <row r="112" spans="1:16" s="28" customFormat="1" ht="19.5" customHeight="1" thickTop="1" thickBot="1">
      <c r="A112" s="39" t="s">
        <v>81</v>
      </c>
      <c r="B112" s="39" t="s">
        <v>63</v>
      </c>
      <c r="C112" s="39" t="str">
        <f t="shared" si="3"/>
        <v>Austriafavorable</v>
      </c>
      <c r="D112" s="39">
        <v>7.5</v>
      </c>
      <c r="E112" s="39">
        <v>0.47499999999999998</v>
      </c>
      <c r="F112" s="39">
        <v>0.502</v>
      </c>
      <c r="G112" s="39">
        <f t="shared" si="4"/>
        <v>1.788375</v>
      </c>
      <c r="H112" s="71"/>
      <c r="I112" s="30"/>
    </row>
    <row r="113" spans="1:9" s="28" customFormat="1" ht="19.5" customHeight="1" thickTop="1" thickBot="1">
      <c r="A113" s="39" t="s">
        <v>81</v>
      </c>
      <c r="B113" s="39" t="s">
        <v>19</v>
      </c>
      <c r="C113" s="39" t="str">
        <f t="shared" si="3"/>
        <v>Austriaaverage</v>
      </c>
      <c r="D113" s="39">
        <v>6</v>
      </c>
      <c r="E113" s="39">
        <v>0.47499999999999998</v>
      </c>
      <c r="F113" s="39">
        <v>0.502</v>
      </c>
      <c r="G113" s="39">
        <f t="shared" si="4"/>
        <v>1.4306999999999999</v>
      </c>
      <c r="H113" s="71"/>
      <c r="I113" s="30"/>
    </row>
    <row r="114" spans="1:9" s="28" customFormat="1" ht="19.5" customHeight="1" thickTop="1" thickBot="1">
      <c r="A114" s="39" t="s">
        <v>81</v>
      </c>
      <c r="B114" s="39" t="s">
        <v>64</v>
      </c>
      <c r="C114" s="39" t="str">
        <f t="shared" si="3"/>
        <v>Austriaunfavorable</v>
      </c>
      <c r="D114" s="39">
        <v>4.5</v>
      </c>
      <c r="E114" s="39">
        <v>0.47499999999999998</v>
      </c>
      <c r="F114" s="39">
        <v>0.502</v>
      </c>
      <c r="G114" s="39">
        <f t="shared" si="4"/>
        <v>1.0730249999999999</v>
      </c>
      <c r="H114" s="71"/>
      <c r="I114" s="30"/>
    </row>
    <row r="115" spans="1:9" s="28" customFormat="1" ht="19.5" customHeight="1" thickTop="1" thickBot="1">
      <c r="A115" s="39" t="s">
        <v>82</v>
      </c>
      <c r="B115" s="39" t="s">
        <v>63</v>
      </c>
      <c r="C115" s="39" t="str">
        <f t="shared" si="3"/>
        <v>Polandfavorable</v>
      </c>
      <c r="D115" s="39">
        <v>7.5</v>
      </c>
      <c r="E115" s="39">
        <v>0.47499999999999998</v>
      </c>
      <c r="F115" s="39">
        <v>0.502</v>
      </c>
      <c r="G115" s="39">
        <f t="shared" si="4"/>
        <v>1.788375</v>
      </c>
      <c r="H115" s="71"/>
      <c r="I115" s="30"/>
    </row>
    <row r="116" spans="1:9" s="28" customFormat="1" ht="19.5" customHeight="1" thickTop="1" thickBot="1">
      <c r="A116" s="39" t="s">
        <v>82</v>
      </c>
      <c r="B116" s="39" t="s">
        <v>19</v>
      </c>
      <c r="C116" s="39" t="str">
        <f t="shared" si="3"/>
        <v>Polandaverage</v>
      </c>
      <c r="D116" s="39">
        <v>6</v>
      </c>
      <c r="E116" s="39">
        <v>0.47499999999999998</v>
      </c>
      <c r="F116" s="39">
        <v>0.502</v>
      </c>
      <c r="G116" s="39">
        <f t="shared" si="4"/>
        <v>1.4306999999999999</v>
      </c>
      <c r="H116" s="71"/>
      <c r="I116" s="30"/>
    </row>
    <row r="117" spans="1:9" s="28" customFormat="1" ht="19.5" customHeight="1" thickTop="1" thickBot="1">
      <c r="A117" s="39" t="s">
        <v>82</v>
      </c>
      <c r="B117" s="39" t="s">
        <v>64</v>
      </c>
      <c r="C117" s="39" t="str">
        <f t="shared" si="3"/>
        <v>Polandunfavorable</v>
      </c>
      <c r="D117" s="39">
        <v>4.5</v>
      </c>
      <c r="E117" s="39">
        <v>0.47499999999999998</v>
      </c>
      <c r="F117" s="39">
        <v>0.502</v>
      </c>
      <c r="G117" s="39">
        <f t="shared" si="4"/>
        <v>1.0730249999999999</v>
      </c>
      <c r="H117" s="71"/>
      <c r="I117" s="30"/>
    </row>
    <row r="118" spans="1:9" s="28" customFormat="1" ht="19.5" customHeight="1" thickTop="1" thickBot="1">
      <c r="A118" s="39" t="s">
        <v>83</v>
      </c>
      <c r="B118" s="39" t="s">
        <v>63</v>
      </c>
      <c r="C118" s="39" t="str">
        <f t="shared" si="3"/>
        <v>Portugalfavorable</v>
      </c>
      <c r="D118" s="39">
        <v>7.5</v>
      </c>
      <c r="E118" s="39">
        <v>0.47499999999999998</v>
      </c>
      <c r="F118" s="39">
        <v>0.502</v>
      </c>
      <c r="G118" s="39">
        <f t="shared" si="4"/>
        <v>1.788375</v>
      </c>
      <c r="H118" s="71"/>
      <c r="I118" s="30"/>
    </row>
    <row r="119" spans="1:9" s="28" customFormat="1" ht="19.5" customHeight="1" thickTop="1" thickBot="1">
      <c r="A119" s="39" t="s">
        <v>83</v>
      </c>
      <c r="B119" s="39" t="s">
        <v>19</v>
      </c>
      <c r="C119" s="39" t="str">
        <f t="shared" si="3"/>
        <v>Portugalaverage</v>
      </c>
      <c r="D119" s="39">
        <v>6</v>
      </c>
      <c r="E119" s="39">
        <v>0.47499999999999998</v>
      </c>
      <c r="F119" s="39">
        <v>0.502</v>
      </c>
      <c r="G119" s="39">
        <f t="shared" si="4"/>
        <v>1.4306999999999999</v>
      </c>
      <c r="H119" s="71"/>
      <c r="I119" s="30"/>
    </row>
    <row r="120" spans="1:9" s="28" customFormat="1" ht="19.5" customHeight="1" thickTop="1" thickBot="1">
      <c r="A120" s="39" t="s">
        <v>83</v>
      </c>
      <c r="B120" s="39" t="s">
        <v>64</v>
      </c>
      <c r="C120" s="39" t="str">
        <f t="shared" si="3"/>
        <v>Portugalunfavorable</v>
      </c>
      <c r="D120" s="39">
        <v>4.5</v>
      </c>
      <c r="E120" s="39">
        <v>0.47499999999999998</v>
      </c>
      <c r="F120" s="39">
        <v>0.502</v>
      </c>
      <c r="G120" s="39">
        <f t="shared" si="4"/>
        <v>1.0730249999999999</v>
      </c>
      <c r="H120" s="71"/>
      <c r="I120" s="30"/>
    </row>
    <row r="121" spans="1:9" s="28" customFormat="1" ht="19.5" customHeight="1" thickTop="1" thickBot="1">
      <c r="A121" s="39" t="s">
        <v>84</v>
      </c>
      <c r="B121" s="39" t="s">
        <v>63</v>
      </c>
      <c r="C121" s="39" t="str">
        <f t="shared" si="3"/>
        <v>Romaniafavorable</v>
      </c>
      <c r="D121" s="39">
        <v>7.5</v>
      </c>
      <c r="E121" s="39">
        <v>0.47499999999999998</v>
      </c>
      <c r="F121" s="39">
        <v>0.502</v>
      </c>
      <c r="G121" s="39">
        <f t="shared" si="4"/>
        <v>1.788375</v>
      </c>
      <c r="H121" s="71"/>
      <c r="I121" s="30"/>
    </row>
    <row r="122" spans="1:9" s="28" customFormat="1" ht="19.5" customHeight="1" thickTop="1" thickBot="1">
      <c r="A122" s="39" t="s">
        <v>84</v>
      </c>
      <c r="B122" s="39" t="s">
        <v>19</v>
      </c>
      <c r="C122" s="39" t="str">
        <f t="shared" si="3"/>
        <v>Romaniaaverage</v>
      </c>
      <c r="D122" s="39">
        <v>6</v>
      </c>
      <c r="E122" s="39">
        <v>0.47499999999999998</v>
      </c>
      <c r="F122" s="39">
        <v>0.502</v>
      </c>
      <c r="G122" s="39">
        <f t="shared" si="4"/>
        <v>1.4306999999999999</v>
      </c>
      <c r="H122" s="71"/>
      <c r="I122" s="30"/>
    </row>
    <row r="123" spans="1:9" s="28" customFormat="1" ht="19.5" customHeight="1" thickTop="1" thickBot="1">
      <c r="A123" s="39" t="s">
        <v>84</v>
      </c>
      <c r="B123" s="39" t="s">
        <v>64</v>
      </c>
      <c r="C123" s="39" t="str">
        <f t="shared" si="3"/>
        <v>Romaniaunfavorable</v>
      </c>
      <c r="D123" s="39">
        <v>4.5</v>
      </c>
      <c r="E123" s="39">
        <v>0.47499999999999998</v>
      </c>
      <c r="F123" s="39">
        <v>0.502</v>
      </c>
      <c r="G123" s="39">
        <f t="shared" si="4"/>
        <v>1.0730249999999999</v>
      </c>
      <c r="H123" s="71"/>
      <c r="I123" s="30"/>
    </row>
    <row r="124" spans="1:9" s="28" customFormat="1" ht="19.5" customHeight="1" thickTop="1" thickBot="1">
      <c r="A124" s="39" t="s">
        <v>85</v>
      </c>
      <c r="B124" s="39" t="s">
        <v>63</v>
      </c>
      <c r="C124" s="39" t="str">
        <f t="shared" si="3"/>
        <v>Sloveniafavorable</v>
      </c>
      <c r="D124" s="39">
        <v>7.5</v>
      </c>
      <c r="E124" s="39">
        <v>0.47499999999999998</v>
      </c>
      <c r="F124" s="39">
        <v>0.502</v>
      </c>
      <c r="G124" s="39">
        <f t="shared" si="4"/>
        <v>1.788375</v>
      </c>
      <c r="H124" s="71"/>
      <c r="I124" s="30"/>
    </row>
    <row r="125" spans="1:9" s="28" customFormat="1" ht="19.5" customHeight="1" thickTop="1" thickBot="1">
      <c r="A125" s="39" t="s">
        <v>85</v>
      </c>
      <c r="B125" s="39" t="s">
        <v>19</v>
      </c>
      <c r="C125" s="39" t="str">
        <f t="shared" ref="C125:C138" si="5">CONCATENATE(A125,B125)</f>
        <v>Sloveniaaverage</v>
      </c>
      <c r="D125" s="39">
        <v>6</v>
      </c>
      <c r="E125" s="39">
        <v>0.47499999999999998</v>
      </c>
      <c r="F125" s="39">
        <v>0.502</v>
      </c>
      <c r="G125" s="39">
        <f t="shared" ref="G125:G138" si="6">D125*E125*F125</f>
        <v>1.4306999999999999</v>
      </c>
      <c r="H125" s="71"/>
      <c r="I125" s="30"/>
    </row>
    <row r="126" spans="1:9" s="28" customFormat="1" ht="19.5" customHeight="1" thickTop="1" thickBot="1">
      <c r="A126" s="39" t="s">
        <v>85</v>
      </c>
      <c r="B126" s="39" t="s">
        <v>64</v>
      </c>
      <c r="C126" s="39" t="str">
        <f t="shared" si="5"/>
        <v>Sloveniaunfavorable</v>
      </c>
      <c r="D126" s="39">
        <v>4.5</v>
      </c>
      <c r="E126" s="39">
        <v>0.47499999999999998</v>
      </c>
      <c r="F126" s="39">
        <v>0.502</v>
      </c>
      <c r="G126" s="39">
        <f t="shared" si="6"/>
        <v>1.0730249999999999</v>
      </c>
      <c r="H126" s="71"/>
      <c r="I126" s="30"/>
    </row>
    <row r="127" spans="1:9" s="28" customFormat="1" ht="19.5" customHeight="1" thickTop="1" thickBot="1">
      <c r="A127" s="39" t="s">
        <v>86</v>
      </c>
      <c r="B127" s="39" t="s">
        <v>63</v>
      </c>
      <c r="C127" s="39" t="str">
        <f t="shared" si="5"/>
        <v>Slovakiafavorable</v>
      </c>
      <c r="D127" s="39">
        <v>7.5</v>
      </c>
      <c r="E127" s="39">
        <v>0.47499999999999998</v>
      </c>
      <c r="F127" s="39">
        <v>0.502</v>
      </c>
      <c r="G127" s="39">
        <f t="shared" si="6"/>
        <v>1.788375</v>
      </c>
      <c r="H127" s="71"/>
      <c r="I127" s="30"/>
    </row>
    <row r="128" spans="1:9" s="28" customFormat="1" ht="19.5" customHeight="1" thickTop="1" thickBot="1">
      <c r="A128" s="39" t="s">
        <v>86</v>
      </c>
      <c r="B128" s="39" t="s">
        <v>19</v>
      </c>
      <c r="C128" s="39" t="str">
        <f t="shared" si="5"/>
        <v>Slovakiaaverage</v>
      </c>
      <c r="D128" s="39">
        <v>6</v>
      </c>
      <c r="E128" s="39">
        <v>0.47499999999999998</v>
      </c>
      <c r="F128" s="39">
        <v>0.502</v>
      </c>
      <c r="G128" s="39">
        <f t="shared" si="6"/>
        <v>1.4306999999999999</v>
      </c>
      <c r="H128" s="71"/>
      <c r="I128" s="30"/>
    </row>
    <row r="129" spans="1:10" s="28" customFormat="1" ht="19.5" customHeight="1" thickTop="1" thickBot="1">
      <c r="A129" s="39" t="s">
        <v>86</v>
      </c>
      <c r="B129" s="39" t="s">
        <v>64</v>
      </c>
      <c r="C129" s="39" t="str">
        <f t="shared" si="5"/>
        <v>Slovakiaunfavorable</v>
      </c>
      <c r="D129" s="39">
        <v>4.5</v>
      </c>
      <c r="E129" s="39">
        <v>0.47499999999999998</v>
      </c>
      <c r="F129" s="39">
        <v>0.502</v>
      </c>
      <c r="G129" s="39">
        <f t="shared" si="6"/>
        <v>1.0730249999999999</v>
      </c>
      <c r="H129" s="71"/>
      <c r="I129" s="30"/>
    </row>
    <row r="130" spans="1:10" s="28" customFormat="1" ht="19.5" customHeight="1" thickTop="1" thickBot="1">
      <c r="A130" s="39" t="s">
        <v>87</v>
      </c>
      <c r="B130" s="39" t="s">
        <v>63</v>
      </c>
      <c r="C130" s="39" t="str">
        <f t="shared" si="5"/>
        <v>Finlandfavorable</v>
      </c>
      <c r="D130" s="39">
        <v>7.5</v>
      </c>
      <c r="E130" s="39">
        <v>0.47499999999999998</v>
      </c>
      <c r="F130" s="39">
        <v>0.502</v>
      </c>
      <c r="G130" s="39">
        <f t="shared" si="6"/>
        <v>1.788375</v>
      </c>
      <c r="H130" s="71"/>
      <c r="I130" s="30"/>
    </row>
    <row r="131" spans="1:10" s="28" customFormat="1" ht="19.5" customHeight="1" thickTop="1" thickBot="1">
      <c r="A131" s="39" t="s">
        <v>87</v>
      </c>
      <c r="B131" s="39" t="s">
        <v>19</v>
      </c>
      <c r="C131" s="39" t="str">
        <f t="shared" si="5"/>
        <v>Finlandaverage</v>
      </c>
      <c r="D131" s="39">
        <v>6</v>
      </c>
      <c r="E131" s="39">
        <v>0.47499999999999998</v>
      </c>
      <c r="F131" s="39">
        <v>0.502</v>
      </c>
      <c r="G131" s="39">
        <f t="shared" si="6"/>
        <v>1.4306999999999999</v>
      </c>
      <c r="H131" s="71"/>
      <c r="I131" s="30"/>
    </row>
    <row r="132" spans="1:10" s="28" customFormat="1" ht="19.5" customHeight="1" thickTop="1" thickBot="1">
      <c r="A132" s="39" t="s">
        <v>87</v>
      </c>
      <c r="B132" s="39" t="s">
        <v>64</v>
      </c>
      <c r="C132" s="39" t="str">
        <f t="shared" si="5"/>
        <v>Finlandunfavorable</v>
      </c>
      <c r="D132" s="39">
        <v>4.5</v>
      </c>
      <c r="E132" s="39">
        <v>0.47499999999999998</v>
      </c>
      <c r="F132" s="39">
        <v>0.502</v>
      </c>
      <c r="G132" s="39">
        <f t="shared" si="6"/>
        <v>1.0730249999999999</v>
      </c>
      <c r="H132" s="71"/>
      <c r="I132" s="30"/>
    </row>
    <row r="133" spans="1:10" s="28" customFormat="1" ht="19.5" customHeight="1" thickTop="1" thickBot="1">
      <c r="A133" s="39" t="s">
        <v>88</v>
      </c>
      <c r="B133" s="39" t="s">
        <v>63</v>
      </c>
      <c r="C133" s="39" t="str">
        <f t="shared" si="5"/>
        <v>Swedenfavorable</v>
      </c>
      <c r="D133" s="39">
        <v>7.5</v>
      </c>
      <c r="E133" s="39">
        <v>0.47499999999999998</v>
      </c>
      <c r="F133" s="39">
        <v>0.502</v>
      </c>
      <c r="G133" s="39">
        <f t="shared" si="6"/>
        <v>1.788375</v>
      </c>
      <c r="H133" s="71"/>
      <c r="I133" s="30"/>
    </row>
    <row r="134" spans="1:10" s="28" customFormat="1" ht="19.5" customHeight="1" thickTop="1" thickBot="1">
      <c r="A134" s="39" t="s">
        <v>88</v>
      </c>
      <c r="B134" s="39" t="s">
        <v>19</v>
      </c>
      <c r="C134" s="39" t="str">
        <f t="shared" si="5"/>
        <v>Swedenaverage</v>
      </c>
      <c r="D134" s="39">
        <v>6</v>
      </c>
      <c r="E134" s="39">
        <v>0.47499999999999998</v>
      </c>
      <c r="F134" s="39">
        <v>0.502</v>
      </c>
      <c r="G134" s="39">
        <f t="shared" si="6"/>
        <v>1.4306999999999999</v>
      </c>
      <c r="H134" s="71"/>
      <c r="I134" s="30"/>
    </row>
    <row r="135" spans="1:10" s="28" customFormat="1" ht="19.5" customHeight="1" thickTop="1" thickBot="1">
      <c r="A135" s="39" t="s">
        <v>88</v>
      </c>
      <c r="B135" s="39" t="s">
        <v>64</v>
      </c>
      <c r="C135" s="39" t="str">
        <f t="shared" si="5"/>
        <v>Swedenunfavorable</v>
      </c>
      <c r="D135" s="39">
        <v>4.5</v>
      </c>
      <c r="E135" s="39">
        <v>0.47499999999999998</v>
      </c>
      <c r="F135" s="39">
        <v>0.502</v>
      </c>
      <c r="G135" s="39">
        <f t="shared" si="6"/>
        <v>1.0730249999999999</v>
      </c>
      <c r="H135" s="71"/>
      <c r="I135" s="30"/>
    </row>
    <row r="136" spans="1:10" s="28" customFormat="1" ht="19.5" customHeight="1" thickTop="1" thickBot="1">
      <c r="A136" s="39" t="s">
        <v>89</v>
      </c>
      <c r="B136" s="39" t="s">
        <v>63</v>
      </c>
      <c r="C136" s="39" t="str">
        <f t="shared" si="5"/>
        <v>United Kingdomfavorable</v>
      </c>
      <c r="D136" s="39">
        <v>7.5</v>
      </c>
      <c r="E136" s="39">
        <v>0.47499999999999998</v>
      </c>
      <c r="F136" s="39">
        <v>0.502</v>
      </c>
      <c r="G136" s="39">
        <f t="shared" si="6"/>
        <v>1.788375</v>
      </c>
      <c r="H136" s="71"/>
      <c r="I136" s="30"/>
    </row>
    <row r="137" spans="1:10" s="28" customFormat="1" ht="19.5" customHeight="1" thickTop="1" thickBot="1">
      <c r="A137" s="39" t="s">
        <v>89</v>
      </c>
      <c r="B137" s="39" t="s">
        <v>19</v>
      </c>
      <c r="C137" s="39" t="str">
        <f t="shared" si="5"/>
        <v>United Kingdomaverage</v>
      </c>
      <c r="D137" s="39">
        <v>6</v>
      </c>
      <c r="E137" s="39">
        <v>0.47499999999999998</v>
      </c>
      <c r="F137" s="39">
        <v>0.502</v>
      </c>
      <c r="G137" s="39">
        <f t="shared" si="6"/>
        <v>1.4306999999999999</v>
      </c>
      <c r="H137" s="71"/>
      <c r="I137" s="30"/>
    </row>
    <row r="138" spans="1:10" s="28" customFormat="1" ht="19.5" customHeight="1" thickTop="1" thickBot="1">
      <c r="A138" s="39" t="s">
        <v>89</v>
      </c>
      <c r="B138" s="39" t="s">
        <v>64</v>
      </c>
      <c r="C138" s="39" t="str">
        <f t="shared" si="5"/>
        <v>United Kingdomunfavorable</v>
      </c>
      <c r="D138" s="39">
        <v>4.5</v>
      </c>
      <c r="E138" s="39">
        <v>0.47499999999999998</v>
      </c>
      <c r="F138" s="39">
        <v>0.502</v>
      </c>
      <c r="G138" s="39">
        <f t="shared" si="6"/>
        <v>1.0730249999999999</v>
      </c>
      <c r="H138" s="71"/>
      <c r="I138" s="30"/>
    </row>
    <row r="139" spans="1:10" s="28" customFormat="1" ht="19.5" customHeight="1" thickTop="1">
      <c r="A139" s="36"/>
      <c r="I139" s="30"/>
    </row>
    <row r="140" spans="1:10" s="4" customFormat="1" ht="12.75">
      <c r="A140" s="24" t="s">
        <v>119</v>
      </c>
      <c r="J140" s="28"/>
    </row>
    <row r="141" spans="1:10" s="4" customFormat="1" ht="12.75">
      <c r="A141" s="13" t="s">
        <v>120</v>
      </c>
      <c r="B141" s="26" t="s">
        <v>121</v>
      </c>
      <c r="C141" s="27"/>
      <c r="D141" s="4" t="s">
        <v>136</v>
      </c>
      <c r="J141" s="28"/>
    </row>
    <row r="142" spans="1:10" s="4" customFormat="1" ht="51">
      <c r="A142" s="10" t="s">
        <v>57</v>
      </c>
      <c r="B142" s="10" t="s">
        <v>16</v>
      </c>
      <c r="C142" s="10" t="s">
        <v>15</v>
      </c>
      <c r="D142" s="10" t="s">
        <v>23</v>
      </c>
      <c r="J142" s="28"/>
    </row>
    <row r="143" spans="1:10" s="28" customFormat="1" ht="40.5" customHeight="1" thickBot="1">
      <c r="A143" s="39" t="s">
        <v>62</v>
      </c>
      <c r="B143" s="39" t="s">
        <v>25</v>
      </c>
      <c r="C143" s="39" t="str">
        <f t="shared" ref="C143:C174" si="7">CONCATENATE(A143,B143)</f>
        <v>BelgiumOrchard (apple tree, pear tree...)</v>
      </c>
      <c r="D143" s="39">
        <v>0.1</v>
      </c>
      <c r="E143" s="4"/>
      <c r="F143" s="4"/>
      <c r="G143" s="4"/>
      <c r="H143" s="4"/>
      <c r="I143" s="4"/>
      <c r="J143" s="4"/>
    </row>
    <row r="144" spans="1:10" s="28" customFormat="1" ht="22.5" customHeight="1" thickTop="1" thickBot="1">
      <c r="A144" s="39" t="s">
        <v>62</v>
      </c>
      <c r="B144" s="39" t="s">
        <v>24</v>
      </c>
      <c r="C144" s="39" t="str">
        <f t="shared" si="7"/>
        <v>BelgiumVineyard (vine stock)</v>
      </c>
      <c r="D144" s="39">
        <v>0.1</v>
      </c>
      <c r="E144" s="4"/>
      <c r="F144" s="4"/>
      <c r="G144" s="4"/>
      <c r="H144" s="4"/>
      <c r="I144" s="4"/>
      <c r="J144"/>
    </row>
    <row r="145" spans="1:10" s="28" customFormat="1" ht="22.5" customHeight="1" thickTop="1" thickBot="1">
      <c r="A145" s="39" t="s">
        <v>65</v>
      </c>
      <c r="B145" s="39" t="s">
        <v>25</v>
      </c>
      <c r="C145" s="39" t="str">
        <f t="shared" si="7"/>
        <v>BulgariaOrchard (apple tree, pear tree...)</v>
      </c>
      <c r="D145" s="39">
        <v>0.1</v>
      </c>
      <c r="E145" s="4"/>
      <c r="F145" s="4"/>
      <c r="G145" s="4"/>
      <c r="H145" s="4"/>
      <c r="I145" s="4"/>
      <c r="J145"/>
    </row>
    <row r="146" spans="1:10" s="28" customFormat="1" ht="22.5" customHeight="1" thickTop="1" thickBot="1">
      <c r="A146" s="39" t="s">
        <v>65</v>
      </c>
      <c r="B146" s="39" t="s">
        <v>24</v>
      </c>
      <c r="C146" s="39" t="str">
        <f t="shared" si="7"/>
        <v>BulgariaVineyard (vine stock)</v>
      </c>
      <c r="D146" s="39">
        <v>0.1</v>
      </c>
      <c r="J146"/>
    </row>
    <row r="147" spans="1:10" s="28" customFormat="1" ht="22.5" customHeight="1" thickTop="1" thickBot="1">
      <c r="A147" s="39" t="s">
        <v>66</v>
      </c>
      <c r="B147" s="39" t="s">
        <v>25</v>
      </c>
      <c r="C147" s="39" t="str">
        <f t="shared" si="7"/>
        <v>Czech RepublicOrchard (apple tree, pear tree...)</v>
      </c>
      <c r="D147" s="39">
        <v>0.1</v>
      </c>
      <c r="J147"/>
    </row>
    <row r="148" spans="1:10" s="28" customFormat="1" ht="22.5" customHeight="1" thickTop="1" thickBot="1">
      <c r="A148" s="39" t="s">
        <v>66</v>
      </c>
      <c r="B148" s="39" t="s">
        <v>24</v>
      </c>
      <c r="C148" s="39" t="str">
        <f t="shared" si="7"/>
        <v>Czech RepublicVineyard (vine stock)</v>
      </c>
      <c r="D148" s="39">
        <v>0.1</v>
      </c>
      <c r="J148"/>
    </row>
    <row r="149" spans="1:10" s="28" customFormat="1" ht="22.5" customHeight="1" thickTop="1" thickBot="1">
      <c r="A149" s="39" t="s">
        <v>67</v>
      </c>
      <c r="B149" s="39" t="s">
        <v>25</v>
      </c>
      <c r="C149" s="39" t="str">
        <f t="shared" si="7"/>
        <v>DenmarkOrchard (apple tree, pear tree...)</v>
      </c>
      <c r="D149" s="39">
        <v>0.1</v>
      </c>
      <c r="J149"/>
    </row>
    <row r="150" spans="1:10" s="28" customFormat="1" ht="22.5" customHeight="1" thickTop="1" thickBot="1">
      <c r="A150" s="39" t="s">
        <v>67</v>
      </c>
      <c r="B150" s="39" t="s">
        <v>24</v>
      </c>
      <c r="C150" s="39" t="str">
        <f t="shared" si="7"/>
        <v>DenmarkVineyard (vine stock)</v>
      </c>
      <c r="D150" s="39">
        <v>0.1</v>
      </c>
      <c r="J150"/>
    </row>
    <row r="151" spans="1:10" s="28" customFormat="1" ht="22.5" customHeight="1" thickTop="1" thickBot="1">
      <c r="A151" s="39" t="s">
        <v>68</v>
      </c>
      <c r="B151" s="39" t="s">
        <v>25</v>
      </c>
      <c r="C151" s="39" t="str">
        <f t="shared" si="7"/>
        <v>EstoniaOrchard (apple tree, pear tree...)</v>
      </c>
      <c r="D151" s="39">
        <v>0.1</v>
      </c>
      <c r="J151"/>
    </row>
    <row r="152" spans="1:10" s="28" customFormat="1" ht="22.5" customHeight="1" thickTop="1" thickBot="1">
      <c r="A152" s="39" t="s">
        <v>68</v>
      </c>
      <c r="B152" s="39" t="s">
        <v>24</v>
      </c>
      <c r="C152" s="39" t="str">
        <f t="shared" si="7"/>
        <v>EstoniaVineyard (vine stock)</v>
      </c>
      <c r="D152" s="39">
        <v>0.1</v>
      </c>
      <c r="J152"/>
    </row>
    <row r="153" spans="1:10" s="28" customFormat="1" ht="22.5" customHeight="1" thickTop="1" thickBot="1">
      <c r="A153" s="39" t="s">
        <v>69</v>
      </c>
      <c r="B153" s="39" t="s">
        <v>25</v>
      </c>
      <c r="C153" s="39" t="str">
        <f t="shared" si="7"/>
        <v>IrelandOrchard (apple tree, pear tree...)</v>
      </c>
      <c r="D153" s="39">
        <v>0.1</v>
      </c>
      <c r="J153"/>
    </row>
    <row r="154" spans="1:10" s="28" customFormat="1" ht="22.5" customHeight="1" thickTop="1" thickBot="1">
      <c r="A154" s="39" t="s">
        <v>69</v>
      </c>
      <c r="B154" s="39" t="s">
        <v>24</v>
      </c>
      <c r="C154" s="39" t="str">
        <f t="shared" si="7"/>
        <v>IrelandVineyard (vine stock)</v>
      </c>
      <c r="D154" s="39">
        <v>0.1</v>
      </c>
      <c r="J154"/>
    </row>
    <row r="155" spans="1:10" s="28" customFormat="1" ht="22.5" customHeight="1" thickTop="1" thickBot="1">
      <c r="A155" s="39" t="s">
        <v>90</v>
      </c>
      <c r="B155" s="39" t="s">
        <v>25</v>
      </c>
      <c r="C155" s="39" t="str">
        <f t="shared" si="7"/>
        <v>germanyOrchard (apple tree, pear tree...)</v>
      </c>
      <c r="D155" s="39">
        <v>0.1</v>
      </c>
      <c r="J155"/>
    </row>
    <row r="156" spans="1:10" s="28" customFormat="1" ht="22.5" customHeight="1" thickTop="1" thickBot="1">
      <c r="A156" s="39" t="s">
        <v>90</v>
      </c>
      <c r="B156" s="39" t="s">
        <v>24</v>
      </c>
      <c r="C156" s="39" t="str">
        <f t="shared" si="7"/>
        <v>germanyVineyard (vine stock)</v>
      </c>
      <c r="D156" s="39">
        <v>0.1</v>
      </c>
      <c r="J156"/>
    </row>
    <row r="157" spans="1:10" s="28" customFormat="1" ht="22.5" customHeight="1" thickTop="1" thickBot="1">
      <c r="A157" s="39" t="s">
        <v>71</v>
      </c>
      <c r="B157" s="39" t="s">
        <v>25</v>
      </c>
      <c r="C157" s="39" t="str">
        <f t="shared" si="7"/>
        <v>SpainOrchard (apple tree, pear tree...)</v>
      </c>
      <c r="D157" s="39">
        <v>0.1</v>
      </c>
      <c r="J157"/>
    </row>
    <row r="158" spans="1:10" s="28" customFormat="1" ht="22.5" customHeight="1" thickTop="1" thickBot="1">
      <c r="A158" s="39" t="s">
        <v>71</v>
      </c>
      <c r="B158" s="39" t="s">
        <v>24</v>
      </c>
      <c r="C158" s="39" t="str">
        <f t="shared" si="7"/>
        <v>SpainVineyard (vine stock)</v>
      </c>
      <c r="D158" s="39">
        <v>0.1</v>
      </c>
      <c r="J158"/>
    </row>
    <row r="159" spans="1:10" s="28" customFormat="1" ht="22.5" customHeight="1" thickTop="1" thickBot="1">
      <c r="A159" s="39" t="s">
        <v>72</v>
      </c>
      <c r="B159" s="39" t="s">
        <v>25</v>
      </c>
      <c r="C159" s="39" t="str">
        <f t="shared" si="7"/>
        <v>FranceOrchard (apple tree, pear tree...)</v>
      </c>
      <c r="D159" s="39">
        <v>0.1</v>
      </c>
      <c r="J159"/>
    </row>
    <row r="160" spans="1:10" s="28" customFormat="1" ht="22.5" customHeight="1" thickTop="1" thickBot="1">
      <c r="A160" s="39" t="s">
        <v>72</v>
      </c>
      <c r="B160" s="39" t="s">
        <v>24</v>
      </c>
      <c r="C160" s="39" t="str">
        <f t="shared" si="7"/>
        <v>FranceVineyard (vine stock)</v>
      </c>
      <c r="D160" s="39">
        <v>0.1</v>
      </c>
      <c r="J160"/>
    </row>
    <row r="161" spans="1:10" s="28" customFormat="1" ht="22.5" customHeight="1" thickTop="1" thickBot="1">
      <c r="A161" s="39" t="s">
        <v>73</v>
      </c>
      <c r="B161" s="39" t="s">
        <v>25</v>
      </c>
      <c r="C161" s="39" t="str">
        <f t="shared" si="7"/>
        <v>ItalyOrchard (apple tree, pear tree...)</v>
      </c>
      <c r="D161" s="39">
        <v>0.1</v>
      </c>
      <c r="J161"/>
    </row>
    <row r="162" spans="1:10" s="28" customFormat="1" ht="22.5" customHeight="1" thickTop="1" thickBot="1">
      <c r="A162" s="39" t="s">
        <v>73</v>
      </c>
      <c r="B162" s="39" t="s">
        <v>24</v>
      </c>
      <c r="C162" s="39" t="str">
        <f t="shared" si="7"/>
        <v>ItalyVineyard (vine stock)</v>
      </c>
      <c r="D162" s="39">
        <v>0.1</v>
      </c>
      <c r="J162"/>
    </row>
    <row r="163" spans="1:10" s="28" customFormat="1" ht="22.5" customHeight="1" thickTop="1" thickBot="1">
      <c r="A163" s="39" t="s">
        <v>74</v>
      </c>
      <c r="B163" s="39" t="s">
        <v>25</v>
      </c>
      <c r="C163" s="39" t="str">
        <f t="shared" si="7"/>
        <v>CyprusOrchard (apple tree, pear tree...)</v>
      </c>
      <c r="D163" s="39">
        <v>0.1</v>
      </c>
      <c r="J163"/>
    </row>
    <row r="164" spans="1:10" s="28" customFormat="1" ht="22.5" customHeight="1" thickTop="1" thickBot="1">
      <c r="A164" s="39" t="s">
        <v>74</v>
      </c>
      <c r="B164" s="39" t="s">
        <v>24</v>
      </c>
      <c r="C164" s="39" t="str">
        <f t="shared" si="7"/>
        <v>CyprusVineyard (vine stock)</v>
      </c>
      <c r="D164" s="39">
        <v>0.1</v>
      </c>
      <c r="J164"/>
    </row>
    <row r="165" spans="1:10" s="28" customFormat="1" ht="22.5" customHeight="1" thickTop="1" thickBot="1">
      <c r="A165" s="39" t="s">
        <v>75</v>
      </c>
      <c r="B165" s="39" t="s">
        <v>25</v>
      </c>
      <c r="C165" s="39" t="str">
        <f t="shared" si="7"/>
        <v>LatviaOrchard (apple tree, pear tree...)</v>
      </c>
      <c r="D165" s="39">
        <v>0.1</v>
      </c>
      <c r="J165"/>
    </row>
    <row r="166" spans="1:10" s="28" customFormat="1" ht="22.5" customHeight="1" thickTop="1" thickBot="1">
      <c r="A166" s="39" t="s">
        <v>75</v>
      </c>
      <c r="B166" s="39" t="s">
        <v>24</v>
      </c>
      <c r="C166" s="39" t="str">
        <f t="shared" si="7"/>
        <v>LatviaVineyard (vine stock)</v>
      </c>
      <c r="D166" s="39">
        <v>0.1</v>
      </c>
      <c r="J166"/>
    </row>
    <row r="167" spans="1:10" s="28" customFormat="1" ht="22.5" customHeight="1" thickTop="1" thickBot="1">
      <c r="A167" s="39" t="s">
        <v>76</v>
      </c>
      <c r="B167" s="39" t="s">
        <v>25</v>
      </c>
      <c r="C167" s="39" t="str">
        <f t="shared" si="7"/>
        <v>LithuaniaOrchard (apple tree, pear tree...)</v>
      </c>
      <c r="D167" s="39">
        <v>0.1</v>
      </c>
      <c r="J167"/>
    </row>
    <row r="168" spans="1:10" s="28" customFormat="1" ht="22.5" customHeight="1" thickTop="1" thickBot="1">
      <c r="A168" s="39" t="s">
        <v>76</v>
      </c>
      <c r="B168" s="39" t="s">
        <v>24</v>
      </c>
      <c r="C168" s="39" t="str">
        <f t="shared" si="7"/>
        <v>LithuaniaVineyard (vine stock)</v>
      </c>
      <c r="D168" s="39">
        <v>0.1</v>
      </c>
      <c r="J168"/>
    </row>
    <row r="169" spans="1:10" s="28" customFormat="1" ht="22.5" customHeight="1" thickTop="1" thickBot="1">
      <c r="A169" s="39" t="s">
        <v>77</v>
      </c>
      <c r="B169" s="39" t="s">
        <v>25</v>
      </c>
      <c r="C169" s="39" t="str">
        <f t="shared" si="7"/>
        <v>LuxembourgOrchard (apple tree, pear tree...)</v>
      </c>
      <c r="D169" s="39">
        <v>0.1</v>
      </c>
      <c r="J169"/>
    </row>
    <row r="170" spans="1:10" s="28" customFormat="1" ht="22.5" customHeight="1" thickTop="1" thickBot="1">
      <c r="A170" s="39" t="s">
        <v>77</v>
      </c>
      <c r="B170" s="39" t="s">
        <v>24</v>
      </c>
      <c r="C170" s="39" t="str">
        <f t="shared" si="7"/>
        <v>LuxembourgVineyard (vine stock)</v>
      </c>
      <c r="D170" s="39">
        <v>0.1</v>
      </c>
      <c r="J170"/>
    </row>
    <row r="171" spans="1:10" s="28" customFormat="1" ht="22.5" customHeight="1" thickTop="1" thickBot="1">
      <c r="A171" s="39" t="s">
        <v>78</v>
      </c>
      <c r="B171" s="39" t="s">
        <v>25</v>
      </c>
      <c r="C171" s="39" t="str">
        <f t="shared" si="7"/>
        <v>HungaryOrchard (apple tree, pear tree...)</v>
      </c>
      <c r="D171" s="39">
        <v>0.1</v>
      </c>
      <c r="J171"/>
    </row>
    <row r="172" spans="1:10" s="28" customFormat="1" ht="22.5" customHeight="1" thickTop="1" thickBot="1">
      <c r="A172" s="39" t="s">
        <v>78</v>
      </c>
      <c r="B172" s="39" t="s">
        <v>24</v>
      </c>
      <c r="C172" s="39" t="str">
        <f t="shared" si="7"/>
        <v>HungaryVineyard (vine stock)</v>
      </c>
      <c r="D172" s="39">
        <v>0.1</v>
      </c>
      <c r="J172"/>
    </row>
    <row r="173" spans="1:10" s="28" customFormat="1" ht="22.5" customHeight="1" thickTop="1" thickBot="1">
      <c r="A173" s="39" t="s">
        <v>79</v>
      </c>
      <c r="B173" s="39" t="s">
        <v>24</v>
      </c>
      <c r="C173" s="39" t="str">
        <f t="shared" si="7"/>
        <v>MaltaVineyard (vine stock)</v>
      </c>
      <c r="D173" s="39">
        <v>0.1</v>
      </c>
      <c r="J173"/>
    </row>
    <row r="174" spans="1:10" s="28" customFormat="1" ht="22.5" customHeight="1" thickTop="1" thickBot="1">
      <c r="A174" s="39" t="s">
        <v>79</v>
      </c>
      <c r="B174" s="39" t="s">
        <v>25</v>
      </c>
      <c r="C174" s="39" t="str">
        <f t="shared" si="7"/>
        <v>MaltaOrchard (apple tree, pear tree...)</v>
      </c>
      <c r="D174" s="39">
        <v>0.1</v>
      </c>
      <c r="J174"/>
    </row>
    <row r="175" spans="1:10" s="28" customFormat="1" ht="22.5" customHeight="1" thickTop="1" thickBot="1">
      <c r="A175" s="39" t="s">
        <v>80</v>
      </c>
      <c r="B175" s="39" t="s">
        <v>24</v>
      </c>
      <c r="C175" s="39" t="str">
        <f t="shared" ref="C175:C194" si="8">CONCATENATE(A175,B175)</f>
        <v>NetherlandsVineyard (vine stock)</v>
      </c>
      <c r="D175" s="39">
        <v>0.1</v>
      </c>
      <c r="J175"/>
    </row>
    <row r="176" spans="1:10" s="28" customFormat="1" ht="22.5" customHeight="1" thickTop="1" thickBot="1">
      <c r="A176" s="39" t="s">
        <v>80</v>
      </c>
      <c r="B176" s="39" t="s">
        <v>25</v>
      </c>
      <c r="C176" s="39" t="str">
        <f t="shared" si="8"/>
        <v>NetherlandsOrchard (apple tree, pear tree...)</v>
      </c>
      <c r="D176" s="39">
        <v>0.1</v>
      </c>
      <c r="J176"/>
    </row>
    <row r="177" spans="1:10" s="28" customFormat="1" ht="22.5" customHeight="1" thickTop="1" thickBot="1">
      <c r="A177" s="39" t="s">
        <v>81</v>
      </c>
      <c r="B177" s="39" t="s">
        <v>24</v>
      </c>
      <c r="C177" s="39" t="str">
        <f t="shared" si="8"/>
        <v>AustriaVineyard (vine stock)</v>
      </c>
      <c r="D177" s="39">
        <v>0.1</v>
      </c>
      <c r="J177"/>
    </row>
    <row r="178" spans="1:10" s="28" customFormat="1" ht="22.5" customHeight="1" thickTop="1" thickBot="1">
      <c r="A178" s="39" t="s">
        <v>81</v>
      </c>
      <c r="B178" s="39" t="s">
        <v>25</v>
      </c>
      <c r="C178" s="39" t="str">
        <f t="shared" si="8"/>
        <v>AustriaOrchard (apple tree, pear tree...)</v>
      </c>
      <c r="D178" s="39">
        <v>0.1</v>
      </c>
      <c r="J178"/>
    </row>
    <row r="179" spans="1:10" s="28" customFormat="1" ht="22.5" customHeight="1" thickTop="1" thickBot="1">
      <c r="A179" s="39" t="s">
        <v>82</v>
      </c>
      <c r="B179" s="39" t="s">
        <v>24</v>
      </c>
      <c r="C179" s="39" t="str">
        <f t="shared" si="8"/>
        <v>PolandVineyard (vine stock)</v>
      </c>
      <c r="D179" s="39">
        <v>0.1</v>
      </c>
      <c r="J179"/>
    </row>
    <row r="180" spans="1:10" s="28" customFormat="1" ht="22.5" customHeight="1" thickTop="1" thickBot="1">
      <c r="A180" s="39" t="s">
        <v>82</v>
      </c>
      <c r="B180" s="39" t="s">
        <v>25</v>
      </c>
      <c r="C180" s="39" t="str">
        <f t="shared" si="8"/>
        <v>PolandOrchard (apple tree, pear tree...)</v>
      </c>
      <c r="D180" s="39">
        <v>0.1</v>
      </c>
      <c r="J180"/>
    </row>
    <row r="181" spans="1:10" s="28" customFormat="1" ht="22.5" customHeight="1" thickTop="1" thickBot="1">
      <c r="A181" s="39" t="s">
        <v>83</v>
      </c>
      <c r="B181" s="39" t="s">
        <v>24</v>
      </c>
      <c r="C181" s="39" t="str">
        <f t="shared" si="8"/>
        <v>PortugalVineyard (vine stock)</v>
      </c>
      <c r="D181" s="39">
        <v>0.1</v>
      </c>
      <c r="J181"/>
    </row>
    <row r="182" spans="1:10" s="28" customFormat="1" ht="22.5" customHeight="1" thickTop="1" thickBot="1">
      <c r="A182" s="39" t="s">
        <v>83</v>
      </c>
      <c r="B182" s="39" t="s">
        <v>25</v>
      </c>
      <c r="C182" s="39" t="str">
        <f t="shared" si="8"/>
        <v>PortugalOrchard (apple tree, pear tree...)</v>
      </c>
      <c r="D182" s="39">
        <v>0.1</v>
      </c>
      <c r="J182"/>
    </row>
    <row r="183" spans="1:10" s="28" customFormat="1" ht="22.5" customHeight="1" thickTop="1" thickBot="1">
      <c r="A183" s="39" t="s">
        <v>84</v>
      </c>
      <c r="B183" s="39" t="s">
        <v>24</v>
      </c>
      <c r="C183" s="39" t="str">
        <f t="shared" si="8"/>
        <v>RomaniaVineyard (vine stock)</v>
      </c>
      <c r="D183" s="39">
        <v>0.1</v>
      </c>
      <c r="J183"/>
    </row>
    <row r="184" spans="1:10" s="28" customFormat="1" ht="22.5" customHeight="1" thickTop="1" thickBot="1">
      <c r="A184" s="39" t="s">
        <v>84</v>
      </c>
      <c r="B184" s="39" t="s">
        <v>25</v>
      </c>
      <c r="C184" s="39" t="str">
        <f t="shared" si="8"/>
        <v>RomaniaOrchard (apple tree, pear tree...)</v>
      </c>
      <c r="D184" s="39">
        <v>0.1</v>
      </c>
      <c r="J184"/>
    </row>
    <row r="185" spans="1:10" s="28" customFormat="1" ht="22.5" customHeight="1" thickTop="1" thickBot="1">
      <c r="A185" s="39" t="s">
        <v>85</v>
      </c>
      <c r="B185" s="39" t="s">
        <v>24</v>
      </c>
      <c r="C185" s="39" t="str">
        <f t="shared" si="8"/>
        <v>SloveniaVineyard (vine stock)</v>
      </c>
      <c r="D185" s="39">
        <v>0.1</v>
      </c>
      <c r="J185"/>
    </row>
    <row r="186" spans="1:10" s="28" customFormat="1" ht="22.5" customHeight="1" thickTop="1" thickBot="1">
      <c r="A186" s="39" t="s">
        <v>85</v>
      </c>
      <c r="B186" s="39" t="s">
        <v>25</v>
      </c>
      <c r="C186" s="39" t="str">
        <f t="shared" si="8"/>
        <v>SloveniaOrchard (apple tree, pear tree...)</v>
      </c>
      <c r="D186" s="39">
        <v>0.1</v>
      </c>
      <c r="J186"/>
    </row>
    <row r="187" spans="1:10" s="28" customFormat="1" ht="22.5" customHeight="1" thickTop="1" thickBot="1">
      <c r="A187" s="39" t="s">
        <v>86</v>
      </c>
      <c r="B187" s="39" t="s">
        <v>24</v>
      </c>
      <c r="C187" s="39" t="str">
        <f t="shared" si="8"/>
        <v>SlovakiaVineyard (vine stock)</v>
      </c>
      <c r="D187" s="39">
        <v>0.1</v>
      </c>
      <c r="J187"/>
    </row>
    <row r="188" spans="1:10" s="28" customFormat="1" ht="22.5" customHeight="1" thickTop="1" thickBot="1">
      <c r="A188" s="39" t="s">
        <v>86</v>
      </c>
      <c r="B188" s="39" t="s">
        <v>25</v>
      </c>
      <c r="C188" s="39" t="str">
        <f t="shared" si="8"/>
        <v>SlovakiaOrchard (apple tree, pear tree...)</v>
      </c>
      <c r="D188" s="39">
        <v>0.1</v>
      </c>
      <c r="J188"/>
    </row>
    <row r="189" spans="1:10" s="28" customFormat="1" ht="22.5" customHeight="1" thickTop="1" thickBot="1">
      <c r="A189" s="39" t="s">
        <v>87</v>
      </c>
      <c r="B189" s="39" t="s">
        <v>24</v>
      </c>
      <c r="C189" s="39" t="str">
        <f t="shared" si="8"/>
        <v>FinlandVineyard (vine stock)</v>
      </c>
      <c r="D189" s="39">
        <v>0.1</v>
      </c>
      <c r="J189"/>
    </row>
    <row r="190" spans="1:10" s="28" customFormat="1" ht="22.5" customHeight="1" thickTop="1" thickBot="1">
      <c r="A190" s="39" t="s">
        <v>87</v>
      </c>
      <c r="B190" s="39" t="s">
        <v>25</v>
      </c>
      <c r="C190" s="39" t="str">
        <f t="shared" si="8"/>
        <v>FinlandOrchard (apple tree, pear tree...)</v>
      </c>
      <c r="D190" s="39">
        <v>0.1</v>
      </c>
      <c r="J190"/>
    </row>
    <row r="191" spans="1:10" s="28" customFormat="1" ht="22.5" customHeight="1" thickTop="1" thickBot="1">
      <c r="A191" s="39" t="s">
        <v>88</v>
      </c>
      <c r="B191" s="39" t="s">
        <v>24</v>
      </c>
      <c r="C191" s="39" t="str">
        <f t="shared" si="8"/>
        <v>SwedenVineyard (vine stock)</v>
      </c>
      <c r="D191" s="39">
        <v>0.1</v>
      </c>
      <c r="J191"/>
    </row>
    <row r="192" spans="1:10" s="28" customFormat="1" ht="22.5" customHeight="1" thickTop="1" thickBot="1">
      <c r="A192" s="39" t="s">
        <v>88</v>
      </c>
      <c r="B192" s="39" t="s">
        <v>25</v>
      </c>
      <c r="C192" s="39" t="str">
        <f t="shared" si="8"/>
        <v>SwedenOrchard (apple tree, pear tree...)</v>
      </c>
      <c r="D192" s="39">
        <v>0.1</v>
      </c>
      <c r="J192"/>
    </row>
    <row r="193" spans="1:18" s="28" customFormat="1" ht="22.5" customHeight="1" thickTop="1" thickBot="1">
      <c r="A193" s="39" t="s">
        <v>89</v>
      </c>
      <c r="B193" s="39" t="s">
        <v>24</v>
      </c>
      <c r="C193" s="39" t="str">
        <f t="shared" si="8"/>
        <v>United KingdomVineyard (vine stock)</v>
      </c>
      <c r="D193" s="39">
        <v>0.1</v>
      </c>
      <c r="J193"/>
    </row>
    <row r="194" spans="1:18" s="28" customFormat="1" ht="22.5" customHeight="1" thickTop="1" thickBot="1">
      <c r="A194" s="39" t="s">
        <v>89</v>
      </c>
      <c r="B194" s="39" t="s">
        <v>25</v>
      </c>
      <c r="C194" s="39" t="str">
        <f t="shared" si="8"/>
        <v>United KingdomOrchard (apple tree, pear tree...)</v>
      </c>
      <c r="D194" s="39">
        <v>0.1</v>
      </c>
      <c r="J194"/>
    </row>
    <row r="195" spans="1:18" s="4" customFormat="1" ht="15.75" thickTop="1">
      <c r="J195"/>
    </row>
    <row r="200" spans="1:18" ht="18.75">
      <c r="A200" s="47" t="s">
        <v>137</v>
      </c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</row>
    <row r="202" spans="1:18">
      <c r="B202">
        <v>1</v>
      </c>
      <c r="C202" s="4">
        <v>2</v>
      </c>
      <c r="D202">
        <v>3</v>
      </c>
      <c r="E202">
        <v>4</v>
      </c>
      <c r="F202">
        <v>5</v>
      </c>
    </row>
    <row r="203" spans="1:18">
      <c r="C203" t="s">
        <v>164</v>
      </c>
      <c r="D203" t="s">
        <v>161</v>
      </c>
      <c r="E203" t="s">
        <v>162</v>
      </c>
      <c r="F203" t="s">
        <v>163</v>
      </c>
    </row>
    <row r="204" spans="1:18">
      <c r="A204" s="24"/>
      <c r="C204" t="s">
        <v>242</v>
      </c>
      <c r="D204" t="s">
        <v>243</v>
      </c>
      <c r="E204" t="s">
        <v>244</v>
      </c>
      <c r="F204" t="s">
        <v>245</v>
      </c>
    </row>
    <row r="205" spans="1:18" ht="89.25">
      <c r="B205" s="10" t="s">
        <v>165</v>
      </c>
      <c r="C205" s="10" t="s">
        <v>156</v>
      </c>
      <c r="D205" s="10" t="s">
        <v>154</v>
      </c>
      <c r="E205" s="10" t="s">
        <v>157</v>
      </c>
      <c r="F205" s="10" t="s">
        <v>160</v>
      </c>
      <c r="I205" s="73" t="s">
        <v>179</v>
      </c>
      <c r="J205" s="73" t="s">
        <v>166</v>
      </c>
      <c r="K205" s="73" t="s">
        <v>121</v>
      </c>
      <c r="O205" s="69"/>
    </row>
    <row r="206" spans="1:18" ht="30.75" thickBot="1">
      <c r="B206" s="39" t="s">
        <v>191</v>
      </c>
      <c r="C206" s="39">
        <f>70+50</f>
        <v>120</v>
      </c>
      <c r="D206" s="39">
        <v>2.2999999999999998</v>
      </c>
      <c r="E206" s="39">
        <v>0.28999999999999998</v>
      </c>
      <c r="F206" s="39">
        <v>0.51</v>
      </c>
      <c r="I206" t="s">
        <v>138</v>
      </c>
      <c r="J206" t="s">
        <v>185</v>
      </c>
      <c r="K206" t="s">
        <v>158</v>
      </c>
    </row>
    <row r="207" spans="1:18" ht="31.5" thickTop="1" thickBot="1">
      <c r="B207" s="39" t="s">
        <v>192</v>
      </c>
      <c r="C207" s="39">
        <f>70+50</f>
        <v>120</v>
      </c>
      <c r="D207" s="39">
        <v>2.2999999999999998</v>
      </c>
      <c r="E207" s="39">
        <v>0.28999999999999998</v>
      </c>
      <c r="F207" s="39">
        <v>0.51</v>
      </c>
      <c r="I207" t="s">
        <v>180</v>
      </c>
      <c r="J207" t="s">
        <v>186</v>
      </c>
      <c r="K207" t="s">
        <v>159</v>
      </c>
    </row>
    <row r="208" spans="1:18" ht="31.5" thickTop="1" thickBot="1">
      <c r="B208" s="39" t="s">
        <v>193</v>
      </c>
      <c r="C208" s="39">
        <f>70+50</f>
        <v>120</v>
      </c>
      <c r="D208" s="39">
        <v>2.2999999999999998</v>
      </c>
      <c r="E208" s="39">
        <v>0.23</v>
      </c>
      <c r="F208" s="39">
        <v>0.48</v>
      </c>
      <c r="I208" t="s">
        <v>181</v>
      </c>
    </row>
    <row r="209" spans="2:9" ht="31.5" thickTop="1" thickBot="1">
      <c r="B209" s="39" t="s">
        <v>194</v>
      </c>
      <c r="C209" s="39">
        <f>70+50</f>
        <v>120</v>
      </c>
      <c r="D209" s="39">
        <v>2.2999999999999998</v>
      </c>
      <c r="E209" s="39">
        <v>0.23</v>
      </c>
      <c r="F209" s="39">
        <v>0.48</v>
      </c>
      <c r="I209" t="s">
        <v>184</v>
      </c>
    </row>
    <row r="210" spans="2:9" ht="46.5" thickTop="1" thickBot="1">
      <c r="B210" s="39" t="s">
        <v>167</v>
      </c>
      <c r="C210" s="39">
        <v>20</v>
      </c>
      <c r="D210" s="39">
        <v>4</v>
      </c>
      <c r="E210" s="39">
        <v>0.4</v>
      </c>
      <c r="F210" s="39">
        <v>0.51</v>
      </c>
      <c r="I210" t="s">
        <v>182</v>
      </c>
    </row>
    <row r="211" spans="2:9" ht="46.5" thickTop="1" thickBot="1">
      <c r="B211" s="39" t="s">
        <v>168</v>
      </c>
      <c r="C211" s="39">
        <v>20</v>
      </c>
      <c r="D211" s="39">
        <v>4</v>
      </c>
      <c r="E211" s="39">
        <v>0.46</v>
      </c>
      <c r="F211" s="39">
        <v>0.48</v>
      </c>
      <c r="I211" t="s">
        <v>183</v>
      </c>
    </row>
    <row r="212" spans="2:9" ht="46.5" thickTop="1" thickBot="1">
      <c r="B212" s="39" t="s">
        <v>169</v>
      </c>
      <c r="C212" s="39">
        <v>120</v>
      </c>
      <c r="D212" s="39">
        <v>4</v>
      </c>
      <c r="E212" s="39">
        <v>0.28999999999999998</v>
      </c>
      <c r="F212" s="39">
        <v>0.51</v>
      </c>
      <c r="G212" s="39"/>
    </row>
    <row r="213" spans="2:9" ht="46.5" thickTop="1" thickBot="1">
      <c r="B213" s="39" t="s">
        <v>170</v>
      </c>
      <c r="C213" s="39">
        <v>120</v>
      </c>
      <c r="D213" s="39">
        <v>4</v>
      </c>
      <c r="E213" s="39">
        <v>0.23</v>
      </c>
      <c r="F213" s="39">
        <v>0.48</v>
      </c>
    </row>
    <row r="214" spans="2:9" ht="46.5" thickTop="1" thickBot="1">
      <c r="B214" s="39" t="s">
        <v>195</v>
      </c>
      <c r="C214" s="39">
        <v>100</v>
      </c>
      <c r="D214" s="39">
        <v>3</v>
      </c>
      <c r="E214" s="39">
        <v>0.28999999999999998</v>
      </c>
      <c r="F214" s="39">
        <v>0.51</v>
      </c>
    </row>
    <row r="215" spans="2:9" ht="46.5" thickTop="1" thickBot="1">
      <c r="B215" s="39" t="s">
        <v>196</v>
      </c>
      <c r="C215" s="39">
        <v>100</v>
      </c>
      <c r="D215" s="39">
        <v>3</v>
      </c>
      <c r="E215" s="39">
        <v>0.23</v>
      </c>
      <c r="F215" s="39">
        <v>0.48</v>
      </c>
    </row>
    <row r="216" spans="2:9" ht="46.5" thickTop="1" thickBot="1">
      <c r="B216" s="39" t="s">
        <v>195</v>
      </c>
      <c r="C216" s="39">
        <v>130</v>
      </c>
      <c r="D216" s="39">
        <v>3</v>
      </c>
      <c r="E216" s="39">
        <v>0.28999999999999998</v>
      </c>
      <c r="F216" s="39">
        <v>0.51</v>
      </c>
    </row>
    <row r="217" spans="2:9" ht="46.5" thickTop="1" thickBot="1">
      <c r="B217" s="39" t="s">
        <v>196</v>
      </c>
      <c r="C217" s="39">
        <v>130</v>
      </c>
      <c r="D217" s="39">
        <v>3</v>
      </c>
      <c r="E217" s="39">
        <v>0.23</v>
      </c>
      <c r="F217" s="39">
        <v>0.48</v>
      </c>
    </row>
    <row r="218" spans="2:9" ht="31.5" thickTop="1" thickBot="1">
      <c r="B218" s="39" t="s">
        <v>190</v>
      </c>
      <c r="C218" s="39">
        <f>AVERAGE(10,90)</f>
        <v>50</v>
      </c>
      <c r="D218" s="39">
        <f>AVERAGE(0.1,2.1)</f>
        <v>1.1000000000000001</v>
      </c>
      <c r="E218" s="39">
        <v>0.39</v>
      </c>
      <c r="F218" s="39">
        <v>0.51</v>
      </c>
    </row>
    <row r="219" spans="2:9" ht="31.5" thickTop="1" thickBot="1">
      <c r="B219" s="39" t="s">
        <v>187</v>
      </c>
      <c r="C219" s="39">
        <f t="shared" ref="C219:C221" si="9">AVERAGE(10,90)</f>
        <v>50</v>
      </c>
      <c r="D219" s="39">
        <f t="shared" ref="D219:D221" si="10">AVERAGE(0.1,2.1)</f>
        <v>1.1000000000000001</v>
      </c>
      <c r="E219" s="39">
        <v>0.39</v>
      </c>
      <c r="F219" s="39">
        <v>0.51</v>
      </c>
    </row>
    <row r="220" spans="2:9" ht="31.5" thickTop="1" thickBot="1">
      <c r="B220" s="39" t="s">
        <v>188</v>
      </c>
      <c r="C220" s="39">
        <f t="shared" si="9"/>
        <v>50</v>
      </c>
      <c r="D220" s="39">
        <f t="shared" si="10"/>
        <v>1.1000000000000001</v>
      </c>
      <c r="E220" s="39">
        <v>0.39</v>
      </c>
      <c r="F220" s="39">
        <v>0.48</v>
      </c>
    </row>
    <row r="221" spans="2:9" ht="31.5" thickTop="1" thickBot="1">
      <c r="B221" s="39" t="s">
        <v>189</v>
      </c>
      <c r="C221" s="39">
        <f t="shared" si="9"/>
        <v>50</v>
      </c>
      <c r="D221" s="39">
        <f t="shared" si="10"/>
        <v>1.1000000000000001</v>
      </c>
      <c r="E221" s="39">
        <v>0.39</v>
      </c>
      <c r="F221" s="39">
        <v>0.48</v>
      </c>
    </row>
    <row r="222" spans="2:9" ht="31.5" thickTop="1" thickBot="1">
      <c r="B222" s="39" t="s">
        <v>171</v>
      </c>
      <c r="C222" s="39">
        <v>3.5</v>
      </c>
      <c r="D222" s="39">
        <v>0.4</v>
      </c>
      <c r="E222" s="39">
        <v>0.39</v>
      </c>
      <c r="F222" s="39">
        <v>0.51</v>
      </c>
    </row>
    <row r="223" spans="2:9" ht="31.5" thickTop="1" thickBot="1">
      <c r="B223" s="39" t="s">
        <v>172</v>
      </c>
      <c r="C223" s="39">
        <v>3.5</v>
      </c>
      <c r="D223" s="39">
        <v>0.4</v>
      </c>
      <c r="E223" s="39">
        <v>0.39</v>
      </c>
      <c r="F223" s="39">
        <v>0.48</v>
      </c>
    </row>
    <row r="224" spans="2:9" ht="31.5" thickTop="1" thickBot="1">
      <c r="B224" s="39" t="s">
        <v>173</v>
      </c>
      <c r="C224" s="39">
        <v>17.5</v>
      </c>
      <c r="D224" s="39">
        <v>0.4</v>
      </c>
      <c r="E224" s="39">
        <v>0.39</v>
      </c>
      <c r="F224" s="39">
        <v>0.51</v>
      </c>
    </row>
    <row r="225" spans="2:8" ht="31.5" thickTop="1" thickBot="1">
      <c r="B225" s="39" t="s">
        <v>174</v>
      </c>
      <c r="C225" s="39">
        <v>17.5</v>
      </c>
      <c r="D225" s="39">
        <v>0.4</v>
      </c>
      <c r="E225" s="39">
        <v>0.39</v>
      </c>
      <c r="F225" s="39">
        <v>0.48</v>
      </c>
    </row>
    <row r="226" spans="2:8" ht="31.5" thickTop="1" thickBot="1">
      <c r="B226" s="39" t="s">
        <v>175</v>
      </c>
      <c r="C226" s="39">
        <f>AVERAGE(12,15)</f>
        <v>13.5</v>
      </c>
      <c r="D226" s="39">
        <f>AVERAGE(1,1.1)</f>
        <v>1.05</v>
      </c>
      <c r="E226" s="39">
        <v>0.39</v>
      </c>
      <c r="F226" s="39">
        <v>0.51</v>
      </c>
    </row>
    <row r="227" spans="2:8" ht="31.5" thickTop="1" thickBot="1">
      <c r="B227" s="39" t="s">
        <v>176</v>
      </c>
      <c r="C227" s="39">
        <f>AVERAGE(12,15)</f>
        <v>13.5</v>
      </c>
      <c r="D227" s="39">
        <f>AVERAGE(1,1.1)</f>
        <v>1.05</v>
      </c>
      <c r="E227" s="39">
        <v>0.39</v>
      </c>
      <c r="F227" s="39">
        <v>0.48</v>
      </c>
    </row>
    <row r="228" spans="2:8" ht="31.5" thickTop="1" thickBot="1">
      <c r="B228" s="39" t="s">
        <v>177</v>
      </c>
      <c r="C228" s="39">
        <v>45</v>
      </c>
      <c r="D228" s="39">
        <f>AVERAGE(1.1,1.5)</f>
        <v>1.3</v>
      </c>
      <c r="E228" s="39">
        <v>0.39</v>
      </c>
      <c r="F228" s="39">
        <v>0.51</v>
      </c>
    </row>
    <row r="229" spans="2:8" ht="31.5" thickTop="1" thickBot="1">
      <c r="B229" s="39" t="s">
        <v>178</v>
      </c>
      <c r="C229" s="39">
        <v>45</v>
      </c>
      <c r="D229" s="39">
        <f>AVERAGE(1.1,1.5)</f>
        <v>1.3</v>
      </c>
      <c r="E229" s="39">
        <v>0.39</v>
      </c>
      <c r="F229" s="39">
        <v>0.48</v>
      </c>
    </row>
    <row r="230" spans="2:8" ht="15.75" thickTop="1">
      <c r="H230" s="71"/>
    </row>
    <row r="231" spans="2:8">
      <c r="C231" t="s">
        <v>246</v>
      </c>
    </row>
    <row r="232" spans="2:8" ht="38.25">
      <c r="B232" s="10" t="s">
        <v>142</v>
      </c>
      <c r="C232" s="10" t="s">
        <v>141</v>
      </c>
      <c r="D232" t="s">
        <v>153</v>
      </c>
    </row>
    <row r="233" spans="2:8" ht="30.75" thickBot="1">
      <c r="B233" s="39" t="s">
        <v>143</v>
      </c>
      <c r="C233" s="39">
        <v>30</v>
      </c>
    </row>
    <row r="234" spans="2:8" ht="31.5" thickTop="1" thickBot="1">
      <c r="B234" s="39" t="s">
        <v>144</v>
      </c>
      <c r="C234" s="39">
        <v>200</v>
      </c>
    </row>
    <row r="235" spans="2:8" ht="31.5" thickTop="1" thickBot="1">
      <c r="B235" s="39" t="s">
        <v>145</v>
      </c>
      <c r="C235" s="39">
        <v>40</v>
      </c>
    </row>
    <row r="236" spans="2:8" ht="31.5" thickTop="1" thickBot="1">
      <c r="B236" s="39" t="s">
        <v>146</v>
      </c>
      <c r="C236" s="39">
        <f>AVERAGE(150,250)</f>
        <v>200</v>
      </c>
    </row>
    <row r="237" spans="2:8" ht="46.5" thickTop="1" thickBot="1">
      <c r="B237" s="39" t="s">
        <v>147</v>
      </c>
      <c r="C237" s="39">
        <v>15</v>
      </c>
    </row>
    <row r="238" spans="2:8" ht="46.5" thickTop="1" thickBot="1">
      <c r="B238" s="39" t="s">
        <v>148</v>
      </c>
      <c r="C238" s="39">
        <v>200</v>
      </c>
    </row>
    <row r="239" spans="2:8" ht="46.5" thickTop="1" thickBot="1">
      <c r="B239" s="39" t="s">
        <v>149</v>
      </c>
      <c r="C239" s="39">
        <v>27.5</v>
      </c>
    </row>
    <row r="240" spans="2:8" ht="46.5" thickTop="1" thickBot="1">
      <c r="B240" s="39" t="s">
        <v>150</v>
      </c>
      <c r="C240" s="39">
        <f>AVERAGE(150,200)</f>
        <v>175</v>
      </c>
    </row>
    <row r="241" spans="2:6" ht="31.5" thickTop="1" thickBot="1">
      <c r="B241" s="39" t="s">
        <v>151</v>
      </c>
      <c r="C241" s="39">
        <v>5</v>
      </c>
    </row>
    <row r="242" spans="2:6" ht="31.5" thickTop="1" thickBot="1">
      <c r="B242" s="39" t="s">
        <v>152</v>
      </c>
      <c r="C242" s="39">
        <v>40</v>
      </c>
    </row>
    <row r="243" spans="2:6" ht="31.5" thickTop="1" thickBot="1">
      <c r="B243" s="39" t="s">
        <v>139</v>
      </c>
      <c r="C243" s="39">
        <v>5</v>
      </c>
    </row>
    <row r="244" spans="2:6" ht="31.5" thickTop="1" thickBot="1">
      <c r="B244" s="39" t="s">
        <v>140</v>
      </c>
      <c r="C244" s="39">
        <v>25</v>
      </c>
    </row>
    <row r="245" spans="2:6" ht="15.75" thickTop="1"/>
    <row r="247" spans="2:6">
      <c r="C247" t="s">
        <v>200</v>
      </c>
    </row>
    <row r="248" spans="2:6">
      <c r="C248" t="s">
        <v>247</v>
      </c>
    </row>
    <row r="249" spans="2:6" ht="94.5" customHeight="1">
      <c r="B249" s="10" t="s">
        <v>165</v>
      </c>
      <c r="C249" s="10" t="s">
        <v>201</v>
      </c>
      <c r="E249" t="s">
        <v>220</v>
      </c>
      <c r="F249" t="s">
        <v>221</v>
      </c>
    </row>
    <row r="250" spans="2:6" ht="30.75" thickBot="1">
      <c r="B250" s="39" t="s">
        <v>202</v>
      </c>
      <c r="C250" s="39">
        <v>3.33</v>
      </c>
      <c r="E250">
        <v>0</v>
      </c>
      <c r="F250">
        <v>0</v>
      </c>
    </row>
    <row r="251" spans="2:6" ht="31.5" thickTop="1" thickBot="1">
      <c r="B251" s="39" t="s">
        <v>203</v>
      </c>
      <c r="C251" s="39">
        <v>1.89</v>
      </c>
      <c r="E251" t="s">
        <v>226</v>
      </c>
      <c r="F251" t="s">
        <v>226</v>
      </c>
    </row>
    <row r="252" spans="2:6" ht="31.5" thickTop="1" thickBot="1">
      <c r="B252" s="39" t="s">
        <v>204</v>
      </c>
      <c r="C252" s="39">
        <v>1.55</v>
      </c>
      <c r="E252" t="s">
        <v>227</v>
      </c>
      <c r="F252" t="s">
        <v>231</v>
      </c>
    </row>
    <row r="253" spans="2:6" ht="31.5" thickTop="1" thickBot="1">
      <c r="B253" s="39" t="s">
        <v>222</v>
      </c>
      <c r="C253" s="39">
        <v>1.17</v>
      </c>
      <c r="E253" t="s">
        <v>228</v>
      </c>
      <c r="F253" t="s">
        <v>232</v>
      </c>
    </row>
    <row r="254" spans="2:6" ht="31.5" thickTop="1" thickBot="1">
      <c r="B254" s="39" t="s">
        <v>205</v>
      </c>
      <c r="C254" s="39">
        <v>0.89</v>
      </c>
      <c r="E254" t="s">
        <v>229</v>
      </c>
      <c r="F254" t="s">
        <v>233</v>
      </c>
    </row>
    <row r="255" spans="2:6" ht="31.5" thickTop="1" thickBot="1">
      <c r="B255" s="39" t="s">
        <v>214</v>
      </c>
      <c r="C255" s="39">
        <f>AVERAGE(2,3.33)</f>
        <v>2.665</v>
      </c>
      <c r="E255" t="s">
        <v>230</v>
      </c>
    </row>
    <row r="256" spans="2:6" ht="31.5" thickTop="1" thickBot="1">
      <c r="B256" s="39" t="s">
        <v>215</v>
      </c>
      <c r="C256" s="39">
        <f>AVERAGE(1.11,1.55)</f>
        <v>1.33</v>
      </c>
    </row>
    <row r="257" spans="2:3" ht="31.5" thickTop="1" thickBot="1">
      <c r="B257" s="39" t="s">
        <v>216</v>
      </c>
      <c r="C257" s="39">
        <f>AVERAGE(0.83,1.11)</f>
        <v>0.97</v>
      </c>
    </row>
    <row r="258" spans="2:3" ht="31.5" thickTop="1" thickBot="1">
      <c r="B258" s="39" t="s">
        <v>223</v>
      </c>
      <c r="C258" s="39">
        <f>AVERAGE(0.77,0.83)</f>
        <v>0.8</v>
      </c>
    </row>
    <row r="259" spans="2:3" ht="31.5" thickTop="1" thickBot="1">
      <c r="B259" s="39" t="s">
        <v>217</v>
      </c>
      <c r="C259" s="39">
        <v>0.77</v>
      </c>
    </row>
    <row r="260" spans="2:3" ht="31.5" thickTop="1" thickBot="1">
      <c r="B260" s="39" t="s">
        <v>206</v>
      </c>
      <c r="C260" s="39">
        <f>AVERAGE(1.33,1.35,1.29)</f>
        <v>1.3233333333333335</v>
      </c>
    </row>
    <row r="261" spans="2:3" ht="31.5" thickTop="1" thickBot="1">
      <c r="B261" s="39" t="s">
        <v>207</v>
      </c>
      <c r="C261" s="39">
        <f>AVERAGE(0.75,0.87,0.73)</f>
        <v>0.78333333333333333</v>
      </c>
    </row>
    <row r="262" spans="2:3" ht="31.5" thickTop="1" thickBot="1">
      <c r="B262" s="39" t="s">
        <v>208</v>
      </c>
      <c r="C262" s="39">
        <f>AVERAGE(0.63,0.85,0.64)</f>
        <v>0.70666666666666667</v>
      </c>
    </row>
    <row r="263" spans="2:3" ht="31.5" thickTop="1" thickBot="1">
      <c r="B263" s="39" t="s">
        <v>209</v>
      </c>
      <c r="C263" s="39">
        <f>AVERAGE(0.55,0.85,0.59)</f>
        <v>0.66333333333333322</v>
      </c>
    </row>
    <row r="264" spans="2:3" ht="31.5" thickTop="1" thickBot="1">
      <c r="B264" s="39" t="s">
        <v>210</v>
      </c>
      <c r="C264" s="39">
        <v>1</v>
      </c>
    </row>
    <row r="265" spans="2:3" ht="31.5" thickTop="1" thickBot="1">
      <c r="B265" s="39" t="s">
        <v>211</v>
      </c>
      <c r="C265" s="39">
        <v>0.77</v>
      </c>
    </row>
    <row r="266" spans="2:3" ht="31.5" thickTop="1" thickBot="1">
      <c r="B266" s="39" t="s">
        <v>212</v>
      </c>
      <c r="C266" s="39">
        <v>0.69</v>
      </c>
    </row>
    <row r="267" spans="2:3" ht="31.5" thickTop="1" thickBot="1">
      <c r="B267" s="39" t="s">
        <v>213</v>
      </c>
      <c r="C267" s="39">
        <v>0.61</v>
      </c>
    </row>
    <row r="268" spans="2:3" ht="15.75" thickTop="1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/>
  <cols>
    <col min="2" max="2" width="30.7109375" customWidth="1"/>
  </cols>
  <sheetData>
    <row r="1" spans="1:2" ht="16.5" thickBot="1">
      <c r="A1" s="77" t="s">
        <v>91</v>
      </c>
      <c r="B1" s="78"/>
    </row>
    <row r="2" spans="1:2">
      <c r="A2" s="37"/>
      <c r="B2" s="38" t="s">
        <v>92</v>
      </c>
    </row>
    <row r="3" spans="1:2" ht="15.75" thickBot="1">
      <c r="A3" s="39"/>
      <c r="B3" s="40" t="s">
        <v>93</v>
      </c>
    </row>
    <row r="4" spans="1:2" ht="15.75" thickTop="1">
      <c r="A4" s="41"/>
      <c r="B4" s="42" t="s">
        <v>94</v>
      </c>
    </row>
    <row r="5" spans="1:2">
      <c r="A5" s="43"/>
      <c r="B5" s="44" t="s">
        <v>95</v>
      </c>
    </row>
    <row r="6" spans="1:2" ht="15.75" thickBot="1">
      <c r="A6" s="45"/>
      <c r="B6" s="45" t="s">
        <v>96</v>
      </c>
    </row>
    <row r="7" spans="1:2" ht="16.5" thickTop="1" thickBot="1">
      <c r="A7" s="46"/>
      <c r="B7" s="46" t="s">
        <v>97</v>
      </c>
    </row>
    <row r="8" spans="1:2" ht="15.75" thickTop="1"/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Natural infrastructure</vt:lpstr>
      <vt:lpstr>Forests</vt:lpstr>
      <vt:lpstr>Land-use change</vt:lpstr>
      <vt:lpstr>Results</vt:lpstr>
      <vt:lpstr>Standard data</vt:lpstr>
      <vt:lpstr>Colour code</vt:lpstr>
      <vt:lpstr>for_age</vt:lpstr>
      <vt:lpstr>for_clim</vt:lpstr>
      <vt:lpstr>for_type</vt:lpstr>
      <vt:lpstr>stoc_bor</vt:lpstr>
      <vt:lpstr>stoc_temp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Buerck</dc:creator>
  <cp:lastModifiedBy>Susanne Koeppen</cp:lastModifiedBy>
  <dcterms:created xsi:type="dcterms:W3CDTF">2021-03-31T08:47:37Z</dcterms:created>
  <dcterms:modified xsi:type="dcterms:W3CDTF">2021-06-09T15:16:40Z</dcterms:modified>
</cp:coreProperties>
</file>